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 VIGILANCIA\CONTRATO N°4785-2024 DINAPOWER LTDA\FACTURACION\2025\10. OCTUBRE 2025\"/>
    </mc:Choice>
  </mc:AlternateContent>
  <bookViews>
    <workbookView xWindow="0" yWindow="0" windowWidth="20490" windowHeight="7650" firstSheet="1" activeTab="1"/>
  </bookViews>
  <sheets>
    <sheet name="Hoja2" sheetId="9" state="hidden" r:id="rId1"/>
    <sheet name="DISPOSITIVO OCTUBRE " sheetId="18" r:id="rId2"/>
    <sheet name="Enero 2023 (3)" sheetId="7" state="hidden" r:id="rId3"/>
    <sheet name="Hoja1" sheetId="8" state="hidden" r:id="rId4"/>
    <sheet name="Enero 2023 (2)" sheetId="6" state="hidden" r:id="rId5"/>
    <sheet name="Mayo 2022 -sepecol" sheetId="5" state="hidden" r:id="rId6"/>
  </sheets>
  <definedNames>
    <definedName name="_xlnm._FilterDatabase" localSheetId="1" hidden="1">'DISPOSITIVO OCTUBRE '!$B$7:$P$151</definedName>
    <definedName name="_xlnm._FilterDatabase" localSheetId="4" hidden="1">'Enero 2023 (2)'!$B$7:$X$153</definedName>
    <definedName name="_xlnm._FilterDatabase" localSheetId="2" hidden="1">'Enero 2023 (3)'!$B$7:$V$153</definedName>
    <definedName name="_xlnm._FilterDatabase" localSheetId="5" hidden="1">'Mayo 2022 -sepecol'!$B$6:$P$151</definedName>
    <definedName name="_xlnm.Print_Area" localSheetId="1">'DISPOSITIVO OCTUBRE '!$A$1:$P$163</definedName>
    <definedName name="_xlnm.Print_Area" localSheetId="4">'Enero 2023 (2)'!$A$1:$R$156</definedName>
    <definedName name="_xlnm.Print_Area" localSheetId="2">'Enero 2023 (3)'!$A$1:$P$156</definedName>
    <definedName name="_xlnm.Print_Area" localSheetId="5">'Mayo 2022 -sepecol'!$A$1:$O$151</definedName>
    <definedName name="_xlnm.Print_Titles" localSheetId="1">'DISPOSITIVO OCTUBRE '!$3:$7</definedName>
    <definedName name="_xlnm.Print_Titles" localSheetId="4">'Enero 2023 (2)'!$3:$7</definedName>
    <definedName name="_xlnm.Print_Titles" localSheetId="2">'Enero 2023 (3)'!$3:$7</definedName>
    <definedName name="_xlnm.Print_Titles" localSheetId="5">'Mayo 2022 -sepecol'!$3:$6</definedName>
  </definedNames>
  <calcPr calcId="152511"/>
  <pivotCaches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0" i="18" l="1"/>
  <c r="R102" i="18" l="1"/>
  <c r="R101" i="18"/>
  <c r="R100" i="18"/>
  <c r="R93" i="18"/>
  <c r="R94" i="18"/>
  <c r="R92" i="18"/>
  <c r="R63" i="18"/>
  <c r="R61" i="18"/>
  <c r="R62" i="18"/>
  <c r="R58" i="18"/>
  <c r="R50" i="18"/>
  <c r="R85" i="18" l="1"/>
  <c r="R86" i="18" l="1"/>
  <c r="R76" i="18"/>
  <c r="R77" i="18"/>
  <c r="R38" i="18"/>
  <c r="R41" i="18"/>
  <c r="R64" i="18" l="1"/>
  <c r="R51" i="18"/>
  <c r="R52" i="18"/>
  <c r="R53" i="18"/>
  <c r="R54" i="18"/>
  <c r="R55" i="18"/>
  <c r="R103" i="18"/>
  <c r="R104" i="18"/>
  <c r="R105" i="18"/>
  <c r="R98" i="18"/>
  <c r="R95" i="18"/>
  <c r="R96" i="18"/>
  <c r="R97" i="18"/>
  <c r="R123" i="18" l="1"/>
  <c r="S145" i="18"/>
  <c r="J145" i="18"/>
  <c r="J149" i="18"/>
  <c r="L149" i="18" s="1"/>
  <c r="L145" i="18" l="1"/>
  <c r="M145" i="18" s="1"/>
  <c r="M149" i="18"/>
  <c r="N145" i="18" l="1"/>
  <c r="O145" i="18" s="1"/>
  <c r="P145" i="18" s="1"/>
  <c r="N149" i="18"/>
  <c r="O149" i="18" s="1"/>
  <c r="P149" i="18" s="1"/>
  <c r="J144" i="18" l="1"/>
  <c r="L144" i="18" l="1"/>
  <c r="M144" i="18" s="1"/>
  <c r="E147" i="18"/>
  <c r="N144" i="18" l="1"/>
  <c r="O144" i="18" s="1"/>
  <c r="P144" i="18" s="1"/>
  <c r="S144" i="18" s="1"/>
  <c r="J8" i="18"/>
  <c r="J11" i="18"/>
  <c r="J67" i="18" l="1"/>
  <c r="J19" i="18"/>
  <c r="J143" i="18"/>
  <c r="J131" i="18"/>
  <c r="J15" i="18"/>
  <c r="J59" i="18"/>
  <c r="J148" i="18"/>
  <c r="J27" i="18"/>
  <c r="J137" i="18"/>
  <c r="S149" i="18" l="1"/>
  <c r="J40" i="18"/>
  <c r="J80" i="18" l="1"/>
  <c r="J68" i="18"/>
  <c r="L68" i="18" s="1"/>
  <c r="L11" i="18"/>
  <c r="L80" i="18" l="1"/>
  <c r="M80" i="18" s="1"/>
  <c r="M68" i="18"/>
  <c r="M11" i="18"/>
  <c r="N80" i="18" l="1"/>
  <c r="O80" i="18" s="1"/>
  <c r="P80" i="18" s="1"/>
  <c r="S80" i="18" s="1"/>
  <c r="N68" i="18"/>
  <c r="O68" i="18" s="1"/>
  <c r="P68" i="18" s="1"/>
  <c r="S68" i="18" s="1"/>
  <c r="N11" i="18"/>
  <c r="O11" i="18" s="1"/>
  <c r="P11" i="18" s="1"/>
  <c r="S11" i="18" s="1"/>
  <c r="J146" i="18" l="1"/>
  <c r="J142" i="18"/>
  <c r="J141" i="18"/>
  <c r="J140" i="18"/>
  <c r="J139" i="18"/>
  <c r="J138" i="18"/>
  <c r="J136" i="18"/>
  <c r="J135" i="18"/>
  <c r="J134" i="18"/>
  <c r="J133" i="18"/>
  <c r="J130" i="18"/>
  <c r="J129" i="18"/>
  <c r="J128" i="18"/>
  <c r="J127" i="18"/>
  <c r="J126" i="18"/>
  <c r="J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1" i="18"/>
  <c r="J110" i="18"/>
  <c r="J109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79" i="18"/>
  <c r="J78" i="18"/>
  <c r="J77" i="18"/>
  <c r="J76" i="18"/>
  <c r="J75" i="18"/>
  <c r="J74" i="18"/>
  <c r="J73" i="18"/>
  <c r="J72" i="18"/>
  <c r="J71" i="18"/>
  <c r="J70" i="18"/>
  <c r="J69" i="18"/>
  <c r="J66" i="18"/>
  <c r="J65" i="18"/>
  <c r="J64" i="18"/>
  <c r="J63" i="18"/>
  <c r="J62" i="18"/>
  <c r="J61" i="18"/>
  <c r="J60" i="18"/>
  <c r="J58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39" i="18"/>
  <c r="J38" i="18"/>
  <c r="J37" i="18"/>
  <c r="J36" i="18"/>
  <c r="J35" i="18"/>
  <c r="J34" i="18"/>
  <c r="J33" i="18"/>
  <c r="J32" i="18"/>
  <c r="J31" i="18"/>
  <c r="J30" i="18"/>
  <c r="J29" i="18"/>
  <c r="J26" i="18"/>
  <c r="J25" i="18"/>
  <c r="J24" i="18"/>
  <c r="J23" i="18"/>
  <c r="J22" i="18"/>
  <c r="J21" i="18"/>
  <c r="J20" i="18"/>
  <c r="J18" i="18"/>
  <c r="J17" i="18"/>
  <c r="J16" i="18"/>
  <c r="J14" i="18"/>
  <c r="J13" i="18"/>
  <c r="J12" i="18"/>
  <c r="J10" i="18"/>
  <c r="J9" i="18"/>
  <c r="R147" i="18" l="1"/>
  <c r="Q112" i="18"/>
  <c r="Q151" i="18"/>
  <c r="R151" i="18"/>
  <c r="Q147" i="18"/>
  <c r="Q132" i="18"/>
  <c r="Q28" i="18"/>
  <c r="L91" i="18"/>
  <c r="M91" i="18" s="1"/>
  <c r="Q153" i="18" l="1"/>
  <c r="N91" i="18"/>
  <c r="O91" i="18" s="1"/>
  <c r="P91" i="18" s="1"/>
  <c r="S91" i="18" l="1"/>
  <c r="L107" i="18" l="1"/>
  <c r="M107" i="18" s="1"/>
  <c r="L40" i="18"/>
  <c r="M40" i="18" s="1"/>
  <c r="L39" i="18"/>
  <c r="M39" i="18" s="1"/>
  <c r="L38" i="18"/>
  <c r="M38" i="18" s="1"/>
  <c r="N107" i="18" l="1"/>
  <c r="O107" i="18" s="1"/>
  <c r="P107" i="18" s="1"/>
  <c r="S107" i="18" s="1"/>
  <c r="N40" i="18"/>
  <c r="O40" i="18" s="1"/>
  <c r="P40" i="18" s="1"/>
  <c r="N39" i="18"/>
  <c r="O39" i="18" s="1"/>
  <c r="P39" i="18" s="1"/>
  <c r="S39" i="18" s="1"/>
  <c r="N38" i="18"/>
  <c r="O38" i="18" s="1"/>
  <c r="P38" i="18" s="1"/>
  <c r="S38" i="18" s="1"/>
  <c r="L18" i="18" l="1"/>
  <c r="M18" i="18" s="1"/>
  <c r="L67" i="18"/>
  <c r="M67" i="18" s="1"/>
  <c r="L63" i="18"/>
  <c r="L148" i="18"/>
  <c r="M148" i="18" s="1"/>
  <c r="G147" i="18"/>
  <c r="L143" i="18"/>
  <c r="M143" i="18" s="1"/>
  <c r="L141" i="18"/>
  <c r="M141" i="18" s="1"/>
  <c r="N141" i="18" s="1"/>
  <c r="O141" i="18" s="1"/>
  <c r="P141" i="18" s="1"/>
  <c r="S141" i="18" s="1"/>
  <c r="L140" i="18"/>
  <c r="L139" i="18"/>
  <c r="L137" i="18"/>
  <c r="L135" i="18"/>
  <c r="M135" i="18" s="1"/>
  <c r="L133" i="18"/>
  <c r="G132" i="18"/>
  <c r="E132" i="18"/>
  <c r="L130" i="18"/>
  <c r="M130" i="18" s="1"/>
  <c r="L128" i="18"/>
  <c r="M128" i="18" s="1"/>
  <c r="L127" i="18"/>
  <c r="L126" i="18"/>
  <c r="M126" i="18" s="1"/>
  <c r="L124" i="18"/>
  <c r="M124" i="18" s="1"/>
  <c r="L123" i="18"/>
  <c r="L122" i="18"/>
  <c r="M122" i="18" s="1"/>
  <c r="L120" i="18"/>
  <c r="L119" i="18"/>
  <c r="L118" i="18"/>
  <c r="M118" i="18" s="1"/>
  <c r="L116" i="18"/>
  <c r="L114" i="18"/>
  <c r="M114" i="18" s="1"/>
  <c r="G112" i="18"/>
  <c r="E112" i="18"/>
  <c r="L111" i="18"/>
  <c r="M111" i="18" s="1"/>
  <c r="L110" i="18"/>
  <c r="L109" i="18"/>
  <c r="M109" i="18" s="1"/>
  <c r="L105" i="18"/>
  <c r="M105" i="18" s="1"/>
  <c r="L104" i="18"/>
  <c r="M104" i="18" s="1"/>
  <c r="N104" i="18" s="1"/>
  <c r="O104" i="18" s="1"/>
  <c r="P104" i="18" s="1"/>
  <c r="S104" i="18" s="1"/>
  <c r="L102" i="18"/>
  <c r="L101" i="18"/>
  <c r="M101" i="18" s="1"/>
  <c r="N101" i="18" s="1"/>
  <c r="O101" i="18" s="1"/>
  <c r="L100" i="18"/>
  <c r="M100" i="18" s="1"/>
  <c r="N100" i="18" s="1"/>
  <c r="O100" i="18" s="1"/>
  <c r="L99" i="18"/>
  <c r="M99" i="18" s="1"/>
  <c r="L96" i="18"/>
  <c r="L95" i="18"/>
  <c r="M95" i="18" s="1"/>
  <c r="L94" i="18"/>
  <c r="M94" i="18" s="1"/>
  <c r="N94" i="18" s="1"/>
  <c r="O94" i="18" s="1"/>
  <c r="L90" i="18"/>
  <c r="L88" i="18"/>
  <c r="M88" i="18" s="1"/>
  <c r="L87" i="18"/>
  <c r="L85" i="18"/>
  <c r="M85" i="18" s="1"/>
  <c r="L81" i="18"/>
  <c r="M81" i="18" s="1"/>
  <c r="L79" i="18"/>
  <c r="M79" i="18" s="1"/>
  <c r="L77" i="18"/>
  <c r="L75" i="18"/>
  <c r="L73" i="18"/>
  <c r="L71" i="18"/>
  <c r="M71" i="18" s="1"/>
  <c r="L69" i="18"/>
  <c r="L65" i="18"/>
  <c r="L61" i="18"/>
  <c r="L58" i="18"/>
  <c r="L57" i="18"/>
  <c r="L55" i="18"/>
  <c r="M55" i="18" s="1"/>
  <c r="L54" i="18"/>
  <c r="M54" i="18" s="1"/>
  <c r="L51" i="18"/>
  <c r="L50" i="18"/>
  <c r="L48" i="18"/>
  <c r="L47" i="18"/>
  <c r="L46" i="18"/>
  <c r="L44" i="18"/>
  <c r="M44" i="18" s="1"/>
  <c r="L43" i="18"/>
  <c r="L42" i="18"/>
  <c r="M42" i="18" s="1"/>
  <c r="L37" i="18"/>
  <c r="M37" i="18" s="1"/>
  <c r="L36" i="18"/>
  <c r="L33" i="18"/>
  <c r="M33" i="18" s="1"/>
  <c r="L32" i="18"/>
  <c r="G28" i="18"/>
  <c r="E28" i="18"/>
  <c r="L27" i="18"/>
  <c r="L25" i="18"/>
  <c r="M25" i="18" s="1"/>
  <c r="L24" i="18"/>
  <c r="M24" i="18" s="1"/>
  <c r="L22" i="18"/>
  <c r="L21" i="18"/>
  <c r="M21" i="18" s="1"/>
  <c r="L20" i="18"/>
  <c r="L19" i="18"/>
  <c r="M19" i="18" s="1"/>
  <c r="L16" i="18"/>
  <c r="L15" i="18"/>
  <c r="L14" i="18"/>
  <c r="M14" i="18" s="1"/>
  <c r="L12" i="18"/>
  <c r="L8" i="18"/>
  <c r="S40" i="18" l="1"/>
  <c r="N18" i="18"/>
  <c r="O18" i="18" s="1"/>
  <c r="P18" i="18" s="1"/>
  <c r="S18" i="18" s="1"/>
  <c r="M65" i="18"/>
  <c r="N65" i="18" s="1"/>
  <c r="O65" i="18" s="1"/>
  <c r="M120" i="18"/>
  <c r="N120" i="18" s="1"/>
  <c r="O120" i="18" s="1"/>
  <c r="P120" i="18" s="1"/>
  <c r="S120" i="18" s="1"/>
  <c r="M12" i="18"/>
  <c r="N12" i="18" s="1"/>
  <c r="O12" i="18" s="1"/>
  <c r="M61" i="18"/>
  <c r="N61" i="18" s="1"/>
  <c r="O61" i="18" s="1"/>
  <c r="M116" i="18"/>
  <c r="N116" i="18" s="1"/>
  <c r="O116" i="18" s="1"/>
  <c r="P116" i="18" s="1"/>
  <c r="S116" i="18" s="1"/>
  <c r="J28" i="18"/>
  <c r="E153" i="18"/>
  <c r="M69" i="18"/>
  <c r="N69" i="18" s="1"/>
  <c r="O69" i="18" s="1"/>
  <c r="P69" i="18" s="1"/>
  <c r="S69" i="18" s="1"/>
  <c r="M75" i="18"/>
  <c r="N75" i="18" s="1"/>
  <c r="O75" i="18" s="1"/>
  <c r="P75" i="18" s="1"/>
  <c r="S75" i="18" s="1"/>
  <c r="M96" i="18"/>
  <c r="N96" i="18" s="1"/>
  <c r="O96" i="18" s="1"/>
  <c r="P96" i="18" s="1"/>
  <c r="S96" i="18" s="1"/>
  <c r="M133" i="18"/>
  <c r="N133" i="18" s="1"/>
  <c r="O133" i="18" s="1"/>
  <c r="M137" i="18"/>
  <c r="N137" i="18" s="1"/>
  <c r="O137" i="18" s="1"/>
  <c r="P137" i="18" s="1"/>
  <c r="S137" i="18" s="1"/>
  <c r="M73" i="18"/>
  <c r="N73" i="18" s="1"/>
  <c r="O73" i="18" s="1"/>
  <c r="P73" i="18" s="1"/>
  <c r="S73" i="18" s="1"/>
  <c r="L103" i="18"/>
  <c r="M103" i="18" s="1"/>
  <c r="N103" i="18" s="1"/>
  <c r="O103" i="18" s="1"/>
  <c r="P103" i="18" s="1"/>
  <c r="S103" i="18" s="1"/>
  <c r="M139" i="18"/>
  <c r="N139" i="18" s="1"/>
  <c r="O139" i="18" s="1"/>
  <c r="P139" i="18" s="1"/>
  <c r="S139" i="18" s="1"/>
  <c r="M47" i="18"/>
  <c r="N47" i="18" s="1"/>
  <c r="O47" i="18" s="1"/>
  <c r="P47" i="18" s="1"/>
  <c r="L59" i="18"/>
  <c r="M59" i="18" s="1"/>
  <c r="M77" i="18"/>
  <c r="N77" i="18" s="1"/>
  <c r="O77" i="18" s="1"/>
  <c r="M48" i="18"/>
  <c r="N48" i="18" s="1"/>
  <c r="O48" i="18" s="1"/>
  <c r="M22" i="18"/>
  <c r="N22" i="18" s="1"/>
  <c r="O22" i="18" s="1"/>
  <c r="P22" i="18" s="1"/>
  <c r="S22" i="18" s="1"/>
  <c r="M57" i="18"/>
  <c r="N57" i="18" s="1"/>
  <c r="O57" i="18" s="1"/>
  <c r="P57" i="18" s="1"/>
  <c r="S57" i="18" s="1"/>
  <c r="L84" i="18"/>
  <c r="M84" i="18" s="1"/>
  <c r="N84" i="18" s="1"/>
  <c r="O84" i="18" s="1"/>
  <c r="P84" i="18" s="1"/>
  <c r="S84" i="18" s="1"/>
  <c r="N54" i="18"/>
  <c r="O54" i="18" s="1"/>
  <c r="P54" i="18" s="1"/>
  <c r="S54" i="18" s="1"/>
  <c r="N42" i="18"/>
  <c r="O42" i="18" s="1"/>
  <c r="P42" i="18" s="1"/>
  <c r="S42" i="18" s="1"/>
  <c r="N55" i="18"/>
  <c r="O55" i="18" s="1"/>
  <c r="P55" i="18" s="1"/>
  <c r="S55" i="18" s="1"/>
  <c r="N71" i="18"/>
  <c r="O71" i="18" s="1"/>
  <c r="P71" i="18" s="1"/>
  <c r="S71" i="18" s="1"/>
  <c r="N114" i="18"/>
  <c r="O114" i="18" s="1"/>
  <c r="P114" i="18" s="1"/>
  <c r="S114" i="18" s="1"/>
  <c r="N128" i="18"/>
  <c r="O128" i="18" s="1"/>
  <c r="P128" i="18" s="1"/>
  <c r="N95" i="18"/>
  <c r="O95" i="18" s="1"/>
  <c r="P95" i="18" s="1"/>
  <c r="S95" i="18" s="1"/>
  <c r="N19" i="18"/>
  <c r="O19" i="18" s="1"/>
  <c r="P19" i="18" s="1"/>
  <c r="S19" i="18" s="1"/>
  <c r="N33" i="18"/>
  <c r="O33" i="18" s="1"/>
  <c r="P33" i="18" s="1"/>
  <c r="S33" i="18" s="1"/>
  <c r="N130" i="18"/>
  <c r="O130" i="18" s="1"/>
  <c r="P130" i="18" s="1"/>
  <c r="S130" i="18" s="1"/>
  <c r="N44" i="18"/>
  <c r="O44" i="18" s="1"/>
  <c r="P44" i="18" s="1"/>
  <c r="S44" i="18" s="1"/>
  <c r="N67" i="18"/>
  <c r="O67" i="18" s="1"/>
  <c r="P67" i="18" s="1"/>
  <c r="S67" i="18" s="1"/>
  <c r="N14" i="18"/>
  <c r="O14" i="18" s="1"/>
  <c r="P14" i="18" s="1"/>
  <c r="S14" i="18" s="1"/>
  <c r="N79" i="18"/>
  <c r="O79" i="18" s="1"/>
  <c r="P79" i="18" s="1"/>
  <c r="S79" i="18" s="1"/>
  <c r="N21" i="18"/>
  <c r="O21" i="18" s="1"/>
  <c r="P21" i="18" s="1"/>
  <c r="S21" i="18" s="1"/>
  <c r="N37" i="18"/>
  <c r="O37" i="18" s="1"/>
  <c r="P37" i="18" s="1"/>
  <c r="S37" i="18" s="1"/>
  <c r="N99" i="18"/>
  <c r="O99" i="18" s="1"/>
  <c r="P99" i="18" s="1"/>
  <c r="S99" i="18" s="1"/>
  <c r="L64" i="18"/>
  <c r="M64" i="18" s="1"/>
  <c r="L121" i="18"/>
  <c r="M121" i="18" s="1"/>
  <c r="L83" i="18"/>
  <c r="M83" i="18" s="1"/>
  <c r="N124" i="18"/>
  <c r="O124" i="18" s="1"/>
  <c r="P124" i="18" s="1"/>
  <c r="S124" i="18" s="1"/>
  <c r="L9" i="18"/>
  <c r="M9" i="18" s="1"/>
  <c r="M16" i="18"/>
  <c r="L30" i="18"/>
  <c r="M30" i="18" s="1"/>
  <c r="L35" i="18"/>
  <c r="M35" i="18" s="1"/>
  <c r="M43" i="18"/>
  <c r="M50" i="18"/>
  <c r="N105" i="18"/>
  <c r="O105" i="18" s="1"/>
  <c r="P105" i="18" s="1"/>
  <c r="S105" i="18" s="1"/>
  <c r="M119" i="18"/>
  <c r="J132" i="18"/>
  <c r="M87" i="18"/>
  <c r="L134" i="18"/>
  <c r="J147" i="18"/>
  <c r="L26" i="18"/>
  <c r="M26" i="18" s="1"/>
  <c r="L53" i="18"/>
  <c r="M53" i="18" s="1"/>
  <c r="M32" i="18"/>
  <c r="L142" i="18"/>
  <c r="M142" i="18" s="1"/>
  <c r="P94" i="18"/>
  <c r="S94" i="18" s="1"/>
  <c r="N118" i="18"/>
  <c r="O118" i="18" s="1"/>
  <c r="P118" i="18" s="1"/>
  <c r="S118" i="18" s="1"/>
  <c r="N143" i="18"/>
  <c r="O143" i="18" s="1"/>
  <c r="P143" i="18" s="1"/>
  <c r="S143" i="18" s="1"/>
  <c r="N148" i="18"/>
  <c r="N24" i="18"/>
  <c r="O24" i="18" s="1"/>
  <c r="P24" i="18" s="1"/>
  <c r="S24" i="18" s="1"/>
  <c r="L76" i="18"/>
  <c r="M76" i="18" s="1"/>
  <c r="L45" i="18"/>
  <c r="M45" i="18" s="1"/>
  <c r="N111" i="18"/>
  <c r="O111" i="18" s="1"/>
  <c r="P111" i="18" s="1"/>
  <c r="N25" i="18"/>
  <c r="O25" i="18" s="1"/>
  <c r="P25" i="18" s="1"/>
  <c r="S25" i="18" s="1"/>
  <c r="M90" i="18"/>
  <c r="L108" i="18"/>
  <c r="M108" i="18" s="1"/>
  <c r="N135" i="18"/>
  <c r="O135" i="18" s="1"/>
  <c r="P135" i="18" s="1"/>
  <c r="S135" i="18" s="1"/>
  <c r="L138" i="18"/>
  <c r="M138" i="18" s="1"/>
  <c r="L17" i="18"/>
  <c r="M17" i="18" s="1"/>
  <c r="M20" i="18"/>
  <c r="M46" i="18"/>
  <c r="P100" i="18"/>
  <c r="S100" i="18" s="1"/>
  <c r="L136" i="18"/>
  <c r="M136" i="18" s="1"/>
  <c r="L34" i="18"/>
  <c r="M34" i="18" s="1"/>
  <c r="L56" i="18"/>
  <c r="M56" i="18" s="1"/>
  <c r="L13" i="18"/>
  <c r="M13" i="18" s="1"/>
  <c r="L23" i="18"/>
  <c r="M23" i="18" s="1"/>
  <c r="L62" i="18"/>
  <c r="M62" i="18" s="1"/>
  <c r="N88" i="18"/>
  <c r="O88" i="18" s="1"/>
  <c r="P88" i="18" s="1"/>
  <c r="M15" i="18"/>
  <c r="L41" i="18"/>
  <c r="M41" i="18" s="1"/>
  <c r="M51" i="18"/>
  <c r="L10" i="18"/>
  <c r="M27" i="18"/>
  <c r="L31" i="18"/>
  <c r="M31" i="18" s="1"/>
  <c r="M36" i="18"/>
  <c r="L60" i="18"/>
  <c r="M60" i="18" s="1"/>
  <c r="M63" i="18"/>
  <c r="L72" i="18"/>
  <c r="M72" i="18" s="1"/>
  <c r="N81" i="18"/>
  <c r="O81" i="18" s="1"/>
  <c r="P81" i="18" s="1"/>
  <c r="S81" i="18" s="1"/>
  <c r="N109" i="18"/>
  <c r="O109" i="18" s="1"/>
  <c r="P109" i="18" s="1"/>
  <c r="S109" i="18" s="1"/>
  <c r="N126" i="18"/>
  <c r="O126" i="18" s="1"/>
  <c r="P126" i="18" s="1"/>
  <c r="S126" i="18" s="1"/>
  <c r="L49" i="18"/>
  <c r="M49" i="18" s="1"/>
  <c r="M58" i="18"/>
  <c r="N85" i="18"/>
  <c r="O85" i="18" s="1"/>
  <c r="P85" i="18" s="1"/>
  <c r="S85" i="18" s="1"/>
  <c r="L93" i="18"/>
  <c r="M93" i="18" s="1"/>
  <c r="P101" i="18"/>
  <c r="S101" i="18" s="1"/>
  <c r="M110" i="18"/>
  <c r="L86" i="18"/>
  <c r="M86" i="18" s="1"/>
  <c r="N122" i="18"/>
  <c r="O122" i="18" s="1"/>
  <c r="P122" i="18" s="1"/>
  <c r="S122" i="18" s="1"/>
  <c r="L89" i="18"/>
  <c r="M89" i="18" s="1"/>
  <c r="L106" i="18"/>
  <c r="M106" i="18" s="1"/>
  <c r="M123" i="18"/>
  <c r="L125" i="18"/>
  <c r="M125" i="18" s="1"/>
  <c r="M140" i="18"/>
  <c r="L146" i="18"/>
  <c r="M146" i="18" s="1"/>
  <c r="L117" i="18"/>
  <c r="M117" i="18" s="1"/>
  <c r="G153" i="18"/>
  <c r="L66" i="18"/>
  <c r="M66" i="18" s="1"/>
  <c r="L70" i="18"/>
  <c r="M70" i="18" s="1"/>
  <c r="L74" i="18"/>
  <c r="M74" i="18" s="1"/>
  <c r="L78" i="18"/>
  <c r="M78" i="18" s="1"/>
  <c r="L115" i="18"/>
  <c r="M115" i="18" s="1"/>
  <c r="L131" i="18"/>
  <c r="M131" i="18" s="1"/>
  <c r="J112" i="18"/>
  <c r="M8" i="18"/>
  <c r="L29" i="18"/>
  <c r="L52" i="18"/>
  <c r="L82" i="18"/>
  <c r="M82" i="18" s="1"/>
  <c r="L98" i="18"/>
  <c r="M98" i="18" s="1"/>
  <c r="M102" i="18"/>
  <c r="L113" i="18"/>
  <c r="M113" i="18" s="1"/>
  <c r="M127" i="18"/>
  <c r="L129" i="18"/>
  <c r="M129" i="18" s="1"/>
  <c r="L151" i="18"/>
  <c r="L92" i="18"/>
  <c r="M92" i="18" s="1"/>
  <c r="L97" i="18"/>
  <c r="M97" i="18" s="1"/>
  <c r="J151" i="18"/>
  <c r="S111" i="18" l="1"/>
  <c r="S88" i="18"/>
  <c r="S47" i="18"/>
  <c r="S128" i="18"/>
  <c r="P65" i="18"/>
  <c r="S65" i="18" s="1"/>
  <c r="P12" i="18"/>
  <c r="S12" i="18" s="1"/>
  <c r="P77" i="18"/>
  <c r="S77" i="18" s="1"/>
  <c r="P61" i="18"/>
  <c r="S61" i="18" s="1"/>
  <c r="L28" i="18"/>
  <c r="N59" i="18"/>
  <c r="O59" i="18" s="1"/>
  <c r="P59" i="18" s="1"/>
  <c r="S59" i="18" s="1"/>
  <c r="P48" i="18"/>
  <c r="S48" i="18" s="1"/>
  <c r="J153" i="18"/>
  <c r="N26" i="18"/>
  <c r="O26" i="18" s="1"/>
  <c r="P26" i="18" s="1"/>
  <c r="S26" i="18" s="1"/>
  <c r="N13" i="18"/>
  <c r="O13" i="18" s="1"/>
  <c r="P13" i="18" s="1"/>
  <c r="S13" i="18" s="1"/>
  <c r="N45" i="18"/>
  <c r="O45" i="18" s="1"/>
  <c r="P45" i="18" s="1"/>
  <c r="N34" i="18"/>
  <c r="O34" i="18" s="1"/>
  <c r="P34" i="18" s="1"/>
  <c r="S34" i="18" s="1"/>
  <c r="N41" i="18"/>
  <c r="O41" i="18" s="1"/>
  <c r="P41" i="18" s="1"/>
  <c r="N108" i="18"/>
  <c r="O108" i="18" s="1"/>
  <c r="P108" i="18" s="1"/>
  <c r="S108" i="18" s="1"/>
  <c r="N30" i="18"/>
  <c r="O30" i="18" s="1"/>
  <c r="P30" i="18" s="1"/>
  <c r="S30" i="18" s="1"/>
  <c r="N74" i="18"/>
  <c r="O74" i="18" s="1"/>
  <c r="P74" i="18" s="1"/>
  <c r="S74" i="18" s="1"/>
  <c r="N146" i="18"/>
  <c r="O146" i="18" s="1"/>
  <c r="P146" i="18" s="1"/>
  <c r="S146" i="18" s="1"/>
  <c r="N121" i="18"/>
  <c r="O121" i="18" s="1"/>
  <c r="P121" i="18" s="1"/>
  <c r="S121" i="18" s="1"/>
  <c r="N98" i="18"/>
  <c r="O98" i="18" s="1"/>
  <c r="P98" i="18" s="1"/>
  <c r="S98" i="18" s="1"/>
  <c r="N23" i="18"/>
  <c r="O23" i="18" s="1"/>
  <c r="P23" i="18" s="1"/>
  <c r="S23" i="18" s="1"/>
  <c r="N64" i="18"/>
  <c r="O64" i="18" s="1"/>
  <c r="P64" i="18" s="1"/>
  <c r="S64" i="18" s="1"/>
  <c r="N82" i="18"/>
  <c r="O82" i="18" s="1"/>
  <c r="P82" i="18" s="1"/>
  <c r="S82" i="18" s="1"/>
  <c r="N72" i="18"/>
  <c r="O72" i="18" s="1"/>
  <c r="P72" i="18" s="1"/>
  <c r="S72" i="18" s="1"/>
  <c r="N129" i="18"/>
  <c r="O129" i="18" s="1"/>
  <c r="P129" i="18" s="1"/>
  <c r="S129" i="18" s="1"/>
  <c r="N60" i="18"/>
  <c r="O60" i="18" s="1"/>
  <c r="P60" i="18" s="1"/>
  <c r="S60" i="18" s="1"/>
  <c r="N76" i="18"/>
  <c r="O76" i="18" s="1"/>
  <c r="P76" i="18" s="1"/>
  <c r="S76" i="18" s="1"/>
  <c r="N142" i="18"/>
  <c r="O142" i="18" s="1"/>
  <c r="P142" i="18" s="1"/>
  <c r="S142" i="18" s="1"/>
  <c r="N117" i="18"/>
  <c r="O117" i="18" s="1"/>
  <c r="P117" i="18" s="1"/>
  <c r="S117" i="18" s="1"/>
  <c r="N70" i="18"/>
  <c r="O70" i="18" s="1"/>
  <c r="P70" i="18" s="1"/>
  <c r="S70" i="18" s="1"/>
  <c r="N89" i="18"/>
  <c r="O89" i="18" s="1"/>
  <c r="P89" i="18" s="1"/>
  <c r="S89" i="18" s="1"/>
  <c r="N49" i="18"/>
  <c r="O49" i="18" s="1"/>
  <c r="P49" i="18" s="1"/>
  <c r="N97" i="18"/>
  <c r="O97" i="18" s="1"/>
  <c r="P97" i="18" s="1"/>
  <c r="S97" i="18" s="1"/>
  <c r="N125" i="18"/>
  <c r="O125" i="18" s="1"/>
  <c r="P125" i="18" s="1"/>
  <c r="S125" i="18" s="1"/>
  <c r="N78" i="18"/>
  <c r="O78" i="18" s="1"/>
  <c r="P78" i="18" s="1"/>
  <c r="S78" i="18" s="1"/>
  <c r="N86" i="18"/>
  <c r="O86" i="18" s="1"/>
  <c r="P86" i="18" s="1"/>
  <c r="S86" i="18" s="1"/>
  <c r="N17" i="18"/>
  <c r="O17" i="18" s="1"/>
  <c r="P17" i="18" s="1"/>
  <c r="S17" i="18" s="1"/>
  <c r="N53" i="18"/>
  <c r="O53" i="18" s="1"/>
  <c r="P53" i="18" s="1"/>
  <c r="S53" i="18" s="1"/>
  <c r="N83" i="18"/>
  <c r="O83" i="18" s="1"/>
  <c r="P83" i="18" s="1"/>
  <c r="S83" i="18" s="1"/>
  <c r="N27" i="18"/>
  <c r="O27" i="18" s="1"/>
  <c r="P27" i="18" s="1"/>
  <c r="S27" i="18" s="1"/>
  <c r="N31" i="18"/>
  <c r="O31" i="18" s="1"/>
  <c r="P31" i="18" s="1"/>
  <c r="S31" i="18" s="1"/>
  <c r="N58" i="18"/>
  <c r="O58" i="18" s="1"/>
  <c r="P58" i="18" s="1"/>
  <c r="S58" i="18" s="1"/>
  <c r="N138" i="18"/>
  <c r="O138" i="18" s="1"/>
  <c r="P138" i="18" s="1"/>
  <c r="S138" i="18" s="1"/>
  <c r="N50" i="18"/>
  <c r="O50" i="18" s="1"/>
  <c r="P50" i="18" s="1"/>
  <c r="S50" i="18" s="1"/>
  <c r="N9" i="18"/>
  <c r="O9" i="18" s="1"/>
  <c r="P9" i="18" s="1"/>
  <c r="S9" i="18" s="1"/>
  <c r="N136" i="18"/>
  <c r="O136" i="18" s="1"/>
  <c r="P136" i="18" s="1"/>
  <c r="S136" i="18" s="1"/>
  <c r="N35" i="18"/>
  <c r="O35" i="18" s="1"/>
  <c r="P35" i="18" s="1"/>
  <c r="S35" i="18" s="1"/>
  <c r="M52" i="18"/>
  <c r="O148" i="18"/>
  <c r="L147" i="18"/>
  <c r="N102" i="18"/>
  <c r="O102" i="18" s="1"/>
  <c r="P102" i="18" s="1"/>
  <c r="S102" i="18" s="1"/>
  <c r="N66" i="18"/>
  <c r="O66" i="18" s="1"/>
  <c r="P66" i="18" s="1"/>
  <c r="S66" i="18" s="1"/>
  <c r="N131" i="18"/>
  <c r="O131" i="18" s="1"/>
  <c r="P131" i="18" s="1"/>
  <c r="S131" i="18" s="1"/>
  <c r="N62" i="18"/>
  <c r="O62" i="18" s="1"/>
  <c r="P62" i="18" s="1"/>
  <c r="S62" i="18" s="1"/>
  <c r="N43" i="18"/>
  <c r="O43" i="18" s="1"/>
  <c r="P43" i="18" s="1"/>
  <c r="S43" i="18" s="1"/>
  <c r="N51" i="18"/>
  <c r="O51" i="18" s="1"/>
  <c r="P51" i="18" s="1"/>
  <c r="S51" i="18" s="1"/>
  <c r="N46" i="18"/>
  <c r="O46" i="18" s="1"/>
  <c r="P46" i="18" s="1"/>
  <c r="S46" i="18" s="1"/>
  <c r="N106" i="18"/>
  <c r="O106" i="18" s="1"/>
  <c r="P106" i="18" s="1"/>
  <c r="S106" i="18" s="1"/>
  <c r="N63" i="18"/>
  <c r="O63" i="18" s="1"/>
  <c r="P63" i="18" s="1"/>
  <c r="S63" i="18" s="1"/>
  <c r="N20" i="18"/>
  <c r="O20" i="18" s="1"/>
  <c r="P20" i="18" s="1"/>
  <c r="S20" i="18" s="1"/>
  <c r="N123" i="18"/>
  <c r="O123" i="18" s="1"/>
  <c r="P123" i="18" s="1"/>
  <c r="S123" i="18" s="1"/>
  <c r="N15" i="18"/>
  <c r="O15" i="18" s="1"/>
  <c r="P15" i="18" s="1"/>
  <c r="S15" i="18" s="1"/>
  <c r="N32" i="18"/>
  <c r="O32" i="18" s="1"/>
  <c r="P32" i="18" s="1"/>
  <c r="S32" i="18" s="1"/>
  <c r="M134" i="18"/>
  <c r="N16" i="18"/>
  <c r="O16" i="18" s="1"/>
  <c r="P16" i="18" s="1"/>
  <c r="S16" i="18" s="1"/>
  <c r="M10" i="18"/>
  <c r="N140" i="18"/>
  <c r="O140" i="18" s="1"/>
  <c r="P140" i="18" s="1"/>
  <c r="S140" i="18" s="1"/>
  <c r="N110" i="18"/>
  <c r="O110" i="18" s="1"/>
  <c r="P110" i="18" s="1"/>
  <c r="S110" i="18" s="1"/>
  <c r="N92" i="18"/>
  <c r="O92" i="18" s="1"/>
  <c r="P92" i="18" s="1"/>
  <c r="S92" i="18" s="1"/>
  <c r="N127" i="18"/>
  <c r="O127" i="18" s="1"/>
  <c r="P127" i="18" s="1"/>
  <c r="S127" i="18" s="1"/>
  <c r="L112" i="18"/>
  <c r="M29" i="18"/>
  <c r="L132" i="18"/>
  <c r="N8" i="18"/>
  <c r="N36" i="18"/>
  <c r="O36" i="18" s="1"/>
  <c r="P36" i="18" s="1"/>
  <c r="S36" i="18" s="1"/>
  <c r="N90" i="18"/>
  <c r="O90" i="18" s="1"/>
  <c r="P90" i="18" s="1"/>
  <c r="S90" i="18" s="1"/>
  <c r="P133" i="18"/>
  <c r="S133" i="18" s="1"/>
  <c r="N87" i="18"/>
  <c r="O87" i="18" s="1"/>
  <c r="P87" i="18" s="1"/>
  <c r="N119" i="18"/>
  <c r="O119" i="18" s="1"/>
  <c r="P119" i="18" s="1"/>
  <c r="N93" i="18"/>
  <c r="O93" i="18" s="1"/>
  <c r="P93" i="18" s="1"/>
  <c r="S93" i="18" s="1"/>
  <c r="N115" i="18"/>
  <c r="O115" i="18" s="1"/>
  <c r="P115" i="18" s="1"/>
  <c r="S115" i="18" s="1"/>
  <c r="N113" i="18"/>
  <c r="M132" i="18"/>
  <c r="N56" i="18"/>
  <c r="O56" i="18" s="1"/>
  <c r="P56" i="18" s="1"/>
  <c r="S56" i="18" s="1"/>
  <c r="S49" i="18" l="1"/>
  <c r="R132" i="18"/>
  <c r="S87" i="18"/>
  <c r="S45" i="18"/>
  <c r="L153" i="18"/>
  <c r="N10" i="18"/>
  <c r="O10" i="18" s="1"/>
  <c r="P10" i="18" s="1"/>
  <c r="M151" i="18"/>
  <c r="O8" i="18"/>
  <c r="P148" i="18"/>
  <c r="S148" i="18" s="1"/>
  <c r="S151" i="18" s="1"/>
  <c r="N132" i="18"/>
  <c r="O113" i="18"/>
  <c r="M28" i="18"/>
  <c r="N134" i="18"/>
  <c r="M147" i="18"/>
  <c r="N29" i="18"/>
  <c r="M112" i="18"/>
  <c r="N52" i="18"/>
  <c r="S10" i="18" l="1"/>
  <c r="R28" i="18"/>
  <c r="S119" i="18"/>
  <c r="R112" i="18"/>
  <c r="R153" i="18" s="1"/>
  <c r="S41" i="18"/>
  <c r="N28" i="18"/>
  <c r="O134" i="18"/>
  <c r="N147" i="18"/>
  <c r="O52" i="18"/>
  <c r="O132" i="18"/>
  <c r="P113" i="18"/>
  <c r="O28" i="18"/>
  <c r="P8" i="18"/>
  <c r="S8" i="18" s="1"/>
  <c r="S28" i="18" s="1"/>
  <c r="M153" i="18"/>
  <c r="N151" i="18"/>
  <c r="N112" i="18"/>
  <c r="O29" i="18"/>
  <c r="P132" i="18" l="1"/>
  <c r="S113" i="18"/>
  <c r="S132" i="18" s="1"/>
  <c r="N153" i="18"/>
  <c r="P28" i="18"/>
  <c r="O112" i="18"/>
  <c r="P29" i="18"/>
  <c r="S29" i="18" s="1"/>
  <c r="O151" i="18"/>
  <c r="P151" i="18"/>
  <c r="P52" i="18"/>
  <c r="S52" i="18" s="1"/>
  <c r="O147" i="18"/>
  <c r="P134" i="18"/>
  <c r="S112" i="18" l="1"/>
  <c r="P147" i="18"/>
  <c r="S134" i="18"/>
  <c r="S147" i="18" s="1"/>
  <c r="O153" i="18"/>
  <c r="P112" i="18"/>
  <c r="S153" i="18" l="1"/>
  <c r="P153" i="18"/>
  <c r="S154" i="18" l="1"/>
  <c r="G8" i="8" l="1"/>
  <c r="J152" i="7" l="1"/>
  <c r="J151" i="7"/>
  <c r="L151" i="7" s="1"/>
  <c r="J150" i="7"/>
  <c r="J149" i="7"/>
  <c r="L149" i="7" s="1"/>
  <c r="J148" i="7"/>
  <c r="L148" i="7" s="1"/>
  <c r="M148" i="7" s="1"/>
  <c r="N148" i="7" s="1"/>
  <c r="O148" i="7" s="1"/>
  <c r="J147" i="7"/>
  <c r="L147" i="7" s="1"/>
  <c r="J146" i="7"/>
  <c r="J144" i="7"/>
  <c r="L144" i="7" s="1"/>
  <c r="M144" i="7" s="1"/>
  <c r="J143" i="7"/>
  <c r="J142" i="7"/>
  <c r="L142" i="7" s="1"/>
  <c r="M142" i="7" s="1"/>
  <c r="J141" i="7"/>
  <c r="L141" i="7" s="1"/>
  <c r="J140" i="7"/>
  <c r="J139" i="7"/>
  <c r="J138" i="7"/>
  <c r="L138" i="7" s="1"/>
  <c r="M138" i="7" s="1"/>
  <c r="J137" i="7"/>
  <c r="L137" i="7" s="1"/>
  <c r="J136" i="7"/>
  <c r="J135" i="7"/>
  <c r="J134" i="7"/>
  <c r="J133" i="7"/>
  <c r="J132" i="7"/>
  <c r="J131" i="7"/>
  <c r="L131" i="7" s="1"/>
  <c r="M131" i="7" s="1"/>
  <c r="N131" i="7" s="1"/>
  <c r="O131" i="7" s="1"/>
  <c r="J130" i="7"/>
  <c r="J128" i="7"/>
  <c r="L128" i="7" s="1"/>
  <c r="J127" i="7"/>
  <c r="J126" i="7"/>
  <c r="J125" i="7"/>
  <c r="J124" i="7"/>
  <c r="J123" i="7"/>
  <c r="L123" i="7" s="1"/>
  <c r="J122" i="7"/>
  <c r="L122" i="7" s="1"/>
  <c r="M122" i="7" s="1"/>
  <c r="J121" i="7"/>
  <c r="J120" i="7"/>
  <c r="L120" i="7" s="1"/>
  <c r="M120" i="7" s="1"/>
  <c r="N120" i="7" s="1"/>
  <c r="O120" i="7" s="1"/>
  <c r="P120" i="7" s="1"/>
  <c r="J119" i="7"/>
  <c r="L119" i="7" s="1"/>
  <c r="J118" i="7"/>
  <c r="J117" i="7"/>
  <c r="J116" i="7"/>
  <c r="L116" i="7" s="1"/>
  <c r="M116" i="7" s="1"/>
  <c r="J115" i="7"/>
  <c r="L115" i="7" s="1"/>
  <c r="J114" i="7"/>
  <c r="J113" i="7"/>
  <c r="L113" i="7" s="1"/>
  <c r="M113" i="7" s="1"/>
  <c r="J112" i="7"/>
  <c r="L112" i="7" s="1"/>
  <c r="M112" i="7" s="1"/>
  <c r="J111" i="7"/>
  <c r="L111" i="7" s="1"/>
  <c r="J110" i="7"/>
  <c r="J109" i="7"/>
  <c r="L109" i="7" s="1"/>
  <c r="J108" i="7"/>
  <c r="J106" i="7"/>
  <c r="J105" i="7"/>
  <c r="L105" i="7" s="1"/>
  <c r="J104" i="7"/>
  <c r="J103" i="7"/>
  <c r="L103" i="7" s="1"/>
  <c r="M103" i="7" s="1"/>
  <c r="J102" i="7"/>
  <c r="L102" i="7" s="1"/>
  <c r="M102" i="7" s="1"/>
  <c r="J101" i="7"/>
  <c r="J100" i="7"/>
  <c r="J99" i="7"/>
  <c r="L99" i="7" s="1"/>
  <c r="M99" i="7" s="1"/>
  <c r="N99" i="7" s="1"/>
  <c r="O99" i="7" s="1"/>
  <c r="J98" i="7"/>
  <c r="L98" i="7" s="1"/>
  <c r="J97" i="7"/>
  <c r="J96" i="7"/>
  <c r="L96" i="7" s="1"/>
  <c r="J95" i="7"/>
  <c r="L95" i="7" s="1"/>
  <c r="J94" i="7"/>
  <c r="L94" i="7" s="1"/>
  <c r="M94" i="7" s="1"/>
  <c r="J93" i="7"/>
  <c r="J92" i="7"/>
  <c r="L92" i="7" s="1"/>
  <c r="M92" i="7" s="1"/>
  <c r="N92" i="7" s="1"/>
  <c r="O92" i="7" s="1"/>
  <c r="P92" i="7" s="1"/>
  <c r="J91" i="7"/>
  <c r="J90" i="7"/>
  <c r="L90" i="7" s="1"/>
  <c r="M90" i="7" s="1"/>
  <c r="J89" i="7"/>
  <c r="J88" i="7"/>
  <c r="L88" i="7" s="1"/>
  <c r="M88" i="7" s="1"/>
  <c r="N88" i="7" s="1"/>
  <c r="O88" i="7" s="1"/>
  <c r="P88" i="7" s="1"/>
  <c r="J87" i="7"/>
  <c r="L87" i="7" s="1"/>
  <c r="J86" i="7"/>
  <c r="L86" i="7" s="1"/>
  <c r="M86" i="7" s="1"/>
  <c r="J85" i="7"/>
  <c r="J84" i="7"/>
  <c r="L84" i="7" s="1"/>
  <c r="M84" i="7" s="1"/>
  <c r="J83" i="7"/>
  <c r="L83" i="7" s="1"/>
  <c r="M83" i="7" s="1"/>
  <c r="J82" i="7"/>
  <c r="J81" i="7"/>
  <c r="L81" i="7" s="1"/>
  <c r="M81" i="7" s="1"/>
  <c r="J80" i="7"/>
  <c r="L80" i="7" s="1"/>
  <c r="M80" i="7" s="1"/>
  <c r="N80" i="7" s="1"/>
  <c r="O80" i="7" s="1"/>
  <c r="J79" i="7"/>
  <c r="J78" i="7"/>
  <c r="J77" i="7"/>
  <c r="J76" i="7"/>
  <c r="L76" i="7" s="1"/>
  <c r="J75" i="7"/>
  <c r="J74" i="7"/>
  <c r="L74" i="7" s="1"/>
  <c r="J73" i="7"/>
  <c r="L73" i="7" s="1"/>
  <c r="J72" i="7"/>
  <c r="L72" i="7" s="1"/>
  <c r="J71" i="7"/>
  <c r="L71" i="7" s="1"/>
  <c r="M71" i="7" s="1"/>
  <c r="J70" i="7"/>
  <c r="L70" i="7" s="1"/>
  <c r="J69" i="7"/>
  <c r="J68" i="7"/>
  <c r="L68" i="7" s="1"/>
  <c r="J67" i="7"/>
  <c r="J66" i="7"/>
  <c r="L66" i="7" s="1"/>
  <c r="J65" i="7"/>
  <c r="L65" i="7" s="1"/>
  <c r="M65" i="7" s="1"/>
  <c r="J64" i="7"/>
  <c r="L64" i="7" s="1"/>
  <c r="J63" i="7"/>
  <c r="L63" i="7" s="1"/>
  <c r="M63" i="7" s="1"/>
  <c r="N63" i="7" s="1"/>
  <c r="O63" i="7" s="1"/>
  <c r="J62" i="7"/>
  <c r="L62" i="7" s="1"/>
  <c r="J61" i="7"/>
  <c r="J60" i="7"/>
  <c r="J59" i="7"/>
  <c r="L59" i="7" s="1"/>
  <c r="M59" i="7" s="1"/>
  <c r="J58" i="7"/>
  <c r="L58" i="7" s="1"/>
  <c r="J57" i="7"/>
  <c r="L57" i="7" s="1"/>
  <c r="M57" i="7" s="1"/>
  <c r="J56" i="7"/>
  <c r="L56" i="7" s="1"/>
  <c r="J55" i="7"/>
  <c r="J54" i="7"/>
  <c r="L54" i="7" s="1"/>
  <c r="J53" i="7"/>
  <c r="J52" i="7"/>
  <c r="L52" i="7" s="1"/>
  <c r="J51" i="7"/>
  <c r="L51" i="7" s="1"/>
  <c r="M51" i="7" s="1"/>
  <c r="J50" i="7"/>
  <c r="L50" i="7" s="1"/>
  <c r="J49" i="7"/>
  <c r="J48" i="7"/>
  <c r="L48" i="7" s="1"/>
  <c r="J47" i="7"/>
  <c r="L47" i="7" s="1"/>
  <c r="M47" i="7" s="1"/>
  <c r="N47" i="7" s="1"/>
  <c r="O47" i="7" s="1"/>
  <c r="P47" i="7" s="1"/>
  <c r="J46" i="7"/>
  <c r="J45" i="7"/>
  <c r="J44" i="7"/>
  <c r="L44" i="7" s="1"/>
  <c r="J43" i="7"/>
  <c r="L43" i="7" s="1"/>
  <c r="M43" i="7" s="1"/>
  <c r="N43" i="7" s="1"/>
  <c r="J41" i="7"/>
  <c r="L41" i="7" s="1"/>
  <c r="M41" i="7" s="1"/>
  <c r="J40" i="7"/>
  <c r="J39" i="7"/>
  <c r="L39" i="7" s="1"/>
  <c r="M39" i="7" s="1"/>
  <c r="N39" i="7" s="1"/>
  <c r="O39" i="7" s="1"/>
  <c r="J38" i="7"/>
  <c r="J37" i="7"/>
  <c r="L37" i="7" s="1"/>
  <c r="J36" i="7"/>
  <c r="J35" i="7"/>
  <c r="J34" i="7"/>
  <c r="L34" i="7" s="1"/>
  <c r="J33" i="7"/>
  <c r="J32" i="7"/>
  <c r="L32" i="7" s="1"/>
  <c r="M32" i="7" s="1"/>
  <c r="J31" i="7"/>
  <c r="L31" i="7" s="1"/>
  <c r="M31" i="7" s="1"/>
  <c r="N31" i="7" s="1"/>
  <c r="O31" i="7" s="1"/>
  <c r="J30" i="7"/>
  <c r="L30" i="7" s="1"/>
  <c r="M30" i="7" s="1"/>
  <c r="N30" i="7" s="1"/>
  <c r="O30" i="7" s="1"/>
  <c r="J29" i="7"/>
  <c r="J28" i="7"/>
  <c r="J27" i="7"/>
  <c r="L27" i="7" s="1"/>
  <c r="J26" i="7"/>
  <c r="L26" i="7" s="1"/>
  <c r="M26" i="7" s="1"/>
  <c r="J25" i="7"/>
  <c r="J24" i="7"/>
  <c r="J23" i="7"/>
  <c r="J22" i="7"/>
  <c r="J21" i="7"/>
  <c r="J20" i="7"/>
  <c r="J19" i="7"/>
  <c r="L19" i="7" s="1"/>
  <c r="J18" i="7"/>
  <c r="L18" i="7" s="1"/>
  <c r="M18" i="7" s="1"/>
  <c r="J17" i="7"/>
  <c r="J16" i="7"/>
  <c r="L16" i="7" s="1"/>
  <c r="M16" i="7" s="1"/>
  <c r="N16" i="7" s="1"/>
  <c r="O16" i="7" s="1"/>
  <c r="J15" i="7"/>
  <c r="J14" i="7"/>
  <c r="L14" i="7" s="1"/>
  <c r="M14" i="7" s="1"/>
  <c r="J13" i="7"/>
  <c r="J12" i="7"/>
  <c r="J11" i="7"/>
  <c r="L11" i="7" s="1"/>
  <c r="J10" i="7"/>
  <c r="L10" i="7" s="1"/>
  <c r="M10" i="7" s="1"/>
  <c r="J9" i="7"/>
  <c r="J8" i="7"/>
  <c r="T210" i="7"/>
  <c r="T211" i="7" s="1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Q192" i="7"/>
  <c r="P192" i="7"/>
  <c r="O192" i="7"/>
  <c r="N192" i="7"/>
  <c r="M192" i="7"/>
  <c r="Q187" i="7"/>
  <c r="P187" i="7"/>
  <c r="O187" i="7"/>
  <c r="N187" i="7"/>
  <c r="M187" i="7"/>
  <c r="J187" i="7"/>
  <c r="J186" i="7"/>
  <c r="J185" i="7"/>
  <c r="J184" i="7"/>
  <c r="J183" i="7"/>
  <c r="J180" i="7"/>
  <c r="J179" i="7"/>
  <c r="F175" i="7"/>
  <c r="F174" i="7"/>
  <c r="P173" i="7"/>
  <c r="O173" i="7"/>
  <c r="N173" i="7"/>
  <c r="M173" i="7"/>
  <c r="F173" i="7"/>
  <c r="P169" i="7"/>
  <c r="O169" i="7"/>
  <c r="N169" i="7"/>
  <c r="M169" i="7"/>
  <c r="I169" i="7"/>
  <c r="F168" i="7"/>
  <c r="I168" i="7" s="1"/>
  <c r="F167" i="7"/>
  <c r="I167" i="7" s="1"/>
  <c r="F166" i="7"/>
  <c r="I166" i="7" s="1"/>
  <c r="F165" i="7"/>
  <c r="I165" i="7" s="1"/>
  <c r="I164" i="7"/>
  <c r="P163" i="7"/>
  <c r="O163" i="7"/>
  <c r="N163" i="7"/>
  <c r="M163" i="7"/>
  <c r="I163" i="7"/>
  <c r="F162" i="7"/>
  <c r="O162" i="7" s="1"/>
  <c r="F161" i="7"/>
  <c r="I161" i="7" s="1"/>
  <c r="F160" i="7"/>
  <c r="I160" i="7" s="1"/>
  <c r="F159" i="7"/>
  <c r="I159" i="7" s="1"/>
  <c r="I170" i="7" s="1"/>
  <c r="G153" i="7"/>
  <c r="L152" i="7"/>
  <c r="M152" i="7" s="1"/>
  <c r="N152" i="7" s="1"/>
  <c r="O152" i="7" s="1"/>
  <c r="L150" i="7"/>
  <c r="M150" i="7" s="1"/>
  <c r="N150" i="7" s="1"/>
  <c r="O150" i="7" s="1"/>
  <c r="P150" i="7" s="1"/>
  <c r="G145" i="7"/>
  <c r="L135" i="7"/>
  <c r="M135" i="7" s="1"/>
  <c r="L133" i="7"/>
  <c r="M133" i="7" s="1"/>
  <c r="N133" i="7" s="1"/>
  <c r="O133" i="7" s="1"/>
  <c r="P133" i="7" s="1"/>
  <c r="G129" i="7"/>
  <c r="L126" i="7"/>
  <c r="M126" i="7" s="1"/>
  <c r="L124" i="7"/>
  <c r="M124" i="7" s="1"/>
  <c r="N124" i="7" s="1"/>
  <c r="O124" i="7" s="1"/>
  <c r="L118" i="7"/>
  <c r="M118" i="7" s="1"/>
  <c r="L114" i="7"/>
  <c r="M114" i="7" s="1"/>
  <c r="G107" i="7"/>
  <c r="L101" i="7"/>
  <c r="L100" i="7"/>
  <c r="M100" i="7" s="1"/>
  <c r="L91" i="7"/>
  <c r="L79" i="7"/>
  <c r="M79" i="7" s="1"/>
  <c r="N79" i="7" s="1"/>
  <c r="O79" i="7" s="1"/>
  <c r="L77" i="7"/>
  <c r="L69" i="7"/>
  <c r="M69" i="7" s="1"/>
  <c r="L67" i="7"/>
  <c r="M67" i="7" s="1"/>
  <c r="L61" i="7"/>
  <c r="M61" i="7" s="1"/>
  <c r="N61" i="7" s="1"/>
  <c r="O61" i="7" s="1"/>
  <c r="P61" i="7" s="1"/>
  <c r="L55" i="7"/>
  <c r="M55" i="7" s="1"/>
  <c r="L53" i="7"/>
  <c r="M53" i="7" s="1"/>
  <c r="L49" i="7"/>
  <c r="M49" i="7" s="1"/>
  <c r="L45" i="7"/>
  <c r="M45" i="7" s="1"/>
  <c r="G42" i="7"/>
  <c r="L40" i="7"/>
  <c r="M40" i="7" s="1"/>
  <c r="L28" i="7"/>
  <c r="L24" i="7"/>
  <c r="L22" i="7"/>
  <c r="M22" i="7" s="1"/>
  <c r="L20" i="7"/>
  <c r="M20" i="7" s="1"/>
  <c r="N20" i="7" s="1"/>
  <c r="O20" i="7" s="1"/>
  <c r="L12" i="7"/>
  <c r="M12" i="7" s="1"/>
  <c r="N12" i="7" s="1"/>
  <c r="O12" i="7" s="1"/>
  <c r="G155" i="7" l="1"/>
  <c r="T212" i="7"/>
  <c r="J107" i="7"/>
  <c r="J129" i="7"/>
  <c r="J42" i="7"/>
  <c r="M73" i="7"/>
  <c r="N73" i="7" s="1"/>
  <c r="O73" i="7" s="1"/>
  <c r="P73" i="7" s="1"/>
  <c r="L8" i="7"/>
  <c r="M8" i="7" s="1"/>
  <c r="R192" i="7"/>
  <c r="N59" i="7"/>
  <c r="O59" i="7" s="1"/>
  <c r="P59" i="7" s="1"/>
  <c r="P162" i="7"/>
  <c r="I162" i="7"/>
  <c r="P148" i="7"/>
  <c r="M162" i="7"/>
  <c r="N162" i="7"/>
  <c r="R187" i="7"/>
  <c r="N57" i="7"/>
  <c r="O57" i="7" s="1"/>
  <c r="P57" i="7" s="1"/>
  <c r="P12" i="7"/>
  <c r="P16" i="7"/>
  <c r="L33" i="7"/>
  <c r="M33" i="7" s="1"/>
  <c r="L82" i="7"/>
  <c r="M82" i="7" s="1"/>
  <c r="M115" i="7"/>
  <c r="N115" i="7" s="1"/>
  <c r="O115" i="7" s="1"/>
  <c r="P152" i="7"/>
  <c r="P20" i="7"/>
  <c r="L25" i="7"/>
  <c r="M25" i="7" s="1"/>
  <c r="N32" i="7"/>
  <c r="O32" i="7" s="1"/>
  <c r="P32" i="7" s="1"/>
  <c r="N81" i="7"/>
  <c r="O81" i="7" s="1"/>
  <c r="P81" i="7" s="1"/>
  <c r="N90" i="7"/>
  <c r="O90" i="7" s="1"/>
  <c r="P90" i="7" s="1"/>
  <c r="L15" i="7"/>
  <c r="M15" i="7" s="1"/>
  <c r="L23" i="7"/>
  <c r="M23" i="7" s="1"/>
  <c r="M186" i="7"/>
  <c r="M24" i="7"/>
  <c r="M168" i="7" s="1"/>
  <c r="L35" i="7"/>
  <c r="M35" i="7" s="1"/>
  <c r="N40" i="7"/>
  <c r="O40" i="7" s="1"/>
  <c r="P40" i="7" s="1"/>
  <c r="N51" i="7"/>
  <c r="O51" i="7" s="1"/>
  <c r="P51" i="7" s="1"/>
  <c r="N67" i="7"/>
  <c r="O67" i="7" s="1"/>
  <c r="P67" i="7" s="1"/>
  <c r="N86" i="7"/>
  <c r="O86" i="7" s="1"/>
  <c r="P86" i="7" s="1"/>
  <c r="N102" i="7"/>
  <c r="O102" i="7" s="1"/>
  <c r="P102" i="7" s="1"/>
  <c r="L9" i="7"/>
  <c r="M9" i="7" s="1"/>
  <c r="L13" i="7"/>
  <c r="L17" i="7"/>
  <c r="M17" i="7" s="1"/>
  <c r="L21" i="7"/>
  <c r="M184" i="7" s="1"/>
  <c r="M28" i="7"/>
  <c r="P31" i="7"/>
  <c r="P30" i="7"/>
  <c r="L36" i="7"/>
  <c r="M36" i="7" s="1"/>
  <c r="O43" i="7"/>
  <c r="N55" i="7"/>
  <c r="O55" i="7" s="1"/>
  <c r="P55" i="7" s="1"/>
  <c r="N71" i="7"/>
  <c r="O71" i="7" s="1"/>
  <c r="P71" i="7" s="1"/>
  <c r="M11" i="7"/>
  <c r="M19" i="7"/>
  <c r="M27" i="7"/>
  <c r="L29" i="7"/>
  <c r="M29" i="7" s="1"/>
  <c r="N10" i="7"/>
  <c r="O10" i="7" s="1"/>
  <c r="P10" i="7" s="1"/>
  <c r="N14" i="7"/>
  <c r="O14" i="7" s="1"/>
  <c r="P14" i="7" s="1"/>
  <c r="N18" i="7"/>
  <c r="O18" i="7" s="1"/>
  <c r="P18" i="7" s="1"/>
  <c r="N22" i="7"/>
  <c r="O22" i="7" s="1"/>
  <c r="P22" i="7" s="1"/>
  <c r="N26" i="7"/>
  <c r="O26" i="7" s="1"/>
  <c r="P26" i="7" s="1"/>
  <c r="M34" i="7"/>
  <c r="N41" i="7"/>
  <c r="O41" i="7" s="1"/>
  <c r="P41" i="7" s="1"/>
  <c r="N45" i="7"/>
  <c r="O45" i="7" s="1"/>
  <c r="P45" i="7" s="1"/>
  <c r="N83" i="7"/>
  <c r="O83" i="7" s="1"/>
  <c r="P83" i="7" s="1"/>
  <c r="N94" i="7"/>
  <c r="O94" i="7" s="1"/>
  <c r="P94" i="7" s="1"/>
  <c r="L46" i="7"/>
  <c r="M46" i="7" s="1"/>
  <c r="N49" i="7"/>
  <c r="O49" i="7" s="1"/>
  <c r="P49" i="7" s="1"/>
  <c r="P63" i="7"/>
  <c r="N65" i="7"/>
  <c r="O65" i="7" s="1"/>
  <c r="P65" i="7" s="1"/>
  <c r="N103" i="7"/>
  <c r="O103" i="7" s="1"/>
  <c r="P103" i="7" s="1"/>
  <c r="L106" i="7"/>
  <c r="M106" i="7" s="1"/>
  <c r="L110" i="7"/>
  <c r="M110" i="7" s="1"/>
  <c r="N126" i="7"/>
  <c r="O126" i="7" s="1"/>
  <c r="P126" i="7" s="1"/>
  <c r="N142" i="7"/>
  <c r="O142" i="7" s="1"/>
  <c r="P142" i="7" s="1"/>
  <c r="N144" i="7"/>
  <c r="O144" i="7" s="1"/>
  <c r="P144" i="7" s="1"/>
  <c r="L146" i="7"/>
  <c r="M146" i="7" s="1"/>
  <c r="J153" i="7"/>
  <c r="M37" i="7"/>
  <c r="L38" i="7"/>
  <c r="M38" i="7" s="1"/>
  <c r="M44" i="7"/>
  <c r="M48" i="7"/>
  <c r="N53" i="7"/>
  <c r="O53" i="7" s="1"/>
  <c r="P53" i="7" s="1"/>
  <c r="L60" i="7"/>
  <c r="M60" i="7" s="1"/>
  <c r="M64" i="7"/>
  <c r="N69" i="7"/>
  <c r="O69" i="7" s="1"/>
  <c r="P69" i="7" s="1"/>
  <c r="L75" i="7"/>
  <c r="M75" i="7" s="1"/>
  <c r="M76" i="7"/>
  <c r="P79" i="7"/>
  <c r="L85" i="7"/>
  <c r="M85" i="7" s="1"/>
  <c r="M87" i="7"/>
  <c r="L89" i="7"/>
  <c r="M89" i="7" s="1"/>
  <c r="M91" i="7"/>
  <c r="L93" i="7"/>
  <c r="M93" i="7" s="1"/>
  <c r="M96" i="7"/>
  <c r="L97" i="7"/>
  <c r="M97" i="7" s="1"/>
  <c r="M98" i="7"/>
  <c r="P99" i="7"/>
  <c r="M101" i="7"/>
  <c r="M109" i="7"/>
  <c r="N114" i="7"/>
  <c r="O114" i="7" s="1"/>
  <c r="P114" i="7" s="1"/>
  <c r="N118" i="7"/>
  <c r="O118" i="7" s="1"/>
  <c r="P118" i="7" s="1"/>
  <c r="N122" i="7"/>
  <c r="O122" i="7" s="1"/>
  <c r="P122" i="7" s="1"/>
  <c r="L125" i="7"/>
  <c r="M125" i="7" s="1"/>
  <c r="L127" i="7"/>
  <c r="M127" i="7" s="1"/>
  <c r="M185" i="7"/>
  <c r="M128" i="7"/>
  <c r="L132" i="7"/>
  <c r="M132" i="7" s="1"/>
  <c r="L140" i="7"/>
  <c r="M140" i="7" s="1"/>
  <c r="L143" i="7"/>
  <c r="M179" i="7" s="1"/>
  <c r="M149" i="7"/>
  <c r="P39" i="7"/>
  <c r="M52" i="7"/>
  <c r="M68" i="7"/>
  <c r="N84" i="7"/>
  <c r="N100" i="7"/>
  <c r="O100" i="7" s="1"/>
  <c r="P100" i="7" s="1"/>
  <c r="M193" i="7"/>
  <c r="M105" i="7"/>
  <c r="N113" i="7"/>
  <c r="O113" i="7" s="1"/>
  <c r="P113" i="7" s="1"/>
  <c r="L134" i="7"/>
  <c r="M134" i="7" s="1"/>
  <c r="N138" i="7"/>
  <c r="O138" i="7" s="1"/>
  <c r="P138" i="7" s="1"/>
  <c r="J145" i="7"/>
  <c r="M56" i="7"/>
  <c r="M72" i="7"/>
  <c r="M77" i="7"/>
  <c r="L78" i="7"/>
  <c r="M78" i="7" s="1"/>
  <c r="P80" i="7"/>
  <c r="M95" i="7"/>
  <c r="L104" i="7"/>
  <c r="M104" i="7" s="1"/>
  <c r="L108" i="7"/>
  <c r="M108" i="7" s="1"/>
  <c r="M111" i="7"/>
  <c r="N112" i="7"/>
  <c r="O112" i="7" s="1"/>
  <c r="P112" i="7" s="1"/>
  <c r="N116" i="7"/>
  <c r="P124" i="7"/>
  <c r="L130" i="7"/>
  <c r="M130" i="7" s="1"/>
  <c r="N135" i="7"/>
  <c r="O135" i="7" s="1"/>
  <c r="P135" i="7" s="1"/>
  <c r="M137" i="7"/>
  <c r="L139" i="7"/>
  <c r="M139" i="7" s="1"/>
  <c r="M50" i="7"/>
  <c r="M54" i="7"/>
  <c r="M58" i="7"/>
  <c r="M62" i="7"/>
  <c r="M66" i="7"/>
  <c r="M70" i="7"/>
  <c r="M74" i="7"/>
  <c r="L117" i="7"/>
  <c r="M117" i="7" s="1"/>
  <c r="M119" i="7"/>
  <c r="L121" i="7"/>
  <c r="M121" i="7" s="1"/>
  <c r="M123" i="7"/>
  <c r="P131" i="7"/>
  <c r="L136" i="7"/>
  <c r="M136" i="7" s="1"/>
  <c r="M141" i="7"/>
  <c r="M147" i="7"/>
  <c r="M151" i="7"/>
  <c r="S187" i="7"/>
  <c r="T187" i="7" s="1"/>
  <c r="J151" i="6"/>
  <c r="J150" i="6"/>
  <c r="J149" i="6"/>
  <c r="J148" i="6"/>
  <c r="J147" i="6"/>
  <c r="J146" i="6"/>
  <c r="J106" i="6"/>
  <c r="J90" i="6"/>
  <c r="J89" i="6"/>
  <c r="J13" i="6"/>
  <c r="J8" i="6"/>
  <c r="V210" i="6"/>
  <c r="V211" i="6" s="1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S192" i="6"/>
  <c r="R192" i="6"/>
  <c r="Q192" i="6"/>
  <c r="P192" i="6"/>
  <c r="O192" i="6"/>
  <c r="S187" i="6"/>
  <c r="R187" i="6"/>
  <c r="Q187" i="6"/>
  <c r="P187" i="6"/>
  <c r="O187" i="6"/>
  <c r="L187" i="6"/>
  <c r="L186" i="6"/>
  <c r="L185" i="6"/>
  <c r="L184" i="6"/>
  <c r="L183" i="6"/>
  <c r="L180" i="6"/>
  <c r="L179" i="6"/>
  <c r="F175" i="6"/>
  <c r="F174" i="6"/>
  <c r="R173" i="6"/>
  <c r="Q173" i="6"/>
  <c r="P173" i="6"/>
  <c r="O173" i="6"/>
  <c r="F173" i="6"/>
  <c r="R169" i="6"/>
  <c r="Q169" i="6"/>
  <c r="P169" i="6"/>
  <c r="O169" i="6"/>
  <c r="I169" i="6"/>
  <c r="F168" i="6"/>
  <c r="F167" i="6"/>
  <c r="I167" i="6" s="1"/>
  <c r="F166" i="6"/>
  <c r="F165" i="6"/>
  <c r="I164" i="6"/>
  <c r="R163" i="6"/>
  <c r="Q163" i="6"/>
  <c r="P163" i="6"/>
  <c r="O163" i="6"/>
  <c r="I163" i="6"/>
  <c r="F162" i="6"/>
  <c r="P162" i="6" s="1"/>
  <c r="F161" i="6"/>
  <c r="I161" i="6" s="1"/>
  <c r="F160" i="6"/>
  <c r="I160" i="6" s="1"/>
  <c r="F159" i="6"/>
  <c r="G153" i="6"/>
  <c r="L152" i="6"/>
  <c r="N152" i="6" s="1"/>
  <c r="O152" i="6" s="1"/>
  <c r="L151" i="6"/>
  <c r="L150" i="6"/>
  <c r="N150" i="6" s="1"/>
  <c r="O150" i="6" s="1"/>
  <c r="L149" i="6"/>
  <c r="L148" i="6"/>
  <c r="N148" i="6" s="1"/>
  <c r="O148" i="6" s="1"/>
  <c r="P148" i="6" s="1"/>
  <c r="Q148" i="6" s="1"/>
  <c r="L147" i="6"/>
  <c r="N147" i="6" s="1"/>
  <c r="L146" i="6"/>
  <c r="N146" i="6" s="1"/>
  <c r="G145" i="6"/>
  <c r="L144" i="6"/>
  <c r="N144" i="6" s="1"/>
  <c r="O144" i="6" s="1"/>
  <c r="L143" i="6"/>
  <c r="L142" i="6"/>
  <c r="N142" i="6" s="1"/>
  <c r="O142" i="6" s="1"/>
  <c r="P142" i="6" s="1"/>
  <c r="Q142" i="6" s="1"/>
  <c r="L141" i="6"/>
  <c r="N141" i="6" s="1"/>
  <c r="L140" i="6"/>
  <c r="N140" i="6" s="1"/>
  <c r="L139" i="6"/>
  <c r="N139" i="6" s="1"/>
  <c r="L138" i="6"/>
  <c r="N138" i="6" s="1"/>
  <c r="L137" i="6"/>
  <c r="L136" i="6"/>
  <c r="L135" i="6"/>
  <c r="L134" i="6"/>
  <c r="N134" i="6" s="1"/>
  <c r="L133" i="6"/>
  <c r="L132" i="6"/>
  <c r="L131" i="6"/>
  <c r="N131" i="6" s="1"/>
  <c r="O131" i="6" s="1"/>
  <c r="L130" i="6"/>
  <c r="G129" i="6"/>
  <c r="L128" i="6"/>
  <c r="N128" i="6" s="1"/>
  <c r="O185" i="6" s="1"/>
  <c r="L127" i="6"/>
  <c r="N127" i="6" s="1"/>
  <c r="O127" i="6" s="1"/>
  <c r="P127" i="6" s="1"/>
  <c r="Q127" i="6" s="1"/>
  <c r="L126" i="6"/>
  <c r="L125" i="6"/>
  <c r="N125" i="6" s="1"/>
  <c r="L124" i="6"/>
  <c r="N124" i="6" s="1"/>
  <c r="L123" i="6"/>
  <c r="L122" i="6"/>
  <c r="L121" i="6"/>
  <c r="L120" i="6"/>
  <c r="N120" i="6" s="1"/>
  <c r="O120" i="6" s="1"/>
  <c r="L119" i="6"/>
  <c r="L118" i="6"/>
  <c r="L117" i="6"/>
  <c r="L116" i="6"/>
  <c r="N116" i="6" s="1"/>
  <c r="L115" i="6"/>
  <c r="N115" i="6" s="1"/>
  <c r="L114" i="6"/>
  <c r="N114" i="6" s="1"/>
  <c r="O114" i="6" s="1"/>
  <c r="P114" i="6" s="1"/>
  <c r="Q114" i="6" s="1"/>
  <c r="L113" i="6"/>
  <c r="L112" i="6"/>
  <c r="N112" i="6" s="1"/>
  <c r="L111" i="6"/>
  <c r="N111" i="6" s="1"/>
  <c r="L110" i="6"/>
  <c r="N110" i="6" s="1"/>
  <c r="O110" i="6" s="1"/>
  <c r="L109" i="6"/>
  <c r="L108" i="6"/>
  <c r="N108" i="6" s="1"/>
  <c r="G107" i="6"/>
  <c r="L106" i="6"/>
  <c r="L105" i="6"/>
  <c r="N105" i="6" s="1"/>
  <c r="L104" i="6"/>
  <c r="L103" i="6"/>
  <c r="N103" i="6" s="1"/>
  <c r="O103" i="6" s="1"/>
  <c r="L102" i="6"/>
  <c r="L101" i="6"/>
  <c r="N101" i="6" s="1"/>
  <c r="O101" i="6" s="1"/>
  <c r="P101" i="6" s="1"/>
  <c r="Q101" i="6" s="1"/>
  <c r="L100" i="6"/>
  <c r="L99" i="6"/>
  <c r="N99" i="6" s="1"/>
  <c r="O99" i="6" s="1"/>
  <c r="L98" i="6"/>
  <c r="L97" i="6"/>
  <c r="N97" i="6" s="1"/>
  <c r="O97" i="6" s="1"/>
  <c r="P97" i="6" s="1"/>
  <c r="Q97" i="6" s="1"/>
  <c r="L96" i="6"/>
  <c r="L95" i="6"/>
  <c r="N95" i="6" s="1"/>
  <c r="O95" i="6" s="1"/>
  <c r="L94" i="6"/>
  <c r="L93" i="6"/>
  <c r="N93" i="6" s="1"/>
  <c r="O93" i="6" s="1"/>
  <c r="L92" i="6"/>
  <c r="L91" i="6"/>
  <c r="N91" i="6" s="1"/>
  <c r="L90" i="6"/>
  <c r="N90" i="6" s="1"/>
  <c r="L89" i="6"/>
  <c r="N89" i="6" s="1"/>
  <c r="L88" i="6"/>
  <c r="N88" i="6" s="1"/>
  <c r="L87" i="6"/>
  <c r="N87" i="6" s="1"/>
  <c r="L86" i="6"/>
  <c r="N86" i="6" s="1"/>
  <c r="L85" i="6"/>
  <c r="N85" i="6" s="1"/>
  <c r="L84" i="6"/>
  <c r="L83" i="6"/>
  <c r="N83" i="6" s="1"/>
  <c r="O83" i="6" s="1"/>
  <c r="L82" i="6"/>
  <c r="N82" i="6" s="1"/>
  <c r="L81" i="6"/>
  <c r="N81" i="6" s="1"/>
  <c r="O81" i="6" s="1"/>
  <c r="L80" i="6"/>
  <c r="N80" i="6" s="1"/>
  <c r="L79" i="6"/>
  <c r="N79" i="6" s="1"/>
  <c r="O79" i="6" s="1"/>
  <c r="L78" i="6"/>
  <c r="N78" i="6" s="1"/>
  <c r="L77" i="6"/>
  <c r="N77" i="6" s="1"/>
  <c r="O77" i="6" s="1"/>
  <c r="P77" i="6" s="1"/>
  <c r="Q77" i="6" s="1"/>
  <c r="L76" i="6"/>
  <c r="L75" i="6"/>
  <c r="N75" i="6" s="1"/>
  <c r="O75" i="6" s="1"/>
  <c r="L74" i="6"/>
  <c r="N74" i="6" s="1"/>
  <c r="L73" i="6"/>
  <c r="N73" i="6" s="1"/>
  <c r="L72" i="6"/>
  <c r="N72" i="6" s="1"/>
  <c r="L71" i="6"/>
  <c r="N71" i="6" s="1"/>
  <c r="L70" i="6"/>
  <c r="N70" i="6" s="1"/>
  <c r="L69" i="6"/>
  <c r="N69" i="6" s="1"/>
  <c r="L68" i="6"/>
  <c r="N68" i="6" s="1"/>
  <c r="L67" i="6"/>
  <c r="N67" i="6" s="1"/>
  <c r="L66" i="6"/>
  <c r="N66" i="6" s="1"/>
  <c r="L65" i="6"/>
  <c r="N65" i="6" s="1"/>
  <c r="O65" i="6" s="1"/>
  <c r="L64" i="6"/>
  <c r="N64" i="6" s="1"/>
  <c r="L63" i="6"/>
  <c r="N63" i="6" s="1"/>
  <c r="L62" i="6"/>
  <c r="N62" i="6" s="1"/>
  <c r="L61" i="6"/>
  <c r="N61" i="6" s="1"/>
  <c r="O61" i="6" s="1"/>
  <c r="L60" i="6"/>
  <c r="N60" i="6" s="1"/>
  <c r="L59" i="6"/>
  <c r="N59" i="6" s="1"/>
  <c r="L58" i="6"/>
  <c r="N58" i="6" s="1"/>
  <c r="O58" i="6" s="1"/>
  <c r="L57" i="6"/>
  <c r="N57" i="6" s="1"/>
  <c r="L56" i="6"/>
  <c r="N56" i="6" s="1"/>
  <c r="O56" i="6" s="1"/>
  <c r="L55" i="6"/>
  <c r="N55" i="6" s="1"/>
  <c r="L54" i="6"/>
  <c r="N54" i="6" s="1"/>
  <c r="L53" i="6"/>
  <c r="N53" i="6" s="1"/>
  <c r="L52" i="6"/>
  <c r="N52" i="6" s="1"/>
  <c r="L51" i="6"/>
  <c r="N51" i="6" s="1"/>
  <c r="L50" i="6"/>
  <c r="N50" i="6" s="1"/>
  <c r="O50" i="6" s="1"/>
  <c r="L49" i="6"/>
  <c r="N49" i="6" s="1"/>
  <c r="L48" i="6"/>
  <c r="N48" i="6" s="1"/>
  <c r="O48" i="6" s="1"/>
  <c r="L47" i="6"/>
  <c r="N47" i="6" s="1"/>
  <c r="L46" i="6"/>
  <c r="N46" i="6" s="1"/>
  <c r="L45" i="6"/>
  <c r="N45" i="6" s="1"/>
  <c r="L44" i="6"/>
  <c r="N44" i="6" s="1"/>
  <c r="L43" i="6"/>
  <c r="G42" i="6"/>
  <c r="L41" i="6"/>
  <c r="N41" i="6" s="1"/>
  <c r="L40" i="6"/>
  <c r="N40" i="6" s="1"/>
  <c r="O40" i="6" s="1"/>
  <c r="P40" i="6" s="1"/>
  <c r="Q40" i="6" s="1"/>
  <c r="R40" i="6" s="1"/>
  <c r="L39" i="6"/>
  <c r="N39" i="6" s="1"/>
  <c r="L38" i="6"/>
  <c r="N38" i="6" s="1"/>
  <c r="O38" i="6" s="1"/>
  <c r="P38" i="6" s="1"/>
  <c r="Q38" i="6" s="1"/>
  <c r="L37" i="6"/>
  <c r="N37" i="6" s="1"/>
  <c r="L36" i="6"/>
  <c r="N36" i="6" s="1"/>
  <c r="O36" i="6" s="1"/>
  <c r="L35" i="6"/>
  <c r="N35" i="6" s="1"/>
  <c r="L34" i="6"/>
  <c r="N34" i="6" s="1"/>
  <c r="O34" i="6" s="1"/>
  <c r="P34" i="6" s="1"/>
  <c r="Q34" i="6" s="1"/>
  <c r="L33" i="6"/>
  <c r="N33" i="6" s="1"/>
  <c r="L32" i="6"/>
  <c r="N32" i="6" s="1"/>
  <c r="O32" i="6" s="1"/>
  <c r="L31" i="6"/>
  <c r="N31" i="6" s="1"/>
  <c r="L30" i="6"/>
  <c r="N30" i="6" s="1"/>
  <c r="L29" i="6"/>
  <c r="N29" i="6" s="1"/>
  <c r="L28" i="6"/>
  <c r="N28" i="6" s="1"/>
  <c r="O28" i="6" s="1"/>
  <c r="L27" i="6"/>
  <c r="L26" i="6"/>
  <c r="N26" i="6" s="1"/>
  <c r="O26" i="6" s="1"/>
  <c r="L25" i="6"/>
  <c r="L24" i="6"/>
  <c r="N24" i="6" s="1"/>
  <c r="L23" i="6"/>
  <c r="L22" i="6"/>
  <c r="N22" i="6" s="1"/>
  <c r="O22" i="6" s="1"/>
  <c r="L21" i="6"/>
  <c r="L20" i="6"/>
  <c r="N20" i="6" s="1"/>
  <c r="O20" i="6" s="1"/>
  <c r="L19" i="6"/>
  <c r="L18" i="6"/>
  <c r="N18" i="6" s="1"/>
  <c r="O18" i="6" s="1"/>
  <c r="L17" i="6"/>
  <c r="L16" i="6"/>
  <c r="N16" i="6" s="1"/>
  <c r="O16" i="6" s="1"/>
  <c r="L15" i="6"/>
  <c r="L14" i="6"/>
  <c r="N14" i="6" s="1"/>
  <c r="O14" i="6" s="1"/>
  <c r="L13" i="6"/>
  <c r="L12" i="6"/>
  <c r="N12" i="6" s="1"/>
  <c r="O12" i="6" s="1"/>
  <c r="L11" i="6"/>
  <c r="L10" i="6"/>
  <c r="N10" i="6" s="1"/>
  <c r="O10" i="6" s="1"/>
  <c r="L9" i="6"/>
  <c r="L8" i="6"/>
  <c r="N8" i="6" s="1"/>
  <c r="P115" i="7" l="1"/>
  <c r="M181" i="7"/>
  <c r="J155" i="7"/>
  <c r="T192" i="6"/>
  <c r="V212" i="6"/>
  <c r="N82" i="7"/>
  <c r="O82" i="7" s="1"/>
  <c r="P82" i="7" s="1"/>
  <c r="M166" i="7"/>
  <c r="N33" i="7"/>
  <c r="O33" i="7" s="1"/>
  <c r="P33" i="7" s="1"/>
  <c r="Q94" i="7"/>
  <c r="M143" i="7"/>
  <c r="M145" i="7" s="1"/>
  <c r="M183" i="7"/>
  <c r="Q144" i="7"/>
  <c r="N117" i="7"/>
  <c r="O117" i="7" s="1"/>
  <c r="P117" i="7" s="1"/>
  <c r="M129" i="7"/>
  <c r="N108" i="7"/>
  <c r="N191" i="7"/>
  <c r="M153" i="7"/>
  <c r="N146" i="7"/>
  <c r="N104" i="7"/>
  <c r="O104" i="7" s="1"/>
  <c r="P104" i="7" s="1"/>
  <c r="N134" i="7"/>
  <c r="O134" i="7" s="1"/>
  <c r="P134" i="7" s="1"/>
  <c r="N93" i="7"/>
  <c r="O93" i="7" s="1"/>
  <c r="P93" i="7" s="1"/>
  <c r="N110" i="7"/>
  <c r="O110" i="7" s="1"/>
  <c r="P110" i="7" s="1"/>
  <c r="N121" i="7"/>
  <c r="O121" i="7" s="1"/>
  <c r="P121" i="7" s="1"/>
  <c r="N140" i="7"/>
  <c r="O140" i="7" s="1"/>
  <c r="P140" i="7" s="1"/>
  <c r="N75" i="7"/>
  <c r="O75" i="7" s="1"/>
  <c r="P75" i="7" s="1"/>
  <c r="N46" i="7"/>
  <c r="O46" i="7" s="1"/>
  <c r="P46" i="7" s="1"/>
  <c r="N29" i="7"/>
  <c r="O29" i="7" s="1"/>
  <c r="P29" i="7" s="1"/>
  <c r="M161" i="7"/>
  <c r="N35" i="7"/>
  <c r="O35" i="7" s="1"/>
  <c r="P35" i="7" s="1"/>
  <c r="N15" i="7"/>
  <c r="O15" i="7" s="1"/>
  <c r="P15" i="7" s="1"/>
  <c r="N97" i="7"/>
  <c r="O97" i="7" s="1"/>
  <c r="P97" i="7" s="1"/>
  <c r="N106" i="7"/>
  <c r="O106" i="7" s="1"/>
  <c r="P106" i="7" s="1"/>
  <c r="N147" i="7"/>
  <c r="O147" i="7" s="1"/>
  <c r="P147" i="7" s="1"/>
  <c r="N136" i="7"/>
  <c r="O136" i="7" s="1"/>
  <c r="P136" i="7" s="1"/>
  <c r="N66" i="7"/>
  <c r="O66" i="7" s="1"/>
  <c r="P66" i="7" s="1"/>
  <c r="N50" i="7"/>
  <c r="O50" i="7" s="1"/>
  <c r="P50" i="7" s="1"/>
  <c r="N111" i="7"/>
  <c r="O111" i="7" s="1"/>
  <c r="P111" i="7" s="1"/>
  <c r="N95" i="7"/>
  <c r="O95" i="7" s="1"/>
  <c r="P95" i="7" s="1"/>
  <c r="M178" i="7"/>
  <c r="N68" i="7"/>
  <c r="O68" i="7" s="1"/>
  <c r="P68" i="7" s="1"/>
  <c r="N109" i="7"/>
  <c r="O109" i="7" s="1"/>
  <c r="P109" i="7" s="1"/>
  <c r="N87" i="7"/>
  <c r="O87" i="7" s="1"/>
  <c r="P87" i="7" s="1"/>
  <c r="N76" i="7"/>
  <c r="O76" i="7" s="1"/>
  <c r="P76" i="7" s="1"/>
  <c r="L107" i="7"/>
  <c r="N27" i="7"/>
  <c r="O27" i="7" s="1"/>
  <c r="P27" i="7" s="1"/>
  <c r="M21" i="7"/>
  <c r="M13" i="7"/>
  <c r="N123" i="7"/>
  <c r="O123" i="7" s="1"/>
  <c r="P123" i="7" s="1"/>
  <c r="N54" i="7"/>
  <c r="O54" i="7" s="1"/>
  <c r="P54" i="7" s="1"/>
  <c r="N130" i="7"/>
  <c r="N56" i="7"/>
  <c r="O56" i="7" s="1"/>
  <c r="P56" i="7" s="1"/>
  <c r="N125" i="7"/>
  <c r="O125" i="7" s="1"/>
  <c r="P125" i="7" s="1"/>
  <c r="N98" i="7"/>
  <c r="O98" i="7" s="1"/>
  <c r="P98" i="7" s="1"/>
  <c r="N180" i="7"/>
  <c r="M160" i="7"/>
  <c r="N89" i="7"/>
  <c r="N64" i="7"/>
  <c r="O64" i="7" s="1"/>
  <c r="P64" i="7" s="1"/>
  <c r="N44" i="7"/>
  <c r="N38" i="7"/>
  <c r="O38" i="7" s="1"/>
  <c r="P38" i="7" s="1"/>
  <c r="N23" i="7"/>
  <c r="O23" i="7" s="1"/>
  <c r="P23" i="7" s="1"/>
  <c r="U187" i="7"/>
  <c r="V187" i="7" s="1"/>
  <c r="N141" i="7"/>
  <c r="O141" i="7" s="1"/>
  <c r="P141" i="7" s="1"/>
  <c r="N62" i="7"/>
  <c r="O62" i="7" s="1"/>
  <c r="P62" i="7" s="1"/>
  <c r="Q116" i="7"/>
  <c r="O116" i="7"/>
  <c r="P116" i="7" s="1"/>
  <c r="N77" i="7"/>
  <c r="O77" i="7" s="1"/>
  <c r="P77" i="7" s="1"/>
  <c r="N193" i="7"/>
  <c r="N178" i="7"/>
  <c r="N105" i="7"/>
  <c r="N52" i="7"/>
  <c r="O52" i="7" s="1"/>
  <c r="P52" i="7" s="1"/>
  <c r="N132" i="7"/>
  <c r="O132" i="7" s="1"/>
  <c r="P132" i="7" s="1"/>
  <c r="N127" i="7"/>
  <c r="O127" i="7" s="1"/>
  <c r="P127" i="7" s="1"/>
  <c r="N101" i="7"/>
  <c r="O101" i="7" s="1"/>
  <c r="P101" i="7" s="1"/>
  <c r="N91" i="7"/>
  <c r="O91" i="7" s="1"/>
  <c r="P91" i="7" s="1"/>
  <c r="L153" i="7"/>
  <c r="M191" i="7"/>
  <c r="M194" i="7" s="1"/>
  <c r="N60" i="7"/>
  <c r="O60" i="7" s="1"/>
  <c r="P60" i="7" s="1"/>
  <c r="N183" i="7"/>
  <c r="N19" i="7"/>
  <c r="P43" i="7"/>
  <c r="N36" i="7"/>
  <c r="O36" i="7" s="1"/>
  <c r="P36" i="7" s="1"/>
  <c r="M182" i="7"/>
  <c r="M107" i="7"/>
  <c r="L42" i="7"/>
  <c r="N70" i="7"/>
  <c r="O70" i="7" s="1"/>
  <c r="P70" i="7" s="1"/>
  <c r="N137" i="7"/>
  <c r="O137" i="7" s="1"/>
  <c r="P137" i="7" s="1"/>
  <c r="N78" i="7"/>
  <c r="O78" i="7" s="1"/>
  <c r="P78" i="7" s="1"/>
  <c r="N149" i="7"/>
  <c r="O149" i="7" s="1"/>
  <c r="P149" i="7" s="1"/>
  <c r="N151" i="7"/>
  <c r="O151" i="7" s="1"/>
  <c r="P151" i="7" s="1"/>
  <c r="N119" i="7"/>
  <c r="O119" i="7" s="1"/>
  <c r="P119" i="7" s="1"/>
  <c r="N74" i="7"/>
  <c r="O74" i="7" s="1"/>
  <c r="P74" i="7" s="1"/>
  <c r="N58" i="7"/>
  <c r="O58" i="7" s="1"/>
  <c r="P58" i="7" s="1"/>
  <c r="N139" i="7"/>
  <c r="O139" i="7" s="1"/>
  <c r="P139" i="7" s="1"/>
  <c r="L145" i="7"/>
  <c r="L129" i="7"/>
  <c r="N72" i="7"/>
  <c r="O72" i="7" s="1"/>
  <c r="P72" i="7" s="1"/>
  <c r="O84" i="7"/>
  <c r="P84" i="7" s="1"/>
  <c r="Q84" i="7"/>
  <c r="M174" i="7"/>
  <c r="N185" i="7"/>
  <c r="M167" i="7"/>
  <c r="N128" i="7"/>
  <c r="Q128" i="7" s="1"/>
  <c r="N96" i="7"/>
  <c r="O96" i="7" s="1"/>
  <c r="P96" i="7" s="1"/>
  <c r="M180" i="7"/>
  <c r="N85" i="7"/>
  <c r="O85" i="7" s="1"/>
  <c r="P85" i="7" s="1"/>
  <c r="N48" i="7"/>
  <c r="O48" i="7" s="1"/>
  <c r="P48" i="7" s="1"/>
  <c r="N37" i="7"/>
  <c r="O37" i="7" s="1"/>
  <c r="P37" i="7" s="1"/>
  <c r="N34" i="7"/>
  <c r="O34" i="7" s="1"/>
  <c r="P34" i="7" s="1"/>
  <c r="N11" i="7"/>
  <c r="O11" i="7" s="1"/>
  <c r="P11" i="7" s="1"/>
  <c r="N28" i="7"/>
  <c r="O28" i="7" s="1"/>
  <c r="P28" i="7" s="1"/>
  <c r="N17" i="7"/>
  <c r="O17" i="7" s="1"/>
  <c r="P17" i="7" s="1"/>
  <c r="N182" i="7"/>
  <c r="M164" i="7"/>
  <c r="N9" i="7"/>
  <c r="N186" i="7"/>
  <c r="N24" i="7"/>
  <c r="N8" i="7"/>
  <c r="N25" i="7"/>
  <c r="O25" i="7" s="1"/>
  <c r="P25" i="7" s="1"/>
  <c r="O53" i="6"/>
  <c r="P53" i="6" s="1"/>
  <c r="Q53" i="6" s="1"/>
  <c r="R53" i="6" s="1"/>
  <c r="O63" i="6"/>
  <c r="P63" i="6" s="1"/>
  <c r="Q63" i="6" s="1"/>
  <c r="O116" i="6"/>
  <c r="P116" i="6" s="1"/>
  <c r="O108" i="6"/>
  <c r="P108" i="6" s="1"/>
  <c r="O139" i="6"/>
  <c r="P139" i="6" s="1"/>
  <c r="Q139" i="6" s="1"/>
  <c r="R139" i="6" s="1"/>
  <c r="P120" i="6"/>
  <c r="Q120" i="6" s="1"/>
  <c r="R120" i="6" s="1"/>
  <c r="O88" i="6"/>
  <c r="P88" i="6" s="1"/>
  <c r="Q88" i="6" s="1"/>
  <c r="R88" i="6" s="1"/>
  <c r="R97" i="6"/>
  <c r="R101" i="6"/>
  <c r="O30" i="6"/>
  <c r="P30" i="6" s="1"/>
  <c r="Q30" i="6" s="1"/>
  <c r="O45" i="6"/>
  <c r="P45" i="6" s="1"/>
  <c r="Q45" i="6" s="1"/>
  <c r="R45" i="6" s="1"/>
  <c r="O86" i="6"/>
  <c r="P86" i="6" s="1"/>
  <c r="Q86" i="6" s="1"/>
  <c r="N118" i="6"/>
  <c r="O118" i="6" s="1"/>
  <c r="P118" i="6" s="1"/>
  <c r="Q118" i="6" s="1"/>
  <c r="R118" i="6" s="1"/>
  <c r="N122" i="6"/>
  <c r="O122" i="6" s="1"/>
  <c r="O162" i="6"/>
  <c r="O67" i="6"/>
  <c r="P67" i="6" s="1"/>
  <c r="Q67" i="6" s="1"/>
  <c r="R67" i="6" s="1"/>
  <c r="O91" i="6"/>
  <c r="P91" i="6" s="1"/>
  <c r="Q91" i="6" s="1"/>
  <c r="R91" i="6" s="1"/>
  <c r="L145" i="6"/>
  <c r="P75" i="6"/>
  <c r="Q75" i="6" s="1"/>
  <c r="R75" i="6" s="1"/>
  <c r="P83" i="6"/>
  <c r="Q83" i="6" s="1"/>
  <c r="R83" i="6" s="1"/>
  <c r="P81" i="6"/>
  <c r="Q81" i="6" s="1"/>
  <c r="R81" i="6" s="1"/>
  <c r="P152" i="6"/>
  <c r="Q152" i="6" s="1"/>
  <c r="R152" i="6" s="1"/>
  <c r="O49" i="6"/>
  <c r="P49" i="6" s="1"/>
  <c r="Q49" i="6" s="1"/>
  <c r="R49" i="6" s="1"/>
  <c r="O57" i="6"/>
  <c r="P57" i="6" s="1"/>
  <c r="Q57" i="6" s="1"/>
  <c r="R57" i="6" s="1"/>
  <c r="O59" i="6"/>
  <c r="P59" i="6" s="1"/>
  <c r="Q59" i="6" s="1"/>
  <c r="R59" i="6" s="1"/>
  <c r="O80" i="6"/>
  <c r="P80" i="6" s="1"/>
  <c r="Q80" i="6" s="1"/>
  <c r="R80" i="6" s="1"/>
  <c r="N133" i="6"/>
  <c r="O133" i="6" s="1"/>
  <c r="P133" i="6" s="1"/>
  <c r="Q133" i="6" s="1"/>
  <c r="O140" i="6"/>
  <c r="P140" i="6" s="1"/>
  <c r="Q140" i="6" s="1"/>
  <c r="O146" i="6"/>
  <c r="P146" i="6" s="1"/>
  <c r="Q146" i="6" s="1"/>
  <c r="L42" i="6"/>
  <c r="O46" i="6"/>
  <c r="P46" i="6" s="1"/>
  <c r="Q46" i="6" s="1"/>
  <c r="R46" i="6" s="1"/>
  <c r="O54" i="6"/>
  <c r="P54" i="6" s="1"/>
  <c r="Q54" i="6" s="1"/>
  <c r="R54" i="6" s="1"/>
  <c r="O71" i="6"/>
  <c r="P71" i="6" s="1"/>
  <c r="Q71" i="6" s="1"/>
  <c r="R71" i="6" s="1"/>
  <c r="N76" i="6"/>
  <c r="O76" i="6" s="1"/>
  <c r="P76" i="6" s="1"/>
  <c r="Q76" i="6" s="1"/>
  <c r="R76" i="6" s="1"/>
  <c r="O78" i="6"/>
  <c r="P78" i="6" s="1"/>
  <c r="Q78" i="6" s="1"/>
  <c r="R78" i="6" s="1"/>
  <c r="P79" i="6"/>
  <c r="Q79" i="6" s="1"/>
  <c r="R79" i="6" s="1"/>
  <c r="N84" i="6"/>
  <c r="O84" i="6" s="1"/>
  <c r="O112" i="6"/>
  <c r="O125" i="6"/>
  <c r="P125" i="6" s="1"/>
  <c r="Q125" i="6" s="1"/>
  <c r="R125" i="6" s="1"/>
  <c r="N130" i="6"/>
  <c r="O130" i="6" s="1"/>
  <c r="R77" i="6"/>
  <c r="O82" i="6"/>
  <c r="P82" i="6" s="1"/>
  <c r="Q82" i="6" s="1"/>
  <c r="R82" i="6" s="1"/>
  <c r="R148" i="6"/>
  <c r="T187" i="6"/>
  <c r="U187" i="6" s="1"/>
  <c r="V187" i="6" s="1"/>
  <c r="W187" i="6" s="1"/>
  <c r="X187" i="6" s="1"/>
  <c r="P14" i="6"/>
  <c r="Q14" i="6" s="1"/>
  <c r="R14" i="6" s="1"/>
  <c r="P22" i="6"/>
  <c r="Q22" i="6" s="1"/>
  <c r="R22" i="6" s="1"/>
  <c r="P12" i="6"/>
  <c r="Q12" i="6" s="1"/>
  <c r="R12" i="6" s="1"/>
  <c r="P20" i="6"/>
  <c r="Q20" i="6" s="1"/>
  <c r="R20" i="6" s="1"/>
  <c r="P28" i="6"/>
  <c r="Q28" i="6" s="1"/>
  <c r="R28" i="6" s="1"/>
  <c r="P32" i="6"/>
  <c r="Q32" i="6" s="1"/>
  <c r="R32" i="6" s="1"/>
  <c r="P36" i="6"/>
  <c r="Q36" i="6" s="1"/>
  <c r="R36" i="6" s="1"/>
  <c r="P48" i="6"/>
  <c r="Q48" i="6" s="1"/>
  <c r="R48" i="6" s="1"/>
  <c r="P50" i="6"/>
  <c r="Q50" i="6" s="1"/>
  <c r="R50" i="6" s="1"/>
  <c r="P56" i="6"/>
  <c r="Q56" i="6" s="1"/>
  <c r="R56" i="6" s="1"/>
  <c r="P58" i="6"/>
  <c r="Q58" i="6" s="1"/>
  <c r="R58" i="6" s="1"/>
  <c r="P61" i="6"/>
  <c r="Q61" i="6" s="1"/>
  <c r="R61" i="6" s="1"/>
  <c r="P26" i="6"/>
  <c r="Q26" i="6" s="1"/>
  <c r="R26" i="6" s="1"/>
  <c r="P65" i="6"/>
  <c r="Q65" i="6" s="1"/>
  <c r="R65" i="6" s="1"/>
  <c r="P10" i="6"/>
  <c r="Q10" i="6" s="1"/>
  <c r="R10" i="6" s="1"/>
  <c r="P18" i="6"/>
  <c r="Q18" i="6" s="1"/>
  <c r="R18" i="6" s="1"/>
  <c r="P16" i="6"/>
  <c r="Q16" i="6" s="1"/>
  <c r="R16" i="6" s="1"/>
  <c r="P93" i="6"/>
  <c r="Q93" i="6" s="1"/>
  <c r="R93" i="6" s="1"/>
  <c r="N100" i="6"/>
  <c r="O100" i="6" s="1"/>
  <c r="O8" i="6"/>
  <c r="N9" i="6"/>
  <c r="N11" i="6"/>
  <c r="O11" i="6" s="1"/>
  <c r="N13" i="6"/>
  <c r="N15" i="6"/>
  <c r="O15" i="6" s="1"/>
  <c r="N17" i="6"/>
  <c r="O17" i="6" s="1"/>
  <c r="N19" i="6"/>
  <c r="N21" i="6"/>
  <c r="O184" i="6" s="1"/>
  <c r="N23" i="6"/>
  <c r="O23" i="6" s="1"/>
  <c r="N25" i="6"/>
  <c r="O25" i="6" s="1"/>
  <c r="N27" i="6"/>
  <c r="O27" i="6" s="1"/>
  <c r="R34" i="6"/>
  <c r="R38" i="6"/>
  <c r="O44" i="6"/>
  <c r="O52" i="6"/>
  <c r="O69" i="6"/>
  <c r="O73" i="6"/>
  <c r="N96" i="6"/>
  <c r="O96" i="6" s="1"/>
  <c r="N104" i="6"/>
  <c r="O104" i="6" s="1"/>
  <c r="N109" i="6"/>
  <c r="O109" i="6" s="1"/>
  <c r="N119" i="6"/>
  <c r="O119" i="6" s="1"/>
  <c r="P144" i="6"/>
  <c r="Q144" i="6" s="1"/>
  <c r="R144" i="6" s="1"/>
  <c r="N151" i="6"/>
  <c r="O151" i="6" s="1"/>
  <c r="N92" i="6"/>
  <c r="O92" i="6" s="1"/>
  <c r="O31" i="6"/>
  <c r="O35" i="6"/>
  <c r="O39" i="6"/>
  <c r="O47" i="6"/>
  <c r="O55" i="6"/>
  <c r="O60" i="6"/>
  <c r="O64" i="6"/>
  <c r="O68" i="6"/>
  <c r="O72" i="6"/>
  <c r="O87" i="6"/>
  <c r="P99" i="6"/>
  <c r="Q99" i="6" s="1"/>
  <c r="R99" i="6" s="1"/>
  <c r="N113" i="6"/>
  <c r="O113" i="6" s="1"/>
  <c r="N126" i="6"/>
  <c r="O126" i="6" s="1"/>
  <c r="P131" i="6"/>
  <c r="Q131" i="6" s="1"/>
  <c r="R131" i="6" s="1"/>
  <c r="L107" i="6"/>
  <c r="N43" i="6"/>
  <c r="O43" i="6" s="1"/>
  <c r="N123" i="6"/>
  <c r="O123" i="6" s="1"/>
  <c r="O24" i="6"/>
  <c r="O29" i="6"/>
  <c r="O33" i="6"/>
  <c r="O37" i="6"/>
  <c r="O41" i="6"/>
  <c r="O51" i="6"/>
  <c r="O62" i="6"/>
  <c r="O66" i="6"/>
  <c r="O70" i="6"/>
  <c r="O74" i="6"/>
  <c r="O85" i="6"/>
  <c r="O89" i="6"/>
  <c r="N94" i="6"/>
  <c r="O94" i="6" s="1"/>
  <c r="P95" i="6"/>
  <c r="Q95" i="6" s="1"/>
  <c r="R95" i="6" s="1"/>
  <c r="P103" i="6"/>
  <c r="Q103" i="6" s="1"/>
  <c r="R103" i="6" s="1"/>
  <c r="O193" i="6"/>
  <c r="O105" i="6"/>
  <c r="P110" i="6"/>
  <c r="Q110" i="6" s="1"/>
  <c r="R110" i="6" s="1"/>
  <c r="R114" i="6"/>
  <c r="R127" i="6"/>
  <c r="N132" i="6"/>
  <c r="O132" i="6" s="1"/>
  <c r="N135" i="6"/>
  <c r="O135" i="6" s="1"/>
  <c r="R142" i="6"/>
  <c r="P150" i="6"/>
  <c r="Q150" i="6" s="1"/>
  <c r="R150" i="6" s="1"/>
  <c r="N98" i="6"/>
  <c r="O98" i="6" s="1"/>
  <c r="N106" i="6"/>
  <c r="O106" i="6" s="1"/>
  <c r="L129" i="6"/>
  <c r="O115" i="6"/>
  <c r="N117" i="6"/>
  <c r="O117" i="6" s="1"/>
  <c r="O124" i="6"/>
  <c r="N136" i="6"/>
  <c r="O136" i="6" s="1"/>
  <c r="I166" i="6"/>
  <c r="O90" i="6"/>
  <c r="N102" i="6"/>
  <c r="O102" i="6" s="1"/>
  <c r="O111" i="6"/>
  <c r="N121" i="6"/>
  <c r="O121" i="6" s="1"/>
  <c r="O128" i="6"/>
  <c r="N137" i="6"/>
  <c r="O137" i="6" s="1"/>
  <c r="O141" i="6"/>
  <c r="O147" i="6"/>
  <c r="G155" i="6"/>
  <c r="I165" i="6"/>
  <c r="O134" i="6"/>
  <c r="O138" i="6"/>
  <c r="N143" i="6"/>
  <c r="O179" i="6" s="1"/>
  <c r="N149" i="6"/>
  <c r="O191" i="6" s="1"/>
  <c r="L153" i="6"/>
  <c r="I159" i="6"/>
  <c r="I170" i="6" s="1"/>
  <c r="Q162" i="6"/>
  <c r="I162" i="6"/>
  <c r="R162" i="6"/>
  <c r="I168" i="6"/>
  <c r="M42" i="7" l="1"/>
  <c r="Q140" i="7"/>
  <c r="N179" i="7"/>
  <c r="N143" i="7"/>
  <c r="Q143" i="7" s="1"/>
  <c r="Q134" i="7"/>
  <c r="O44" i="7"/>
  <c r="N107" i="7"/>
  <c r="M188" i="7"/>
  <c r="M155" i="7"/>
  <c r="Q74" i="7"/>
  <c r="O183" i="7"/>
  <c r="R183" i="7" s="1"/>
  <c r="S183" i="7" s="1"/>
  <c r="T183" i="7" s="1"/>
  <c r="N166" i="7"/>
  <c r="O19" i="7"/>
  <c r="N194" i="7"/>
  <c r="N161" i="7"/>
  <c r="O8" i="7"/>
  <c r="O180" i="7"/>
  <c r="O89" i="7"/>
  <c r="N160" i="7"/>
  <c r="N164" i="7"/>
  <c r="O182" i="7"/>
  <c r="R182" i="7" s="1"/>
  <c r="S182" i="7" s="1"/>
  <c r="T182" i="7" s="1"/>
  <c r="O9" i="7"/>
  <c r="N181" i="7"/>
  <c r="N13" i="7"/>
  <c r="M159" i="7"/>
  <c r="Q27" i="7"/>
  <c r="O191" i="7"/>
  <c r="O146" i="7"/>
  <c r="N153" i="7"/>
  <c r="O186" i="7"/>
  <c r="R186" i="7" s="1"/>
  <c r="S186" i="7" s="1"/>
  <c r="T186" i="7" s="1"/>
  <c r="O24" i="7"/>
  <c r="N168" i="7"/>
  <c r="O128" i="7"/>
  <c r="N167" i="7"/>
  <c r="O185" i="7"/>
  <c r="R185" i="7" s="1"/>
  <c r="S185" i="7" s="1"/>
  <c r="T185" i="7" s="1"/>
  <c r="N174" i="7"/>
  <c r="L155" i="7"/>
  <c r="O178" i="7"/>
  <c r="R178" i="7" s="1"/>
  <c r="O105" i="7"/>
  <c r="O193" i="7"/>
  <c r="R193" i="7" s="1"/>
  <c r="R180" i="7"/>
  <c r="S180" i="7" s="1"/>
  <c r="T180" i="7" s="1"/>
  <c r="O130" i="7"/>
  <c r="Q123" i="7"/>
  <c r="M165" i="7"/>
  <c r="N184" i="7"/>
  <c r="N21" i="7"/>
  <c r="Q146" i="7"/>
  <c r="N129" i="7"/>
  <c r="O108" i="7"/>
  <c r="R63" i="6"/>
  <c r="O194" i="6"/>
  <c r="R86" i="6"/>
  <c r="P122" i="6"/>
  <c r="Q122" i="6" s="1"/>
  <c r="R122" i="6" s="1"/>
  <c r="R30" i="6"/>
  <c r="P84" i="6"/>
  <c r="Q84" i="6" s="1"/>
  <c r="R84" i="6" s="1"/>
  <c r="L155" i="6"/>
  <c r="R146" i="6"/>
  <c r="O149" i="6"/>
  <c r="P191" i="6" s="1"/>
  <c r="S140" i="6"/>
  <c r="R133" i="6"/>
  <c r="O186" i="6"/>
  <c r="O178" i="6"/>
  <c r="P112" i="6"/>
  <c r="Q112" i="6" s="1"/>
  <c r="R112" i="6" s="1"/>
  <c r="N153" i="6"/>
  <c r="S146" i="6"/>
  <c r="R140" i="6"/>
  <c r="P25" i="6"/>
  <c r="Q25" i="6" s="1"/>
  <c r="R25" i="6" s="1"/>
  <c r="P132" i="6"/>
  <c r="Q132" i="6" s="1"/>
  <c r="R132" i="6" s="1"/>
  <c r="P126" i="6"/>
  <c r="Q126" i="6" s="1"/>
  <c r="R126" i="6" s="1"/>
  <c r="P17" i="6"/>
  <c r="Q17" i="6" s="1"/>
  <c r="R17" i="6" s="1"/>
  <c r="P135" i="6"/>
  <c r="Q135" i="6" s="1"/>
  <c r="R135" i="6" s="1"/>
  <c r="P23" i="6"/>
  <c r="Q23" i="6" s="1"/>
  <c r="R23" i="6" s="1"/>
  <c r="P15" i="6"/>
  <c r="Q15" i="6" s="1"/>
  <c r="R15" i="6" s="1"/>
  <c r="P102" i="6"/>
  <c r="Q102" i="6" s="1"/>
  <c r="R102" i="6" s="1"/>
  <c r="P113" i="6"/>
  <c r="Q113" i="6" s="1"/>
  <c r="R113" i="6" s="1"/>
  <c r="P92" i="6"/>
  <c r="Q92" i="6" s="1"/>
  <c r="R92" i="6" s="1"/>
  <c r="O160" i="6"/>
  <c r="P100" i="6"/>
  <c r="Q100" i="6" s="1"/>
  <c r="R100" i="6" s="1"/>
  <c r="P117" i="6"/>
  <c r="Q117" i="6" s="1"/>
  <c r="R117" i="6" s="1"/>
  <c r="P94" i="6"/>
  <c r="Q94" i="6" s="1"/>
  <c r="R94" i="6" s="1"/>
  <c r="P27" i="6"/>
  <c r="Q27" i="6" s="1"/>
  <c r="R27" i="6" s="1"/>
  <c r="P11" i="6"/>
  <c r="Q11" i="6" s="1"/>
  <c r="R11" i="6" s="1"/>
  <c r="P137" i="6"/>
  <c r="Q137" i="6" s="1"/>
  <c r="R137" i="6" s="1"/>
  <c r="P121" i="6"/>
  <c r="Q121" i="6" s="1"/>
  <c r="R121" i="6" s="1"/>
  <c r="P90" i="6"/>
  <c r="Q90" i="6" s="1"/>
  <c r="R90" i="6" s="1"/>
  <c r="P136" i="6"/>
  <c r="Q136" i="6" s="1"/>
  <c r="R136" i="6" s="1"/>
  <c r="N129" i="6"/>
  <c r="P98" i="6"/>
  <c r="Q98" i="6" s="1"/>
  <c r="R98" i="6" s="1"/>
  <c r="O181" i="6"/>
  <c r="O180" i="6"/>
  <c r="P180" i="6"/>
  <c r="P89" i="6"/>
  <c r="P66" i="6"/>
  <c r="Q66" i="6" s="1"/>
  <c r="R66" i="6" s="1"/>
  <c r="P33" i="6"/>
  <c r="Q33" i="6" s="1"/>
  <c r="R33" i="6" s="1"/>
  <c r="P123" i="6"/>
  <c r="Q123" i="6" s="1"/>
  <c r="R123" i="6" s="1"/>
  <c r="P68" i="6"/>
  <c r="Q68" i="6" s="1"/>
  <c r="R68" i="6" s="1"/>
  <c r="P35" i="6"/>
  <c r="Q35" i="6" s="1"/>
  <c r="R35" i="6" s="1"/>
  <c r="P151" i="6"/>
  <c r="Q151" i="6" s="1"/>
  <c r="R151" i="6" s="1"/>
  <c r="P119" i="6"/>
  <c r="Q119" i="6" s="1"/>
  <c r="R119" i="6" s="1"/>
  <c r="P109" i="6"/>
  <c r="Q109" i="6" s="1"/>
  <c r="R109" i="6" s="1"/>
  <c r="P96" i="6"/>
  <c r="Q96" i="6" s="1"/>
  <c r="R96" i="6" s="1"/>
  <c r="P73" i="6"/>
  <c r="Q73" i="6" s="1"/>
  <c r="R73" i="6" s="1"/>
  <c r="P138" i="6"/>
  <c r="Q138" i="6" s="1"/>
  <c r="R138" i="6" s="1"/>
  <c r="P147" i="6"/>
  <c r="N145" i="6"/>
  <c r="P111" i="6"/>
  <c r="Q111" i="6" s="1"/>
  <c r="R111" i="6" s="1"/>
  <c r="Q108" i="6"/>
  <c r="P85" i="6"/>
  <c r="Q85" i="6" s="1"/>
  <c r="R85" i="6" s="1"/>
  <c r="P62" i="6"/>
  <c r="Q62" i="6" s="1"/>
  <c r="R62" i="6" s="1"/>
  <c r="O107" i="6"/>
  <c r="P43" i="6"/>
  <c r="P29" i="6"/>
  <c r="Q29" i="6" s="1"/>
  <c r="R29" i="6" s="1"/>
  <c r="N107" i="6"/>
  <c r="S144" i="6"/>
  <c r="P64" i="6"/>
  <c r="Q64" i="6" s="1"/>
  <c r="R64" i="6" s="1"/>
  <c r="P47" i="6"/>
  <c r="Q47" i="6" s="1"/>
  <c r="R47" i="6" s="1"/>
  <c r="P31" i="6"/>
  <c r="Q31" i="6" s="1"/>
  <c r="R31" i="6" s="1"/>
  <c r="P69" i="6"/>
  <c r="Q69" i="6" s="1"/>
  <c r="R69" i="6" s="1"/>
  <c r="P44" i="6"/>
  <c r="Q44" i="6" s="1"/>
  <c r="R44" i="6" s="1"/>
  <c r="O183" i="6"/>
  <c r="O21" i="6"/>
  <c r="P185" i="6"/>
  <c r="O174" i="6"/>
  <c r="O167" i="6"/>
  <c r="P128" i="6"/>
  <c r="S128" i="6" s="1"/>
  <c r="P104" i="6"/>
  <c r="Q104" i="6" s="1"/>
  <c r="R104" i="6" s="1"/>
  <c r="O182" i="6"/>
  <c r="O13" i="6"/>
  <c r="P134" i="6"/>
  <c r="Q134" i="6" s="1"/>
  <c r="R134" i="6" s="1"/>
  <c r="P141" i="6"/>
  <c r="Q141" i="6" s="1"/>
  <c r="R141" i="6" s="1"/>
  <c r="P115" i="6"/>
  <c r="Q115" i="6" s="1"/>
  <c r="R115" i="6" s="1"/>
  <c r="P106" i="6"/>
  <c r="Q106" i="6" s="1"/>
  <c r="R106" i="6" s="1"/>
  <c r="P74" i="6"/>
  <c r="Q74" i="6" s="1"/>
  <c r="R74" i="6" s="1"/>
  <c r="P41" i="6"/>
  <c r="Q41" i="6" s="1"/>
  <c r="R41" i="6" s="1"/>
  <c r="P186" i="6"/>
  <c r="O168" i="6"/>
  <c r="P24" i="6"/>
  <c r="Q116" i="6"/>
  <c r="R116" i="6" s="1"/>
  <c r="S116" i="6"/>
  <c r="P87" i="6"/>
  <c r="Q87" i="6" s="1"/>
  <c r="R87" i="6" s="1"/>
  <c r="P60" i="6"/>
  <c r="Q60" i="6" s="1"/>
  <c r="R60" i="6" s="1"/>
  <c r="P130" i="6"/>
  <c r="O143" i="6"/>
  <c r="O145" i="6" s="1"/>
  <c r="P124" i="6"/>
  <c r="Q124" i="6" s="1"/>
  <c r="R124" i="6" s="1"/>
  <c r="P193" i="6"/>
  <c r="P178" i="6"/>
  <c r="P105" i="6"/>
  <c r="P70" i="6"/>
  <c r="Q70" i="6" s="1"/>
  <c r="R70" i="6" s="1"/>
  <c r="P51" i="6"/>
  <c r="Q51" i="6" s="1"/>
  <c r="R51" i="6" s="1"/>
  <c r="P37" i="6"/>
  <c r="Q37" i="6" s="1"/>
  <c r="R37" i="6" s="1"/>
  <c r="P72" i="6"/>
  <c r="Q72" i="6" s="1"/>
  <c r="R72" i="6" s="1"/>
  <c r="P55" i="6"/>
  <c r="Q55" i="6" s="1"/>
  <c r="R55" i="6" s="1"/>
  <c r="P39" i="6"/>
  <c r="Q39" i="6" s="1"/>
  <c r="R39" i="6" s="1"/>
  <c r="P52" i="6"/>
  <c r="Q52" i="6" s="1"/>
  <c r="R52" i="6" s="1"/>
  <c r="O161" i="6"/>
  <c r="P8" i="6"/>
  <c r="O19" i="6"/>
  <c r="N42" i="6"/>
  <c r="O129" i="6"/>
  <c r="O9" i="6"/>
  <c r="O143" i="7" l="1"/>
  <c r="O145" i="7" s="1"/>
  <c r="S84" i="6"/>
  <c r="O179" i="7"/>
  <c r="R179" i="7" s="1"/>
  <c r="S179" i="7" s="1"/>
  <c r="T179" i="7" s="1"/>
  <c r="U179" i="7" s="1"/>
  <c r="V179" i="7" s="1"/>
  <c r="N145" i="7"/>
  <c r="N42" i="7"/>
  <c r="U182" i="7"/>
  <c r="V182" i="7" s="1"/>
  <c r="U186" i="7"/>
  <c r="V186" i="7" s="1"/>
  <c r="S178" i="7"/>
  <c r="T178" i="7" s="1"/>
  <c r="O161" i="7"/>
  <c r="P8" i="7"/>
  <c r="O129" i="7"/>
  <c r="P108" i="7"/>
  <c r="P130" i="7"/>
  <c r="P178" i="7"/>
  <c r="P193" i="7"/>
  <c r="P105" i="7"/>
  <c r="P179" i="7"/>
  <c r="P183" i="7"/>
  <c r="O166" i="7"/>
  <c r="P19" i="7"/>
  <c r="P44" i="7"/>
  <c r="O107" i="7"/>
  <c r="U180" i="7"/>
  <c r="V180" i="7" s="1"/>
  <c r="M157" i="7"/>
  <c r="M170" i="7" s="1"/>
  <c r="U185" i="7"/>
  <c r="V185" i="7" s="1"/>
  <c r="P185" i="7"/>
  <c r="O174" i="7"/>
  <c r="O167" i="7"/>
  <c r="P128" i="7"/>
  <c r="P191" i="7"/>
  <c r="O153" i="7"/>
  <c r="P146" i="7"/>
  <c r="O181" i="7"/>
  <c r="R181" i="7" s="1"/>
  <c r="O13" i="7"/>
  <c r="N159" i="7"/>
  <c r="O184" i="7"/>
  <c r="R184" i="7" s="1"/>
  <c r="S184" i="7" s="1"/>
  <c r="T184" i="7" s="1"/>
  <c r="N165" i="7"/>
  <c r="O21" i="7"/>
  <c r="U183" i="7"/>
  <c r="V183" i="7" s="1"/>
  <c r="P186" i="7"/>
  <c r="O168" i="7"/>
  <c r="P24" i="7"/>
  <c r="O194" i="7"/>
  <c r="R194" i="7" s="1"/>
  <c r="O164" i="7"/>
  <c r="P182" i="7"/>
  <c r="P9" i="7"/>
  <c r="P180" i="7"/>
  <c r="O160" i="7"/>
  <c r="P89" i="7"/>
  <c r="R191" i="7"/>
  <c r="N188" i="7"/>
  <c r="O153" i="6"/>
  <c r="S94" i="6"/>
  <c r="P194" i="6"/>
  <c r="P149" i="6"/>
  <c r="Q149" i="6" s="1"/>
  <c r="R149" i="6" s="1"/>
  <c r="S123" i="6"/>
  <c r="O188" i="6"/>
  <c r="N155" i="6"/>
  <c r="S27" i="6"/>
  <c r="P179" i="6"/>
  <c r="P143" i="6"/>
  <c r="S143" i="6" s="1"/>
  <c r="S74" i="6"/>
  <c r="Q128" i="6"/>
  <c r="Q185" i="6"/>
  <c r="T185" i="6" s="1"/>
  <c r="U185" i="6" s="1"/>
  <c r="V185" i="6" s="1"/>
  <c r="P174" i="6"/>
  <c r="P167" i="6"/>
  <c r="Q193" i="6"/>
  <c r="T193" i="6" s="1"/>
  <c r="Q178" i="6"/>
  <c r="T178" i="6" s="1"/>
  <c r="Q105" i="6"/>
  <c r="P107" i="6"/>
  <c r="Q43" i="6"/>
  <c r="R108" i="6"/>
  <c r="Q147" i="6"/>
  <c r="Q180" i="6"/>
  <c r="T180" i="6" s="1"/>
  <c r="U180" i="6" s="1"/>
  <c r="V180" i="6" s="1"/>
  <c r="P160" i="6"/>
  <c r="Q89" i="6"/>
  <c r="Q8" i="6"/>
  <c r="P161" i="6"/>
  <c r="S134" i="6"/>
  <c r="P184" i="6"/>
  <c r="P21" i="6"/>
  <c r="O165" i="6"/>
  <c r="P183" i="6"/>
  <c r="P19" i="6"/>
  <c r="O166" i="6"/>
  <c r="P182" i="6"/>
  <c r="O164" i="6"/>
  <c r="P9" i="6"/>
  <c r="Q130" i="6"/>
  <c r="O42" i="6"/>
  <c r="Q186" i="6"/>
  <c r="T186" i="6" s="1"/>
  <c r="U186" i="6" s="1"/>
  <c r="V186" i="6" s="1"/>
  <c r="Q24" i="6"/>
  <c r="P168" i="6"/>
  <c r="P181" i="6"/>
  <c r="O159" i="6"/>
  <c r="P13" i="6"/>
  <c r="P129" i="6"/>
  <c r="P143" i="7" l="1"/>
  <c r="Q179" i="7" s="1"/>
  <c r="N155" i="7"/>
  <c r="T189" i="7" s="1"/>
  <c r="P145" i="6"/>
  <c r="O155" i="6"/>
  <c r="P107" i="7"/>
  <c r="P194" i="7"/>
  <c r="O42" i="7"/>
  <c r="O155" i="7" s="1"/>
  <c r="T191" i="7" s="1"/>
  <c r="S181" i="7"/>
  <c r="T181" i="7" s="1"/>
  <c r="T188" i="7" s="1"/>
  <c r="R188" i="7"/>
  <c r="U184" i="7"/>
  <c r="V184" i="7" s="1"/>
  <c r="Q193" i="7"/>
  <c r="Q178" i="7"/>
  <c r="P161" i="7"/>
  <c r="U178" i="7"/>
  <c r="V178" i="7" s="1"/>
  <c r="P153" i="7"/>
  <c r="Q191" i="7"/>
  <c r="Q185" i="7"/>
  <c r="P167" i="7"/>
  <c r="P174" i="7"/>
  <c r="P129" i="7"/>
  <c r="Q182" i="7"/>
  <c r="P164" i="7"/>
  <c r="Q186" i="7"/>
  <c r="P168" i="7"/>
  <c r="Q180" i="7"/>
  <c r="P160" i="7"/>
  <c r="P184" i="7"/>
  <c r="O165" i="7"/>
  <c r="P21" i="7"/>
  <c r="P181" i="7"/>
  <c r="P188" i="7" s="1"/>
  <c r="O159" i="7"/>
  <c r="P13" i="7"/>
  <c r="O188" i="7"/>
  <c r="Q183" i="7"/>
  <c r="P166" i="7"/>
  <c r="P145" i="7"/>
  <c r="Q191" i="6"/>
  <c r="Q194" i="6" s="1"/>
  <c r="T194" i="6" s="1"/>
  <c r="P153" i="6"/>
  <c r="W186" i="6"/>
  <c r="X186" i="6" s="1"/>
  <c r="U178" i="6"/>
  <c r="V178" i="6" s="1"/>
  <c r="R130" i="6"/>
  <c r="Q182" i="6"/>
  <c r="T182" i="6" s="1"/>
  <c r="U182" i="6" s="1"/>
  <c r="V182" i="6" s="1"/>
  <c r="P164" i="6"/>
  <c r="Q9" i="6"/>
  <c r="O157" i="6"/>
  <c r="O170" i="6" s="1"/>
  <c r="Q161" i="6"/>
  <c r="R8" i="6"/>
  <c r="R147" i="6"/>
  <c r="Q153" i="6"/>
  <c r="R191" i="6"/>
  <c r="R185" i="6"/>
  <c r="Q167" i="6"/>
  <c r="Q174" i="6"/>
  <c r="R128" i="6"/>
  <c r="R129" i="6" s="1"/>
  <c r="Q181" i="6"/>
  <c r="T181" i="6" s="1"/>
  <c r="U181" i="6" s="1"/>
  <c r="V181" i="6" s="1"/>
  <c r="P159" i="6"/>
  <c r="Q13" i="6"/>
  <c r="R186" i="6"/>
  <c r="Q168" i="6"/>
  <c r="R24" i="6"/>
  <c r="Q183" i="6"/>
  <c r="T183" i="6" s="1"/>
  <c r="U183" i="6" s="1"/>
  <c r="V183" i="6" s="1"/>
  <c r="Q19" i="6"/>
  <c r="P166" i="6"/>
  <c r="P42" i="6"/>
  <c r="W185" i="6"/>
  <c r="X185" i="6" s="1"/>
  <c r="Q129" i="6"/>
  <c r="R178" i="6"/>
  <c r="R193" i="6"/>
  <c r="R105" i="6"/>
  <c r="Q179" i="6"/>
  <c r="T179" i="6" s="1"/>
  <c r="Q143" i="6"/>
  <c r="W180" i="6"/>
  <c r="X180" i="6" s="1"/>
  <c r="Q184" i="6"/>
  <c r="T184" i="6" s="1"/>
  <c r="U184" i="6" s="1"/>
  <c r="V184" i="6" s="1"/>
  <c r="Q21" i="6"/>
  <c r="P165" i="6"/>
  <c r="R180" i="6"/>
  <c r="Q160" i="6"/>
  <c r="R89" i="6"/>
  <c r="Q107" i="6"/>
  <c r="R43" i="6"/>
  <c r="P188" i="6"/>
  <c r="T190" i="7" l="1"/>
  <c r="N157" i="7"/>
  <c r="N170" i="7" s="1"/>
  <c r="T191" i="6"/>
  <c r="P155" i="6"/>
  <c r="V189" i="6" s="1"/>
  <c r="Q194" i="7"/>
  <c r="O170" i="7"/>
  <c r="Q181" i="7"/>
  <c r="Q188" i="7" s="1"/>
  <c r="Q195" i="7" s="1"/>
  <c r="P159" i="7"/>
  <c r="T192" i="7"/>
  <c r="P42" i="7"/>
  <c r="P155" i="7" s="1"/>
  <c r="Q184" i="7"/>
  <c r="P165" i="7"/>
  <c r="U181" i="7"/>
  <c r="V181" i="7" s="1"/>
  <c r="Q42" i="6"/>
  <c r="W181" i="6"/>
  <c r="X181" i="6" s="1"/>
  <c r="W183" i="6"/>
  <c r="X183" i="6" s="1"/>
  <c r="U179" i="6"/>
  <c r="V179" i="6" s="1"/>
  <c r="T188" i="6"/>
  <c r="R161" i="6"/>
  <c r="W178" i="6"/>
  <c r="X178" i="6" s="1"/>
  <c r="Q188" i="6"/>
  <c r="S193" i="6"/>
  <c r="S178" i="6"/>
  <c r="R107" i="6"/>
  <c r="S180" i="6"/>
  <c r="R160" i="6"/>
  <c r="R184" i="6"/>
  <c r="Q165" i="6"/>
  <c r="R21" i="6"/>
  <c r="R183" i="6"/>
  <c r="Q166" i="6"/>
  <c r="R19" i="6"/>
  <c r="S185" i="6"/>
  <c r="R174" i="6"/>
  <c r="R167" i="6"/>
  <c r="R194" i="6"/>
  <c r="S186" i="6"/>
  <c r="R168" i="6"/>
  <c r="S191" i="6"/>
  <c r="R153" i="6"/>
  <c r="W184" i="6"/>
  <c r="X184" i="6" s="1"/>
  <c r="R179" i="6"/>
  <c r="R143" i="6"/>
  <c r="S179" i="6" s="1"/>
  <c r="W182" i="6"/>
  <c r="X182" i="6" s="1"/>
  <c r="R181" i="6"/>
  <c r="Q159" i="6"/>
  <c r="R13" i="6"/>
  <c r="Q164" i="6"/>
  <c r="R182" i="6"/>
  <c r="R9" i="6"/>
  <c r="Q145" i="6"/>
  <c r="P157" i="6" l="1"/>
  <c r="P170" i="6" s="1"/>
  <c r="Q155" i="6"/>
  <c r="V191" i="6" s="1"/>
  <c r="V188" i="6"/>
  <c r="V190" i="6" s="1"/>
  <c r="P170" i="7"/>
  <c r="Q196" i="7"/>
  <c r="Q170" i="6"/>
  <c r="R188" i="6"/>
  <c r="S194" i="6"/>
  <c r="R145" i="6"/>
  <c r="S182" i="6"/>
  <c r="R164" i="6"/>
  <c r="S181" i="6"/>
  <c r="R159" i="6"/>
  <c r="S183" i="6"/>
  <c r="R166" i="6"/>
  <c r="R42" i="6"/>
  <c r="S184" i="6"/>
  <c r="R165" i="6"/>
  <c r="W179" i="6"/>
  <c r="X179" i="6" s="1"/>
  <c r="R155" i="6" l="1"/>
  <c r="V192" i="6"/>
  <c r="S188" i="6"/>
  <c r="S195" i="6" s="1"/>
  <c r="S196" i="6" s="1"/>
  <c r="R170" i="6"/>
  <c r="E190" i="5" l="1"/>
  <c r="J189" i="5"/>
  <c r="I185" i="5"/>
  <c r="I184" i="5"/>
  <c r="I183" i="5"/>
  <c r="I182" i="5"/>
  <c r="I181" i="5"/>
  <c r="I180" i="5"/>
  <c r="I179" i="5"/>
  <c r="I178" i="5"/>
  <c r="I177" i="5"/>
  <c r="I176" i="5"/>
  <c r="F173" i="5"/>
  <c r="F172" i="5"/>
  <c r="O171" i="5"/>
  <c r="N171" i="5"/>
  <c r="M171" i="5"/>
  <c r="L171" i="5"/>
  <c r="K171" i="5"/>
  <c r="I171" i="5"/>
  <c r="F171" i="5"/>
  <c r="F166" i="5"/>
  <c r="F165" i="5"/>
  <c r="F164" i="5"/>
  <c r="F163" i="5"/>
  <c r="O161" i="5"/>
  <c r="N161" i="5"/>
  <c r="M161" i="5"/>
  <c r="L161" i="5"/>
  <c r="K161" i="5"/>
  <c r="I161" i="5"/>
  <c r="H161" i="5"/>
  <c r="F160" i="5"/>
  <c r="L160" i="5" s="1"/>
  <c r="F159" i="5"/>
  <c r="F158" i="5"/>
  <c r="F157" i="5"/>
  <c r="P156" i="5"/>
  <c r="P155" i="5"/>
  <c r="G151" i="5"/>
  <c r="I150" i="5"/>
  <c r="K150" i="5" s="1"/>
  <c r="I149" i="5"/>
  <c r="I148" i="5"/>
  <c r="I147" i="5"/>
  <c r="I146" i="5"/>
  <c r="R145" i="5"/>
  <c r="G145" i="5"/>
  <c r="I144" i="5"/>
  <c r="I143" i="5"/>
  <c r="R142" i="5"/>
  <c r="I142" i="5"/>
  <c r="K142" i="5" s="1"/>
  <c r="L142" i="5" s="1"/>
  <c r="R141" i="5"/>
  <c r="I141" i="5"/>
  <c r="K141" i="5" s="1"/>
  <c r="R140" i="5"/>
  <c r="I140" i="5"/>
  <c r="K140" i="5" s="1"/>
  <c r="R139" i="5"/>
  <c r="I139" i="5"/>
  <c r="K139" i="5" s="1"/>
  <c r="R138" i="5"/>
  <c r="I138" i="5"/>
  <c r="K138" i="5" s="1"/>
  <c r="L138" i="5" s="1"/>
  <c r="R137" i="5"/>
  <c r="I137" i="5"/>
  <c r="K137" i="5" s="1"/>
  <c r="L137" i="5" s="1"/>
  <c r="R136" i="5"/>
  <c r="I136" i="5"/>
  <c r="K136" i="5" s="1"/>
  <c r="R135" i="5"/>
  <c r="I135" i="5"/>
  <c r="K135" i="5" s="1"/>
  <c r="R134" i="5"/>
  <c r="I134" i="5"/>
  <c r="K134" i="5" s="1"/>
  <c r="L134" i="5" s="1"/>
  <c r="R133" i="5"/>
  <c r="I133" i="5"/>
  <c r="K133" i="5" s="1"/>
  <c r="R132" i="5"/>
  <c r="I132" i="5"/>
  <c r="R131" i="5"/>
  <c r="I131" i="5"/>
  <c r="K131" i="5" s="1"/>
  <c r="R130" i="5"/>
  <c r="I130" i="5"/>
  <c r="K130" i="5" s="1"/>
  <c r="L130" i="5" s="1"/>
  <c r="R129" i="5"/>
  <c r="I129" i="5"/>
  <c r="R128" i="5"/>
  <c r="G128" i="5"/>
  <c r="R127" i="5"/>
  <c r="H127" i="5"/>
  <c r="I127" i="5" s="1"/>
  <c r="R126" i="5"/>
  <c r="I126" i="5"/>
  <c r="R125" i="5"/>
  <c r="I125" i="5"/>
  <c r="R124" i="5"/>
  <c r="I124" i="5"/>
  <c r="K124" i="5" s="1"/>
  <c r="L124" i="5" s="1"/>
  <c r="R123" i="5"/>
  <c r="I123" i="5"/>
  <c r="K123" i="5" s="1"/>
  <c r="L123" i="5" s="1"/>
  <c r="R122" i="5"/>
  <c r="I122" i="5"/>
  <c r="R121" i="5"/>
  <c r="I121" i="5"/>
  <c r="R120" i="5"/>
  <c r="I120" i="5"/>
  <c r="K120" i="5" s="1"/>
  <c r="R119" i="5"/>
  <c r="I119" i="5"/>
  <c r="R118" i="5"/>
  <c r="I118" i="5"/>
  <c r="R117" i="5"/>
  <c r="I117" i="5"/>
  <c r="K117" i="5" s="1"/>
  <c r="R116" i="5"/>
  <c r="I116" i="5"/>
  <c r="R115" i="5"/>
  <c r="I115" i="5"/>
  <c r="K115" i="5" s="1"/>
  <c r="R114" i="5"/>
  <c r="I114" i="5"/>
  <c r="K114" i="5" s="1"/>
  <c r="L114" i="5" s="1"/>
  <c r="M114" i="5" s="1"/>
  <c r="N114" i="5" s="1"/>
  <c r="O114" i="5" s="1"/>
  <c r="R113" i="5"/>
  <c r="I113" i="5"/>
  <c r="K113" i="5" s="1"/>
  <c r="L113" i="5" s="1"/>
  <c r="R112" i="5"/>
  <c r="I112" i="5"/>
  <c r="R111" i="5"/>
  <c r="I111" i="5"/>
  <c r="R110" i="5"/>
  <c r="I110" i="5"/>
  <c r="R109" i="5"/>
  <c r="I109" i="5"/>
  <c r="R108" i="5"/>
  <c r="I108" i="5"/>
  <c r="R107" i="5"/>
  <c r="I107" i="5"/>
  <c r="R106" i="5"/>
  <c r="I106" i="5"/>
  <c r="K106" i="5" s="1"/>
  <c r="L106" i="5" s="1"/>
  <c r="M106" i="5" s="1"/>
  <c r="N106" i="5" s="1"/>
  <c r="R105" i="5"/>
  <c r="I105" i="5"/>
  <c r="R104" i="5"/>
  <c r="G104" i="5"/>
  <c r="I103" i="5"/>
  <c r="I102" i="5"/>
  <c r="I101" i="5"/>
  <c r="K101" i="5" s="1"/>
  <c r="I100" i="5"/>
  <c r="K100" i="5" s="1"/>
  <c r="L100" i="5" s="1"/>
  <c r="I99" i="5"/>
  <c r="I98" i="5"/>
  <c r="K98" i="5" s="1"/>
  <c r="L98" i="5" s="1"/>
  <c r="I97" i="5"/>
  <c r="K97" i="5" s="1"/>
  <c r="I96" i="5"/>
  <c r="I95" i="5"/>
  <c r="I94" i="5"/>
  <c r="K94" i="5" s="1"/>
  <c r="I93" i="5"/>
  <c r="I92" i="5"/>
  <c r="K92" i="5" s="1"/>
  <c r="I91" i="5"/>
  <c r="K91" i="5" s="1"/>
  <c r="I90" i="5"/>
  <c r="K90" i="5" s="1"/>
  <c r="L90" i="5" s="1"/>
  <c r="I89" i="5"/>
  <c r="I88" i="5"/>
  <c r="K88" i="5" s="1"/>
  <c r="I87" i="5"/>
  <c r="I86" i="5"/>
  <c r="I85" i="5"/>
  <c r="K85" i="5" s="1"/>
  <c r="I84" i="5"/>
  <c r="K84" i="5" s="1"/>
  <c r="R83" i="5"/>
  <c r="H167" i="5" s="1"/>
  <c r="I83" i="5"/>
  <c r="R82" i="5"/>
  <c r="I82" i="5"/>
  <c r="R81" i="5"/>
  <c r="I81" i="5"/>
  <c r="K81" i="5" s="1"/>
  <c r="L81" i="5" s="1"/>
  <c r="R80" i="5"/>
  <c r="I80" i="5"/>
  <c r="R79" i="5"/>
  <c r="I79" i="5"/>
  <c r="K79" i="5" s="1"/>
  <c r="R78" i="5"/>
  <c r="I78" i="5"/>
  <c r="R77" i="5"/>
  <c r="I77" i="5"/>
  <c r="I76" i="5"/>
  <c r="K76" i="5" s="1"/>
  <c r="R75" i="5"/>
  <c r="I75" i="5"/>
  <c r="I74" i="5"/>
  <c r="I73" i="5"/>
  <c r="K73" i="5" s="1"/>
  <c r="R72" i="5"/>
  <c r="I72" i="5"/>
  <c r="R71" i="5"/>
  <c r="I71" i="5"/>
  <c r="K71" i="5" s="1"/>
  <c r="R70" i="5"/>
  <c r="I70" i="5"/>
  <c r="K70" i="5" s="1"/>
  <c r="R69" i="5"/>
  <c r="I69" i="5"/>
  <c r="R68" i="5"/>
  <c r="I68" i="5"/>
  <c r="K68" i="5" s="1"/>
  <c r="L68" i="5" s="1"/>
  <c r="R67" i="5"/>
  <c r="I67" i="5"/>
  <c r="R66" i="5"/>
  <c r="I66" i="5"/>
  <c r="R65" i="5"/>
  <c r="I65" i="5"/>
  <c r="K65" i="5" s="1"/>
  <c r="R64" i="5"/>
  <c r="I64" i="5"/>
  <c r="K64" i="5" s="1"/>
  <c r="L64" i="5" s="1"/>
  <c r="R63" i="5"/>
  <c r="I63" i="5"/>
  <c r="K63" i="5" s="1"/>
  <c r="R62" i="5"/>
  <c r="I62" i="5"/>
  <c r="K62" i="5" s="1"/>
  <c r="R61" i="5"/>
  <c r="I61" i="5"/>
  <c r="R60" i="5"/>
  <c r="I60" i="5"/>
  <c r="K60" i="5" s="1"/>
  <c r="L60" i="5" s="1"/>
  <c r="R59" i="5"/>
  <c r="I59" i="5"/>
  <c r="K59" i="5" s="1"/>
  <c r="R58" i="5"/>
  <c r="I58" i="5"/>
  <c r="R57" i="5"/>
  <c r="I57" i="5"/>
  <c r="K57" i="5" s="1"/>
  <c r="R56" i="5"/>
  <c r="I56" i="5"/>
  <c r="K56" i="5" s="1"/>
  <c r="L56" i="5" s="1"/>
  <c r="R55" i="5"/>
  <c r="I55" i="5"/>
  <c r="K55" i="5" s="1"/>
  <c r="L55" i="5" s="1"/>
  <c r="R54" i="5"/>
  <c r="I54" i="5"/>
  <c r="K54" i="5" s="1"/>
  <c r="R53" i="5"/>
  <c r="I53" i="5"/>
  <c r="R52" i="5"/>
  <c r="I52" i="5"/>
  <c r="K52" i="5" s="1"/>
  <c r="L52" i="5" s="1"/>
  <c r="R51" i="5"/>
  <c r="I51" i="5"/>
  <c r="K51" i="5" s="1"/>
  <c r="R50" i="5"/>
  <c r="I50" i="5"/>
  <c r="R49" i="5"/>
  <c r="I49" i="5"/>
  <c r="K49" i="5" s="1"/>
  <c r="R48" i="5"/>
  <c r="I48" i="5"/>
  <c r="K48" i="5" s="1"/>
  <c r="L48" i="5" s="1"/>
  <c r="R47" i="5"/>
  <c r="I47" i="5"/>
  <c r="K47" i="5" s="1"/>
  <c r="R46" i="5"/>
  <c r="I46" i="5"/>
  <c r="K46" i="5" s="1"/>
  <c r="R45" i="5"/>
  <c r="I45" i="5"/>
  <c r="R44" i="5"/>
  <c r="I44" i="5"/>
  <c r="K44" i="5" s="1"/>
  <c r="L44" i="5" s="1"/>
  <c r="R43" i="5"/>
  <c r="I43" i="5"/>
  <c r="K43" i="5" s="1"/>
  <c r="R42" i="5"/>
  <c r="I42" i="5"/>
  <c r="R41" i="5"/>
  <c r="I41" i="5"/>
  <c r="R40" i="5"/>
  <c r="I40" i="5"/>
  <c r="K40" i="5" s="1"/>
  <c r="L40" i="5" s="1"/>
  <c r="R39" i="5"/>
  <c r="G39" i="5"/>
  <c r="R38" i="5"/>
  <c r="I38" i="5"/>
  <c r="K38" i="5" s="1"/>
  <c r="R37" i="5"/>
  <c r="I37" i="5"/>
  <c r="R36" i="5"/>
  <c r="I36" i="5"/>
  <c r="K36" i="5" s="1"/>
  <c r="R35" i="5"/>
  <c r="I35" i="5"/>
  <c r="K35" i="5" s="1"/>
  <c r="L35" i="5" s="1"/>
  <c r="R34" i="5"/>
  <c r="I34" i="5"/>
  <c r="K34" i="5" s="1"/>
  <c r="R33" i="5"/>
  <c r="I33" i="5"/>
  <c r="K33" i="5" s="1"/>
  <c r="R32" i="5"/>
  <c r="I32" i="5"/>
  <c r="K32" i="5" s="1"/>
  <c r="R31" i="5"/>
  <c r="I31" i="5"/>
  <c r="K31" i="5" s="1"/>
  <c r="L31" i="5" s="1"/>
  <c r="M31" i="5" s="1"/>
  <c r="N31" i="5" s="1"/>
  <c r="O31" i="5" s="1"/>
  <c r="R30" i="5"/>
  <c r="I30" i="5"/>
  <c r="K30" i="5" s="1"/>
  <c r="L30" i="5" s="1"/>
  <c r="R29" i="5"/>
  <c r="I29" i="5"/>
  <c r="R28" i="5"/>
  <c r="I28" i="5"/>
  <c r="K28" i="5" s="1"/>
  <c r="R27" i="5"/>
  <c r="I27" i="5"/>
  <c r="K27" i="5" s="1"/>
  <c r="L27" i="5" s="1"/>
  <c r="R26" i="5"/>
  <c r="I26" i="5"/>
  <c r="R25" i="5"/>
  <c r="I25" i="5"/>
  <c r="R24" i="5"/>
  <c r="I24" i="5"/>
  <c r="K24" i="5" s="1"/>
  <c r="L24" i="5" s="1"/>
  <c r="R23" i="5"/>
  <c r="I23" i="5"/>
  <c r="K23" i="5" s="1"/>
  <c r="L23" i="5" s="1"/>
  <c r="R22" i="5"/>
  <c r="I22" i="5"/>
  <c r="K22" i="5" s="1"/>
  <c r="L22" i="5" s="1"/>
  <c r="R21" i="5"/>
  <c r="I21" i="5"/>
  <c r="R20" i="5"/>
  <c r="I20" i="5"/>
  <c r="R19" i="5"/>
  <c r="I19" i="5"/>
  <c r="R18" i="5"/>
  <c r="I18" i="5"/>
  <c r="K18" i="5" s="1"/>
  <c r="L18" i="5" s="1"/>
  <c r="R17" i="5"/>
  <c r="I17" i="5"/>
  <c r="R16" i="5"/>
  <c r="I16" i="5"/>
  <c r="R15" i="5"/>
  <c r="I15" i="5"/>
  <c r="K15" i="5" s="1"/>
  <c r="L15" i="5" s="1"/>
  <c r="R14" i="5"/>
  <c r="I14" i="5"/>
  <c r="K14" i="5" s="1"/>
  <c r="L14" i="5" s="1"/>
  <c r="R13" i="5"/>
  <c r="I13" i="5"/>
  <c r="R12" i="5"/>
  <c r="I12" i="5"/>
  <c r="R11" i="5"/>
  <c r="I11" i="5"/>
  <c r="K11" i="5" s="1"/>
  <c r="L11" i="5" s="1"/>
  <c r="R10" i="5"/>
  <c r="I10" i="5"/>
  <c r="K10" i="5" s="1"/>
  <c r="L10" i="5" s="1"/>
  <c r="R9" i="5"/>
  <c r="I9" i="5"/>
  <c r="K9" i="5" s="1"/>
  <c r="R8" i="5"/>
  <c r="I8" i="5"/>
  <c r="R7" i="5"/>
  <c r="I7" i="5"/>
  <c r="K176" i="5" l="1"/>
  <c r="L59" i="5"/>
  <c r="M59" i="5" s="1"/>
  <c r="N59" i="5" s="1"/>
  <c r="L43" i="5"/>
  <c r="M43" i="5" s="1"/>
  <c r="N43" i="5" s="1"/>
  <c r="H166" i="5"/>
  <c r="L97" i="5"/>
  <c r="M97" i="5" s="1"/>
  <c r="N97" i="5" s="1"/>
  <c r="L51" i="5"/>
  <c r="M51" i="5" s="1"/>
  <c r="N51" i="5" s="1"/>
  <c r="L135" i="5"/>
  <c r="M135" i="5" s="1"/>
  <c r="N135" i="5" s="1"/>
  <c r="O135" i="5" s="1"/>
  <c r="L38" i="5"/>
  <c r="M38" i="5" s="1"/>
  <c r="N38" i="5" s="1"/>
  <c r="K160" i="5"/>
  <c r="H158" i="5"/>
  <c r="I186" i="5"/>
  <c r="M52" i="5"/>
  <c r="N52" i="5" s="1"/>
  <c r="O52" i="5" s="1"/>
  <c r="M100" i="5"/>
  <c r="N100" i="5" s="1"/>
  <c r="O100" i="5" s="1"/>
  <c r="M138" i="5"/>
  <c r="N138" i="5" s="1"/>
  <c r="O138" i="5" s="1"/>
  <c r="M124" i="5"/>
  <c r="N124" i="5" s="1"/>
  <c r="O124" i="5" s="1"/>
  <c r="M142" i="5"/>
  <c r="N142" i="5" s="1"/>
  <c r="O142" i="5" s="1"/>
  <c r="M44" i="5"/>
  <c r="N44" i="5" s="1"/>
  <c r="O44" i="5" s="1"/>
  <c r="M60" i="5"/>
  <c r="N60" i="5" s="1"/>
  <c r="O60" i="5" s="1"/>
  <c r="M68" i="5"/>
  <c r="N68" i="5" s="1"/>
  <c r="O68" i="5" s="1"/>
  <c r="M134" i="5"/>
  <c r="N134" i="5" s="1"/>
  <c r="O134" i="5" s="1"/>
  <c r="M160" i="5"/>
  <c r="P160" i="5" s="1"/>
  <c r="L28" i="5"/>
  <c r="M28" i="5" s="1"/>
  <c r="N28" i="5" s="1"/>
  <c r="O28" i="5" s="1"/>
  <c r="L34" i="5"/>
  <c r="M34" i="5" s="1"/>
  <c r="N34" i="5" s="1"/>
  <c r="O34" i="5" s="1"/>
  <c r="K77" i="5"/>
  <c r="L77" i="5" s="1"/>
  <c r="M77" i="5" s="1"/>
  <c r="N77" i="5" s="1"/>
  <c r="O77" i="5" s="1"/>
  <c r="L85" i="5"/>
  <c r="H163" i="5"/>
  <c r="K179" i="5"/>
  <c r="K181" i="5"/>
  <c r="L88" i="5"/>
  <c r="L92" i="5"/>
  <c r="M92" i="5" s="1"/>
  <c r="N92" i="5" s="1"/>
  <c r="O92" i="5" s="1"/>
  <c r="L115" i="5"/>
  <c r="M115" i="5" s="1"/>
  <c r="N115" i="5" s="1"/>
  <c r="O115" i="5" s="1"/>
  <c r="L141" i="5"/>
  <c r="M141" i="5" s="1"/>
  <c r="N141" i="5" s="1"/>
  <c r="O141" i="5" s="1"/>
  <c r="L150" i="5"/>
  <c r="M150" i="5" s="1"/>
  <c r="N150" i="5" s="1"/>
  <c r="O150" i="5" s="1"/>
  <c r="H157" i="5"/>
  <c r="K72" i="5"/>
  <c r="L73" i="5"/>
  <c r="M73" i="5" s="1"/>
  <c r="N73" i="5" s="1"/>
  <c r="O73" i="5" s="1"/>
  <c r="L101" i="5"/>
  <c r="M101" i="5" s="1"/>
  <c r="N101" i="5" s="1"/>
  <c r="O101" i="5" s="1"/>
  <c r="K109" i="5"/>
  <c r="L109" i="5" s="1"/>
  <c r="K110" i="5"/>
  <c r="L110" i="5" s="1"/>
  <c r="L117" i="5"/>
  <c r="K118" i="5"/>
  <c r="L118" i="5" s="1"/>
  <c r="L139" i="5"/>
  <c r="M139" i="5" s="1"/>
  <c r="N139" i="5" s="1"/>
  <c r="H160" i="5"/>
  <c r="N160" i="5"/>
  <c r="K26" i="5"/>
  <c r="L26" i="5" s="1"/>
  <c r="L36" i="5"/>
  <c r="M36" i="5" s="1"/>
  <c r="N36" i="5" s="1"/>
  <c r="O36" i="5" s="1"/>
  <c r="L49" i="5"/>
  <c r="L57" i="5"/>
  <c r="M57" i="5" s="1"/>
  <c r="N57" i="5" s="1"/>
  <c r="O57" i="5" s="1"/>
  <c r="L65" i="5"/>
  <c r="M65" i="5" s="1"/>
  <c r="N65" i="5" s="1"/>
  <c r="O65" i="5" s="1"/>
  <c r="L91" i="5"/>
  <c r="M91" i="5" s="1"/>
  <c r="N91" i="5" s="1"/>
  <c r="O91" i="5" s="1"/>
  <c r="L131" i="5"/>
  <c r="I160" i="5"/>
  <c r="O160" i="5"/>
  <c r="M10" i="5"/>
  <c r="N10" i="5" s="1"/>
  <c r="O10" i="5" s="1"/>
  <c r="M30" i="5"/>
  <c r="N30" i="5" s="1"/>
  <c r="O30" i="5" s="1"/>
  <c r="M14" i="5"/>
  <c r="N14" i="5" s="1"/>
  <c r="O14" i="5" s="1"/>
  <c r="M24" i="5"/>
  <c r="N24" i="5" s="1"/>
  <c r="O24" i="5" s="1"/>
  <c r="M27" i="5"/>
  <c r="N27" i="5" s="1"/>
  <c r="O27" i="5" s="1"/>
  <c r="M15" i="5"/>
  <c r="N15" i="5" s="1"/>
  <c r="O15" i="5" s="1"/>
  <c r="M11" i="5"/>
  <c r="N11" i="5" s="1"/>
  <c r="O11" i="5" s="1"/>
  <c r="M18" i="5"/>
  <c r="N18" i="5" s="1"/>
  <c r="O18" i="5" s="1"/>
  <c r="M23" i="5"/>
  <c r="N23" i="5" s="1"/>
  <c r="O23" i="5" s="1"/>
  <c r="K13" i="5"/>
  <c r="L13" i="5" s="1"/>
  <c r="K17" i="5"/>
  <c r="L17" i="5" s="1"/>
  <c r="K21" i="5"/>
  <c r="L21" i="5" s="1"/>
  <c r="I39" i="5"/>
  <c r="K8" i="5"/>
  <c r="L9" i="5"/>
  <c r="K12" i="5"/>
  <c r="L12" i="5" s="1"/>
  <c r="K16" i="5"/>
  <c r="L16" i="5" s="1"/>
  <c r="K20" i="5"/>
  <c r="L20" i="5" s="1"/>
  <c r="M22" i="5"/>
  <c r="K45" i="5"/>
  <c r="L45" i="5" s="1"/>
  <c r="K53" i="5"/>
  <c r="L53" i="5" s="1"/>
  <c r="M55" i="5"/>
  <c r="N55" i="5" s="1"/>
  <c r="O55" i="5" s="1"/>
  <c r="K61" i="5"/>
  <c r="L61" i="5" s="1"/>
  <c r="K185" i="5"/>
  <c r="I167" i="5"/>
  <c r="K83" i="5"/>
  <c r="L83" i="5" s="1"/>
  <c r="K86" i="5"/>
  <c r="L86" i="5" s="1"/>
  <c r="K96" i="5"/>
  <c r="L96" i="5" s="1"/>
  <c r="K99" i="5"/>
  <c r="L99" i="5" s="1"/>
  <c r="K112" i="5"/>
  <c r="L112" i="5" s="1"/>
  <c r="M113" i="5"/>
  <c r="N113" i="5" s="1"/>
  <c r="O113" i="5" s="1"/>
  <c r="K122" i="5"/>
  <c r="L122" i="5" s="1"/>
  <c r="K125" i="5"/>
  <c r="L125" i="5" s="1"/>
  <c r="I145" i="5"/>
  <c r="K129" i="5"/>
  <c r="M137" i="5"/>
  <c r="N137" i="5" s="1"/>
  <c r="O137" i="5" s="1"/>
  <c r="H159" i="5"/>
  <c r="I159" i="5"/>
  <c r="K7" i="5"/>
  <c r="H162" i="5"/>
  <c r="K19" i="5"/>
  <c r="K164" i="5" s="1"/>
  <c r="I163" i="5"/>
  <c r="K182" i="5"/>
  <c r="L32" i="5"/>
  <c r="L33" i="5"/>
  <c r="M35" i="5"/>
  <c r="N35" i="5" s="1"/>
  <c r="O35" i="5" s="1"/>
  <c r="M40" i="5"/>
  <c r="O43" i="5"/>
  <c r="M48" i="5"/>
  <c r="N48" i="5" s="1"/>
  <c r="O48" i="5" s="1"/>
  <c r="M56" i="5"/>
  <c r="N56" i="5" s="1"/>
  <c r="O56" i="5" s="1"/>
  <c r="O59" i="5"/>
  <c r="M64" i="5"/>
  <c r="N64" i="5" s="1"/>
  <c r="O64" i="5" s="1"/>
  <c r="K75" i="5"/>
  <c r="L75" i="5" s="1"/>
  <c r="K82" i="5"/>
  <c r="L82" i="5" s="1"/>
  <c r="K93" i="5"/>
  <c r="L93" i="5" s="1"/>
  <c r="K103" i="5"/>
  <c r="L103" i="5" s="1"/>
  <c r="K108" i="5"/>
  <c r="L108" i="5" s="1"/>
  <c r="K111" i="5"/>
  <c r="L111" i="5" s="1"/>
  <c r="K121" i="5"/>
  <c r="L121" i="5" s="1"/>
  <c r="M123" i="5"/>
  <c r="N123" i="5" s="1"/>
  <c r="O123" i="5" s="1"/>
  <c r="M130" i="5"/>
  <c r="N130" i="5" s="1"/>
  <c r="O130" i="5" s="1"/>
  <c r="K148" i="5"/>
  <c r="L148" i="5" s="1"/>
  <c r="K184" i="5"/>
  <c r="I166" i="5"/>
  <c r="K69" i="5"/>
  <c r="L69" i="5" s="1"/>
  <c r="K80" i="5"/>
  <c r="L80" i="5" s="1"/>
  <c r="K87" i="5"/>
  <c r="L87" i="5" s="1"/>
  <c r="K107" i="5"/>
  <c r="L107" i="5" s="1"/>
  <c r="K127" i="5"/>
  <c r="L127" i="5" s="1"/>
  <c r="K149" i="5"/>
  <c r="L149" i="5" s="1"/>
  <c r="K180" i="5"/>
  <c r="I162" i="5"/>
  <c r="K25" i="5"/>
  <c r="K29" i="5"/>
  <c r="L29" i="5" s="1"/>
  <c r="K37" i="5"/>
  <c r="L37" i="5" s="1"/>
  <c r="K42" i="5"/>
  <c r="L42" i="5" s="1"/>
  <c r="L47" i="5"/>
  <c r="K50" i="5"/>
  <c r="K58" i="5"/>
  <c r="L58" i="5" s="1"/>
  <c r="L63" i="5"/>
  <c r="K66" i="5"/>
  <c r="L66" i="5" s="1"/>
  <c r="K67" i="5"/>
  <c r="L67" i="5" s="1"/>
  <c r="K74" i="5"/>
  <c r="L74" i="5" s="1"/>
  <c r="M81" i="5"/>
  <c r="N81" i="5" s="1"/>
  <c r="O81" i="5" s="1"/>
  <c r="L84" i="5"/>
  <c r="M90" i="5"/>
  <c r="N90" i="5" s="1"/>
  <c r="O90" i="5" s="1"/>
  <c r="M98" i="5"/>
  <c r="N98" i="5" s="1"/>
  <c r="O98" i="5" s="1"/>
  <c r="K102" i="5"/>
  <c r="L102" i="5" s="1"/>
  <c r="I128" i="5"/>
  <c r="K105" i="5"/>
  <c r="O106" i="5"/>
  <c r="K116" i="5"/>
  <c r="L116" i="5" s="1"/>
  <c r="L54" i="5"/>
  <c r="K78" i="5"/>
  <c r="L78" i="5" s="1"/>
  <c r="L94" i="5"/>
  <c r="K95" i="5"/>
  <c r="L95" i="5" s="1"/>
  <c r="I172" i="5"/>
  <c r="K183" i="5"/>
  <c r="I165" i="5"/>
  <c r="K126" i="5"/>
  <c r="L126" i="5" s="1"/>
  <c r="L136" i="5"/>
  <c r="K147" i="5"/>
  <c r="L147" i="5" s="1"/>
  <c r="I151" i="5"/>
  <c r="K41" i="5"/>
  <c r="L41" i="5" s="1"/>
  <c r="I104" i="5"/>
  <c r="L46" i="5"/>
  <c r="L62" i="5"/>
  <c r="L71" i="5"/>
  <c r="K119" i="5"/>
  <c r="L119" i="5" s="1"/>
  <c r="K132" i="5"/>
  <c r="L132" i="5" s="1"/>
  <c r="L133" i="5"/>
  <c r="L140" i="5"/>
  <c r="K144" i="5"/>
  <c r="L144" i="5" s="1"/>
  <c r="I157" i="5"/>
  <c r="L70" i="5"/>
  <c r="L76" i="5"/>
  <c r="L79" i="5"/>
  <c r="K89" i="5"/>
  <c r="K178" i="5"/>
  <c r="L120" i="5"/>
  <c r="K143" i="5"/>
  <c r="L177" i="5" s="1"/>
  <c r="K177" i="5"/>
  <c r="K146" i="5"/>
  <c r="K189" i="5"/>
  <c r="I164" i="5"/>
  <c r="H164" i="5"/>
  <c r="G153" i="5"/>
  <c r="I158" i="5"/>
  <c r="P161" i="5"/>
  <c r="H165" i="5"/>
  <c r="O51" i="5" l="1"/>
  <c r="O97" i="5"/>
  <c r="L176" i="5"/>
  <c r="L182" i="5"/>
  <c r="M131" i="5"/>
  <c r="N131" i="5" s="1"/>
  <c r="O131" i="5" s="1"/>
  <c r="O38" i="5"/>
  <c r="K163" i="5"/>
  <c r="O139" i="5"/>
  <c r="M110" i="5"/>
  <c r="N110" i="5" s="1"/>
  <c r="O110" i="5" s="1"/>
  <c r="M109" i="5"/>
  <c r="N109" i="5" s="1"/>
  <c r="O109" i="5" s="1"/>
  <c r="M26" i="5"/>
  <c r="N26" i="5" s="1"/>
  <c r="O26" i="5" s="1"/>
  <c r="M118" i="5"/>
  <c r="N118" i="5" s="1"/>
  <c r="O118" i="5" s="1"/>
  <c r="M85" i="5"/>
  <c r="N85" i="5" s="1"/>
  <c r="O85" i="5" s="1"/>
  <c r="H168" i="5"/>
  <c r="K145" i="5"/>
  <c r="M49" i="5"/>
  <c r="N49" i="5" s="1"/>
  <c r="O49" i="5" s="1"/>
  <c r="L72" i="5"/>
  <c r="L163" i="5" s="1"/>
  <c r="K165" i="5"/>
  <c r="K157" i="5"/>
  <c r="L129" i="5"/>
  <c r="M129" i="5" s="1"/>
  <c r="K159" i="5"/>
  <c r="M117" i="5"/>
  <c r="N117" i="5" s="1"/>
  <c r="O117" i="5" s="1"/>
  <c r="M88" i="5"/>
  <c r="N88" i="5" s="1"/>
  <c r="O88" i="5" s="1"/>
  <c r="I168" i="5"/>
  <c r="M103" i="5"/>
  <c r="N103" i="5" s="1"/>
  <c r="O103" i="5" s="1"/>
  <c r="M75" i="5"/>
  <c r="N75" i="5" s="1"/>
  <c r="O75" i="5" s="1"/>
  <c r="M122" i="5"/>
  <c r="N122" i="5" s="1"/>
  <c r="O122" i="5" s="1"/>
  <c r="M96" i="5"/>
  <c r="N96" i="5" s="1"/>
  <c r="O96" i="5" s="1"/>
  <c r="L167" i="5"/>
  <c r="M185" i="5"/>
  <c r="M83" i="5"/>
  <c r="M13" i="5"/>
  <c r="N13" i="5" s="1"/>
  <c r="O13" i="5" s="1"/>
  <c r="M147" i="5"/>
  <c r="N147" i="5" s="1"/>
  <c r="O147" i="5" s="1"/>
  <c r="M95" i="5"/>
  <c r="N95" i="5" s="1"/>
  <c r="O95" i="5" s="1"/>
  <c r="M67" i="5"/>
  <c r="N67" i="5" s="1"/>
  <c r="O67" i="5" s="1"/>
  <c r="M58" i="5"/>
  <c r="N58" i="5" s="1"/>
  <c r="O58" i="5" s="1"/>
  <c r="M148" i="5"/>
  <c r="N148" i="5" s="1"/>
  <c r="O148" i="5" s="1"/>
  <c r="M99" i="5"/>
  <c r="N99" i="5" s="1"/>
  <c r="O99" i="5" s="1"/>
  <c r="M20" i="5"/>
  <c r="N20" i="5" s="1"/>
  <c r="O20" i="5" s="1"/>
  <c r="M17" i="5"/>
  <c r="N17" i="5" s="1"/>
  <c r="O17" i="5" s="1"/>
  <c r="M69" i="5"/>
  <c r="N69" i="5" s="1"/>
  <c r="O69" i="5" s="1"/>
  <c r="M111" i="5"/>
  <c r="N111" i="5" s="1"/>
  <c r="O111" i="5" s="1"/>
  <c r="M93" i="5"/>
  <c r="N93" i="5" s="1"/>
  <c r="O93" i="5" s="1"/>
  <c r="M144" i="5"/>
  <c r="N144" i="5" s="1"/>
  <c r="O144" i="5" s="1"/>
  <c r="M132" i="5"/>
  <c r="N132" i="5" s="1"/>
  <c r="O132" i="5" s="1"/>
  <c r="M116" i="5"/>
  <c r="N116" i="5" s="1"/>
  <c r="O116" i="5" s="1"/>
  <c r="M29" i="5"/>
  <c r="N29" i="5" s="1"/>
  <c r="O29" i="5" s="1"/>
  <c r="M127" i="5"/>
  <c r="N127" i="5" s="1"/>
  <c r="O127" i="5" s="1"/>
  <c r="M82" i="5"/>
  <c r="N82" i="5" s="1"/>
  <c r="O82" i="5" s="1"/>
  <c r="M112" i="5"/>
  <c r="N112" i="5" s="1"/>
  <c r="O112" i="5" s="1"/>
  <c r="M53" i="5"/>
  <c r="N53" i="5" s="1"/>
  <c r="O53" i="5" s="1"/>
  <c r="M21" i="5"/>
  <c r="N21" i="5" s="1"/>
  <c r="O21" i="5" s="1"/>
  <c r="L143" i="5"/>
  <c r="L145" i="5" s="1"/>
  <c r="M42" i="5"/>
  <c r="N42" i="5" s="1"/>
  <c r="O42" i="5" s="1"/>
  <c r="M121" i="5"/>
  <c r="N121" i="5" s="1"/>
  <c r="O121" i="5" s="1"/>
  <c r="M108" i="5"/>
  <c r="N108" i="5" s="1"/>
  <c r="O108" i="5" s="1"/>
  <c r="M33" i="5"/>
  <c r="N33" i="5" s="1"/>
  <c r="O33" i="5" s="1"/>
  <c r="L181" i="5"/>
  <c r="L19" i="5"/>
  <c r="L180" i="5"/>
  <c r="K162" i="5"/>
  <c r="M16" i="5"/>
  <c r="N16" i="5" s="1"/>
  <c r="O16" i="5" s="1"/>
  <c r="M70" i="5"/>
  <c r="N70" i="5" s="1"/>
  <c r="O70" i="5" s="1"/>
  <c r="M71" i="5"/>
  <c r="N71" i="5" s="1"/>
  <c r="O71" i="5" s="1"/>
  <c r="M41" i="5"/>
  <c r="N41" i="5" s="1"/>
  <c r="O41" i="5" s="1"/>
  <c r="M136" i="5"/>
  <c r="N136" i="5" s="1"/>
  <c r="O136" i="5" s="1"/>
  <c r="M183" i="5"/>
  <c r="M126" i="5"/>
  <c r="L172" i="5"/>
  <c r="L165" i="5"/>
  <c r="M54" i="5"/>
  <c r="N54" i="5" s="1"/>
  <c r="O54" i="5" s="1"/>
  <c r="K128" i="5"/>
  <c r="M102" i="5"/>
  <c r="N102" i="5" s="1"/>
  <c r="O102" i="5" s="1"/>
  <c r="M66" i="5"/>
  <c r="N66" i="5" s="1"/>
  <c r="O66" i="5" s="1"/>
  <c r="M149" i="5"/>
  <c r="N149" i="5" s="1"/>
  <c r="O149" i="5" s="1"/>
  <c r="M87" i="5"/>
  <c r="N87" i="5" s="1"/>
  <c r="O87" i="5" s="1"/>
  <c r="M80" i="5"/>
  <c r="N80" i="5" s="1"/>
  <c r="O80" i="5" s="1"/>
  <c r="L178" i="5"/>
  <c r="K158" i="5"/>
  <c r="L89" i="5"/>
  <c r="M140" i="5"/>
  <c r="N140" i="5" s="1"/>
  <c r="O140" i="5" s="1"/>
  <c r="M62" i="5"/>
  <c r="N62" i="5" s="1"/>
  <c r="O62" i="5" s="1"/>
  <c r="I153" i="5"/>
  <c r="L183" i="5"/>
  <c r="K172" i="5"/>
  <c r="M94" i="5"/>
  <c r="N94" i="5" s="1"/>
  <c r="O94" i="5" s="1"/>
  <c r="L105" i="5"/>
  <c r="M63" i="5"/>
  <c r="N63" i="5" s="1"/>
  <c r="O63" i="5" s="1"/>
  <c r="L50" i="5"/>
  <c r="L184" i="5"/>
  <c r="K166" i="5"/>
  <c r="N40" i="5"/>
  <c r="M32" i="5"/>
  <c r="N32" i="5" s="1"/>
  <c r="O32" i="5" s="1"/>
  <c r="M12" i="5"/>
  <c r="L25" i="5"/>
  <c r="M107" i="5"/>
  <c r="N107" i="5" s="1"/>
  <c r="O107" i="5" s="1"/>
  <c r="M125" i="5"/>
  <c r="N125" i="5" s="1"/>
  <c r="O125" i="5" s="1"/>
  <c r="K104" i="5"/>
  <c r="M86" i="5"/>
  <c r="N86" i="5" s="1"/>
  <c r="O86" i="5" s="1"/>
  <c r="M61" i="5"/>
  <c r="N61" i="5" s="1"/>
  <c r="O61" i="5" s="1"/>
  <c r="M45" i="5"/>
  <c r="N45" i="5" s="1"/>
  <c r="O45" i="5" s="1"/>
  <c r="L179" i="5"/>
  <c r="K186" i="5"/>
  <c r="M79" i="5"/>
  <c r="N79" i="5" s="1"/>
  <c r="O79" i="5" s="1"/>
  <c r="M119" i="5"/>
  <c r="N119" i="5" s="1"/>
  <c r="O119" i="5" s="1"/>
  <c r="M46" i="5"/>
  <c r="N46" i="5" s="1"/>
  <c r="O46" i="5" s="1"/>
  <c r="M78" i="5"/>
  <c r="N78" i="5" s="1"/>
  <c r="O78" i="5" s="1"/>
  <c r="M74" i="5"/>
  <c r="N74" i="5" s="1"/>
  <c r="O74" i="5" s="1"/>
  <c r="M47" i="5"/>
  <c r="N47" i="5" s="1"/>
  <c r="O47" i="5" s="1"/>
  <c r="M37" i="5"/>
  <c r="N37" i="5" s="1"/>
  <c r="O37" i="5" s="1"/>
  <c r="L189" i="5"/>
  <c r="K151" i="5"/>
  <c r="L146" i="5"/>
  <c r="M120" i="5"/>
  <c r="N120" i="5" s="1"/>
  <c r="O120" i="5" s="1"/>
  <c r="M76" i="5"/>
  <c r="N76" i="5" s="1"/>
  <c r="O76" i="5" s="1"/>
  <c r="M133" i="5"/>
  <c r="N133" i="5" s="1"/>
  <c r="O133" i="5" s="1"/>
  <c r="M84" i="5"/>
  <c r="N84" i="5" s="1"/>
  <c r="O84" i="5" s="1"/>
  <c r="L7" i="5"/>
  <c r="K39" i="5"/>
  <c r="L185" i="5"/>
  <c r="K167" i="5"/>
  <c r="N22" i="5"/>
  <c r="M9" i="5"/>
  <c r="N9" i="5" s="1"/>
  <c r="O9" i="5" s="1"/>
  <c r="L8" i="5"/>
  <c r="M182" i="5" l="1"/>
  <c r="L104" i="5"/>
  <c r="M72" i="5"/>
  <c r="K168" i="5"/>
  <c r="L128" i="5"/>
  <c r="M105" i="5"/>
  <c r="O22" i="5"/>
  <c r="L151" i="5"/>
  <c r="M189" i="5"/>
  <c r="M146" i="5"/>
  <c r="L162" i="5"/>
  <c r="M180" i="5"/>
  <c r="M8" i="5"/>
  <c r="K153" i="5"/>
  <c r="N12" i="5"/>
  <c r="M50" i="5"/>
  <c r="N50" i="5" s="1"/>
  <c r="O50" i="5" s="1"/>
  <c r="M177" i="5"/>
  <c r="M143" i="5"/>
  <c r="M145" i="5" s="1"/>
  <c r="N185" i="5"/>
  <c r="R185" i="5" s="1"/>
  <c r="M167" i="5"/>
  <c r="P167" i="5" s="1"/>
  <c r="N83" i="5"/>
  <c r="M176" i="5"/>
  <c r="L39" i="5"/>
  <c r="M7" i="5"/>
  <c r="L159" i="5"/>
  <c r="M184" i="5"/>
  <c r="M25" i="5"/>
  <c r="L166" i="5"/>
  <c r="M179" i="5"/>
  <c r="O40" i="5"/>
  <c r="M178" i="5"/>
  <c r="L158" i="5"/>
  <c r="M89" i="5"/>
  <c r="N183" i="5"/>
  <c r="R183" i="5" s="1"/>
  <c r="M172" i="5"/>
  <c r="N126" i="5"/>
  <c r="M165" i="5"/>
  <c r="P165" i="5" s="1"/>
  <c r="N129" i="5"/>
  <c r="L157" i="5"/>
  <c r="L186" i="5"/>
  <c r="M181" i="5"/>
  <c r="M19" i="5"/>
  <c r="L164" i="5"/>
  <c r="L153" i="5" l="1"/>
  <c r="N72" i="5"/>
  <c r="N182" i="5"/>
  <c r="R182" i="5" s="1"/>
  <c r="M163" i="5"/>
  <c r="P163" i="5" s="1"/>
  <c r="M157" i="5"/>
  <c r="P157" i="5" s="1"/>
  <c r="N179" i="5"/>
  <c r="R179" i="5" s="1"/>
  <c r="L168" i="5"/>
  <c r="N172" i="5"/>
  <c r="O183" i="5"/>
  <c r="N165" i="5"/>
  <c r="O126" i="5"/>
  <c r="N176" i="5"/>
  <c r="R176" i="5" s="1"/>
  <c r="M39" i="5"/>
  <c r="N7" i="5"/>
  <c r="M159" i="5"/>
  <c r="P159" i="5" s="1"/>
  <c r="O12" i="5"/>
  <c r="N180" i="5"/>
  <c r="R180" i="5" s="1"/>
  <c r="M162" i="5"/>
  <c r="P162" i="5" s="1"/>
  <c r="N8" i="5"/>
  <c r="N189" i="5"/>
  <c r="R189" i="5" s="1"/>
  <c r="M151" i="5"/>
  <c r="N146" i="5"/>
  <c r="O129" i="5"/>
  <c r="M128" i="5"/>
  <c r="N105" i="5"/>
  <c r="N157" i="5" s="1"/>
  <c r="M186" i="5"/>
  <c r="N177" i="5"/>
  <c r="R177" i="5" s="1"/>
  <c r="N143" i="5"/>
  <c r="N145" i="5" s="1"/>
  <c r="N181" i="5"/>
  <c r="R181" i="5" s="1"/>
  <c r="N19" i="5"/>
  <c r="M164" i="5"/>
  <c r="P164" i="5" s="1"/>
  <c r="N178" i="5"/>
  <c r="R178" i="5" s="1"/>
  <c r="N89" i="5"/>
  <c r="M158" i="5"/>
  <c r="P158" i="5" s="1"/>
  <c r="N184" i="5"/>
  <c r="R184" i="5" s="1"/>
  <c r="M166" i="5"/>
  <c r="P166" i="5" s="1"/>
  <c r="N25" i="5"/>
  <c r="O185" i="5"/>
  <c r="N167" i="5"/>
  <c r="O83" i="5"/>
  <c r="M104" i="5"/>
  <c r="O179" i="5" l="1"/>
  <c r="O72" i="5"/>
  <c r="N163" i="5"/>
  <c r="O182" i="5"/>
  <c r="O178" i="5"/>
  <c r="N158" i="5"/>
  <c r="O89" i="5"/>
  <c r="N104" i="5"/>
  <c r="O176" i="5"/>
  <c r="N39" i="5"/>
  <c r="N159" i="5"/>
  <c r="O7" i="5"/>
  <c r="P183" i="5"/>
  <c r="O172" i="5"/>
  <c r="O165" i="5"/>
  <c r="O184" i="5"/>
  <c r="N166" i="5"/>
  <c r="O25" i="5"/>
  <c r="O181" i="5"/>
  <c r="N164" i="5"/>
  <c r="O19" i="5"/>
  <c r="O180" i="5"/>
  <c r="N162" i="5"/>
  <c r="O8" i="5"/>
  <c r="P185" i="5"/>
  <c r="O167" i="5"/>
  <c r="N151" i="5"/>
  <c r="O189" i="5"/>
  <c r="O146" i="5"/>
  <c r="N186" i="5"/>
  <c r="M168" i="5"/>
  <c r="O177" i="5"/>
  <c r="O143" i="5"/>
  <c r="P177" i="5" s="1"/>
  <c r="N128" i="5"/>
  <c r="O105" i="5"/>
  <c r="O128" i="5" s="1"/>
  <c r="M153" i="5"/>
  <c r="N153" i="5" l="1"/>
  <c r="O163" i="5"/>
  <c r="P182" i="5"/>
  <c r="N168" i="5"/>
  <c r="O157" i="5"/>
  <c r="P176" i="5"/>
  <c r="O39" i="5"/>
  <c r="O159" i="5"/>
  <c r="P179" i="5"/>
  <c r="P189" i="5"/>
  <c r="O151" i="5"/>
  <c r="O145" i="5"/>
  <c r="P184" i="5"/>
  <c r="O166" i="5"/>
  <c r="P180" i="5"/>
  <c r="O162" i="5"/>
  <c r="P181" i="5"/>
  <c r="O164" i="5"/>
  <c r="O186" i="5"/>
  <c r="P178" i="5"/>
  <c r="O158" i="5"/>
  <c r="O104" i="5"/>
  <c r="O153" i="5" l="1"/>
  <c r="P186" i="5"/>
  <c r="P190" i="5" s="1"/>
  <c r="O168" i="5"/>
  <c r="P216" i="7" l="1"/>
</calcChain>
</file>

<file path=xl/comments1.xml><?xml version="1.0" encoding="utf-8"?>
<comments xmlns="http://schemas.openxmlformats.org/spreadsheetml/2006/main">
  <authors>
    <author>Tesoreria</author>
    <author>FACTURACION</author>
  </authors>
  <commentList>
    <comment ref="P72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O170" authorId="1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2.xml><?xml version="1.0" encoding="utf-8"?>
<comments xmlns="http://schemas.openxmlformats.org/spreadsheetml/2006/main">
  <authors>
    <author>tc={A68D128F-DE90-46A1-B351-1DD6C7DD6DFE}</author>
    <author>Tesoreria</author>
    <author>FACTURACION</author>
  </authors>
  <commentList>
    <comment ref="J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P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O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3.xml><?xml version="1.0" encoding="utf-8"?>
<comments xmlns="http://schemas.openxmlformats.org/spreadsheetml/2006/main">
  <authors>
    <author>tc={767CE735-F763-4D1C-9EB7-11379A79DDB5}</author>
    <author>Tesoreria</author>
    <author>FACTURACION</author>
  </authors>
  <commentList>
    <comment ref="L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R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Q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4.xml><?xml version="1.0" encoding="utf-8"?>
<comments xmlns="http://schemas.openxmlformats.org/spreadsheetml/2006/main">
  <authors>
    <author>Tesoreria</author>
  </authors>
  <commentList>
    <comment ref="O88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</commentList>
</comments>
</file>

<file path=xl/sharedStrings.xml><?xml version="1.0" encoding="utf-8"?>
<sst xmlns="http://schemas.openxmlformats.org/spreadsheetml/2006/main" count="1815" uniqueCount="327">
  <si>
    <t>UNION TEMPORAL STC SEGURIDAD</t>
  </si>
  <si>
    <t xml:space="preserve">SECRETARIA DE SALUD SUBRED INTEGRADA DE SERVICIO DE SALUD OCCIDENTE E.S.E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</si>
  <si>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SEDES</t>
  </si>
  <si>
    <t>DISTRIBUCION</t>
  </si>
  <si>
    <t>UBICACIÓN</t>
  </si>
  <si>
    <t>No. DE SERVICIOS</t>
  </si>
  <si>
    <t>TIPO DE SERVICIO</t>
  </si>
  <si>
    <t>DIAS</t>
  </si>
  <si>
    <t>COSTO DIRECTO</t>
  </si>
  <si>
    <t xml:space="preserve">A Y S  </t>
  </si>
  <si>
    <t>SUBTOTAL</t>
  </si>
  <si>
    <t>BASE IVA</t>
  </si>
  <si>
    <t>IVA 19%</t>
  </si>
  <si>
    <t>TOTAL</t>
  </si>
  <si>
    <t>SEPECOL</t>
  </si>
  <si>
    <t>SERVICIO 24 HORAS PERMANENTE SIN ARMA</t>
  </si>
  <si>
    <t>SERVICIO 12 HORAS PERMANENTE SIN ARMA</t>
  </si>
  <si>
    <t>SERVICIO 12 HORAS LUNES A SABADO SIN ARMA</t>
  </si>
  <si>
    <t xml:space="preserve">SUPERVISORES </t>
  </si>
  <si>
    <t xml:space="preserve">SERVICIO 14 HORAS DIURNO LUNES  A SABADO </t>
  </si>
  <si>
    <t xml:space="preserve">SERVICIO 14 HORAS DIURNO LUNES  A DOMINGO </t>
  </si>
  <si>
    <t xml:space="preserve">SERVICIO 8 HORAS DIURNO LUNES A SABADO </t>
  </si>
  <si>
    <t xml:space="preserve">CAD DELICIAS </t>
  </si>
  <si>
    <t xml:space="preserve">ARCHIVO CARVAJAL </t>
  </si>
  <si>
    <t xml:space="preserve">SALUD MENTAL </t>
  </si>
  <si>
    <t>BODEGA  GORGONZOLA ACT.FIJO</t>
  </si>
  <si>
    <t>SERVICIO 24 HORAS PERMANENTE CON ARMA</t>
  </si>
  <si>
    <t>PAPS CENTRO DIA L-S</t>
  </si>
  <si>
    <t xml:space="preserve">PAPS 48 SAN PABLO L- S </t>
  </si>
  <si>
    <t xml:space="preserve">PAPS 49 INTERNACIONAL L- S </t>
  </si>
  <si>
    <t xml:space="preserve">PAPS 50 PUERTA DE TEJA L-S </t>
  </si>
  <si>
    <t xml:space="preserve">SALUD PUBLICA l-s 14 horas </t>
  </si>
  <si>
    <t xml:space="preserve">PAPS 51 ZONA FRANCA PARQ. </t>
  </si>
  <si>
    <t>PAPS ZONA FRANCA PPAL 8 HORAS L-S</t>
  </si>
  <si>
    <t>PAPS ZONA FRANCA PPAL</t>
  </si>
  <si>
    <t xml:space="preserve">PAPS ZONA FRANCA REC. LS </t>
  </si>
  <si>
    <t>CAPS 1 BOSTON PUERTA PRINCIPAL</t>
  </si>
  <si>
    <t>CAPS 1 BOSTON RECORREDOR</t>
  </si>
  <si>
    <t>CAPS 2 PUERTA VEHICULAR URGENCIAS</t>
  </si>
  <si>
    <t xml:space="preserve">CAPS 2 REGISTRO URG. </t>
  </si>
  <si>
    <t xml:space="preserve">CAPS 2 PASILLO URG. </t>
  </si>
  <si>
    <t xml:space="preserve">CAPS 2 CONSULTA EXT. </t>
  </si>
  <si>
    <t xml:space="preserve">CAPS 2 MONITOREO </t>
  </si>
  <si>
    <t xml:space="preserve">CAPS 2 RECORREDOR </t>
  </si>
  <si>
    <t xml:space="preserve">CAPS 2 FICHERO </t>
  </si>
  <si>
    <t>CAPS 2 LABORATORIO</t>
  </si>
  <si>
    <t xml:space="preserve">SEDE ADMINISTRTIVA BOSTON 14 horas L-S </t>
  </si>
  <si>
    <t xml:space="preserve">ARCHIVO MONTEVIDEO L- S </t>
  </si>
  <si>
    <t xml:space="preserve">CAPS PATIO BONITO URG. </t>
  </si>
  <si>
    <t xml:space="preserve">CAPS PATIO BON CONS. EXT. </t>
  </si>
  <si>
    <t>CAPS PATIO BONITO SUPERVISOR</t>
  </si>
  <si>
    <t xml:space="preserve">CAPS GALAN URG. </t>
  </si>
  <si>
    <t xml:space="preserve">CAPS GALAN FILTRO </t>
  </si>
  <si>
    <t xml:space="preserve">CAPS GALAN CONSULTA EXT. L-S </t>
  </si>
  <si>
    <t xml:space="preserve">CAPS GALAN 2 PISO LAB C. EXT L-S </t>
  </si>
  <si>
    <t xml:space="preserve">CAPS GALAN SUPERVISOR </t>
  </si>
  <si>
    <t xml:space="preserve">PAPS VISION COLOMBIA L-V </t>
  </si>
  <si>
    <t>SERVICIO 12 HORAS LUNES A VIERNES SIN ARMA</t>
  </si>
  <si>
    <t xml:space="preserve">PAPS  PIO 12 L- V </t>
  </si>
  <si>
    <t xml:space="preserve">PAPS CLASS L- V </t>
  </si>
  <si>
    <t xml:space="preserve">PAPS ARGELIA L- V </t>
  </si>
  <si>
    <t xml:space="preserve">PAPS ALQUERIA L-V </t>
  </si>
  <si>
    <t xml:space="preserve">PAPS BOMBEROS 1 24 H 1 8 H </t>
  </si>
  <si>
    <t xml:space="preserve">PAPS MEXICANA </t>
  </si>
  <si>
    <t xml:space="preserve">PAPS DINDALITO </t>
  </si>
  <si>
    <t xml:space="preserve">PAPS GERIATRICO ABASTOS </t>
  </si>
  <si>
    <t xml:space="preserve">PAPS CATALINA </t>
  </si>
  <si>
    <t xml:space="preserve">PAPSPUENTE ARANDA </t>
  </si>
  <si>
    <t xml:space="preserve">PAPS 29 KENNEDY </t>
  </si>
  <si>
    <t xml:space="preserve">PAPS CUNDINAMARCA </t>
  </si>
  <si>
    <t xml:space="preserve">PAPS ASUNCION BOCHICA </t>
  </si>
  <si>
    <t xml:space="preserve">PAPS BRITALIA </t>
  </si>
  <si>
    <t xml:space="preserve">PAPS CARVAJAL </t>
  </si>
  <si>
    <t xml:space="preserve">ASDINGO </t>
  </si>
  <si>
    <t>SERVICIO 12 HORAS NOCTURNO SIN ARMA</t>
  </si>
  <si>
    <t xml:space="preserve">BODEGA SANTA RITA L-V ACT. FIJO </t>
  </si>
  <si>
    <t>PAPS PATIOS L-S</t>
  </si>
  <si>
    <t>PUNTO VIVE DIGITAL</t>
  </si>
  <si>
    <t xml:space="preserve">SERVICIO 8 HORAS LUNES A SABADO CON FESTIVOS </t>
  </si>
  <si>
    <t>SERVICIO 14 HORAS LUNES A VIERNES Y SABADO DE 8:00 A 4:00 PM SIN ARMA</t>
  </si>
  <si>
    <t xml:space="preserve">LOCALIDAD DE BOSA </t>
  </si>
  <si>
    <t>LOCALIDAD DE KENNEDY</t>
  </si>
  <si>
    <t xml:space="preserve">LOCALIDAD FONTIBON </t>
  </si>
  <si>
    <t xml:space="preserve">LOCALIDAD DE PUENTE ARANDA </t>
  </si>
  <si>
    <t xml:space="preserve">PAPS ALCALA MUZU </t>
  </si>
  <si>
    <t xml:space="preserve">ADICIONALES </t>
  </si>
  <si>
    <t xml:space="preserve"> </t>
  </si>
  <si>
    <t>modalidad fija</t>
  </si>
  <si>
    <t>adicionales</t>
  </si>
  <si>
    <t xml:space="preserve">PABLO VI - URGENCIAS </t>
  </si>
  <si>
    <t xml:space="preserve">PABLO VI - CONSULTA EXTERNA </t>
  </si>
  <si>
    <t xml:space="preserve">BOSA - URGENCIA </t>
  </si>
  <si>
    <t>BOSA - FILTRO URGENCIAS</t>
  </si>
  <si>
    <t xml:space="preserve">TINTAL - MONITOREO </t>
  </si>
  <si>
    <t xml:space="preserve">KENNEDY - MEDICINA INT. HOSP. </t>
  </si>
  <si>
    <t xml:space="preserve">KENNEDY - SUPERVISORES </t>
  </si>
  <si>
    <t>KENNEDY - ORTOPÉDIA Y QUIRURGICAS</t>
  </si>
  <si>
    <t xml:space="preserve">KENNEDY- RECORREDOR GEN. </t>
  </si>
  <si>
    <t xml:space="preserve">KENNEDY- PARQUEADERO URG. </t>
  </si>
  <si>
    <t>KENNEDY - MEDICINA INTERNA ESPECIALIDADES</t>
  </si>
  <si>
    <t xml:space="preserve">KENNEDY- RECIEN NACIDOS Y MAT. </t>
  </si>
  <si>
    <t xml:space="preserve">KENNEDY - SALA DE PARTOS </t>
  </si>
  <si>
    <t xml:space="preserve">KENNEDY- PASILLO PSIQUIATRIA </t>
  </si>
  <si>
    <t xml:space="preserve">KENNEDY- UCI </t>
  </si>
  <si>
    <t xml:space="preserve">KENNEDY- PUERTA ENTRADA URG. </t>
  </si>
  <si>
    <t xml:space="preserve">KENNEDY- COORDINACION URGENCIAS. </t>
  </si>
  <si>
    <t xml:space="preserve">KENNEDY- PUERTA ENTRADA CONSULTA EXTERNA </t>
  </si>
  <si>
    <t xml:space="preserve">KENNEDY- PUERTA CAPILLA </t>
  </si>
  <si>
    <t xml:space="preserve">KENNEDY- PUERTA FILTRO URG. </t>
  </si>
  <si>
    <t xml:space="preserve">KENNEDY- PUERTA RX </t>
  </si>
  <si>
    <t xml:space="preserve">KENNEDY- PUERTA PPAL </t>
  </si>
  <si>
    <t xml:space="preserve">KENNEDY- EXPANSION URGENCIA S </t>
  </si>
  <si>
    <t xml:space="preserve">KENNEDY- PUERTA PEATONAL PPAL </t>
  </si>
  <si>
    <t xml:space="preserve">KENNEDY- PUERTA ALMACEN 14 HORAS </t>
  </si>
  <si>
    <t>KENNEDY- CHUD Y BICICLETERO</t>
  </si>
  <si>
    <t xml:space="preserve">KENNEDY- MONITOREO </t>
  </si>
  <si>
    <t xml:space="preserve">BOSA - PUERTA PPAL </t>
  </si>
  <si>
    <t xml:space="preserve">BOSA - FICHERO </t>
  </si>
  <si>
    <t xml:space="preserve">BOSA - RECORREDOR </t>
  </si>
  <si>
    <t xml:space="preserve">BOSA - CONSULTA EXT. </t>
  </si>
  <si>
    <t xml:space="preserve">BOSA - SUPERVISORES </t>
  </si>
  <si>
    <t xml:space="preserve">BOSA - URGENCIA DIURNO </t>
  </si>
  <si>
    <t xml:space="preserve">PABLO VI  - CONSULTORIOS </t>
  </si>
  <si>
    <t xml:space="preserve">PABLO VI  - FICHERO </t>
  </si>
  <si>
    <t xml:space="preserve">PABLO VI  - SERVICIOS INTEGRALES L - S </t>
  </si>
  <si>
    <t xml:space="preserve">PABLO VI  - MASTER </t>
  </si>
  <si>
    <t xml:space="preserve">PABLO VI  - FARMACIA L- S </t>
  </si>
  <si>
    <t xml:space="preserve">PABLO VI  - SUPERVISORES </t>
  </si>
  <si>
    <t xml:space="preserve">PABLO VI  - PAPS PIAMONTE UNO 12 DD Y UNO 12 H LS </t>
  </si>
  <si>
    <t xml:space="preserve">PABLO VI - PAPS ESTACION UNO 14 HL-S Y UNO 12H LD </t>
  </si>
  <si>
    <t xml:space="preserve">PABLO VI - PAPS CARBONEL </t>
  </si>
  <si>
    <t xml:space="preserve">PABLO VI - PAPS PALESTINA L-S </t>
  </si>
  <si>
    <t xml:space="preserve">PABLO VI - PAPS LAURELES - 14 HORAS </t>
  </si>
  <si>
    <t>PABLO VI - PAPS CABAÑAS UNO 14 HORAS L-S  Y UNO  12 DD</t>
  </si>
  <si>
    <t xml:space="preserve">PABLO VI - PAPS CABAÑAS UNO 8 HORAS L-S  </t>
  </si>
  <si>
    <t xml:space="preserve">PABLO VI - PAPS PORVENIR 24 H Y 12 HORAS  LS </t>
  </si>
  <si>
    <t xml:space="preserve">PABLO VI - PAPS OLARTE - 14 HORAS L-S </t>
  </si>
  <si>
    <t xml:space="preserve">PABLO VI - PAPS SAN BERNARDINO L-S </t>
  </si>
  <si>
    <t xml:space="preserve">PABLO VI - LOTE SAN BERNARDINO </t>
  </si>
  <si>
    <t>TINTAL - PUERTA VEHICULAR URG</t>
  </si>
  <si>
    <t>TINTAL - PUERTA VEHICULAR CARGUE</t>
  </si>
  <si>
    <t xml:space="preserve">TINTAL - PUERTA PEATONAL PPAL </t>
  </si>
  <si>
    <t xml:space="preserve">TINTAL - HOSPITALIZACION SEGUNDO PISO </t>
  </si>
  <si>
    <t xml:space="preserve">TINTAL - ENTRADA SALA URG. </t>
  </si>
  <si>
    <t xml:space="preserve">TINTAL - HOSPITALIZACION TERCER PISO </t>
  </si>
  <si>
    <t xml:space="preserve">TINTAL - FILTRO URG. </t>
  </si>
  <si>
    <t xml:space="preserve">TINTAL - RECORREDOR </t>
  </si>
  <si>
    <t xml:space="preserve">TINTAL - CONSULTA EXTERNA L S </t>
  </si>
  <si>
    <t xml:space="preserve">TINTAL - RECEPCION </t>
  </si>
  <si>
    <t xml:space="preserve">KENNEDY- PUERTA INTERNA URGENCIAS ROTONDA. </t>
  </si>
  <si>
    <t xml:space="preserve">KENNEDY- PUERTA REJA URG CARPAS. </t>
  </si>
  <si>
    <t>PRESTACION SERVICIO DE VIGILANCIA DEL DE 1 AL 31 MAYO 2022</t>
  </si>
  <si>
    <t>DESCANSOS GUARDA DE PLANTA DELICIAS DEL 25 AL 31 DE MAYO 2022 (7 NOCHES)</t>
  </si>
  <si>
    <t>DESCANSOS GUARDA DE PLANTA CABAÑAS DEL 5 AL 10 DE MAYO 2022 (6 NOCHES)</t>
  </si>
  <si>
    <t>DESCANSOS GUARDA DE PLANTA PIAMONTE DEL 17 AL 22 DE MAYO 2022 (6 NOCHES)</t>
  </si>
  <si>
    <t>DESCANSOS GUARDA DE PLANTA CARVAJAL DEL 25 AL 31 DE MAYO 2022 (7 NOCHES)</t>
  </si>
  <si>
    <t>COMPENSATORIO PLANTA CARVAJAL DIA 11 DE MAYO  2022 (1 NOCHE)</t>
  </si>
  <si>
    <t xml:space="preserve">KENNEDY- INGRESO URGENCIAS </t>
  </si>
  <si>
    <t>KENNEDY- CHUT Y BICICLETERO</t>
  </si>
  <si>
    <t>PABLO VI - VILLA JAVIER PARQUEADERO</t>
  </si>
  <si>
    <t>PABLO VI - VILLA JAVIER PUERTA PRINCIPAL</t>
  </si>
  <si>
    <t>KENNEDY- PUERTA REJA URGENCIAS</t>
  </si>
  <si>
    <t>PABLO VI - VILLA JAVIER MONITOREO</t>
  </si>
  <si>
    <t>SERVICIO 12 HORAS DIURNO SIN ARMA</t>
  </si>
  <si>
    <t>PABLO VI - VILLA JAVIER RECORREDOR PRIMER PISO</t>
  </si>
  <si>
    <t>PABLO VI - VILLA JAVIER RECORREDOR SEGUNDO PISO</t>
  </si>
  <si>
    <t>CENTRO DE SALUD TINTAL</t>
  </si>
  <si>
    <t>CENTRO DE SALUD TINTAL MONITOREO</t>
  </si>
  <si>
    <t>FACTURACION DIAN</t>
  </si>
  <si>
    <t>PRESTACION SERVICIO DE VIGILANCIA DEL DE 1 AL 31 ENERO 2023</t>
  </si>
  <si>
    <t>PAPS VISION COLOMBIA L-V - FINALIZO 27 ENERO 2023</t>
  </si>
  <si>
    <t>DELICIAS - VACACIONES LOS DIAS DEL 1 AL 19 DE ENERO 2023 - DESCANSOS 30 Y 31 ENERO 2023 (21 NOCHES)</t>
  </si>
  <si>
    <t>CARVAJAL - VACACIONES LOS DIAS DEL 1 AL 19 DE ENERO 2023 DESCANSOS 30 Y 31 ENERO 2023 (21 NOCHES)</t>
  </si>
  <si>
    <t>PIAMONTE -  VACACIONES DEL 1 AL 15 DE ENERO 2023 (15 NOCHES)</t>
  </si>
  <si>
    <t>VACACIONES GUARDA DE PLANTA CABAÑAS DEL 1 AL 5  DE ENERO 2023 - DESCANSOS 30 Y 31 ENERO 2023  ( 7 NOCHES)</t>
  </si>
  <si>
    <t>ESTACION ARREGLOS LOCATIVOS  EL DIA 28 ENERO 2023</t>
  </si>
  <si>
    <t>SERVICIO 12 HORAS NOCTURNO PERMANENTE SIN ARMA</t>
  </si>
  <si>
    <t>CENTRO DE SALUD TINTAL  - RECORREDOR NOCTURNO</t>
  </si>
  <si>
    <t>CAMI PATIO BONITO REFUERZO DIA 7 ENERO 2023</t>
  </si>
  <si>
    <t>CAMI PATIO BONITO REFUERZO DIA 6 ENERO 2023</t>
  </si>
  <si>
    <t>DIA</t>
  </si>
  <si>
    <t>PABLO VI  - ADMINISTRATIVA</t>
  </si>
  <si>
    <t>KENNEDY- PROVISIONAL PSIQUIATRIA URGENCIAS</t>
  </si>
  <si>
    <t>SERVICIO 8 HORAS PERMANENTE SIN ARMA</t>
  </si>
  <si>
    <t>PRIMA DE VIDA</t>
  </si>
  <si>
    <t>DIAS PRESTADOS</t>
  </si>
  <si>
    <t>Z= DIAS PRESTADOS</t>
  </si>
  <si>
    <t>X= No. DE SERVICIOS</t>
  </si>
  <si>
    <t>24 HORAS EN EL DIA</t>
  </si>
  <si>
    <t>DIA AL MES</t>
  </si>
  <si>
    <t>COSTO 2023</t>
  </si>
  <si>
    <t xml:space="preserve">Facturas </t>
  </si>
  <si>
    <t xml:space="preserve">Periodo </t>
  </si>
  <si>
    <t xml:space="preserve">Valor </t>
  </si>
  <si>
    <t>Enero 2023</t>
  </si>
  <si>
    <t xml:space="preserve">Elaboracion </t>
  </si>
  <si>
    <t xml:space="preserve">SUBRED SUR OCCIDENTE </t>
  </si>
  <si>
    <t>Febrero 2023</t>
  </si>
  <si>
    <t>SERVICIO 14 HORAS LUNES A VIERNES SIN ARMA</t>
  </si>
  <si>
    <t>SERVICIO 8 HORAS DIURNO SIN ARMA</t>
  </si>
  <si>
    <t xml:space="preserve">ARCHIVO MONTEVIDEO L- V </t>
  </si>
  <si>
    <t>TORRE URGENCIAS - CUARTO PISO 4° CUIDADOS INTENSIVOS</t>
  </si>
  <si>
    <t>TORRE URGENCIAS - CUARTO PISO 4° NEONATOS</t>
  </si>
  <si>
    <t>TORRE URGENCIAS - CUARTO PISO 4° CUIDADOS INTERMEDIOS</t>
  </si>
  <si>
    <t>TORRE URGENCIAS - TERCER PISO 3° GINECOLOGIA</t>
  </si>
  <si>
    <t>TORRE URGENCIAS - TERCER PISO 3° SALA DE PARTOS</t>
  </si>
  <si>
    <t>TORRE URGENCIAS - SEGUNDO PISO 2° PEDRIATRIA</t>
  </si>
  <si>
    <t>TORRE URGENCIAS - SEGUNDO PISO 2° PSIQUIATRIA</t>
  </si>
  <si>
    <t>TORRE URGENCIAS- PUERTA PRINCIPAL</t>
  </si>
  <si>
    <t>TORRE URGENCIAS-REANIMACION</t>
  </si>
  <si>
    <t xml:space="preserve">SALIDA EMERGENCIA 1 DE MAYO </t>
  </si>
  <si>
    <t>REJA PEATONAL URGENCIAS</t>
  </si>
  <si>
    <t>LACTARIO</t>
  </si>
  <si>
    <t>TALANQUERA</t>
  </si>
  <si>
    <t>SOTANO 1</t>
  </si>
  <si>
    <t xml:space="preserve">SERVICIO EXTERNOS </t>
  </si>
  <si>
    <t>MONITOREO</t>
  </si>
  <si>
    <t>APOYO PUERTA URGENCIAS</t>
  </si>
  <si>
    <t xml:space="preserve">CENTRO DE SALUD MEXICANA </t>
  </si>
  <si>
    <t>TORRE URGENCIAS-FILTROS</t>
  </si>
  <si>
    <t>K</t>
  </si>
  <si>
    <t>%</t>
  </si>
  <si>
    <t>AYS</t>
  </si>
  <si>
    <t>Etiquetas de fila</t>
  </si>
  <si>
    <t>(en blanco)</t>
  </si>
  <si>
    <t>Total general</t>
  </si>
  <si>
    <t>Suma de COSTO DIRECTO</t>
  </si>
  <si>
    <t>Suma de TOTAL</t>
  </si>
  <si>
    <t xml:space="preserve">RECORREDOR </t>
  </si>
  <si>
    <t>DINAPOWER LTDA</t>
  </si>
  <si>
    <t>PASO TORRE 1 ASCENSORES</t>
  </si>
  <si>
    <t>PASO TORRE 2 RADIOLOGIA</t>
  </si>
  <si>
    <t xml:space="preserve">TORRE URGENCIAS PUERTA CRISTAL </t>
  </si>
  <si>
    <t>SERVICIO 12 HORAS NOCTURNO  PERMANENTE SIN ARMA</t>
  </si>
  <si>
    <t xml:space="preserve">PABLO VI - CDS OLARTE - 14 HORAS L-S </t>
  </si>
  <si>
    <t xml:space="preserve">PABLO VI - CDS LAURELES - 12 HORAS </t>
  </si>
  <si>
    <t xml:space="preserve">PABLO VI - CDS PORVENIR 24 H Y 12 HORAS  LS </t>
  </si>
  <si>
    <t xml:space="preserve">PABLO VI - CDS CARBONEL </t>
  </si>
  <si>
    <t xml:space="preserve">PABLO VI - CDS ESTACION UNO 14 HL-S Y UNO 12H LD </t>
  </si>
  <si>
    <t xml:space="preserve">CDS PATIO BONITO URG. </t>
  </si>
  <si>
    <t xml:space="preserve">CDS PATIO BON CONS. EXT. </t>
  </si>
  <si>
    <t xml:space="preserve">CDS PATIO BONITO RECORREDOR </t>
  </si>
  <si>
    <t xml:space="preserve">CDS DELICIAS </t>
  </si>
  <si>
    <t>CDS PATIOS L-S</t>
  </si>
  <si>
    <t xml:space="preserve">CDS BOMBEROS 1 24 H 1 8 H </t>
  </si>
  <si>
    <t xml:space="preserve">CDS GERIATRICO ABASTOS </t>
  </si>
  <si>
    <t xml:space="preserve">CDS CATALINA </t>
  </si>
  <si>
    <t xml:space="preserve">CDS BRITALIA </t>
  </si>
  <si>
    <t xml:space="preserve">CDS CARVAJAL </t>
  </si>
  <si>
    <t>CDS CENTRO DIA L-S</t>
  </si>
  <si>
    <t xml:space="preserve">CDS 48 SAN PABLO L- S </t>
  </si>
  <si>
    <t xml:space="preserve">CDS 49 INTERNACIONAL L- S </t>
  </si>
  <si>
    <t xml:space="preserve">CDS 50 PUERTA DE TEJA L-S </t>
  </si>
  <si>
    <t xml:space="preserve">CDS 51 ZONA FRANCA PARQ. </t>
  </si>
  <si>
    <t>CDS ZONA FRANCA PPAL 8 HORAS L-S</t>
  </si>
  <si>
    <t>CDS ZONA FRANCA PPAL</t>
  </si>
  <si>
    <t xml:space="preserve">CDS ZONA FRANCA REC. LS </t>
  </si>
  <si>
    <t>CDS 1 BOSTON PUERTA PRINCIPAL</t>
  </si>
  <si>
    <t xml:space="preserve">CDS GALAN URG. </t>
  </si>
  <si>
    <t xml:space="preserve">CDS GALAN FILTRO </t>
  </si>
  <si>
    <t xml:space="preserve">CDS GALAN CONSULTA EXT. L-S </t>
  </si>
  <si>
    <t xml:space="preserve">CDS GALAN 2 PISO LAB C. EXT L-S </t>
  </si>
  <si>
    <t xml:space="preserve">CDS ALQUERIA L-V </t>
  </si>
  <si>
    <t xml:space="preserve">CDS PUENTE ARANDA </t>
  </si>
  <si>
    <t xml:space="preserve">CDS ALCALA MUZU </t>
  </si>
  <si>
    <t xml:space="preserve">CDS CUNDINAMARCA </t>
  </si>
  <si>
    <t xml:space="preserve">CDS ASUNCION BOCHICA </t>
  </si>
  <si>
    <t xml:space="preserve">HOSPITAL KENNEDY - MEDICINA INT. HOSP. </t>
  </si>
  <si>
    <t>HOSPITAL KENNEDY - MEDICINA INTERNA ESPECIALIDADES</t>
  </si>
  <si>
    <t>HOSPITAL KENNEDY - KPC AISLADOS Y QUIRURGICAS</t>
  </si>
  <si>
    <t>HOSPITAL KENNEDY-  MATERNIDAD</t>
  </si>
  <si>
    <t xml:space="preserve">HOSPITAL KENNEDY - UCI </t>
  </si>
  <si>
    <t xml:space="preserve">HOSPITAL KENNEDY- SALUD MENTAL 2 PISO </t>
  </si>
  <si>
    <t xml:space="preserve">HOSPITAL KENNEDY- PUERTA ENTRADA CONSULTA EXTERNA </t>
  </si>
  <si>
    <t>HOSPITAL KENNEDY - SALAS DE CX</t>
  </si>
  <si>
    <t xml:space="preserve">HOSPITAL KENNEDY- PUERTA CAPILLA </t>
  </si>
  <si>
    <t xml:space="preserve">HOSPITAL KENNEDY- PUERTA RX </t>
  </si>
  <si>
    <t>HOSPITAL KENNEDY- PUERTA PPAL ENTRADA VISITANTES Y ENTRADA FUNCIONARIOS</t>
  </si>
  <si>
    <t xml:space="preserve">HOSPITAL KENNEDY- PUERTA ALMACEN 14 HORAS </t>
  </si>
  <si>
    <t>HOSPITAL KENNEDY- CHUT Y BICICLETERO</t>
  </si>
  <si>
    <t xml:space="preserve">HOSPITAL KENNEDY- MONITOREO </t>
  </si>
  <si>
    <t xml:space="preserve">HOSPITAL KENNEDY- PARQUEADERO ANTIGUO URG. </t>
  </si>
  <si>
    <t xml:space="preserve">HOSPITAL KENNEDY- RECORREDOR GEN. </t>
  </si>
  <si>
    <t>HOSPITAL SALUD MENTAL FLORALIA</t>
  </si>
  <si>
    <t>HOSPITAL SALUD MENTAL LORALIA</t>
  </si>
  <si>
    <t>HOSPITAL FONTIBON 2 PUERTA VEHICULAR URGENCIAS</t>
  </si>
  <si>
    <t xml:space="preserve">HOSPITAL FONTIBON 2 REGISTRO URG. </t>
  </si>
  <si>
    <t xml:space="preserve">HOSPITAL FONTIBON 2 PASILLO URG. </t>
  </si>
  <si>
    <t xml:space="preserve">HOSPITAL FONTIBON 2 CONSULTA EXT. </t>
  </si>
  <si>
    <t xml:space="preserve">HOSPITAL FONTIBON 2 MONITOREO </t>
  </si>
  <si>
    <t xml:space="preserve">HOSPITAL FONTIBON 2 RECORREDOR </t>
  </si>
  <si>
    <t>HOSPITAL FONTIBON 2 LABORATORIO</t>
  </si>
  <si>
    <t xml:space="preserve">HOSPITAL PEDIATRICO TINTAL - MONITOREO </t>
  </si>
  <si>
    <t>HOSPITAL PEDIATRICO TINTAL - PUERTA VEHICULAR URG</t>
  </si>
  <si>
    <t>HOSPITAL PEDIATRICO TINTAL - PUERTA VEHICULAR CARGUE</t>
  </si>
  <si>
    <t xml:space="preserve">HOSPITAL PEDIATRICO TINTAL - PUERTA PEATONAL PPAL </t>
  </si>
  <si>
    <t xml:space="preserve">HOSPITAL PEDIATRICO TINTAL - HOSPITALIZACION SEGUNDO PISO </t>
  </si>
  <si>
    <t xml:space="preserve">HOSPITAL PEDIATRICO TINTAL - ENTRADA SALA URG. </t>
  </si>
  <si>
    <t xml:space="preserve">HOSPITAL PEDIATRICO TINTAL - HOSPITALIZACION TERCER PISO </t>
  </si>
  <si>
    <t xml:space="preserve">HOSPITAL PEDIATRICO TINTAL - FILTRO URG. </t>
  </si>
  <si>
    <t xml:space="preserve">HOSPITAL PEDIATRICO TINTAL - RECORREDOR </t>
  </si>
  <si>
    <t>HOSPITAL PEDIATRICO TINTAL- UCI</t>
  </si>
  <si>
    <t>HOSPITAL PEDIATRICO TINTAL-URGENCIAS ACCESO A ESCALERAS</t>
  </si>
  <si>
    <t xml:space="preserve">HOSPITAL PEDIATRICO TINTAL - CONSULTA EXTERNA L S </t>
  </si>
  <si>
    <t xml:space="preserve">HOSPITAL PEDIATRICO TINTAL - RECEPCION </t>
  </si>
  <si>
    <t>PABLO VI - CDS VILLA JAVIER PARQUEADERO</t>
  </si>
  <si>
    <t>PABLO VI - CDS VILLA JAVIER PUERTA PRINCIPAL</t>
  </si>
  <si>
    <t>PABLO VI - CDS VILLA JAVIER MONITOREO</t>
  </si>
  <si>
    <t>PABLO VI - CDS VILLA JAVIER RECORREDOR PRIMER PISO</t>
  </si>
  <si>
    <t>HOSPITAL KENNEDY- INGRESO PATOLOGIA OFICNAS 3ER PISO</t>
  </si>
  <si>
    <t xml:space="preserve">CENTRO DE SALUD TINTAL- CDS PUERTA PRINCIPAL </t>
  </si>
  <si>
    <t>CENTRO DE SALUD MEXICANA - MONITOREO</t>
  </si>
  <si>
    <t xml:space="preserve">TOTAL  A
 FACTURAR </t>
  </si>
  <si>
    <t xml:space="preserve">AUSENTISMOS </t>
  </si>
  <si>
    <t>COSTO AUSENTISMOS</t>
  </si>
  <si>
    <t xml:space="preserve">VALOR A PAGAR </t>
  </si>
  <si>
    <t>CENTRO DE SALUD TINTAL PUERTA ORIENTAL</t>
  </si>
  <si>
    <t xml:space="preserve">CENTRO DE SALUD TINTAL PARQUEADERO </t>
  </si>
  <si>
    <t>PABLO VI - SERVICIOS INTEGRALES</t>
  </si>
  <si>
    <t>HOSPITAL PEDIATRICO TINTAL-CIRUGIA</t>
  </si>
  <si>
    <t xml:space="preserve">PABLO VI  - RECORREDOR PABLOVI-ADMINISTRATIVA-FARMACIA  </t>
  </si>
  <si>
    <t xml:space="preserve">CENTRO DE SALUD TINTAL- CDS RECORREDOR PISO </t>
  </si>
  <si>
    <t>CDS 29</t>
  </si>
  <si>
    <t xml:space="preserve">SERVICIO 12 HORAS DIURNO JORNADA VACUNACIOIN ALQUERIA </t>
  </si>
  <si>
    <r>
      <t xml:space="preserve">HOSPITAL PEDIATRICO TINTAL-CIRUGIA </t>
    </r>
    <r>
      <rPr>
        <sz val="8"/>
        <color rgb="FFFF0000"/>
        <rFont val="Arial"/>
        <family val="2"/>
      </rPr>
      <t>(LUNES- MARTES -JUEVES (2-3-6-7-9-10-14-16-17-20-21-23-24-27-28-30-31)</t>
    </r>
  </si>
  <si>
    <t>PRESTACION SERVICIO DE VIGILANCIA A PARTIR DEL 1 DE  AL 31 DE  OCTUBRE DE 2025</t>
  </si>
  <si>
    <t xml:space="preserve">CARBONELL DESCANSOS GUARDA DE PLANTA DEL 25 AL 31 OTUBRE 2025 (6 NOCHES)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</si>
</sst>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_-;\-* #,##0.00_-;_-* &quot;-&quot;_-;_-@_-"/>
    <numFmt numFmtId="168" formatCode="_(&quot;$&quot;\ * #,##0_);_(&quot;$&quot;\ * \(#,##0\);_(&quot;$&quot;\ * &quot;-&quot;??_);_(@_)"/>
    <numFmt numFmtId="169" formatCode="_-* #,##0_-;\-* #,##0_-;_-* &quot;-&quot;??_-;_-@_-"/>
    <numFmt numFmtId="170" formatCode="_-&quot;$&quot;* #,##0_-;\-&quot;$&quot;* #,##0_-;_-&quot;$&quot;* &quot;-&quot;??_-;_-@_-"/>
    <numFmt numFmtId="171" formatCode="_-* #,##0.00_-;\-* #,##0.00_-;_-* &quot;-&quot;_-;_-@"/>
    <numFmt numFmtId="172" formatCode="&quot;$&quot;\ #,##0"/>
    <numFmt numFmtId="173" formatCode="_-* #,##0_-;\-* #,##0_-;_-* &quot;-&quot;_-;_-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CC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09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9.9948118533890809E-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21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67" fontId="5" fillId="3" borderId="3" xfId="2" applyNumberFormat="1" applyFont="1" applyFill="1" applyBorder="1" applyAlignment="1">
      <alignment horizontal="center" vertical="center"/>
    </xf>
    <xf numFmtId="9" fontId="5" fillId="3" borderId="3" xfId="3" applyFont="1" applyFill="1" applyBorder="1" applyAlignment="1">
      <alignment horizontal="center" vertical="center"/>
    </xf>
    <xf numFmtId="168" fontId="5" fillId="3" borderId="3" xfId="2" applyNumberFormat="1" applyFont="1" applyFill="1" applyBorder="1" applyAlignment="1">
      <alignment horizontal="center" vertical="center"/>
    </xf>
    <xf numFmtId="167" fontId="5" fillId="3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justify"/>
    </xf>
    <xf numFmtId="0" fontId="4" fillId="0" borderId="3" xfId="0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4" fillId="0" borderId="7" xfId="0" applyFont="1" applyBorder="1" applyAlignment="1">
      <alignment horizontal="left"/>
    </xf>
    <xf numFmtId="168" fontId="0" fillId="0" borderId="0" xfId="0" applyNumberFormat="1"/>
    <xf numFmtId="164" fontId="0" fillId="0" borderId="0" xfId="1" applyFont="1"/>
    <xf numFmtId="164" fontId="0" fillId="0" borderId="0" xfId="0" applyNumberFormat="1"/>
    <xf numFmtId="0" fontId="4" fillId="2" borderId="7" xfId="0" applyFont="1" applyFill="1" applyBorder="1"/>
    <xf numFmtId="166" fontId="0" fillId="0" borderId="0" xfId="0" applyNumberFormat="1"/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167" fontId="4" fillId="0" borderId="3" xfId="1" applyNumberFormat="1" applyFont="1" applyFill="1" applyBorder="1" applyAlignment="1">
      <alignment horizontal="center" vertical="center"/>
    </xf>
    <xf numFmtId="9" fontId="4" fillId="0" borderId="3" xfId="3" applyFont="1" applyFill="1" applyBorder="1" applyAlignment="1">
      <alignment horizontal="center" vertical="center"/>
    </xf>
    <xf numFmtId="168" fontId="4" fillId="0" borderId="3" xfId="2" applyNumberFormat="1" applyFont="1" applyFill="1" applyBorder="1" applyAlignment="1">
      <alignment horizontal="center" vertical="center"/>
    </xf>
    <xf numFmtId="167" fontId="5" fillId="0" borderId="3" xfId="1" applyNumberFormat="1" applyFont="1" applyFill="1" applyBorder="1" applyAlignment="1">
      <alignment horizontal="center" vertical="center"/>
    </xf>
    <xf numFmtId="9" fontId="5" fillId="0" borderId="3" xfId="3" applyFont="1" applyFill="1" applyBorder="1" applyAlignment="1">
      <alignment horizontal="center" vertical="center"/>
    </xf>
    <xf numFmtId="168" fontId="5" fillId="0" borderId="3" xfId="2" applyNumberFormat="1" applyFont="1" applyFill="1" applyBorder="1" applyAlignment="1">
      <alignment horizontal="center" vertical="center"/>
    </xf>
    <xf numFmtId="167" fontId="0" fillId="0" borderId="0" xfId="0" applyNumberFormat="1"/>
    <xf numFmtId="0" fontId="4" fillId="0" borderId="6" xfId="0" applyFont="1" applyBorder="1" applyAlignment="1">
      <alignment horizontal="center"/>
    </xf>
    <xf numFmtId="167" fontId="5" fillId="0" borderId="3" xfId="2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0" fillId="0" borderId="14" xfId="0" applyBorder="1"/>
    <xf numFmtId="0" fontId="4" fillId="2" borderId="17" xfId="0" applyFont="1" applyFill="1" applyBorder="1"/>
    <xf numFmtId="0" fontId="4" fillId="0" borderId="17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4" fillId="0" borderId="12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67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168" fontId="2" fillId="6" borderId="2" xfId="0" applyNumberFormat="1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2" fontId="0" fillId="0" borderId="0" xfId="0" applyNumberFormat="1"/>
    <xf numFmtId="164" fontId="0" fillId="4" borderId="0" xfId="1" applyFont="1" applyFill="1"/>
    <xf numFmtId="165" fontId="0" fillId="0" borderId="0" xfId="0" applyNumberFormat="1"/>
    <xf numFmtId="0" fontId="5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167" fontId="5" fillId="2" borderId="3" xfId="1" applyNumberFormat="1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8" fontId="5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8" xfId="0" applyFont="1" applyFill="1" applyBorder="1"/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9" fontId="0" fillId="0" borderId="0" xfId="4" applyNumberFormat="1" applyFont="1"/>
    <xf numFmtId="0" fontId="4" fillId="0" borderId="12" xfId="0" applyFont="1" applyBorder="1" applyAlignment="1">
      <alignment vertical="center"/>
    </xf>
    <xf numFmtId="0" fontId="4" fillId="7" borderId="7" xfId="0" applyFont="1" applyFill="1" applyBorder="1" applyAlignment="1">
      <alignment horizontal="left"/>
    </xf>
    <xf numFmtId="165" fontId="0" fillId="0" borderId="0" xfId="4" applyFont="1"/>
    <xf numFmtId="169" fontId="0" fillId="0" borderId="0" xfId="0" applyNumberFormat="1"/>
    <xf numFmtId="0" fontId="4" fillId="0" borderId="0" xfId="0" applyFont="1" applyAlignment="1">
      <alignment horizontal="left"/>
    </xf>
    <xf numFmtId="169" fontId="0" fillId="0" borderId="0" xfId="4" applyNumberFormat="1" applyFont="1" applyFill="1" applyBorder="1"/>
    <xf numFmtId="164" fontId="0" fillId="5" borderId="0" xfId="1" applyFont="1" applyFill="1"/>
    <xf numFmtId="169" fontId="0" fillId="5" borderId="0" xfId="4" applyNumberFormat="1" applyFont="1" applyFill="1"/>
    <xf numFmtId="167" fontId="0" fillId="5" borderId="0" xfId="0" applyNumberFormat="1" applyFill="1"/>
    <xf numFmtId="165" fontId="0" fillId="5" borderId="0" xfId="0" applyNumberFormat="1" applyFill="1"/>
    <xf numFmtId="0" fontId="4" fillId="5" borderId="17" xfId="0" applyFont="1" applyFill="1" applyBorder="1"/>
    <xf numFmtId="0" fontId="0" fillId="5" borderId="14" xfId="0" applyFill="1" applyBorder="1"/>
    <xf numFmtId="0" fontId="4" fillId="5" borderId="3" xfId="0" applyFont="1" applyFill="1" applyBorder="1" applyAlignment="1">
      <alignment horizontal="center"/>
    </xf>
    <xf numFmtId="167" fontId="5" fillId="5" borderId="3" xfId="1" applyNumberFormat="1" applyFont="1" applyFill="1" applyBorder="1" applyAlignment="1">
      <alignment horizontal="center" vertical="center"/>
    </xf>
    <xf numFmtId="9" fontId="5" fillId="5" borderId="3" xfId="3" applyFont="1" applyFill="1" applyBorder="1" applyAlignment="1">
      <alignment horizontal="center" vertical="center"/>
    </xf>
    <xf numFmtId="168" fontId="5" fillId="5" borderId="3" xfId="2" applyNumberFormat="1" applyFont="1" applyFill="1" applyBorder="1" applyAlignment="1">
      <alignment horizontal="center" vertical="center"/>
    </xf>
    <xf numFmtId="164" fontId="0" fillId="0" borderId="0" xfId="1" applyFont="1" applyFill="1"/>
    <xf numFmtId="0" fontId="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7" fontId="2" fillId="8" borderId="2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168" fontId="2" fillId="8" borderId="2" xfId="0" applyNumberFormat="1" applyFont="1" applyFill="1" applyBorder="1" applyAlignment="1">
      <alignment vertical="center" wrapText="1"/>
    </xf>
    <xf numFmtId="0" fontId="2" fillId="8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8" borderId="0" xfId="0" applyFont="1" applyFill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3" xfId="0" applyFont="1" applyFill="1" applyBorder="1" applyAlignment="1">
      <alignment horizontal="left" vertical="center"/>
    </xf>
    <xf numFmtId="168" fontId="2" fillId="8" borderId="5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165" fontId="5" fillId="3" borderId="3" xfId="4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9" fontId="0" fillId="0" borderId="0" xfId="0" applyNumberFormat="1"/>
    <xf numFmtId="167" fontId="5" fillId="0" borderId="0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10" fillId="10" borderId="0" xfId="0" applyFont="1" applyFill="1" applyAlignment="1">
      <alignment horizontal="center"/>
    </xf>
    <xf numFmtId="0" fontId="10" fillId="10" borderId="0" xfId="0" applyFont="1" applyFill="1"/>
    <xf numFmtId="170" fontId="0" fillId="0" borderId="0" xfId="2" applyNumberFormat="1" applyFont="1"/>
    <xf numFmtId="170" fontId="9" fillId="10" borderId="0" xfId="2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2" fillId="11" borderId="4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11" borderId="3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5" fillId="0" borderId="1" xfId="0" applyFont="1" applyFill="1" applyBorder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/>
    </xf>
    <xf numFmtId="0" fontId="13" fillId="0" borderId="0" xfId="0" applyFont="1" applyFill="1"/>
    <xf numFmtId="0" fontId="14" fillId="0" borderId="1" xfId="0" applyFont="1" applyFill="1" applyBorder="1"/>
    <xf numFmtId="0" fontId="13" fillId="0" borderId="0" xfId="0" applyFont="1" applyFill="1" applyAlignment="1">
      <alignment horizontal="center"/>
    </xf>
    <xf numFmtId="0" fontId="0" fillId="0" borderId="0" xfId="0" applyAlignment="1">
      <alignment horizontal="left" indent="1"/>
    </xf>
    <xf numFmtId="0" fontId="2" fillId="11" borderId="2" xfId="0" applyFont="1" applyFill="1" applyBorder="1" applyAlignment="1">
      <alignment horizontal="left" vertical="center" wrapText="1" indent="1"/>
    </xf>
    <xf numFmtId="173" fontId="2" fillId="11" borderId="2" xfId="0" applyNumberFormat="1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indent="1"/>
    </xf>
    <xf numFmtId="0" fontId="5" fillId="0" borderId="1" xfId="0" applyFont="1" applyFill="1" applyBorder="1" applyAlignment="1">
      <alignment horizontal="left" wrapText="1" indent="1"/>
    </xf>
    <xf numFmtId="9" fontId="5" fillId="0" borderId="1" xfId="3" applyFont="1" applyFill="1" applyBorder="1" applyAlignment="1">
      <alignment horizontal="left" vertical="center" indent="1"/>
    </xf>
    <xf numFmtId="168" fontId="5" fillId="0" borderId="1" xfId="2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indent="1"/>
    </xf>
    <xf numFmtId="168" fontId="8" fillId="0" borderId="1" xfId="0" applyNumberFormat="1" applyFont="1" applyFill="1" applyBorder="1" applyAlignment="1">
      <alignment horizontal="left" indent="1"/>
    </xf>
    <xf numFmtId="0" fontId="8" fillId="0" borderId="0" xfId="0" applyFont="1" applyFill="1" applyAlignment="1">
      <alignment horizontal="left" indent="1"/>
    </xf>
    <xf numFmtId="173" fontId="5" fillId="0" borderId="1" xfId="0" applyNumberFormat="1" applyFont="1" applyFill="1" applyBorder="1" applyAlignment="1">
      <alignment horizontal="left" vertical="center" indent="1"/>
    </xf>
    <xf numFmtId="168" fontId="8" fillId="0" borderId="0" xfId="0" applyNumberFormat="1" applyFont="1" applyFill="1" applyAlignment="1">
      <alignment horizontal="left" indent="1"/>
    </xf>
    <xf numFmtId="0" fontId="5" fillId="0" borderId="1" xfId="0" applyFont="1" applyFill="1" applyBorder="1" applyAlignment="1">
      <alignment horizontal="left" vertical="justify" wrapText="1" indent="1"/>
    </xf>
    <xf numFmtId="0" fontId="2" fillId="11" borderId="1" xfId="0" applyFont="1" applyFill="1" applyBorder="1" applyAlignment="1">
      <alignment horizontal="left" vertical="center" wrapText="1" indent="1"/>
    </xf>
    <xf numFmtId="168" fontId="2" fillId="11" borderId="1" xfId="0" applyNumberFormat="1" applyFont="1" applyFill="1" applyBorder="1" applyAlignment="1">
      <alignment horizontal="left" vertical="center" wrapText="1" indent="1"/>
    </xf>
    <xf numFmtId="173" fontId="4" fillId="0" borderId="1" xfId="0" applyNumberFormat="1" applyFont="1" applyFill="1" applyBorder="1" applyAlignment="1">
      <alignment horizontal="left" vertical="center" indent="1"/>
    </xf>
    <xf numFmtId="9" fontId="4" fillId="0" borderId="1" xfId="3" applyFont="1" applyFill="1" applyBorder="1" applyAlignment="1">
      <alignment horizontal="left" vertical="center" indent="1"/>
    </xf>
    <xf numFmtId="168" fontId="4" fillId="0" borderId="1" xfId="2" applyNumberFormat="1" applyFont="1" applyFill="1" applyBorder="1" applyAlignment="1">
      <alignment horizontal="left" vertical="center" indent="1"/>
    </xf>
    <xf numFmtId="170" fontId="8" fillId="0" borderId="1" xfId="2" applyNumberFormat="1" applyFont="1" applyFill="1" applyBorder="1" applyAlignment="1">
      <alignment horizontal="left" indent="1"/>
    </xf>
    <xf numFmtId="171" fontId="4" fillId="0" borderId="1" xfId="0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wrapText="1" indent="1"/>
    </xf>
    <xf numFmtId="168" fontId="0" fillId="0" borderId="1" xfId="0" applyNumberFormat="1" applyFill="1" applyBorder="1" applyAlignment="1">
      <alignment horizontal="left" indent="1"/>
    </xf>
    <xf numFmtId="0" fontId="0" fillId="0" borderId="0" xfId="0" applyFill="1" applyAlignment="1">
      <alignment horizontal="left" indent="1"/>
    </xf>
    <xf numFmtId="0" fontId="8" fillId="0" borderId="1" xfId="0" applyFont="1" applyFill="1" applyBorder="1" applyAlignment="1">
      <alignment horizontal="left" wrapText="1" indent="1"/>
    </xf>
    <xf numFmtId="168" fontId="0" fillId="0" borderId="0" xfId="0" applyNumberFormat="1" applyAlignment="1">
      <alignment horizontal="left" indent="1"/>
    </xf>
    <xf numFmtId="0" fontId="0" fillId="0" borderId="1" xfId="0" applyFill="1" applyBorder="1" applyAlignment="1">
      <alignment horizontal="left" wrapText="1" indent="1"/>
    </xf>
    <xf numFmtId="0" fontId="14" fillId="0" borderId="1" xfId="0" applyFont="1" applyFill="1" applyBorder="1" applyAlignment="1">
      <alignment horizontal="left" wrapText="1" indent="1"/>
    </xf>
    <xf numFmtId="0" fontId="13" fillId="0" borderId="0" xfId="0" applyFont="1" applyFill="1" applyAlignment="1">
      <alignment horizontal="left" indent="1"/>
    </xf>
    <xf numFmtId="0" fontId="4" fillId="0" borderId="1" xfId="0" applyFont="1" applyFill="1" applyBorder="1" applyAlignment="1">
      <alignment horizontal="left" vertical="center" wrapText="1" indent="1"/>
    </xf>
    <xf numFmtId="0" fontId="2" fillId="11" borderId="29" xfId="0" applyFont="1" applyFill="1" applyBorder="1" applyAlignment="1">
      <alignment horizontal="left" vertical="center" wrapText="1" indent="1"/>
    </xf>
    <xf numFmtId="44" fontId="2" fillId="11" borderId="1" xfId="0" applyNumberFormat="1" applyFont="1" applyFill="1" applyBorder="1" applyAlignment="1">
      <alignment horizontal="left" vertical="center" wrapText="1" indent="1"/>
    </xf>
    <xf numFmtId="44" fontId="2" fillId="11" borderId="26" xfId="0" applyNumberFormat="1" applyFont="1" applyFill="1" applyBorder="1" applyAlignment="1">
      <alignment horizontal="left" vertical="center" wrapText="1" indent="1"/>
    </xf>
    <xf numFmtId="0" fontId="8" fillId="0" borderId="0" xfId="0" applyFont="1" applyFill="1" applyAlignment="1">
      <alignment horizontal="left" wrapText="1" indent="1"/>
    </xf>
    <xf numFmtId="173" fontId="0" fillId="0" borderId="0" xfId="0" applyNumberFormat="1" applyAlignment="1">
      <alignment horizontal="left" indent="1"/>
    </xf>
    <xf numFmtId="0" fontId="2" fillId="11" borderId="4" xfId="0" applyFont="1" applyFill="1" applyBorder="1" applyAlignment="1">
      <alignment horizontal="left" vertical="center" wrapText="1" indent="1"/>
    </xf>
    <xf numFmtId="168" fontId="2" fillId="11" borderId="2" xfId="0" applyNumberFormat="1" applyFont="1" applyFill="1" applyBorder="1" applyAlignment="1">
      <alignment horizontal="left" vertical="center" wrapText="1" indent="1"/>
    </xf>
    <xf numFmtId="168" fontId="2" fillId="11" borderId="28" xfId="0" applyNumberFormat="1" applyFont="1" applyFill="1" applyBorder="1" applyAlignment="1">
      <alignment horizontal="left" vertical="center" wrapText="1" indent="1"/>
    </xf>
    <xf numFmtId="168" fontId="2" fillId="12" borderId="1" xfId="0" applyNumberFormat="1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168" fontId="2" fillId="0" borderId="0" xfId="0" applyNumberFormat="1" applyFont="1" applyAlignment="1">
      <alignment horizontal="left" vertical="center" wrapText="1" indent="1"/>
    </xf>
    <xf numFmtId="173" fontId="2" fillId="0" borderId="0" xfId="0" applyNumberFormat="1" applyFont="1" applyAlignment="1">
      <alignment horizontal="left" vertical="center" wrapText="1" indent="1"/>
    </xf>
    <xf numFmtId="168" fontId="12" fillId="0" borderId="0" xfId="0" applyNumberFormat="1" applyFont="1" applyAlignment="1">
      <alignment horizontal="left" vertical="center" wrapText="1" indent="1"/>
    </xf>
    <xf numFmtId="168" fontId="2" fillId="0" borderId="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left" wrapText="1" indent="1"/>
    </xf>
    <xf numFmtId="172" fontId="0" fillId="0" borderId="0" xfId="0" applyNumberFormat="1" applyAlignment="1">
      <alignment horizontal="left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173" fontId="0" fillId="0" borderId="0" xfId="4" applyNumberFormat="1" applyFont="1" applyAlignment="1">
      <alignment horizontal="left" indent="1"/>
    </xf>
    <xf numFmtId="165" fontId="0" fillId="0" borderId="0" xfId="4" applyFont="1" applyAlignment="1">
      <alignment horizontal="left" indent="1"/>
    </xf>
    <xf numFmtId="9" fontId="0" fillId="0" borderId="0" xfId="0" applyNumberFormat="1" applyAlignment="1">
      <alignment horizontal="left" indent="1"/>
    </xf>
    <xf numFmtId="173" fontId="5" fillId="0" borderId="0" xfId="1" applyNumberFormat="1" applyFont="1" applyFill="1" applyBorder="1" applyAlignment="1">
      <alignment horizontal="left" vertical="center" indent="1"/>
    </xf>
    <xf numFmtId="0" fontId="4" fillId="0" borderId="14" xfId="0" applyFont="1" applyFill="1" applyBorder="1" applyAlignment="1">
      <alignment horizontal="left" wrapText="1" indent="1"/>
    </xf>
    <xf numFmtId="0" fontId="3" fillId="11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2" fillId="11" borderId="29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2" fillId="11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8" fontId="2" fillId="11" borderId="27" xfId="0" applyNumberFormat="1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/>
    </xf>
    <xf numFmtId="168" fontId="2" fillId="11" borderId="2" xfId="0" applyNumberFormat="1" applyFont="1" applyFill="1" applyBorder="1" applyAlignment="1">
      <alignment horizontal="center" vertical="center" wrapText="1"/>
    </xf>
    <xf numFmtId="168" fontId="2" fillId="11" borderId="5" xfId="0" applyNumberFormat="1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9" fontId="0" fillId="0" borderId="0" xfId="4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8" fontId="2" fillId="12" borderId="1" xfId="0" applyNumberFormat="1" applyFont="1" applyFill="1" applyBorder="1" applyAlignment="1">
      <alignment horizontal="center" vertical="center" wrapText="1"/>
    </xf>
    <xf numFmtId="170" fontId="4" fillId="0" borderId="1" xfId="2" applyNumberFormat="1" applyFont="1" applyFill="1" applyBorder="1" applyAlignment="1">
      <alignment horizontal="left" vertical="center" indent="1"/>
    </xf>
    <xf numFmtId="170" fontId="2" fillId="11" borderId="2" xfId="2" applyNumberFormat="1" applyFont="1" applyFill="1" applyBorder="1" applyAlignment="1">
      <alignment horizontal="left" vertical="center" wrapText="1" indent="1"/>
    </xf>
    <xf numFmtId="170" fontId="5" fillId="0" borderId="1" xfId="2" applyNumberFormat="1" applyFont="1" applyFill="1" applyBorder="1" applyAlignment="1">
      <alignment horizontal="left" vertical="center" indent="1"/>
    </xf>
    <xf numFmtId="170" fontId="2" fillId="11" borderId="1" xfId="2" applyNumberFormat="1" applyFont="1" applyFill="1" applyBorder="1" applyAlignment="1">
      <alignment horizontal="left" vertical="center" wrapText="1" indent="1"/>
    </xf>
    <xf numFmtId="170" fontId="0" fillId="0" borderId="0" xfId="2" applyNumberFormat="1" applyFont="1" applyAlignment="1">
      <alignment horizontal="left" indent="1"/>
    </xf>
    <xf numFmtId="170" fontId="2" fillId="0" borderId="0" xfId="2" applyNumberFormat="1" applyFont="1" applyAlignment="1">
      <alignment horizontal="left" vertical="center" wrapText="1" indent="1"/>
    </xf>
    <xf numFmtId="173" fontId="2" fillId="11" borderId="2" xfId="0" applyNumberFormat="1" applyFont="1" applyFill="1" applyBorder="1" applyAlignment="1">
      <alignment horizontal="center" vertical="center" wrapText="1"/>
    </xf>
    <xf numFmtId="170" fontId="2" fillId="11" borderId="2" xfId="2" applyNumberFormat="1" applyFont="1" applyFill="1" applyBorder="1" applyAlignment="1">
      <alignment horizontal="center" vertical="center" wrapText="1"/>
    </xf>
    <xf numFmtId="170" fontId="0" fillId="0" borderId="1" xfId="2" applyNumberFormat="1" applyFont="1" applyFill="1" applyBorder="1" applyAlignment="1">
      <alignment horizontal="left" indent="1"/>
    </xf>
    <xf numFmtId="170" fontId="2" fillId="12" borderId="1" xfId="2" applyNumberFormat="1" applyFont="1" applyFill="1" applyBorder="1" applyAlignment="1">
      <alignment horizontal="left" vertical="center" wrapText="1" indent="1"/>
    </xf>
    <xf numFmtId="0" fontId="0" fillId="4" borderId="0" xfId="0" applyFill="1"/>
    <xf numFmtId="0" fontId="5" fillId="4" borderId="1" xfId="0" applyFont="1" applyFill="1" applyBorder="1"/>
    <xf numFmtId="0" fontId="5" fillId="4" borderId="1" xfId="0" applyFont="1" applyFill="1" applyBorder="1" applyAlignment="1">
      <alignment horizontal="left" wrapText="1" indent="1"/>
    </xf>
    <xf numFmtId="0" fontId="5" fillId="4" borderId="1" xfId="0" applyFont="1" applyFill="1" applyBorder="1" applyAlignment="1">
      <alignment horizontal="center"/>
    </xf>
    <xf numFmtId="173" fontId="4" fillId="4" borderId="1" xfId="0" applyNumberFormat="1" applyFont="1" applyFill="1" applyBorder="1" applyAlignment="1">
      <alignment horizontal="left" vertical="center" indent="1"/>
    </xf>
    <xf numFmtId="9" fontId="4" fillId="4" borderId="1" xfId="3" applyFont="1" applyFill="1" applyBorder="1" applyAlignment="1">
      <alignment horizontal="left" vertical="center" indent="1"/>
    </xf>
    <xf numFmtId="170" fontId="4" fillId="4" borderId="1" xfId="2" applyNumberFormat="1" applyFont="1" applyFill="1" applyBorder="1" applyAlignment="1">
      <alignment horizontal="left" vertical="center" indent="1"/>
    </xf>
    <xf numFmtId="168" fontId="4" fillId="4" borderId="1" xfId="2" applyNumberFormat="1" applyFont="1" applyFill="1" applyBorder="1" applyAlignment="1">
      <alignment horizontal="left" vertical="center" indent="1"/>
    </xf>
    <xf numFmtId="168" fontId="5" fillId="4" borderId="1" xfId="2" applyNumberFormat="1" applyFont="1" applyFill="1" applyBorder="1" applyAlignment="1">
      <alignment horizontal="left" vertical="center" indent="1"/>
    </xf>
    <xf numFmtId="0" fontId="8" fillId="4" borderId="1" xfId="0" applyFont="1" applyFill="1" applyBorder="1" applyAlignment="1">
      <alignment horizontal="center"/>
    </xf>
    <xf numFmtId="170" fontId="8" fillId="4" borderId="1" xfId="2" applyNumberFormat="1" applyFont="1" applyFill="1" applyBorder="1" applyAlignment="1">
      <alignment horizontal="left" indent="1"/>
    </xf>
    <xf numFmtId="168" fontId="8" fillId="4" borderId="1" xfId="0" applyNumberFormat="1" applyFont="1" applyFill="1" applyBorder="1" applyAlignment="1">
      <alignment horizontal="left" indent="1"/>
    </xf>
    <xf numFmtId="0" fontId="8" fillId="4" borderId="0" xfId="0" applyFont="1" applyFill="1"/>
    <xf numFmtId="0" fontId="5" fillId="4" borderId="1" xfId="0" applyFont="1" applyFill="1" applyBorder="1" applyAlignment="1">
      <alignment horizontal="left" vertical="center" indent="1"/>
    </xf>
    <xf numFmtId="0" fontId="13" fillId="4" borderId="0" xfId="0" applyFont="1" applyFill="1"/>
    <xf numFmtId="0" fontId="14" fillId="4" borderId="1" xfId="0" applyFont="1" applyFill="1" applyBorder="1"/>
    <xf numFmtId="0" fontId="14" fillId="4" borderId="1" xfId="0" applyFont="1" applyFill="1" applyBorder="1" applyAlignment="1">
      <alignment horizontal="left" vertical="center" indent="1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/>
    </xf>
    <xf numFmtId="173" fontId="14" fillId="4" borderId="1" xfId="0" applyNumberFormat="1" applyFont="1" applyFill="1" applyBorder="1" applyAlignment="1">
      <alignment horizontal="left" vertical="center" indent="1"/>
    </xf>
    <xf numFmtId="9" fontId="14" fillId="4" borderId="1" xfId="3" applyFont="1" applyFill="1" applyBorder="1" applyAlignment="1">
      <alignment horizontal="left" vertical="center" indent="1"/>
    </xf>
    <xf numFmtId="170" fontId="14" fillId="4" borderId="1" xfId="2" applyNumberFormat="1" applyFont="1" applyFill="1" applyBorder="1" applyAlignment="1">
      <alignment horizontal="left" vertical="center" indent="1"/>
    </xf>
    <xf numFmtId="168" fontId="14" fillId="4" borderId="1" xfId="2" applyNumberFormat="1" applyFont="1" applyFill="1" applyBorder="1" applyAlignment="1">
      <alignment horizontal="left" vertical="center" indent="1"/>
    </xf>
    <xf numFmtId="0" fontId="13" fillId="4" borderId="1" xfId="0" applyFont="1" applyFill="1" applyBorder="1" applyAlignment="1">
      <alignment horizontal="center"/>
    </xf>
    <xf numFmtId="170" fontId="13" fillId="4" borderId="1" xfId="2" applyNumberFormat="1" applyFont="1" applyFill="1" applyBorder="1" applyAlignment="1">
      <alignment horizontal="left" indent="1"/>
    </xf>
    <xf numFmtId="168" fontId="13" fillId="4" borderId="1" xfId="0" applyNumberFormat="1" applyFont="1" applyFill="1" applyBorder="1" applyAlignment="1">
      <alignment horizontal="left" inden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indent="1"/>
    </xf>
    <xf numFmtId="173" fontId="5" fillId="4" borderId="1" xfId="0" applyNumberFormat="1" applyFont="1" applyFill="1" applyBorder="1" applyAlignment="1">
      <alignment horizontal="left" vertical="center" indent="1"/>
    </xf>
    <xf numFmtId="9" fontId="5" fillId="4" borderId="1" xfId="3" applyFont="1" applyFill="1" applyBorder="1" applyAlignment="1">
      <alignment horizontal="left" vertical="center" indent="1"/>
    </xf>
    <xf numFmtId="170" fontId="5" fillId="4" borderId="1" xfId="2" applyNumberFormat="1" applyFont="1" applyFill="1" applyBorder="1" applyAlignment="1">
      <alignment horizontal="left" vertical="center" indent="1"/>
    </xf>
    <xf numFmtId="0" fontId="0" fillId="13" borderId="0" xfId="0" applyFill="1"/>
    <xf numFmtId="0" fontId="5" fillId="13" borderId="1" xfId="0" applyFont="1" applyFill="1" applyBorder="1"/>
    <xf numFmtId="0" fontId="8" fillId="13" borderId="1" xfId="0" applyFont="1" applyFill="1" applyBorder="1" applyAlignment="1">
      <alignment horizontal="left" wrapText="1" indent="1"/>
    </xf>
    <xf numFmtId="0" fontId="5" fillId="13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left" wrapText="1" indent="1"/>
    </xf>
    <xf numFmtId="173" fontId="4" fillId="13" borderId="1" xfId="0" applyNumberFormat="1" applyFont="1" applyFill="1" applyBorder="1" applyAlignment="1">
      <alignment horizontal="left" vertical="center" indent="1"/>
    </xf>
    <xf numFmtId="9" fontId="4" fillId="13" borderId="1" xfId="3" applyFont="1" applyFill="1" applyBorder="1" applyAlignment="1">
      <alignment horizontal="left" vertical="center" indent="1"/>
    </xf>
    <xf numFmtId="170" fontId="4" fillId="13" borderId="1" xfId="2" applyNumberFormat="1" applyFont="1" applyFill="1" applyBorder="1" applyAlignment="1">
      <alignment horizontal="left" vertical="center" indent="1"/>
    </xf>
    <xf numFmtId="168" fontId="4" fillId="13" borderId="1" xfId="2" applyNumberFormat="1" applyFont="1" applyFill="1" applyBorder="1" applyAlignment="1">
      <alignment horizontal="left" vertical="center" indent="1"/>
    </xf>
    <xf numFmtId="168" fontId="5" fillId="13" borderId="1" xfId="2" applyNumberFormat="1" applyFont="1" applyFill="1" applyBorder="1" applyAlignment="1">
      <alignment horizontal="left" vertical="center" indent="1"/>
    </xf>
    <xf numFmtId="0" fontId="8" fillId="13" borderId="1" xfId="0" applyFont="1" applyFill="1" applyBorder="1" applyAlignment="1">
      <alignment horizontal="center"/>
    </xf>
    <xf numFmtId="170" fontId="8" fillId="13" borderId="1" xfId="2" applyNumberFormat="1" applyFont="1" applyFill="1" applyBorder="1" applyAlignment="1">
      <alignment horizontal="left" indent="1"/>
    </xf>
    <xf numFmtId="168" fontId="8" fillId="13" borderId="1" xfId="0" applyNumberFormat="1" applyFont="1" applyFill="1" applyBorder="1" applyAlignment="1">
      <alignment horizontal="left" indent="1"/>
    </xf>
    <xf numFmtId="0" fontId="8" fillId="13" borderId="0" xfId="0" applyFont="1" applyFill="1"/>
    <xf numFmtId="173" fontId="5" fillId="13" borderId="1" xfId="0" applyNumberFormat="1" applyFont="1" applyFill="1" applyBorder="1" applyAlignment="1">
      <alignment horizontal="left" vertical="center" indent="1"/>
    </xf>
    <xf numFmtId="9" fontId="5" fillId="13" borderId="1" xfId="3" applyFont="1" applyFill="1" applyBorder="1" applyAlignment="1">
      <alignment horizontal="left" vertical="center" indent="1"/>
    </xf>
    <xf numFmtId="170" fontId="5" fillId="13" borderId="1" xfId="2" applyNumberFormat="1" applyFont="1" applyFill="1" applyBorder="1" applyAlignment="1">
      <alignment horizontal="left" vertical="center" indent="1"/>
    </xf>
    <xf numFmtId="0" fontId="0" fillId="14" borderId="0" xfId="0" applyFill="1"/>
    <xf numFmtId="0" fontId="5" fillId="14" borderId="1" xfId="0" applyFont="1" applyFill="1" applyBorder="1"/>
    <xf numFmtId="0" fontId="8" fillId="14" borderId="1" xfId="0" applyFont="1" applyFill="1" applyBorder="1" applyAlignment="1">
      <alignment horizontal="left" vertical="center" wrapText="1" indent="1"/>
    </xf>
    <xf numFmtId="0" fontId="5" fillId="14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left" wrapText="1" indent="1"/>
    </xf>
    <xf numFmtId="173" fontId="4" fillId="14" borderId="1" xfId="0" applyNumberFormat="1" applyFont="1" applyFill="1" applyBorder="1" applyAlignment="1">
      <alignment horizontal="left" vertical="center" indent="1"/>
    </xf>
    <xf numFmtId="9" fontId="4" fillId="14" borderId="1" xfId="3" applyFont="1" applyFill="1" applyBorder="1" applyAlignment="1">
      <alignment horizontal="left" vertical="center" indent="1"/>
    </xf>
    <xf numFmtId="170" fontId="4" fillId="14" borderId="1" xfId="2" applyNumberFormat="1" applyFont="1" applyFill="1" applyBorder="1" applyAlignment="1">
      <alignment horizontal="left" vertical="center" indent="1"/>
    </xf>
    <xf numFmtId="168" fontId="4" fillId="14" borderId="1" xfId="2" applyNumberFormat="1" applyFont="1" applyFill="1" applyBorder="1" applyAlignment="1">
      <alignment horizontal="left" vertical="center" indent="1"/>
    </xf>
    <xf numFmtId="168" fontId="5" fillId="14" borderId="1" xfId="2" applyNumberFormat="1" applyFont="1" applyFill="1" applyBorder="1" applyAlignment="1">
      <alignment horizontal="left" vertical="center" indent="1"/>
    </xf>
    <xf numFmtId="0" fontId="8" fillId="14" borderId="1" xfId="0" applyFont="1" applyFill="1" applyBorder="1" applyAlignment="1">
      <alignment horizontal="center"/>
    </xf>
    <xf numFmtId="170" fontId="8" fillId="14" borderId="1" xfId="2" applyNumberFormat="1" applyFont="1" applyFill="1" applyBorder="1" applyAlignment="1">
      <alignment horizontal="left" indent="1"/>
    </xf>
    <xf numFmtId="168" fontId="8" fillId="14" borderId="1" xfId="0" applyNumberFormat="1" applyFont="1" applyFill="1" applyBorder="1" applyAlignment="1">
      <alignment horizontal="left" indent="1"/>
    </xf>
    <xf numFmtId="0" fontId="8" fillId="14" borderId="0" xfId="0" applyFont="1" applyFill="1"/>
    <xf numFmtId="173" fontId="5" fillId="14" borderId="1" xfId="0" applyNumberFormat="1" applyFont="1" applyFill="1" applyBorder="1" applyAlignment="1">
      <alignment horizontal="left" vertical="center" indent="1"/>
    </xf>
    <xf numFmtId="9" fontId="5" fillId="14" borderId="1" xfId="3" applyFont="1" applyFill="1" applyBorder="1" applyAlignment="1">
      <alignment horizontal="left" vertical="center" indent="1"/>
    </xf>
    <xf numFmtId="170" fontId="5" fillId="14" borderId="1" xfId="2" applyNumberFormat="1" applyFont="1" applyFill="1" applyBorder="1" applyAlignment="1">
      <alignment horizontal="left" vertical="center" indent="1"/>
    </xf>
    <xf numFmtId="0" fontId="0" fillId="15" borderId="0" xfId="0" applyFill="1"/>
    <xf numFmtId="0" fontId="5" fillId="15" borderId="1" xfId="0" applyFont="1" applyFill="1" applyBorder="1"/>
    <xf numFmtId="0" fontId="5" fillId="15" borderId="1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left" wrapText="1" indent="1"/>
    </xf>
    <xf numFmtId="173" fontId="5" fillId="15" borderId="1" xfId="0" applyNumberFormat="1" applyFont="1" applyFill="1" applyBorder="1" applyAlignment="1">
      <alignment horizontal="left" vertical="center" indent="1"/>
    </xf>
    <xf numFmtId="9" fontId="5" fillId="15" borderId="1" xfId="3" applyFont="1" applyFill="1" applyBorder="1" applyAlignment="1">
      <alignment horizontal="left" vertical="center" indent="1"/>
    </xf>
    <xf numFmtId="170" fontId="5" fillId="15" borderId="1" xfId="2" applyNumberFormat="1" applyFont="1" applyFill="1" applyBorder="1" applyAlignment="1">
      <alignment horizontal="left" vertical="center" indent="1"/>
    </xf>
    <xf numFmtId="168" fontId="5" fillId="15" borderId="1" xfId="2" applyNumberFormat="1" applyFont="1" applyFill="1" applyBorder="1" applyAlignment="1">
      <alignment horizontal="left" vertical="center" indent="1"/>
    </xf>
    <xf numFmtId="0" fontId="8" fillId="15" borderId="1" xfId="0" applyFont="1" applyFill="1" applyBorder="1" applyAlignment="1">
      <alignment horizontal="center"/>
    </xf>
    <xf numFmtId="170" fontId="8" fillId="15" borderId="1" xfId="2" applyNumberFormat="1" applyFont="1" applyFill="1" applyBorder="1" applyAlignment="1">
      <alignment horizontal="left" indent="1"/>
    </xf>
    <xf numFmtId="168" fontId="8" fillId="15" borderId="1" xfId="0" applyNumberFormat="1" applyFont="1" applyFill="1" applyBorder="1" applyAlignment="1">
      <alignment horizontal="left" indent="1"/>
    </xf>
    <xf numFmtId="0" fontId="8" fillId="15" borderId="0" xfId="0" applyFont="1" applyFill="1"/>
    <xf numFmtId="0" fontId="0" fillId="16" borderId="0" xfId="0" applyFill="1"/>
    <xf numFmtId="0" fontId="5" fillId="16" borderId="1" xfId="0" applyFont="1" applyFill="1" applyBorder="1"/>
    <xf numFmtId="0" fontId="8" fillId="16" borderId="1" xfId="0" applyFont="1" applyFill="1" applyBorder="1" applyAlignment="1">
      <alignment horizontal="left" wrapText="1" indent="1"/>
    </xf>
    <xf numFmtId="0" fontId="5" fillId="16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left" wrapText="1" indent="1"/>
    </xf>
    <xf numFmtId="173" fontId="5" fillId="16" borderId="1" xfId="0" applyNumberFormat="1" applyFont="1" applyFill="1" applyBorder="1" applyAlignment="1">
      <alignment horizontal="left" vertical="center" indent="1"/>
    </xf>
    <xf numFmtId="9" fontId="5" fillId="16" borderId="1" xfId="3" applyFont="1" applyFill="1" applyBorder="1" applyAlignment="1">
      <alignment horizontal="left" vertical="center" indent="1"/>
    </xf>
    <xf numFmtId="170" fontId="5" fillId="16" borderId="1" xfId="2" applyNumberFormat="1" applyFont="1" applyFill="1" applyBorder="1" applyAlignment="1">
      <alignment horizontal="left" vertical="center" indent="1"/>
    </xf>
    <xf numFmtId="168" fontId="5" fillId="16" borderId="1" xfId="2" applyNumberFormat="1" applyFont="1" applyFill="1" applyBorder="1" applyAlignment="1">
      <alignment horizontal="left" vertical="center" indent="1"/>
    </xf>
    <xf numFmtId="0" fontId="8" fillId="16" borderId="1" xfId="0" applyFont="1" applyFill="1" applyBorder="1" applyAlignment="1">
      <alignment horizontal="center"/>
    </xf>
    <xf numFmtId="170" fontId="8" fillId="16" borderId="1" xfId="2" applyNumberFormat="1" applyFont="1" applyFill="1" applyBorder="1" applyAlignment="1">
      <alignment horizontal="left" indent="1"/>
    </xf>
    <xf numFmtId="168" fontId="8" fillId="16" borderId="1" xfId="0" applyNumberFormat="1" applyFont="1" applyFill="1" applyBorder="1" applyAlignment="1">
      <alignment horizontal="left" indent="1"/>
    </xf>
    <xf numFmtId="0" fontId="8" fillId="16" borderId="0" xfId="0" applyFont="1" applyFill="1"/>
    <xf numFmtId="173" fontId="4" fillId="15" borderId="1" xfId="0" applyNumberFormat="1" applyFont="1" applyFill="1" applyBorder="1" applyAlignment="1">
      <alignment horizontal="left" vertical="center" indent="1"/>
    </xf>
    <xf numFmtId="9" fontId="4" fillId="15" borderId="1" xfId="3" applyFont="1" applyFill="1" applyBorder="1" applyAlignment="1">
      <alignment horizontal="left" vertical="center" indent="1"/>
    </xf>
    <xf numFmtId="170" fontId="4" fillId="15" borderId="1" xfId="2" applyNumberFormat="1" applyFont="1" applyFill="1" applyBorder="1" applyAlignment="1">
      <alignment horizontal="left" vertical="center" indent="1"/>
    </xf>
    <xf numFmtId="168" fontId="4" fillId="15" borderId="1" xfId="2" applyNumberFormat="1" applyFont="1" applyFill="1" applyBorder="1" applyAlignment="1">
      <alignment horizontal="left" vertical="center" indent="1"/>
    </xf>
    <xf numFmtId="0" fontId="8" fillId="15" borderId="1" xfId="0" applyFont="1" applyFill="1" applyBorder="1" applyAlignment="1">
      <alignment horizontal="left" vertical="center" wrapText="1" indent="1"/>
    </xf>
    <xf numFmtId="0" fontId="5" fillId="15" borderId="1" xfId="0" applyFont="1" applyFill="1" applyBorder="1" applyAlignment="1">
      <alignment horizontal="left" vertical="center" wrapText="1" indent="1"/>
    </xf>
    <xf numFmtId="0" fontId="4" fillId="15" borderId="1" xfId="0" applyFont="1" applyFill="1" applyBorder="1"/>
    <xf numFmtId="0" fontId="4" fillId="15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left" wrapText="1" indent="1"/>
    </xf>
    <xf numFmtId="0" fontId="0" fillId="15" borderId="1" xfId="0" applyFill="1" applyBorder="1" applyAlignment="1">
      <alignment horizontal="center"/>
    </xf>
    <xf numFmtId="168" fontId="0" fillId="15" borderId="1" xfId="0" applyNumberFormat="1" applyFill="1" applyBorder="1" applyAlignment="1">
      <alignment horizontal="left" indent="1"/>
    </xf>
    <xf numFmtId="0" fontId="5" fillId="15" borderId="1" xfId="0" applyFont="1" applyFill="1" applyBorder="1" applyAlignment="1">
      <alignment horizontal="left" wrapText="1"/>
    </xf>
    <xf numFmtId="0" fontId="5" fillId="15" borderId="1" xfId="0" applyFont="1" applyFill="1" applyBorder="1" applyAlignment="1">
      <alignment horizontal="left" indent="1"/>
    </xf>
    <xf numFmtId="0" fontId="0" fillId="17" borderId="0" xfId="0" applyFill="1"/>
    <xf numFmtId="0" fontId="5" fillId="17" borderId="1" xfId="0" applyFont="1" applyFill="1" applyBorder="1"/>
    <xf numFmtId="0" fontId="8" fillId="17" borderId="1" xfId="0" applyFont="1" applyFill="1" applyBorder="1" applyAlignment="1">
      <alignment horizontal="left" vertical="center" wrapText="1" indent="1"/>
    </xf>
    <xf numFmtId="0" fontId="8" fillId="17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left" wrapText="1" indent="1"/>
    </xf>
    <xf numFmtId="0" fontId="5" fillId="17" borderId="1" xfId="0" applyFont="1" applyFill="1" applyBorder="1" applyAlignment="1">
      <alignment horizontal="center"/>
    </xf>
    <xf numFmtId="173" fontId="0" fillId="17" borderId="1" xfId="0" applyNumberFormat="1" applyFill="1" applyBorder="1" applyAlignment="1">
      <alignment horizontal="left" vertical="center" wrapText="1" indent="1"/>
    </xf>
    <xf numFmtId="9" fontId="5" fillId="17" borderId="1" xfId="3" applyFont="1" applyFill="1" applyBorder="1" applyAlignment="1">
      <alignment horizontal="left" vertical="center" indent="1"/>
    </xf>
    <xf numFmtId="170" fontId="0" fillId="17" borderId="1" xfId="2" applyNumberFormat="1" applyFont="1" applyFill="1" applyBorder="1" applyAlignment="1">
      <alignment horizontal="left" vertical="center" wrapText="1" indent="1"/>
    </xf>
    <xf numFmtId="168" fontId="4" fillId="17" borderId="1" xfId="2" applyNumberFormat="1" applyFont="1" applyFill="1" applyBorder="1" applyAlignment="1">
      <alignment horizontal="left" vertical="center" indent="1"/>
    </xf>
    <xf numFmtId="168" fontId="5" fillId="17" borderId="1" xfId="2" applyNumberFormat="1" applyFont="1" applyFill="1" applyBorder="1" applyAlignment="1">
      <alignment horizontal="left" vertical="center" indent="1"/>
    </xf>
    <xf numFmtId="0" fontId="8" fillId="17" borderId="1" xfId="0" applyFont="1" applyFill="1" applyBorder="1" applyAlignment="1">
      <alignment horizontal="center"/>
    </xf>
    <xf numFmtId="170" fontId="8" fillId="17" borderId="1" xfId="2" applyNumberFormat="1" applyFont="1" applyFill="1" applyBorder="1" applyAlignment="1">
      <alignment horizontal="left" indent="1"/>
    </xf>
    <xf numFmtId="168" fontId="8" fillId="17" borderId="1" xfId="0" applyNumberFormat="1" applyFont="1" applyFill="1" applyBorder="1" applyAlignment="1">
      <alignment horizontal="left" indent="1"/>
    </xf>
    <xf numFmtId="0" fontId="8" fillId="17" borderId="0" xfId="0" applyFont="1" applyFill="1"/>
    <xf numFmtId="0" fontId="5" fillId="17" borderId="1" xfId="0" applyFont="1" applyFill="1" applyBorder="1" applyAlignment="1">
      <alignment horizontal="left" vertical="center" indent="1"/>
    </xf>
    <xf numFmtId="173" fontId="4" fillId="17" borderId="1" xfId="0" applyNumberFormat="1" applyFont="1" applyFill="1" applyBorder="1" applyAlignment="1">
      <alignment horizontal="left" vertical="center" indent="1"/>
    </xf>
    <xf numFmtId="170" fontId="4" fillId="17" borderId="1" xfId="2" applyNumberFormat="1" applyFont="1" applyFill="1" applyBorder="1" applyAlignment="1">
      <alignment horizontal="left" vertical="center" indent="1"/>
    </xf>
    <xf numFmtId="173" fontId="8" fillId="17" borderId="1" xfId="0" applyNumberFormat="1" applyFont="1" applyFill="1" applyBorder="1" applyAlignment="1">
      <alignment horizontal="left" vertical="center" wrapText="1" indent="1"/>
    </xf>
    <xf numFmtId="170" fontId="8" fillId="17" borderId="1" xfId="2" applyNumberFormat="1" applyFont="1" applyFill="1" applyBorder="1" applyAlignment="1">
      <alignment horizontal="left" vertical="center" wrapText="1" indent="1"/>
    </xf>
    <xf numFmtId="0" fontId="5" fillId="17" borderId="1" xfId="0" applyFont="1" applyFill="1" applyBorder="1" applyAlignment="1">
      <alignment horizontal="center" vertical="center"/>
    </xf>
    <xf numFmtId="173" fontId="5" fillId="17" borderId="1" xfId="0" applyNumberFormat="1" applyFont="1" applyFill="1" applyBorder="1" applyAlignment="1">
      <alignment horizontal="left" vertical="center" indent="1"/>
    </xf>
    <xf numFmtId="170" fontId="5" fillId="17" borderId="1" xfId="2" applyNumberFormat="1" applyFont="1" applyFill="1" applyBorder="1" applyAlignment="1">
      <alignment horizontal="left" vertical="center" indent="1"/>
    </xf>
    <xf numFmtId="0" fontId="8" fillId="17" borderId="1" xfId="0" applyFont="1" applyFill="1" applyBorder="1" applyAlignment="1">
      <alignment horizontal="left" wrapText="1" indent="1"/>
    </xf>
    <xf numFmtId="0" fontId="14" fillId="17" borderId="1" xfId="0" applyFont="1" applyFill="1" applyBorder="1"/>
    <xf numFmtId="0" fontId="13" fillId="17" borderId="1" xfId="0" applyFont="1" applyFill="1" applyBorder="1" applyAlignment="1">
      <alignment horizontal="left" vertical="center" wrapText="1" indent="1"/>
    </xf>
    <xf numFmtId="0" fontId="14" fillId="17" borderId="1" xfId="0" applyFont="1" applyFill="1" applyBorder="1" applyAlignment="1">
      <alignment horizontal="center"/>
    </xf>
    <xf numFmtId="0" fontId="14" fillId="17" borderId="1" xfId="0" applyFont="1" applyFill="1" applyBorder="1" applyAlignment="1">
      <alignment horizontal="left" wrapText="1" indent="1"/>
    </xf>
    <xf numFmtId="173" fontId="14" fillId="17" borderId="1" xfId="0" applyNumberFormat="1" applyFont="1" applyFill="1" applyBorder="1" applyAlignment="1">
      <alignment horizontal="left" vertical="center" indent="1"/>
    </xf>
    <xf numFmtId="9" fontId="14" fillId="17" borderId="1" xfId="3" applyFont="1" applyFill="1" applyBorder="1" applyAlignment="1">
      <alignment horizontal="left" vertical="center" indent="1"/>
    </xf>
    <xf numFmtId="170" fontId="14" fillId="17" borderId="1" xfId="2" applyNumberFormat="1" applyFont="1" applyFill="1" applyBorder="1" applyAlignment="1">
      <alignment horizontal="left" vertical="center" indent="1"/>
    </xf>
    <xf numFmtId="168" fontId="14" fillId="17" borderId="1" xfId="2" applyNumberFormat="1" applyFont="1" applyFill="1" applyBorder="1" applyAlignment="1">
      <alignment horizontal="left" vertical="center" indent="1"/>
    </xf>
    <xf numFmtId="0" fontId="13" fillId="17" borderId="1" xfId="0" applyFont="1" applyFill="1" applyBorder="1" applyAlignment="1">
      <alignment horizontal="center"/>
    </xf>
    <xf numFmtId="170" fontId="13" fillId="17" borderId="1" xfId="2" applyNumberFormat="1" applyFont="1" applyFill="1" applyBorder="1" applyAlignment="1">
      <alignment horizontal="left" indent="1"/>
    </xf>
    <xf numFmtId="168" fontId="13" fillId="17" borderId="1" xfId="0" applyNumberFormat="1" applyFont="1" applyFill="1" applyBorder="1" applyAlignment="1">
      <alignment horizontal="left" indent="1"/>
    </xf>
    <xf numFmtId="0" fontId="13" fillId="17" borderId="0" xfId="0" applyFont="1" applyFill="1"/>
    <xf numFmtId="170" fontId="8" fillId="0" borderId="0" xfId="2" applyNumberFormat="1" applyFont="1" applyFill="1" applyAlignment="1">
      <alignment horizontal="left" indent="1"/>
    </xf>
    <xf numFmtId="170" fontId="8" fillId="0" borderId="0" xfId="0" applyNumberFormat="1" applyFont="1" applyFill="1" applyAlignment="1">
      <alignment horizontal="left" indent="1"/>
    </xf>
    <xf numFmtId="168" fontId="0" fillId="0" borderId="0" xfId="0" applyNumberFormat="1" applyFill="1" applyAlignment="1">
      <alignment horizontal="left" inden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3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15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17" borderId="1" xfId="0" applyFont="1" applyFill="1" applyBorder="1" applyAlignment="1">
      <alignment horizontal="left" vertical="center" wrapText="1" indent="1"/>
    </xf>
    <xf numFmtId="0" fontId="5" fillId="15" borderId="1" xfId="0" applyFont="1" applyFill="1" applyBorder="1" applyAlignment="1">
      <alignment horizontal="left" vertical="center" wrapText="1" indent="1"/>
    </xf>
    <xf numFmtId="0" fontId="4" fillId="15" borderId="1" xfId="0" applyFont="1" applyFill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left" vertical="center" wrapText="1" indent="1"/>
    </xf>
    <xf numFmtId="0" fontId="11" fillId="11" borderId="1" xfId="0" applyFont="1" applyFill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center" vertical="center" wrapText="1"/>
    </xf>
    <xf numFmtId="173" fontId="2" fillId="11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</cellXfs>
  <cellStyles count="11">
    <cellStyle name="Millares" xfId="4" builtinId="3"/>
    <cellStyle name="Millares [0]" xfId="1" builtinId="6"/>
    <cellStyle name="Millares [0] 2" xfId="5"/>
    <cellStyle name="Millares [0] 2 2" xfId="9"/>
    <cellStyle name="Millares [0] 3" xfId="7"/>
    <cellStyle name="Millares 2" xfId="6"/>
    <cellStyle name="Millares 2 2" xfId="10"/>
    <cellStyle name="Millares 3" xfId="8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0000"/>
      <color rgb="FFFFFFCC"/>
      <color rgb="FF009999"/>
      <color rgb="FF750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istente Contable" id="{0737BD9F-106F-4F00-AEBA-95B5F0EB5E54}" userId="S::asistente.contable@SEGURIDADELPENTAGONOCOL.onmicrosoft.com::53401fa4-ad91-4a34-aef0-d358b6180d4b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Ke11aad3bio10aa\d\Users\COORDINADOR%20BOGOTA\Downloads\ANEXO%20FACTURA%20JULIO%20CON%20DESCUENT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CTURACION" refreshedDate="45085.392643287036" createdVersion="8" refreshedVersion="8" minRefreshableVersion="3" recordCount="170">
  <cacheSource type="worksheet">
    <worksheetSource ref="C7:P156" sheet="SEGUNDA QUINCENA" r:id="rId2"/>
  </cacheSource>
  <cacheFields count="14">
    <cacheField name="DISTRIBUCION" numFmtId="0">
      <sharedItems containsBlank="1"/>
    </cacheField>
    <cacheField name="UBICACIÓN" numFmtId="0">
      <sharedItems containsBlank="1" containsMixedTypes="1" containsNumber="1" containsInteger="1" minValue="30" maxValue="30"/>
    </cacheField>
    <cacheField name="X= No. DE SERVICIOS" numFmtId="0">
      <sharedItems containsString="0" containsBlank="1" containsNumber="1" containsInteger="1" minValue="1" maxValue="4" count="4">
        <n v="1"/>
        <m/>
        <n v="4"/>
        <n v="2"/>
      </sharedItems>
    </cacheField>
    <cacheField name="TIPO DE SERVICIO" numFmtId="0">
      <sharedItems containsBlank="1" count="14">
        <s v="SERVICIO 24 HORAS PERMANENTE SIN ARMA"/>
        <s v="SERVICIO 12 HORAS PERMANENTE SIN ARMA"/>
        <s v="SERVICIO 14 HORAS DIURNO LUNES  A DOMINGO "/>
        <s v="SERVICIO 12 HORAS LUNES A SABADO SIN ARMA"/>
        <s v="SERVICIO 14 HORAS DIURNO LUNES  A SABADO "/>
        <s v="SERVICIO 8 HORAS DIURNO LUNES A SABADO "/>
        <m/>
        <s v="SERVICIO 8 HORAS PERMANENTE SIN ARMA"/>
        <s v="SERVICIO 12 HORAS LUNES A VIERNES SIN ARMA"/>
        <s v="SERVICIO 12 HORAS NOCTURNO PERMANENTE SIN ARMA"/>
        <s v="SERVICIO 14 HORAS LUNES A VIERNES SIN ARMA"/>
        <s v="SERVICIO 24 HORAS PERMANENTE CON ARMA"/>
        <s v="SERVICIO 12 HORAS NOCTURNO SIN ARMA"/>
        <s v="SERVICIO 8 HORAS DIURNO SIN ARMA"/>
      </sharedItems>
    </cacheField>
    <cacheField name="K" numFmtId="0">
      <sharedItems containsString="0" containsBlank="1" containsNumber="1" containsInteger="1" minValue="1" maxValue="66"/>
    </cacheField>
    <cacheField name="DIA" numFmtId="0">
      <sharedItems containsString="0" containsBlank="1" containsNumber="1" containsInteger="1" minValue="4" maxValue="30"/>
    </cacheField>
    <cacheField name="Z= DIAS PRESTADOS" numFmtId="0">
      <sharedItems containsString="0" containsBlank="1" containsNumber="1" containsInteger="1" minValue="4" maxValue="30"/>
    </cacheField>
    <cacheField name="COSTO DIRECTO" numFmtId="0">
      <sharedItems containsSemiMixedTypes="0" containsString="0" containsNumber="1" minValue="406502.39857777773" maxValue="738154202.1007998"/>
    </cacheField>
    <cacheField name="%" numFmtId="0">
      <sharedItems containsString="0" containsBlank="1" containsNumber="1" minValue="0.08" maxValue="0.1"/>
    </cacheField>
    <cacheField name="AYS" numFmtId="168">
      <sharedItems containsSemiMixedTypes="0" containsString="0" containsNumber="1" minValue="32520.191886222219" maxValue="59052336.168064013"/>
    </cacheField>
    <cacheField name="SUBTOTAL" numFmtId="168">
      <sharedItems containsSemiMixedTypes="0" containsString="0" containsNumber="1" minValue="439022.59046399995" maxValue="797206538.2688638"/>
    </cacheField>
    <cacheField name="BASE IVA" numFmtId="168">
      <sharedItems containsSemiMixedTypes="0" containsString="0" containsNumber="1" minValue="43902.259046399995" maxValue="79720653.82688646"/>
    </cacheField>
    <cacheField name="IVA 19%" numFmtId="168">
      <sharedItems containsSemiMixedTypes="0" containsString="0" containsNumber="1" minValue="8341.4292188159998" maxValue="15146924.227108426"/>
    </cacheField>
    <cacheField name="TOTAL" numFmtId="168">
      <sharedItems containsSemiMixedTypes="0" containsString="0" containsNumber="1" minValue="447364.01968281594" maxValue="812353462.49597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SEPECOL"/>
    <s v="PABLO VI - URGENCIA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CONSULTORIO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PABLO VI 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 - SERVICIOS INTEGRALES L 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ADMINISTRATIVA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FARMACIA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PAPS PIAMONTE UNO 12 DD Y UNO 12 H L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s v="PABLO VI - PAPS ESTACION UNO 14 HL-S Y UNO 12H LD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RBONE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PAPS LAURELES - 12 HOR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PAPS CABAÑAS UNO 14 HORAS L-S  Y UNO  12 DD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BAÑAS UNO 8 HORAS L-S  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BLO VI - PAPS PORVENIR 24 H Y 12 HORAS  L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m/>
    <x v="0"/>
    <x v="5"/>
    <n v="1"/>
    <n v="23"/>
    <n v="16"/>
    <n v="1626009.5943111109"/>
    <n v="0.08"/>
    <n v="130080.76754488888"/>
    <n v="1756090.3618559998"/>
    <n v="175609.03618559998"/>
    <n v="33365.716875263999"/>
    <n v="1789456.0787312638"/>
  </r>
  <r>
    <s v="SEPECOL"/>
    <s v="PABLO VI - PAPS OLARTE -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SAN BERNARDINO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LOTE SAN BERNARDIN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ARQUEAD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RECORREDOR PRIMER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VILLA JAVIER RECORREDOR SEGUNDO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BOSA - URGENC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LTRO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URGENCIA DIURN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m/>
    <m/>
    <x v="1"/>
    <x v="6"/>
    <n v="35"/>
    <m/>
    <m/>
    <n v="216869383.70577773"/>
    <m/>
    <n v="17349550.696462221"/>
    <n v="234218934.40223992"/>
    <n v="23421893.440223992"/>
    <n v="4450159.7536425591"/>
    <n v="238669094.15588248"/>
  </r>
  <r>
    <s v="SEPECOL"/>
    <s v="TINTAL 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URG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CARGUE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PEATONAL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SEGUNDO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ENTRADA SALA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TERCER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FIL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RECORREDOR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CONSULTA EXTERNA L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TINTAL - RECEPCION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KENNEDY - MEDICINA INT. HOSP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MEDICINA INTERNA ESPECIALIDADE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ORTOPÉDIA Y QUIRURGIC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RECIEN NACIDOS Y MA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18"/>
    <n v="18"/>
    <n v="2743891.1903999997"/>
    <n v="0.08"/>
    <n v="219511.29523199997"/>
    <n v="2963402.4856319996"/>
    <n v="296340.24856319994"/>
    <n v="56304.64722700799"/>
    <n v="3019707.1328590075"/>
  </r>
  <r>
    <s v="SEPECOL"/>
    <s v="KENNEDY - SALA DE PAR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UCI "/>
    <x v="0"/>
    <x v="1"/>
    <n v="1"/>
    <n v="23"/>
    <n v="23"/>
    <n v="3506083.1877333331"/>
    <n v="0.08"/>
    <n v="280486.65501866664"/>
    <n v="3786569.8427519999"/>
    <n v="378656.9842752"/>
    <n v="71944.827012288006"/>
    <n v="3858514.6697642878"/>
  </r>
  <r>
    <s v="SEPECOL"/>
    <s v="KENNEDY- PUERTA REJA URGENCIAS"/>
    <x v="0"/>
    <x v="0"/>
    <n v="1"/>
    <n v="19"/>
    <n v="19"/>
    <n v="6468486.666666667"/>
    <n v="0.08"/>
    <n v="517478.93333333335"/>
    <n v="6985965.6000000006"/>
    <n v="698596.56"/>
    <n v="132733.34640000001"/>
    <n v="7118698.9464000007"/>
  </r>
  <r>
    <s v="SEPECOL"/>
    <s v="KENNEDY- PUERTA ENTRADA URG. "/>
    <x v="0"/>
    <x v="0"/>
    <n v="2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2"/>
    <n v="9"/>
    <n v="9"/>
    <n v="3064020"/>
    <n v="0.08"/>
    <n v="245121.6"/>
    <n v="3309141.6"/>
    <n v="330914.16000000003"/>
    <n v="62873.690400000007"/>
    <n v="3372015.2904000003"/>
  </r>
  <r>
    <s v="SEPECOL"/>
    <s v="KENNEDY- PUERTA FILTRO URG.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COORDINACION URGENCIAS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INTERNA URGENCIAS ROTONDA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ENTRADA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CAPILLA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RX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PROVISIONAL PSIQUIATRIA URGENCIAS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INGRESO URGENCIAS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PUERTA ALMACEN 14 HORA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CHUT Y BICICLET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ARQUEADE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RECORREDOR GEN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ALUD MENTAL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ARCHIVO CARVAJ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 CONS.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RECORREDOR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CAD DELICI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PATIOS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CLASS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BOMBEROS 1 24 H 1 8 H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MEXICA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MEXICANA "/>
    <x v="2"/>
    <x v="0"/>
    <n v="1"/>
    <n v="5"/>
    <n v="5"/>
    <n v="6808933.333333334"/>
    <n v="0.08"/>
    <n v="544714.66666666674"/>
    <n v="7353648.0000000009"/>
    <n v="735364.80000000016"/>
    <n v="139719.31200000003"/>
    <n v="7493367.3120000008"/>
  </r>
  <r>
    <s v="SEPECOL"/>
    <s v="PAPS DINDALIT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GERIATRICO ABAS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TALI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29 KENNEDY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BRITAL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RVAJ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ARGELIA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CENTRO DE SALUD TINTAL"/>
    <x v="3"/>
    <x v="0"/>
    <n v="2"/>
    <n v="30"/>
    <n v="30"/>
    <n v="20426800"/>
    <n v="0.08"/>
    <n v="1634144"/>
    <n v="22060944"/>
    <n v="2206094.4"/>
    <n v="419157.93599999999"/>
    <n v="22480101.936000001"/>
  </r>
  <r>
    <s v="SEPECOL"/>
    <s v="CENTRO DE SALUD TINTAL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TINTAL  - RECORREDOR NOCTURNO"/>
    <x v="0"/>
    <x v="9"/>
    <n v="1"/>
    <n v="4"/>
    <n v="4"/>
    <n v="752033.06880000001"/>
    <n v="0.08"/>
    <n v="60162.645504"/>
    <n v="812195.71430400002"/>
    <n v="81219.571430400014"/>
    <n v="15431.718571776002"/>
    <n v="827627.43287577608"/>
  </r>
  <r>
    <s v="SEPECOL"/>
    <s v="TORRE URGENCIAS - CUARTO PISO 4° CUIDADOS INTENSIV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CUARTO PISO 4° NEONA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CUARTO PISO 4° CUIDADOS INTERMEDI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TERCER PISO 3° GINECOLO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TRABAJO DE PART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SALA DE PAR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SEGUNDO PISO 2° PEDRIATR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CIRU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PSIQUIATRIA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 PUERTA PRINCIPAL"/>
    <x v="0"/>
    <x v="0"/>
    <m/>
    <n v="30"/>
    <n v="30"/>
    <n v="10213400"/>
    <n v="0.08"/>
    <n v="817072"/>
    <n v="11030472"/>
    <n v="1103047.2"/>
    <n v="209578.96799999999"/>
    <n v="11240050.968"/>
  </r>
  <r>
    <s v="SEPECOL"/>
    <m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FILTR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REANIMACION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PASO TORRE 1"/>
    <x v="0"/>
    <x v="0"/>
    <m/>
    <n v="16"/>
    <n v="16"/>
    <n v="5447146.666666667"/>
    <n v="0.08"/>
    <n v="435771.7333333334"/>
    <n v="5882918.4000000004"/>
    <n v="588291.84000000008"/>
    <n v="111775.44960000002"/>
    <n v="5994693.8496000003"/>
  </r>
  <r>
    <s v="SEPECOL"/>
    <s v="PASO TORRE 2"/>
    <x v="0"/>
    <x v="0"/>
    <m/>
    <n v="15"/>
    <n v="15"/>
    <n v="5106700"/>
    <n v="0.08"/>
    <n v="408536"/>
    <n v="5515236"/>
    <n v="551523.6"/>
    <n v="104789.484"/>
    <n v="5620025.4840000002"/>
  </r>
  <r>
    <s v="SEPECOL"/>
    <s v="PUERTA CRISTAL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ALIDA EMERGENCIA 1 DE MAYO "/>
    <x v="0"/>
    <x v="0"/>
    <m/>
    <n v="12"/>
    <n v="12"/>
    <n v="4085360"/>
    <n v="0.08"/>
    <n v="326828.79999999999"/>
    <n v="4412188.8"/>
    <n v="441218.88"/>
    <n v="83831.587200000009"/>
    <n v="4496020.3871999998"/>
  </r>
  <r>
    <s v="SEPECOL"/>
    <s v="REJA PEATONAL URGENCIA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LACTARIO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ALANQUER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1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2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ERVICIO EXTERNOS "/>
    <x v="2"/>
    <x v="0"/>
    <m/>
    <n v="30"/>
    <n v="30"/>
    <n v="40853600"/>
    <n v="0.08"/>
    <n v="3268288"/>
    <n v="44121888"/>
    <n v="4412188.8"/>
    <n v="838315.87199999997"/>
    <n v="44960203.872000001"/>
  </r>
  <r>
    <s v="SEPECOL"/>
    <s v="MONITOREO"/>
    <x v="0"/>
    <x v="0"/>
    <m/>
    <n v="13"/>
    <n v="13"/>
    <n v="4425806.666666667"/>
    <n v="0.08"/>
    <n v="354064.53333333338"/>
    <n v="4779871.2"/>
    <n v="477987.12000000005"/>
    <n v="90817.552800000005"/>
    <n v="4870688.7527999999"/>
  </r>
  <r>
    <s v="SEPECOL"/>
    <s v="APOYO PUERTA URGENCIAS"/>
    <x v="0"/>
    <x v="1"/>
    <n v="1"/>
    <n v="16"/>
    <n v="16"/>
    <n v="2439014.3914666665"/>
    <n v="0.08"/>
    <n v="195121.15131733331"/>
    <n v="2634135.5427839998"/>
    <n v="263413.55427839997"/>
    <n v="50048.575312895991"/>
    <n v="2684184.118096896"/>
  </r>
  <r>
    <m/>
    <m/>
    <x v="1"/>
    <x v="6"/>
    <n v="66"/>
    <m/>
    <m/>
    <n v="738154202.1007998"/>
    <m/>
    <n v="59052336.168064013"/>
    <n v="797206538.2688638"/>
    <n v="79720653.82688646"/>
    <n v="15146924.227108426"/>
    <n v="812353462.49597287"/>
  </r>
  <r>
    <s v="SEPECOL"/>
    <s v="PAPS CENTRO DIA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8 SAN PABLO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9 INTERNACIONAL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50 PUERTA DE TEJA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SALUD PUBLICA l-s 14 hora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PS 51 ZONA FRANCA PARQ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PPAL 8 HORAS L-S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ZONA FRANCA P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REC. L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1 BOSTON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1 BOSTON RECORREDOR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PUERTA VEHICULAR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REGIS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PASILL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MONITORE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LABORATORIO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EDE ADMINISTRTIVA BOSTON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ARCHIVO MONTEVIDEO L- V "/>
    <x v="0"/>
    <x v="10"/>
    <n v="1"/>
    <n v="30"/>
    <n v="24"/>
    <n v="3556895.9875555551"/>
    <n v="0.08"/>
    <n v="284551.67900444439"/>
    <n v="3841447.6665599993"/>
    <n v="384144.76665599993"/>
    <n v="72987.50566463999"/>
    <n v="3914435.1722246394"/>
  </r>
  <r>
    <m/>
    <m/>
    <x v="1"/>
    <x v="6"/>
    <n v="21"/>
    <m/>
    <m/>
    <n v="127184628.60515554"/>
    <m/>
    <n v="10174770.288412442"/>
    <n v="137359398.89356801"/>
    <n v="13735939.889356796"/>
    <n v="2609828.5789777921"/>
    <n v="139969227.47254574"/>
  </r>
  <r>
    <s v="SEPECOL"/>
    <s v="CAPS GALAN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FILTR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CONSULTA EXT.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GALAN 2 PISO LAB C. EXT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ALQUERIA L-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PUENTE ARANDA "/>
    <x v="0"/>
    <x v="0"/>
    <n v="1"/>
    <n v="30"/>
    <n v="30"/>
    <n v="10213400"/>
    <n v="0.08"/>
    <n v="817072"/>
    <n v="11030472"/>
    <n v="1103047.2"/>
    <n v="209578.96799999999"/>
    <n v="11240050.968"/>
  </r>
  <r>
    <m/>
    <m/>
    <x v="0"/>
    <x v="8"/>
    <n v="1"/>
    <n v="7"/>
    <n v="7"/>
    <n v="1067068.7962666666"/>
    <n v="0.08"/>
    <n v="85365.503701333335"/>
    <n v="1152434.299968"/>
    <n v="115243.42999680001"/>
    <n v="21896.251699392004"/>
    <n v="1174330.551667392"/>
  </r>
  <r>
    <s v="SEPECOL"/>
    <s v="PAPS ALCALA MUZU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UNDINAMAR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ASUNCION BOCHI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ASDING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DEGA  GORGONZOLA ACT.FIJO"/>
    <x v="0"/>
    <x v="11"/>
    <n v="1"/>
    <n v="30"/>
    <n v="30"/>
    <n v="10213400"/>
    <n v="0.1"/>
    <n v="1021340"/>
    <n v="11234740"/>
    <n v="1123474"/>
    <n v="213460.06"/>
    <n v="11448200.060000001"/>
  </r>
  <r>
    <s v="SEPECOL"/>
    <s v="BODEGA SANTA RITA L-V ACT. FIJO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m/>
    <n v="30"/>
    <x v="1"/>
    <x v="6"/>
    <n v="14"/>
    <m/>
    <m/>
    <n v="99237615.938666672"/>
    <m/>
    <n v="8143277.2750933338"/>
    <n v="107380893.21375999"/>
    <n v="10738089.321376001"/>
    <n v="2040236.9710614397"/>
    <n v="109421130.18482144"/>
  </r>
  <r>
    <s v="SEPECOL"/>
    <s v="DESCANSOS GUARDA DE PLANTA CABAÑAS DEL 25 al 31 DE MAYO 2023  ( 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PIAMONTE -  DESCANSOS DEL 25 AL 31 DE MAYO 2023 (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CARVAJAL - DESCANSOS EL DIA 12 Y DEL 25 AL 31 DE MAYO 2023 (8 NOCHES)"/>
    <x v="0"/>
    <x v="12"/>
    <n v="1"/>
    <n v="8"/>
    <n v="8"/>
    <n v="1504066.1376"/>
    <n v="0.08"/>
    <n v="120325.291008"/>
    <n v="1624391.428608"/>
    <n v="162439.14286080003"/>
    <n v="30863.437143552004"/>
    <n v="1655254.8657515522"/>
  </r>
  <r>
    <s v="SEPECOL"/>
    <s v="DELICIAS - DESCANSOS LOS DIAS DEL 19 AL 31 DE MAYO 2023 (13 NOCHES)"/>
    <x v="0"/>
    <x v="12"/>
    <n v="1"/>
    <n v="13"/>
    <n v="13"/>
    <n v="2444107.4736000001"/>
    <n v="0.08"/>
    <n v="195528.59788800002"/>
    <n v="2639636.071488"/>
    <n v="263963.60714879999"/>
    <n v="50153.085358272001"/>
    <n v="2689789.1568462718"/>
  </r>
  <r>
    <s v="SEPECOL"/>
    <s v="ADICIONALES MONTEVIDEO LOS DIAS 6,13,20,27 MAYO 2023"/>
    <x v="0"/>
    <x v="13"/>
    <n v="1"/>
    <n v="4"/>
    <n v="4"/>
    <n v="406502.39857777773"/>
    <n v="0.08"/>
    <n v="32520.191886222219"/>
    <n v="439022.59046399995"/>
    <n v="43902.259046399995"/>
    <n v="8341.4292188159998"/>
    <n v="447364.01968281594"/>
  </r>
  <r>
    <m/>
    <m/>
    <x v="1"/>
    <x v="6"/>
    <n v="4"/>
    <m/>
    <m/>
    <n v="6986791.7505777776"/>
    <m/>
    <n v="558943.34004622232"/>
    <n v="7545735.0906240009"/>
    <n v="754573.50906240009"/>
    <n v="143368.96672185601"/>
    <n v="7689104.0573458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8" firstHeaderRow="0" firstDataRow="1" firstDataCol="1"/>
  <pivotFields count="14"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axis="axisRow" showAll="0">
      <items count="15">
        <item x="3"/>
        <item x="8"/>
        <item x="9"/>
        <item x="12"/>
        <item x="1"/>
        <item x="2"/>
        <item x="4"/>
        <item x="10"/>
        <item x="11"/>
        <item x="0"/>
        <item x="5"/>
        <item x="13"/>
        <item x="7"/>
        <item x="6"/>
        <item t="default"/>
      </items>
    </pivotField>
    <pivotField showAll="0"/>
    <pivotField showAll="0"/>
    <pivotField showAll="0"/>
    <pivotField dataField="1" showAll="0"/>
    <pivotField showAll="0"/>
    <pivotField numFmtId="168" showAll="0"/>
    <pivotField numFmtId="168" showAll="0"/>
    <pivotField numFmtId="168" showAll="0"/>
    <pivotField numFmtId="168" showAll="0"/>
    <pivotField dataField="1" numFmtId="168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STO DIRECTO" fld="7" baseField="0" baseItem="0"/>
    <dataField name="Suma de TOTAL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32" dT="2023-01-03T12:55:31.97" personId="{0737BD9F-106F-4F00-AEBA-95B5F0EB5E54}" id="{A68D128F-DE90-46A1-B351-1DD6C7DD6DFE}">
    <text>INTALACION 18 DE OCTUBRE 2022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L32" dT="2023-01-03T12:55:31.97" personId="{0737BD9F-106F-4F00-AEBA-95B5F0EB5E54}" id="{767CE735-F763-4D1C-9EB7-11379A79DDB5}">
    <text>INTALACION 18 DE OCTUBRE 2022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B26" sqref="B26"/>
    </sheetView>
  </sheetViews>
  <sheetFormatPr baseColWidth="10" defaultRowHeight="15" x14ac:dyDescent="0.25"/>
  <cols>
    <col min="1" max="1" width="51.7109375" bestFit="1" customWidth="1"/>
    <col min="2" max="2" width="23.42578125" style="80" bestFit="1" customWidth="1"/>
    <col min="3" max="3" width="16.85546875" style="80" bestFit="1" customWidth="1"/>
  </cols>
  <sheetData>
    <row r="3" spans="1:3" x14ac:dyDescent="0.25">
      <c r="A3" s="121" t="s">
        <v>223</v>
      </c>
      <c r="B3" s="80" t="s">
        <v>226</v>
      </c>
      <c r="C3" s="80" t="s">
        <v>227</v>
      </c>
    </row>
    <row r="4" spans="1:3" x14ac:dyDescent="0.25">
      <c r="A4" s="122" t="s">
        <v>17</v>
      </c>
      <c r="B4" s="80">
        <v>57316838.199466676</v>
      </c>
      <c r="C4" s="80">
        <v>63078326.775277078</v>
      </c>
    </row>
    <row r="5" spans="1:3" x14ac:dyDescent="0.25">
      <c r="A5" s="122" t="s">
        <v>57</v>
      </c>
      <c r="B5" s="80">
        <v>16310908.742933333</v>
      </c>
      <c r="C5" s="80">
        <v>17950481.289772991</v>
      </c>
    </row>
    <row r="6" spans="1:3" x14ac:dyDescent="0.25">
      <c r="A6" s="122" t="s">
        <v>176</v>
      </c>
      <c r="B6" s="80">
        <v>752033.06880000001</v>
      </c>
      <c r="C6" s="80">
        <v>827627.43287577608</v>
      </c>
    </row>
    <row r="7" spans="1:3" x14ac:dyDescent="0.25">
      <c r="A7" s="122" t="s">
        <v>74</v>
      </c>
      <c r="B7" s="80">
        <v>6580289.352</v>
      </c>
      <c r="C7" s="80">
        <v>7241740.0376630407</v>
      </c>
    </row>
    <row r="8" spans="1:3" x14ac:dyDescent="0.25">
      <c r="A8" s="122" t="s">
        <v>16</v>
      </c>
      <c r="B8" s="80">
        <v>113871484.40159994</v>
      </c>
      <c r="C8" s="80">
        <v>125317846.01364875</v>
      </c>
    </row>
    <row r="9" spans="1:3" x14ac:dyDescent="0.25">
      <c r="A9" s="122" t="s">
        <v>20</v>
      </c>
      <c r="B9" s="80">
        <v>16006031.943999998</v>
      </c>
      <c r="C9" s="80">
        <v>17614958.275010876</v>
      </c>
    </row>
    <row r="10" spans="1:3" x14ac:dyDescent="0.25">
      <c r="A10" s="122" t="s">
        <v>19</v>
      </c>
      <c r="B10" s="80">
        <v>21341375.925333332</v>
      </c>
      <c r="C10" s="80">
        <v>23486611.033347841</v>
      </c>
    </row>
    <row r="11" spans="1:3" x14ac:dyDescent="0.25">
      <c r="A11" s="122" t="s">
        <v>198</v>
      </c>
      <c r="B11" s="80">
        <v>3556895.9875555551</v>
      </c>
      <c r="C11" s="80">
        <v>3914435.1722246394</v>
      </c>
    </row>
    <row r="12" spans="1:3" x14ac:dyDescent="0.25">
      <c r="A12" s="122" t="s">
        <v>26</v>
      </c>
      <c r="B12" s="80">
        <v>10213400</v>
      </c>
      <c r="C12" s="80">
        <v>11448200.060000001</v>
      </c>
    </row>
    <row r="13" spans="1:3" x14ac:dyDescent="0.25">
      <c r="A13" s="122" t="s">
        <v>15</v>
      </c>
      <c r="B13" s="80">
        <v>927036273.33333302</v>
      </c>
      <c r="C13" s="80">
        <v>1020221959.5288016</v>
      </c>
    </row>
    <row r="14" spans="1:3" x14ac:dyDescent="0.25">
      <c r="A14" s="122" t="s">
        <v>21</v>
      </c>
      <c r="B14" s="80">
        <v>8943052.7687111106</v>
      </c>
      <c r="C14" s="80">
        <v>9842008.4330219515</v>
      </c>
    </row>
    <row r="15" spans="1:3" x14ac:dyDescent="0.25">
      <c r="A15" s="122" t="s">
        <v>199</v>
      </c>
      <c r="B15" s="80">
        <v>406502.39857777773</v>
      </c>
      <c r="C15" s="80">
        <v>447364.01968281594</v>
      </c>
    </row>
    <row r="16" spans="1:3" x14ac:dyDescent="0.25">
      <c r="A16" s="122" t="s">
        <v>183</v>
      </c>
      <c r="B16" s="80">
        <v>6097535.978666666</v>
      </c>
      <c r="C16" s="80">
        <v>6710460.2952422397</v>
      </c>
    </row>
    <row r="17" spans="1:3" x14ac:dyDescent="0.25">
      <c r="A17" s="122" t="s">
        <v>224</v>
      </c>
      <c r="B17" s="80">
        <v>1188432622.1009774</v>
      </c>
      <c r="C17" s="80">
        <v>1308102018.3665683</v>
      </c>
    </row>
    <row r="18" spans="1:3" x14ac:dyDescent="0.25">
      <c r="A18" s="122" t="s">
        <v>225</v>
      </c>
      <c r="B18" s="80">
        <v>2376865244.2019548</v>
      </c>
      <c r="C18" s="80">
        <v>2616204036.7331381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E0000"/>
    <pageSetUpPr fitToPage="1"/>
  </sheetPr>
  <dimension ref="A3:AC181"/>
  <sheetViews>
    <sheetView showGridLines="0" tabSelected="1" topLeftCell="E139" zoomScale="115" zoomScaleNormal="115" zoomScaleSheetLayoutView="80" workbookViewId="0">
      <selection activeCell="U159" sqref="U159"/>
    </sheetView>
  </sheetViews>
  <sheetFormatPr baseColWidth="10" defaultRowHeight="15" x14ac:dyDescent="0.25"/>
  <cols>
    <col min="1" max="1" width="0" hidden="1" customWidth="1"/>
    <col min="2" max="2" width="3" customWidth="1"/>
    <col min="3" max="3" width="5.140625" customWidth="1"/>
    <col min="4" max="4" width="44.5703125" style="188" customWidth="1"/>
    <col min="5" max="5" width="8" style="67" customWidth="1"/>
    <col min="6" max="6" width="44.7109375" style="188" customWidth="1"/>
    <col min="7" max="7" width="10.5703125" style="67" customWidth="1"/>
    <col min="8" max="8" width="12.42578125" style="67" hidden="1" customWidth="1"/>
    <col min="9" max="9" width="15.7109375" style="67" customWidth="1"/>
    <col min="10" max="10" width="16.85546875" style="178" hidden="1" customWidth="1"/>
    <col min="11" max="11" width="9.5703125" style="143" hidden="1" customWidth="1"/>
    <col min="12" max="12" width="17.7109375" style="226" hidden="1" customWidth="1"/>
    <col min="13" max="13" width="16.85546875" style="143" hidden="1" customWidth="1"/>
    <col min="14" max="14" width="15.42578125" style="143" hidden="1" customWidth="1"/>
    <col min="15" max="15" width="18" style="143" hidden="1" customWidth="1"/>
    <col min="16" max="16" width="17.140625" style="143" customWidth="1"/>
    <col min="17" max="17" width="16.140625" style="67" customWidth="1"/>
    <col min="18" max="18" width="17.140625" style="226" customWidth="1"/>
    <col min="19" max="19" width="21.7109375" style="143" customWidth="1"/>
    <col min="20" max="20" width="15.85546875" style="167" bestFit="1" customWidth="1"/>
    <col min="21" max="23" width="11.42578125" style="133"/>
    <col min="24" max="29" width="11.42578125" style="134"/>
  </cols>
  <sheetData>
    <row r="3" spans="2:29" ht="15" customHeight="1" x14ac:dyDescent="0.25">
      <c r="B3" s="390" t="s">
        <v>229</v>
      </c>
      <c r="C3" s="390"/>
      <c r="D3" s="390"/>
      <c r="E3" s="390"/>
      <c r="F3" s="390"/>
      <c r="G3" s="390"/>
      <c r="H3" s="390"/>
      <c r="I3" s="390"/>
      <c r="J3" s="391"/>
      <c r="K3" s="390"/>
      <c r="L3" s="390"/>
      <c r="M3" s="390"/>
      <c r="N3" s="390"/>
      <c r="O3" s="390"/>
      <c r="P3" s="390"/>
      <c r="Q3" s="388"/>
      <c r="R3" s="388"/>
      <c r="S3" s="388" t="s">
        <v>312</v>
      </c>
    </row>
    <row r="4" spans="2:29" ht="27" customHeight="1" x14ac:dyDescent="0.25">
      <c r="B4" s="390" t="s">
        <v>1</v>
      </c>
      <c r="C4" s="390"/>
      <c r="D4" s="390"/>
      <c r="E4" s="390"/>
      <c r="F4" s="390"/>
      <c r="G4" s="390"/>
      <c r="H4" s="390"/>
      <c r="I4" s="390"/>
      <c r="J4" s="391"/>
      <c r="K4" s="390"/>
      <c r="L4" s="390"/>
      <c r="M4" s="390"/>
      <c r="N4" s="390"/>
      <c r="O4" s="390"/>
      <c r="P4" s="390"/>
      <c r="Q4" s="389"/>
      <c r="R4" s="389"/>
      <c r="S4" s="389"/>
    </row>
    <row r="5" spans="2:29" x14ac:dyDescent="0.25">
      <c r="B5" s="390" t="s">
        <v>325</v>
      </c>
      <c r="C5" s="390"/>
      <c r="D5" s="390"/>
      <c r="E5" s="390"/>
      <c r="F5" s="390"/>
      <c r="G5" s="390"/>
      <c r="H5" s="390"/>
      <c r="I5" s="390"/>
      <c r="J5" s="391"/>
      <c r="K5" s="390"/>
      <c r="L5" s="390"/>
      <c r="M5" s="390"/>
      <c r="N5" s="390"/>
      <c r="O5" s="390"/>
      <c r="P5" s="390"/>
      <c r="Q5" s="388"/>
      <c r="R5" s="388"/>
      <c r="S5" s="388"/>
    </row>
    <row r="6" spans="2:29" x14ac:dyDescent="0.25">
      <c r="B6" s="124"/>
      <c r="C6" s="124"/>
      <c r="D6" s="144"/>
      <c r="E6" s="124"/>
      <c r="F6" s="144"/>
      <c r="G6" s="124"/>
      <c r="H6" s="124"/>
      <c r="I6" s="124"/>
      <c r="J6" s="145"/>
      <c r="K6" s="144"/>
      <c r="L6" s="223"/>
      <c r="M6" s="144"/>
      <c r="N6" s="144"/>
      <c r="O6" s="144"/>
      <c r="P6" s="144"/>
      <c r="Q6" s="124"/>
      <c r="R6" s="223"/>
      <c r="S6" s="144"/>
    </row>
    <row r="7" spans="2:29" s="67" customFormat="1" ht="24" customHeight="1" x14ac:dyDescent="0.25">
      <c r="B7" s="125" t="s">
        <v>2</v>
      </c>
      <c r="C7" s="125" t="s">
        <v>3</v>
      </c>
      <c r="D7" s="124" t="s">
        <v>4</v>
      </c>
      <c r="E7" s="199" t="s">
        <v>187</v>
      </c>
      <c r="F7" s="124" t="s">
        <v>6</v>
      </c>
      <c r="G7" s="124" t="s">
        <v>220</v>
      </c>
      <c r="H7" s="124" t="s">
        <v>180</v>
      </c>
      <c r="I7" s="124" t="s">
        <v>186</v>
      </c>
      <c r="J7" s="228" t="s">
        <v>8</v>
      </c>
      <c r="K7" s="124" t="s">
        <v>221</v>
      </c>
      <c r="L7" s="229" t="s">
        <v>222</v>
      </c>
      <c r="M7" s="124" t="s">
        <v>10</v>
      </c>
      <c r="N7" s="124" t="s">
        <v>11</v>
      </c>
      <c r="O7" s="124" t="s">
        <v>12</v>
      </c>
      <c r="P7" s="124" t="s">
        <v>13</v>
      </c>
      <c r="Q7" s="125" t="s">
        <v>313</v>
      </c>
      <c r="R7" s="229" t="s">
        <v>314</v>
      </c>
      <c r="S7" s="124" t="s">
        <v>315</v>
      </c>
      <c r="T7" s="133"/>
      <c r="U7" s="133"/>
      <c r="V7" s="133"/>
      <c r="W7" s="133"/>
      <c r="X7" s="133"/>
      <c r="Y7" s="133"/>
      <c r="Z7" s="133"/>
      <c r="AA7" s="133"/>
      <c r="AB7" s="133"/>
      <c r="AC7" s="133"/>
    </row>
    <row r="8" spans="2:29" s="137" customFormat="1" x14ac:dyDescent="0.25">
      <c r="B8" s="375"/>
      <c r="C8" s="135" t="s">
        <v>229</v>
      </c>
      <c r="D8" s="217" t="s">
        <v>89</v>
      </c>
      <c r="E8" s="200">
        <v>1</v>
      </c>
      <c r="F8" s="148" t="s">
        <v>16</v>
      </c>
      <c r="G8" s="200">
        <v>1</v>
      </c>
      <c r="H8" s="200">
        <v>30</v>
      </c>
      <c r="I8" s="200">
        <v>30</v>
      </c>
      <c r="J8" s="154">
        <f>+(((((1423500*9.53+1659)*55.97%)/15*12)/30)*I8)*E8</f>
        <v>6075034.8446399998</v>
      </c>
      <c r="K8" s="149">
        <v>0.08</v>
      </c>
      <c r="L8" s="224">
        <f t="shared" ref="L8:L27" si="0">J8*K8</f>
        <v>486002.78757119999</v>
      </c>
      <c r="M8" s="150">
        <f t="shared" ref="M8:M27" si="1">J8+L8</f>
        <v>6561037.6322112</v>
      </c>
      <c r="N8" s="150">
        <f t="shared" ref="N8:N26" si="2">M8*10%</f>
        <v>656103.76322112</v>
      </c>
      <c r="O8" s="150">
        <f t="shared" ref="O8:O26" si="3">+N8*19%</f>
        <v>124659.71501201281</v>
      </c>
      <c r="P8" s="150">
        <f>M8+O8</f>
        <v>6685697.3472232129</v>
      </c>
      <c r="Q8" s="219"/>
      <c r="R8" s="162"/>
      <c r="S8" s="152">
        <f>P8-R8</f>
        <v>6685697.3472232129</v>
      </c>
      <c r="T8" s="153"/>
      <c r="U8" s="136"/>
      <c r="V8" s="136"/>
      <c r="W8" s="136"/>
    </row>
    <row r="9" spans="2:29" s="137" customFormat="1" x14ac:dyDescent="0.25">
      <c r="B9" s="375"/>
      <c r="C9" s="135" t="s">
        <v>229</v>
      </c>
      <c r="D9" s="148" t="s">
        <v>90</v>
      </c>
      <c r="E9" s="200">
        <v>1</v>
      </c>
      <c r="F9" s="148" t="s">
        <v>15</v>
      </c>
      <c r="G9" s="200">
        <v>1</v>
      </c>
      <c r="H9" s="200">
        <v>30</v>
      </c>
      <c r="I9" s="200">
        <v>30</v>
      </c>
      <c r="J9" s="154">
        <f>+(((1423500*9.53+1659)/30)*I9)*E9</f>
        <v>13567614</v>
      </c>
      <c r="K9" s="149">
        <v>0.08</v>
      </c>
      <c r="L9" s="224">
        <f t="shared" si="0"/>
        <v>1085409.1200000001</v>
      </c>
      <c r="M9" s="150">
        <f t="shared" si="1"/>
        <v>14653023.120000001</v>
      </c>
      <c r="N9" s="150">
        <f t="shared" si="2"/>
        <v>1465302.3120000002</v>
      </c>
      <c r="O9" s="150">
        <f t="shared" si="3"/>
        <v>278407.43928000005</v>
      </c>
      <c r="P9" s="150">
        <f t="shared" ref="P9:P26" si="4">M9+O9</f>
        <v>14931430.559280001</v>
      </c>
      <c r="Q9" s="219"/>
      <c r="R9" s="162"/>
      <c r="S9" s="152">
        <f t="shared" ref="S9:S73" si="5">P9-R9</f>
        <v>14931430.559280001</v>
      </c>
      <c r="T9" s="153"/>
      <c r="U9" s="136"/>
      <c r="V9" s="136"/>
      <c r="W9" s="136"/>
    </row>
    <row r="10" spans="2:29" s="137" customFormat="1" x14ac:dyDescent="0.25">
      <c r="B10" s="375"/>
      <c r="C10" s="135" t="s">
        <v>229</v>
      </c>
      <c r="D10" s="148" t="s">
        <v>122</v>
      </c>
      <c r="E10" s="200">
        <v>1</v>
      </c>
      <c r="F10" s="148" t="s">
        <v>16</v>
      </c>
      <c r="G10" s="200">
        <v>1</v>
      </c>
      <c r="H10" s="200">
        <v>30</v>
      </c>
      <c r="I10" s="200">
        <v>30</v>
      </c>
      <c r="J10" s="154">
        <f>+(((((1423500*9.53+1659)*55.97%)/15*12)/30)*I10)*E10</f>
        <v>6075034.8446399998</v>
      </c>
      <c r="K10" s="149">
        <v>0.08</v>
      </c>
      <c r="L10" s="224">
        <f t="shared" si="0"/>
        <v>486002.78757119999</v>
      </c>
      <c r="M10" s="150">
        <f t="shared" si="1"/>
        <v>6561037.6322112</v>
      </c>
      <c r="N10" s="150">
        <f t="shared" si="2"/>
        <v>656103.76322112</v>
      </c>
      <c r="O10" s="150">
        <f t="shared" si="3"/>
        <v>124659.71501201281</v>
      </c>
      <c r="P10" s="150">
        <f>M10+O10</f>
        <v>6685697.3472232129</v>
      </c>
      <c r="Q10" s="219"/>
      <c r="R10" s="162"/>
      <c r="S10" s="152">
        <f t="shared" si="5"/>
        <v>6685697.3472232129</v>
      </c>
      <c r="T10" s="153"/>
      <c r="U10" s="136"/>
      <c r="V10" s="136"/>
      <c r="W10" s="136"/>
    </row>
    <row r="11" spans="2:29" s="137" customFormat="1" ht="29.25" customHeight="1" x14ac:dyDescent="0.25">
      <c r="B11" s="375"/>
      <c r="C11" s="135" t="s">
        <v>229</v>
      </c>
      <c r="D11" s="217" t="s">
        <v>318</v>
      </c>
      <c r="E11" s="200">
        <v>1</v>
      </c>
      <c r="F11" s="148" t="s">
        <v>17</v>
      </c>
      <c r="G11" s="200">
        <v>1</v>
      </c>
      <c r="H11" s="200">
        <v>30</v>
      </c>
      <c r="I11" s="200">
        <v>24</v>
      </c>
      <c r="J11" s="154">
        <f>+(((((1423500*9.53+1659)*55.97%)/15*12)/30)*I11)*E11</f>
        <v>4860027.8757119998</v>
      </c>
      <c r="K11" s="149">
        <v>0.08</v>
      </c>
      <c r="L11" s="224">
        <f t="shared" ref="L11" si="6">J11*K11</f>
        <v>388802.23005696002</v>
      </c>
      <c r="M11" s="150">
        <f t="shared" ref="M11" si="7">J11+L11</f>
        <v>5248830.10576896</v>
      </c>
      <c r="N11" s="150">
        <f t="shared" ref="N11" si="8">M11*10%</f>
        <v>524883.01057689602</v>
      </c>
      <c r="O11" s="150">
        <f t="shared" ref="O11" si="9">+N11*19%</f>
        <v>99727.772009610242</v>
      </c>
      <c r="P11" s="150">
        <f t="shared" ref="P11" si="10">M11+O11</f>
        <v>5348557.8777785702</v>
      </c>
      <c r="Q11" s="219"/>
      <c r="R11" s="162"/>
      <c r="S11" s="152">
        <f t="shared" ref="S11" si="11">P11-R11</f>
        <v>5348557.8777785702</v>
      </c>
      <c r="T11" s="155"/>
      <c r="U11" s="136"/>
      <c r="V11" s="136"/>
      <c r="W11" s="136"/>
    </row>
    <row r="12" spans="2:29" s="137" customFormat="1" x14ac:dyDescent="0.25">
      <c r="B12" s="375"/>
      <c r="C12" s="135" t="s">
        <v>229</v>
      </c>
      <c r="D12" s="148" t="s">
        <v>181</v>
      </c>
      <c r="E12" s="200">
        <v>1</v>
      </c>
      <c r="F12" s="148" t="s">
        <v>15</v>
      </c>
      <c r="G12" s="200">
        <v>1</v>
      </c>
      <c r="H12" s="200">
        <v>30</v>
      </c>
      <c r="I12" s="200">
        <v>30</v>
      </c>
      <c r="J12" s="154">
        <f>+(((1423500*9.53+1659)/30)*I12)*E12</f>
        <v>13567614</v>
      </c>
      <c r="K12" s="149">
        <v>0.08</v>
      </c>
      <c r="L12" s="224">
        <f t="shared" si="0"/>
        <v>1085409.1200000001</v>
      </c>
      <c r="M12" s="150">
        <f t="shared" si="1"/>
        <v>14653023.120000001</v>
      </c>
      <c r="N12" s="150">
        <f t="shared" si="2"/>
        <v>1465302.3120000002</v>
      </c>
      <c r="O12" s="150">
        <f t="shared" si="3"/>
        <v>278407.43928000005</v>
      </c>
      <c r="P12" s="150">
        <f t="shared" si="4"/>
        <v>14931430.559280001</v>
      </c>
      <c r="Q12" s="219"/>
      <c r="R12" s="162"/>
      <c r="S12" s="152">
        <f t="shared" si="5"/>
        <v>14931430.559280001</v>
      </c>
      <c r="T12" s="153"/>
      <c r="U12" s="136"/>
      <c r="V12" s="136"/>
      <c r="W12" s="136"/>
    </row>
    <row r="13" spans="2:29" s="137" customFormat="1" ht="26.25" x14ac:dyDescent="0.25">
      <c r="B13" s="375"/>
      <c r="C13" s="135" t="s">
        <v>229</v>
      </c>
      <c r="D13" s="148" t="s">
        <v>320</v>
      </c>
      <c r="E13" s="200">
        <v>1</v>
      </c>
      <c r="F13" s="148" t="s">
        <v>17</v>
      </c>
      <c r="G13" s="200">
        <v>1</v>
      </c>
      <c r="H13" s="200">
        <v>30</v>
      </c>
      <c r="I13" s="200">
        <v>24</v>
      </c>
      <c r="J13" s="154">
        <f>+(((((1423500*9.53+1659)*55.97%)/15*12)/30)*I13)*E13</f>
        <v>4860027.8757119998</v>
      </c>
      <c r="K13" s="149">
        <v>0.08</v>
      </c>
      <c r="L13" s="224">
        <f t="shared" si="0"/>
        <v>388802.23005696002</v>
      </c>
      <c r="M13" s="150">
        <f t="shared" si="1"/>
        <v>5248830.10576896</v>
      </c>
      <c r="N13" s="150">
        <f t="shared" si="2"/>
        <v>524883.01057689602</v>
      </c>
      <c r="O13" s="150">
        <f t="shared" si="3"/>
        <v>99727.772009610242</v>
      </c>
      <c r="P13" s="150">
        <f t="shared" si="4"/>
        <v>5348557.8777785702</v>
      </c>
      <c r="Q13" s="219"/>
      <c r="R13" s="162"/>
      <c r="S13" s="152">
        <f t="shared" si="5"/>
        <v>5348557.8777785702</v>
      </c>
      <c r="T13" s="153"/>
      <c r="U13" s="136"/>
      <c r="V13" s="136"/>
      <c r="W13" s="136"/>
    </row>
    <row r="14" spans="2:29" s="137" customFormat="1" x14ac:dyDescent="0.25">
      <c r="B14" s="375"/>
      <c r="C14" s="135" t="s">
        <v>229</v>
      </c>
      <c r="D14" s="376" t="s">
        <v>238</v>
      </c>
      <c r="E14" s="200">
        <v>1</v>
      </c>
      <c r="F14" s="148" t="s">
        <v>16</v>
      </c>
      <c r="G14" s="200">
        <v>1</v>
      </c>
      <c r="H14" s="200">
        <v>30</v>
      </c>
      <c r="I14" s="200">
        <v>30</v>
      </c>
      <c r="J14" s="154">
        <f>+(((((1423500*9.53+1659)*55.97%)/15*12)/30)*I14)*E14</f>
        <v>6075034.8446399998</v>
      </c>
      <c r="K14" s="149">
        <v>0.08</v>
      </c>
      <c r="L14" s="224">
        <f t="shared" si="0"/>
        <v>486002.78757119999</v>
      </c>
      <c r="M14" s="150">
        <f t="shared" si="1"/>
        <v>6561037.6322112</v>
      </c>
      <c r="N14" s="150">
        <f t="shared" si="2"/>
        <v>656103.76322112</v>
      </c>
      <c r="O14" s="150">
        <f t="shared" si="3"/>
        <v>124659.71501201281</v>
      </c>
      <c r="P14" s="150">
        <f>M14+O14</f>
        <v>6685697.3472232129</v>
      </c>
      <c r="Q14" s="219"/>
      <c r="R14" s="162"/>
      <c r="S14" s="152">
        <f t="shared" si="5"/>
        <v>6685697.3472232129</v>
      </c>
      <c r="T14" s="153"/>
      <c r="U14" s="136"/>
      <c r="V14" s="136"/>
      <c r="W14" s="136"/>
    </row>
    <row r="15" spans="2:29" s="137" customFormat="1" ht="26.25" x14ac:dyDescent="0.25">
      <c r="B15" s="375"/>
      <c r="C15" s="135" t="s">
        <v>229</v>
      </c>
      <c r="D15" s="376"/>
      <c r="E15" s="200">
        <v>1</v>
      </c>
      <c r="F15" s="148" t="s">
        <v>19</v>
      </c>
      <c r="G15" s="200">
        <v>1</v>
      </c>
      <c r="H15" s="200">
        <v>30</v>
      </c>
      <c r="I15" s="200">
        <v>24</v>
      </c>
      <c r="J15" s="154">
        <f>+(((((1423500*9.53+1659)*55.97%)/15*14)/30)*I15)*E15</f>
        <v>5670032.5216639992</v>
      </c>
      <c r="K15" s="149">
        <v>0.08</v>
      </c>
      <c r="L15" s="224">
        <f t="shared" si="0"/>
        <v>453602.60173311993</v>
      </c>
      <c r="M15" s="150">
        <f t="shared" si="1"/>
        <v>6123635.1233971193</v>
      </c>
      <c r="N15" s="150">
        <f t="shared" si="2"/>
        <v>612363.512339712</v>
      </c>
      <c r="O15" s="150">
        <f t="shared" si="3"/>
        <v>116349.06734454528</v>
      </c>
      <c r="P15" s="150">
        <f>M15+O15</f>
        <v>6239984.1907416647</v>
      </c>
      <c r="Q15" s="219"/>
      <c r="R15" s="162"/>
      <c r="S15" s="152">
        <f t="shared" si="5"/>
        <v>6239984.1907416647</v>
      </c>
      <c r="T15" s="153"/>
      <c r="U15" s="136"/>
      <c r="V15" s="136"/>
      <c r="W15" s="136"/>
    </row>
    <row r="16" spans="2:29" s="137" customFormat="1" x14ac:dyDescent="0.25">
      <c r="B16" s="375"/>
      <c r="C16" s="135" t="s">
        <v>229</v>
      </c>
      <c r="D16" s="156" t="s">
        <v>237</v>
      </c>
      <c r="E16" s="200">
        <v>1</v>
      </c>
      <c r="F16" s="148" t="s">
        <v>16</v>
      </c>
      <c r="G16" s="200">
        <v>1</v>
      </c>
      <c r="H16" s="200">
        <v>30</v>
      </c>
      <c r="I16" s="200">
        <v>30</v>
      </c>
      <c r="J16" s="154">
        <f>+(((((1423500*9.53+1659)*55.97%)/15*12)/30)*I16)*E16</f>
        <v>6075034.8446399998</v>
      </c>
      <c r="K16" s="149">
        <v>0.08</v>
      </c>
      <c r="L16" s="224">
        <f t="shared" si="0"/>
        <v>486002.78757119999</v>
      </c>
      <c r="M16" s="150">
        <f t="shared" si="1"/>
        <v>6561037.6322112</v>
      </c>
      <c r="N16" s="150">
        <f t="shared" si="2"/>
        <v>656103.76322112</v>
      </c>
      <c r="O16" s="150">
        <f t="shared" si="3"/>
        <v>124659.71501201281</v>
      </c>
      <c r="P16" s="150">
        <f t="shared" si="4"/>
        <v>6685697.3472232129</v>
      </c>
      <c r="Q16" s="219"/>
      <c r="R16" s="162"/>
      <c r="S16" s="152">
        <f t="shared" si="5"/>
        <v>6685697.3472232129</v>
      </c>
      <c r="T16" s="153"/>
      <c r="U16" s="136"/>
      <c r="V16" s="136"/>
      <c r="W16" s="136"/>
    </row>
    <row r="17" spans="1:29" s="137" customFormat="1" x14ac:dyDescent="0.25">
      <c r="B17" s="375"/>
      <c r="C17" s="135" t="s">
        <v>229</v>
      </c>
      <c r="D17" s="148" t="s">
        <v>235</v>
      </c>
      <c r="E17" s="200">
        <v>1</v>
      </c>
      <c r="F17" s="148" t="s">
        <v>16</v>
      </c>
      <c r="G17" s="200">
        <v>1</v>
      </c>
      <c r="H17" s="200">
        <v>30</v>
      </c>
      <c r="I17" s="200">
        <v>30</v>
      </c>
      <c r="J17" s="154">
        <f>+(((((1423500*9.53+1659)*55.97%)/15*12)/30)*I17)*E17</f>
        <v>6075034.8446399998</v>
      </c>
      <c r="K17" s="149">
        <v>0.08</v>
      </c>
      <c r="L17" s="224">
        <f t="shared" si="0"/>
        <v>486002.78757119999</v>
      </c>
      <c r="M17" s="150">
        <f t="shared" si="1"/>
        <v>6561037.6322112</v>
      </c>
      <c r="N17" s="150">
        <f t="shared" si="2"/>
        <v>656103.76322112</v>
      </c>
      <c r="O17" s="150">
        <f t="shared" si="3"/>
        <v>124659.71501201281</v>
      </c>
      <c r="P17" s="150">
        <f t="shared" si="4"/>
        <v>6685697.3472232129</v>
      </c>
      <c r="Q17" s="219"/>
      <c r="R17" s="162"/>
      <c r="S17" s="152">
        <f t="shared" si="5"/>
        <v>6685697.3472232129</v>
      </c>
      <c r="T17" s="153"/>
      <c r="U17" s="136"/>
      <c r="V17" s="136"/>
      <c r="W17" s="136"/>
    </row>
    <row r="18" spans="1:29" s="137" customFormat="1" x14ac:dyDescent="0.25">
      <c r="B18" s="375"/>
      <c r="C18" s="135" t="s">
        <v>229</v>
      </c>
      <c r="D18" s="376" t="s">
        <v>236</v>
      </c>
      <c r="E18" s="200">
        <v>1</v>
      </c>
      <c r="F18" s="148" t="s">
        <v>15</v>
      </c>
      <c r="G18" s="200">
        <v>1</v>
      </c>
      <c r="H18" s="200">
        <v>30</v>
      </c>
      <c r="I18" s="200">
        <v>30</v>
      </c>
      <c r="J18" s="154">
        <f>+(((1423500*9.53+1659)/30)*I18)*E18</f>
        <v>13567614</v>
      </c>
      <c r="K18" s="149">
        <v>0.08</v>
      </c>
      <c r="L18" s="224">
        <f t="shared" ref="L18" si="12">J18*K18</f>
        <v>1085409.1200000001</v>
      </c>
      <c r="M18" s="150">
        <f t="shared" ref="M18" si="13">J18+L18</f>
        <v>14653023.120000001</v>
      </c>
      <c r="N18" s="150">
        <f t="shared" ref="N18" si="14">M18*10%</f>
        <v>1465302.3120000002</v>
      </c>
      <c r="O18" s="150">
        <f t="shared" ref="O18" si="15">+N18*19%</f>
        <v>278407.43928000005</v>
      </c>
      <c r="P18" s="150">
        <f t="shared" ref="P18" si="16">M18+O18</f>
        <v>14931430.559280001</v>
      </c>
      <c r="Q18" s="219"/>
      <c r="R18" s="162"/>
      <c r="S18" s="152">
        <f t="shared" si="5"/>
        <v>14931430.559280001</v>
      </c>
      <c r="T18" s="153"/>
      <c r="U18" s="136"/>
      <c r="V18" s="136"/>
      <c r="W18" s="136"/>
    </row>
    <row r="19" spans="1:29" s="137" customFormat="1" ht="21.75" customHeight="1" x14ac:dyDescent="0.25">
      <c r="B19" s="375"/>
      <c r="C19" s="135" t="s">
        <v>229</v>
      </c>
      <c r="D19" s="376"/>
      <c r="E19" s="200">
        <v>1</v>
      </c>
      <c r="F19" s="148" t="s">
        <v>21</v>
      </c>
      <c r="G19" s="200">
        <v>1</v>
      </c>
      <c r="H19" s="200">
        <v>30</v>
      </c>
      <c r="I19" s="200">
        <v>24</v>
      </c>
      <c r="J19" s="154">
        <f>+(((((1423500*9.53+1659)*55.97%)/15*8)/30)*I19)*E19</f>
        <v>3240018.5838080002</v>
      </c>
      <c r="K19" s="149">
        <v>0.08</v>
      </c>
      <c r="L19" s="224">
        <f t="shared" si="0"/>
        <v>259201.48670464003</v>
      </c>
      <c r="M19" s="150">
        <f t="shared" si="1"/>
        <v>3499220.0705126403</v>
      </c>
      <c r="N19" s="150">
        <f t="shared" si="2"/>
        <v>349922.00705126405</v>
      </c>
      <c r="O19" s="150">
        <f t="shared" si="3"/>
        <v>66485.181339740171</v>
      </c>
      <c r="P19" s="150">
        <f t="shared" si="4"/>
        <v>3565705.2518523806</v>
      </c>
      <c r="Q19" s="219"/>
      <c r="R19" s="162"/>
      <c r="S19" s="152">
        <f t="shared" si="5"/>
        <v>3565705.2518523806</v>
      </c>
      <c r="T19" s="153"/>
      <c r="U19" s="136"/>
      <c r="V19" s="136"/>
      <c r="W19" s="136"/>
    </row>
    <row r="20" spans="1:29" s="137" customFormat="1" ht="26.25" x14ac:dyDescent="0.25">
      <c r="B20" s="375"/>
      <c r="C20" s="135" t="s">
        <v>229</v>
      </c>
      <c r="D20" s="148" t="s">
        <v>234</v>
      </c>
      <c r="E20" s="200">
        <v>1</v>
      </c>
      <c r="F20" s="148" t="s">
        <v>19</v>
      </c>
      <c r="G20" s="200">
        <v>1</v>
      </c>
      <c r="H20" s="200">
        <v>30</v>
      </c>
      <c r="I20" s="200">
        <v>24</v>
      </c>
      <c r="J20" s="154">
        <f>+(((((1423500*9.53+1659)*55.97%)/15*14)/30)*I20)*E20</f>
        <v>5670032.5216639992</v>
      </c>
      <c r="K20" s="149">
        <v>0.08</v>
      </c>
      <c r="L20" s="224">
        <f t="shared" si="0"/>
        <v>453602.60173311993</v>
      </c>
      <c r="M20" s="150">
        <f t="shared" si="1"/>
        <v>6123635.1233971193</v>
      </c>
      <c r="N20" s="150">
        <f t="shared" si="2"/>
        <v>612363.512339712</v>
      </c>
      <c r="O20" s="150">
        <f t="shared" si="3"/>
        <v>116349.06734454528</v>
      </c>
      <c r="P20" s="150">
        <f t="shared" si="4"/>
        <v>6239984.1907416647</v>
      </c>
      <c r="Q20" s="219"/>
      <c r="R20" s="162"/>
      <c r="S20" s="152">
        <f t="shared" si="5"/>
        <v>6239984.1907416647</v>
      </c>
      <c r="T20" s="153"/>
      <c r="U20" s="136"/>
      <c r="V20" s="136"/>
      <c r="W20" s="136"/>
    </row>
    <row r="21" spans="1:29" s="137" customFormat="1" x14ac:dyDescent="0.25">
      <c r="B21" s="375"/>
      <c r="C21" s="135" t="s">
        <v>229</v>
      </c>
      <c r="D21" s="148" t="s">
        <v>138</v>
      </c>
      <c r="E21" s="200">
        <v>1</v>
      </c>
      <c r="F21" s="148" t="s">
        <v>15</v>
      </c>
      <c r="G21" s="200">
        <v>1</v>
      </c>
      <c r="H21" s="200">
        <v>30</v>
      </c>
      <c r="I21" s="200">
        <v>30</v>
      </c>
      <c r="J21" s="154">
        <f>+(((1423500*9.53+1659)/30)*I21)*E21</f>
        <v>13567614</v>
      </c>
      <c r="K21" s="149">
        <v>0.08</v>
      </c>
      <c r="L21" s="224">
        <f t="shared" si="0"/>
        <v>1085409.1200000001</v>
      </c>
      <c r="M21" s="150">
        <f t="shared" si="1"/>
        <v>14653023.120000001</v>
      </c>
      <c r="N21" s="150">
        <f t="shared" si="2"/>
        <v>1465302.3120000002</v>
      </c>
      <c r="O21" s="150">
        <f t="shared" si="3"/>
        <v>278407.43928000005</v>
      </c>
      <c r="P21" s="150">
        <f t="shared" si="4"/>
        <v>14931430.559280001</v>
      </c>
      <c r="Q21" s="219"/>
      <c r="R21" s="162"/>
      <c r="S21" s="152">
        <f t="shared" si="5"/>
        <v>14931430.559280001</v>
      </c>
      <c r="T21" s="153"/>
      <c r="U21" s="136"/>
      <c r="V21" s="136"/>
      <c r="W21" s="136"/>
    </row>
    <row r="22" spans="1:29" s="137" customFormat="1" ht="25.5" x14ac:dyDescent="0.25">
      <c r="B22" s="375"/>
      <c r="C22" s="135" t="s">
        <v>229</v>
      </c>
      <c r="D22" s="217" t="s">
        <v>305</v>
      </c>
      <c r="E22" s="200">
        <v>1</v>
      </c>
      <c r="F22" s="148" t="s">
        <v>15</v>
      </c>
      <c r="G22" s="200">
        <v>1</v>
      </c>
      <c r="H22" s="200">
        <v>30</v>
      </c>
      <c r="I22" s="200">
        <v>30</v>
      </c>
      <c r="J22" s="154">
        <f>+(((1423500*9.53+1659)/30)*I22)*E22</f>
        <v>13567614</v>
      </c>
      <c r="K22" s="149">
        <v>0.08</v>
      </c>
      <c r="L22" s="224">
        <f t="shared" si="0"/>
        <v>1085409.1200000001</v>
      </c>
      <c r="M22" s="150">
        <f t="shared" si="1"/>
        <v>14653023.120000001</v>
      </c>
      <c r="N22" s="150">
        <f t="shared" si="2"/>
        <v>1465302.3120000002</v>
      </c>
      <c r="O22" s="150">
        <f t="shared" si="3"/>
        <v>278407.43928000005</v>
      </c>
      <c r="P22" s="150">
        <f t="shared" si="4"/>
        <v>14931430.559280001</v>
      </c>
      <c r="Q22" s="219"/>
      <c r="R22" s="162"/>
      <c r="S22" s="152">
        <f t="shared" si="5"/>
        <v>14931430.559280001</v>
      </c>
      <c r="T22" s="153"/>
      <c r="U22" s="136"/>
      <c r="V22" s="136"/>
      <c r="W22" s="136"/>
    </row>
    <row r="23" spans="1:29" s="137" customFormat="1" ht="25.5" x14ac:dyDescent="0.25">
      <c r="B23" s="375"/>
      <c r="C23" s="135" t="s">
        <v>229</v>
      </c>
      <c r="D23" s="217" t="s">
        <v>306</v>
      </c>
      <c r="E23" s="200">
        <v>1</v>
      </c>
      <c r="F23" s="148" t="s">
        <v>15</v>
      </c>
      <c r="G23" s="200">
        <v>1</v>
      </c>
      <c r="H23" s="200">
        <v>30</v>
      </c>
      <c r="I23" s="200">
        <v>30</v>
      </c>
      <c r="J23" s="154">
        <f>+(((1423500*9.53+1659)/30)*I23)*E23</f>
        <v>13567614</v>
      </c>
      <c r="K23" s="149">
        <v>0.08</v>
      </c>
      <c r="L23" s="224">
        <f t="shared" si="0"/>
        <v>1085409.1200000001</v>
      </c>
      <c r="M23" s="150">
        <f t="shared" si="1"/>
        <v>14653023.120000001</v>
      </c>
      <c r="N23" s="150">
        <f t="shared" si="2"/>
        <v>1465302.3120000002</v>
      </c>
      <c r="O23" s="150">
        <f t="shared" si="3"/>
        <v>278407.43928000005</v>
      </c>
      <c r="P23" s="150">
        <f t="shared" si="4"/>
        <v>14931430.559280001</v>
      </c>
      <c r="Q23" s="219"/>
      <c r="R23" s="162"/>
      <c r="S23" s="152">
        <f t="shared" si="5"/>
        <v>14931430.559280001</v>
      </c>
      <c r="T23" s="153"/>
      <c r="U23" s="136"/>
      <c r="V23" s="136"/>
      <c r="W23" s="136"/>
    </row>
    <row r="24" spans="1:29" s="137" customFormat="1" x14ac:dyDescent="0.25">
      <c r="B24" s="375"/>
      <c r="C24" s="135" t="s">
        <v>229</v>
      </c>
      <c r="D24" s="217" t="s">
        <v>307</v>
      </c>
      <c r="E24" s="200">
        <v>1</v>
      </c>
      <c r="F24" s="148" t="s">
        <v>16</v>
      </c>
      <c r="G24" s="200">
        <v>1</v>
      </c>
      <c r="H24" s="200">
        <v>30</v>
      </c>
      <c r="I24" s="200">
        <v>30</v>
      </c>
      <c r="J24" s="154">
        <f>+(((((1423500*9.53+1659)*55.97%)/15*12)/30)*I24)*E24</f>
        <v>6075034.8446399998</v>
      </c>
      <c r="K24" s="149">
        <v>0.08</v>
      </c>
      <c r="L24" s="224">
        <f t="shared" si="0"/>
        <v>486002.78757119999</v>
      </c>
      <c r="M24" s="150">
        <f t="shared" si="1"/>
        <v>6561037.6322112</v>
      </c>
      <c r="N24" s="150">
        <f t="shared" si="2"/>
        <v>656103.76322112</v>
      </c>
      <c r="O24" s="150">
        <f t="shared" si="3"/>
        <v>124659.71501201281</v>
      </c>
      <c r="P24" s="150">
        <f t="shared" si="4"/>
        <v>6685697.3472232129</v>
      </c>
      <c r="Q24" s="219"/>
      <c r="R24" s="162"/>
      <c r="S24" s="152">
        <f t="shared" si="5"/>
        <v>6685697.3472232129</v>
      </c>
      <c r="T24" s="153"/>
      <c r="U24" s="136"/>
      <c r="V24" s="136"/>
      <c r="W24" s="136"/>
    </row>
    <row r="25" spans="1:29" s="137" customFormat="1" ht="29.25" customHeight="1" x14ac:dyDescent="0.25">
      <c r="B25" s="375"/>
      <c r="C25" s="135" t="s">
        <v>229</v>
      </c>
      <c r="D25" s="217" t="s">
        <v>308</v>
      </c>
      <c r="E25" s="200">
        <v>1</v>
      </c>
      <c r="F25" s="148" t="s">
        <v>17</v>
      </c>
      <c r="G25" s="200">
        <v>1</v>
      </c>
      <c r="H25" s="200">
        <v>30</v>
      </c>
      <c r="I25" s="200">
        <v>24</v>
      </c>
      <c r="J25" s="154">
        <f>+(((((1423500*9.53+1659)*55.97%)/15*12)/30)*I25)*E25</f>
        <v>4860027.8757119998</v>
      </c>
      <c r="K25" s="149">
        <v>0.08</v>
      </c>
      <c r="L25" s="224">
        <f t="shared" si="0"/>
        <v>388802.23005696002</v>
      </c>
      <c r="M25" s="150">
        <f t="shared" si="1"/>
        <v>5248830.10576896</v>
      </c>
      <c r="N25" s="150">
        <f t="shared" si="2"/>
        <v>524883.01057689602</v>
      </c>
      <c r="O25" s="150">
        <f t="shared" si="3"/>
        <v>99727.772009610242</v>
      </c>
      <c r="P25" s="150">
        <f t="shared" si="4"/>
        <v>5348557.8777785702</v>
      </c>
      <c r="Q25" s="219"/>
      <c r="R25" s="162"/>
      <c r="S25" s="152">
        <f t="shared" si="5"/>
        <v>5348557.8777785702</v>
      </c>
      <c r="T25" s="153"/>
      <c r="U25" s="136"/>
      <c r="V25" s="136"/>
      <c r="W25" s="136"/>
    </row>
    <row r="26" spans="1:29" s="137" customFormat="1" x14ac:dyDescent="0.25">
      <c r="B26" s="375"/>
      <c r="C26" s="135" t="s">
        <v>229</v>
      </c>
      <c r="D26" s="148" t="s">
        <v>116</v>
      </c>
      <c r="E26" s="200">
        <v>1</v>
      </c>
      <c r="F26" s="148" t="s">
        <v>15</v>
      </c>
      <c r="G26" s="200">
        <v>1</v>
      </c>
      <c r="H26" s="200">
        <v>30</v>
      </c>
      <c r="I26" s="200">
        <v>30</v>
      </c>
      <c r="J26" s="154">
        <f>+(((1423500*9.53+1659)/30)*I26)*E26</f>
        <v>13567614</v>
      </c>
      <c r="K26" s="149">
        <v>0.08</v>
      </c>
      <c r="L26" s="224">
        <f t="shared" si="0"/>
        <v>1085409.1200000001</v>
      </c>
      <c r="M26" s="150">
        <f t="shared" si="1"/>
        <v>14653023.120000001</v>
      </c>
      <c r="N26" s="150">
        <f t="shared" si="2"/>
        <v>1465302.3120000002</v>
      </c>
      <c r="O26" s="150">
        <f t="shared" si="3"/>
        <v>278407.43928000005</v>
      </c>
      <c r="P26" s="150">
        <f t="shared" si="4"/>
        <v>14931430.559280001</v>
      </c>
      <c r="Q26" s="219"/>
      <c r="R26" s="162"/>
      <c r="S26" s="152">
        <f t="shared" si="5"/>
        <v>14931430.559280001</v>
      </c>
      <c r="T26" s="153"/>
      <c r="U26" s="136"/>
      <c r="V26" s="136"/>
      <c r="W26" s="136"/>
    </row>
    <row r="27" spans="1:29" s="137" customFormat="1" ht="16.5" customHeight="1" x14ac:dyDescent="0.25">
      <c r="B27" s="216"/>
      <c r="C27" s="135" t="s">
        <v>229</v>
      </c>
      <c r="D27" s="217" t="s">
        <v>119</v>
      </c>
      <c r="E27" s="200">
        <v>1</v>
      </c>
      <c r="F27" s="148" t="s">
        <v>233</v>
      </c>
      <c r="G27" s="200">
        <v>1</v>
      </c>
      <c r="H27" s="200">
        <v>30</v>
      </c>
      <c r="I27" s="200">
        <v>30</v>
      </c>
      <c r="J27" s="154">
        <f>+((((((1423500*9.53+1659)*55.97%)/15*3)/30)*I27))+((((((1423500*9.53+1659)*44.03%)/9*9)/30*I27)))</f>
        <v>7492579.1553600002</v>
      </c>
      <c r="K27" s="149">
        <v>0.08</v>
      </c>
      <c r="L27" s="224">
        <f t="shared" si="0"/>
        <v>599406.33242880006</v>
      </c>
      <c r="M27" s="150">
        <f t="shared" si="1"/>
        <v>8091985.4877888002</v>
      </c>
      <c r="N27" s="150">
        <f>M27*10%</f>
        <v>809198.54877888004</v>
      </c>
      <c r="O27" s="150">
        <f>+N27*19%</f>
        <v>153747.72426798721</v>
      </c>
      <c r="P27" s="150">
        <f>M27+O27</f>
        <v>8245733.2120567877</v>
      </c>
      <c r="Q27" s="219"/>
      <c r="R27" s="162"/>
      <c r="S27" s="152">
        <f t="shared" si="5"/>
        <v>8245733.2120567877</v>
      </c>
      <c r="T27" s="155"/>
      <c r="U27" s="136"/>
      <c r="V27" s="136"/>
      <c r="W27" s="136"/>
    </row>
    <row r="28" spans="1:29" x14ac:dyDescent="0.25">
      <c r="B28" s="128"/>
      <c r="C28" s="130"/>
      <c r="D28" s="157"/>
      <c r="E28" s="201">
        <f>+SUM(E8:E27)</f>
        <v>20</v>
      </c>
      <c r="F28" s="157"/>
      <c r="G28" s="207">
        <f>SUM(G8:G27)</f>
        <v>20</v>
      </c>
      <c r="H28" s="207"/>
      <c r="I28" s="201"/>
      <c r="J28" s="158">
        <f>SUM(J8:J27)</f>
        <v>168076253.47747201</v>
      </c>
      <c r="K28" s="157"/>
      <c r="L28" s="225">
        <f>SUM(L8:L27)</f>
        <v>13446100.278197763</v>
      </c>
      <c r="M28" s="158">
        <f>SUM(M8:M27)</f>
        <v>181522353.75566977</v>
      </c>
      <c r="N28" s="158">
        <f>SUM(N8:N27)</f>
        <v>18152235.375566982</v>
      </c>
      <c r="O28" s="158">
        <f>SUM(O8:O27)</f>
        <v>3448924.721357726</v>
      </c>
      <c r="P28" s="158">
        <f>SUM(P8:P27)</f>
        <v>184971278.47702748</v>
      </c>
      <c r="Q28" s="207">
        <f t="shared" ref="Q28:S28" si="17">SUM(Q8:Q27)</f>
        <v>0</v>
      </c>
      <c r="R28" s="225">
        <f>SUM(R8:R27)</f>
        <v>0</v>
      </c>
      <c r="S28" s="158">
        <f t="shared" si="17"/>
        <v>184971278.47702748</v>
      </c>
    </row>
    <row r="29" spans="1:29" s="244" customFormat="1" ht="15" customHeight="1" x14ac:dyDescent="0.25">
      <c r="A29" s="232"/>
      <c r="B29" s="382" t="s">
        <v>81</v>
      </c>
      <c r="C29" s="233" t="s">
        <v>229</v>
      </c>
      <c r="D29" s="234" t="s">
        <v>292</v>
      </c>
      <c r="E29" s="235">
        <v>1</v>
      </c>
      <c r="F29" s="234" t="s">
        <v>15</v>
      </c>
      <c r="G29" s="235">
        <v>1</v>
      </c>
      <c r="H29" s="235">
        <v>30</v>
      </c>
      <c r="I29" s="235">
        <v>30</v>
      </c>
      <c r="J29" s="236">
        <f t="shared" ref="J29:J39" si="18">+(((1423500*9.53+1659)/30)*I29)*E29</f>
        <v>13567614</v>
      </c>
      <c r="K29" s="237">
        <v>0.08</v>
      </c>
      <c r="L29" s="238">
        <f t="shared" ref="L29:L93" si="19">J29*K29</f>
        <v>1085409.1200000001</v>
      </c>
      <c r="M29" s="239">
        <f t="shared" ref="M29:M93" si="20">J29+L29</f>
        <v>14653023.120000001</v>
      </c>
      <c r="N29" s="239">
        <f>M29*10%</f>
        <v>1465302.3120000002</v>
      </c>
      <c r="O29" s="239">
        <f t="shared" ref="O29:O67" si="21">+N29*19%</f>
        <v>278407.43928000005</v>
      </c>
      <c r="P29" s="240">
        <f t="shared" ref="P29:P67" si="22">M29+O29</f>
        <v>14931430.559280001</v>
      </c>
      <c r="Q29" s="241"/>
      <c r="R29" s="242"/>
      <c r="S29" s="243">
        <f t="shared" si="5"/>
        <v>14931430.559280001</v>
      </c>
      <c r="T29" s="153"/>
      <c r="U29" s="136"/>
      <c r="V29" s="136"/>
      <c r="W29" s="136"/>
      <c r="X29" s="137"/>
      <c r="Y29" s="137"/>
      <c r="Z29" s="137"/>
      <c r="AA29" s="137"/>
      <c r="AB29" s="137"/>
      <c r="AC29" s="137"/>
    </row>
    <row r="30" spans="1:29" s="244" customFormat="1" ht="26.25" x14ac:dyDescent="0.25">
      <c r="A30" s="232"/>
      <c r="B30" s="379"/>
      <c r="C30" s="233" t="s">
        <v>229</v>
      </c>
      <c r="D30" s="234" t="s">
        <v>293</v>
      </c>
      <c r="E30" s="235">
        <v>1</v>
      </c>
      <c r="F30" s="234" t="s">
        <v>15</v>
      </c>
      <c r="G30" s="235">
        <v>1</v>
      </c>
      <c r="H30" s="235">
        <v>30</v>
      </c>
      <c r="I30" s="235">
        <v>30</v>
      </c>
      <c r="J30" s="236">
        <f t="shared" si="18"/>
        <v>13567614</v>
      </c>
      <c r="K30" s="237">
        <v>0.08</v>
      </c>
      <c r="L30" s="238">
        <f t="shared" si="19"/>
        <v>1085409.1200000001</v>
      </c>
      <c r="M30" s="239">
        <f t="shared" si="20"/>
        <v>14653023.120000001</v>
      </c>
      <c r="N30" s="239">
        <f t="shared" ref="N30:N67" si="23">M30*10%</f>
        <v>1465302.3120000002</v>
      </c>
      <c r="O30" s="239">
        <f t="shared" si="21"/>
        <v>278407.43928000005</v>
      </c>
      <c r="P30" s="240">
        <f t="shared" si="22"/>
        <v>14931430.559280001</v>
      </c>
      <c r="Q30" s="241"/>
      <c r="R30" s="242"/>
      <c r="S30" s="243">
        <f t="shared" si="5"/>
        <v>14931430.559280001</v>
      </c>
      <c r="T30" s="153"/>
      <c r="U30" s="136"/>
      <c r="V30" s="136"/>
      <c r="W30" s="136"/>
      <c r="X30" s="137"/>
      <c r="Y30" s="137"/>
      <c r="Z30" s="137"/>
      <c r="AA30" s="137"/>
      <c r="AB30" s="137"/>
      <c r="AC30" s="137"/>
    </row>
    <row r="31" spans="1:29" s="244" customFormat="1" ht="26.25" x14ac:dyDescent="0.25">
      <c r="A31" s="232"/>
      <c r="B31" s="379"/>
      <c r="C31" s="233" t="s">
        <v>229</v>
      </c>
      <c r="D31" s="234" t="s">
        <v>294</v>
      </c>
      <c r="E31" s="235">
        <v>1</v>
      </c>
      <c r="F31" s="234" t="s">
        <v>15</v>
      </c>
      <c r="G31" s="235">
        <v>1</v>
      </c>
      <c r="H31" s="235">
        <v>30</v>
      </c>
      <c r="I31" s="235">
        <v>30</v>
      </c>
      <c r="J31" s="236">
        <f t="shared" si="18"/>
        <v>13567614</v>
      </c>
      <c r="K31" s="237">
        <v>0.08</v>
      </c>
      <c r="L31" s="238">
        <f t="shared" si="19"/>
        <v>1085409.1200000001</v>
      </c>
      <c r="M31" s="239">
        <f t="shared" si="20"/>
        <v>14653023.120000001</v>
      </c>
      <c r="N31" s="239">
        <f t="shared" si="23"/>
        <v>1465302.3120000002</v>
      </c>
      <c r="O31" s="239">
        <f t="shared" si="21"/>
        <v>278407.43928000005</v>
      </c>
      <c r="P31" s="240">
        <f t="shared" si="22"/>
        <v>14931430.559280001</v>
      </c>
      <c r="Q31" s="241"/>
      <c r="R31" s="242"/>
      <c r="S31" s="243">
        <f t="shared" si="5"/>
        <v>14931430.559280001</v>
      </c>
      <c r="T31" s="153"/>
      <c r="U31" s="136"/>
      <c r="V31" s="136"/>
      <c r="W31" s="136"/>
      <c r="X31" s="137"/>
      <c r="Y31" s="137"/>
      <c r="Z31" s="137"/>
      <c r="AA31" s="137"/>
      <c r="AB31" s="137"/>
      <c r="AC31" s="137"/>
    </row>
    <row r="32" spans="1:29" s="244" customFormat="1" ht="26.25" x14ac:dyDescent="0.25">
      <c r="A32" s="232"/>
      <c r="B32" s="379"/>
      <c r="C32" s="233" t="s">
        <v>229</v>
      </c>
      <c r="D32" s="234" t="s">
        <v>295</v>
      </c>
      <c r="E32" s="235">
        <v>1</v>
      </c>
      <c r="F32" s="234" t="s">
        <v>15</v>
      </c>
      <c r="G32" s="235">
        <v>1</v>
      </c>
      <c r="H32" s="235">
        <v>30</v>
      </c>
      <c r="I32" s="235">
        <v>30</v>
      </c>
      <c r="J32" s="236">
        <f t="shared" si="18"/>
        <v>13567614</v>
      </c>
      <c r="K32" s="237">
        <v>0.08</v>
      </c>
      <c r="L32" s="238">
        <f t="shared" si="19"/>
        <v>1085409.1200000001</v>
      </c>
      <c r="M32" s="239">
        <f t="shared" si="20"/>
        <v>14653023.120000001</v>
      </c>
      <c r="N32" s="239">
        <f t="shared" si="23"/>
        <v>1465302.3120000002</v>
      </c>
      <c r="O32" s="239">
        <f t="shared" si="21"/>
        <v>278407.43928000005</v>
      </c>
      <c r="P32" s="240">
        <f t="shared" si="22"/>
        <v>14931430.559280001</v>
      </c>
      <c r="Q32" s="241"/>
      <c r="R32" s="242"/>
      <c r="S32" s="243">
        <f t="shared" si="5"/>
        <v>14931430.559280001</v>
      </c>
      <c r="T32" s="153"/>
      <c r="U32" s="136"/>
      <c r="V32" s="136"/>
      <c r="W32" s="136"/>
      <c r="X32" s="137"/>
      <c r="Y32" s="137"/>
      <c r="Z32" s="137"/>
      <c r="AA32" s="137"/>
      <c r="AB32" s="137"/>
      <c r="AC32" s="137"/>
    </row>
    <row r="33" spans="1:29" s="244" customFormat="1" ht="26.25" x14ac:dyDescent="0.25">
      <c r="A33" s="232"/>
      <c r="B33" s="379"/>
      <c r="C33" s="233" t="s">
        <v>229</v>
      </c>
      <c r="D33" s="234" t="s">
        <v>296</v>
      </c>
      <c r="E33" s="235">
        <v>1</v>
      </c>
      <c r="F33" s="234" t="s">
        <v>15</v>
      </c>
      <c r="G33" s="235">
        <v>1</v>
      </c>
      <c r="H33" s="235">
        <v>30</v>
      </c>
      <c r="I33" s="235">
        <v>30</v>
      </c>
      <c r="J33" s="236">
        <f t="shared" si="18"/>
        <v>13567614</v>
      </c>
      <c r="K33" s="237">
        <v>0.08</v>
      </c>
      <c r="L33" s="238">
        <f t="shared" si="19"/>
        <v>1085409.1200000001</v>
      </c>
      <c r="M33" s="239">
        <f t="shared" si="20"/>
        <v>14653023.120000001</v>
      </c>
      <c r="N33" s="239">
        <f t="shared" si="23"/>
        <v>1465302.3120000002</v>
      </c>
      <c r="O33" s="239">
        <f t="shared" si="21"/>
        <v>278407.43928000005</v>
      </c>
      <c r="P33" s="240">
        <f t="shared" si="22"/>
        <v>14931430.559280001</v>
      </c>
      <c r="Q33" s="241"/>
      <c r="R33" s="242"/>
      <c r="S33" s="243">
        <f t="shared" si="5"/>
        <v>14931430.559280001</v>
      </c>
      <c r="T33" s="153"/>
      <c r="U33" s="136"/>
      <c r="V33" s="136"/>
      <c r="W33" s="136"/>
      <c r="X33" s="137"/>
      <c r="Y33" s="137"/>
      <c r="Z33" s="137"/>
      <c r="AA33" s="137"/>
      <c r="AB33" s="137"/>
      <c r="AC33" s="137"/>
    </row>
    <row r="34" spans="1:29" s="244" customFormat="1" ht="26.25" x14ac:dyDescent="0.25">
      <c r="A34" s="232"/>
      <c r="B34" s="379"/>
      <c r="C34" s="233" t="s">
        <v>229</v>
      </c>
      <c r="D34" s="234" t="s">
        <v>297</v>
      </c>
      <c r="E34" s="235">
        <v>1</v>
      </c>
      <c r="F34" s="234" t="s">
        <v>15</v>
      </c>
      <c r="G34" s="235">
        <v>1</v>
      </c>
      <c r="H34" s="235">
        <v>30</v>
      </c>
      <c r="I34" s="235">
        <v>30</v>
      </c>
      <c r="J34" s="236">
        <f t="shared" si="18"/>
        <v>13567614</v>
      </c>
      <c r="K34" s="237">
        <v>0.08</v>
      </c>
      <c r="L34" s="238">
        <f t="shared" si="19"/>
        <v>1085409.1200000001</v>
      </c>
      <c r="M34" s="239">
        <f t="shared" si="20"/>
        <v>14653023.120000001</v>
      </c>
      <c r="N34" s="239">
        <f t="shared" si="23"/>
        <v>1465302.3120000002</v>
      </c>
      <c r="O34" s="239">
        <f t="shared" si="21"/>
        <v>278407.43928000005</v>
      </c>
      <c r="P34" s="240">
        <f t="shared" si="22"/>
        <v>14931430.559280001</v>
      </c>
      <c r="Q34" s="241"/>
      <c r="R34" s="242"/>
      <c r="S34" s="243">
        <f t="shared" si="5"/>
        <v>14931430.559280001</v>
      </c>
      <c r="T34" s="153"/>
      <c r="U34" s="136"/>
      <c r="V34" s="136"/>
      <c r="W34" s="136"/>
      <c r="X34" s="137"/>
      <c r="Y34" s="137"/>
      <c r="Z34" s="137"/>
      <c r="AA34" s="137"/>
      <c r="AB34" s="137"/>
      <c r="AC34" s="137"/>
    </row>
    <row r="35" spans="1:29" s="244" customFormat="1" ht="26.25" x14ac:dyDescent="0.25">
      <c r="A35" s="232"/>
      <c r="B35" s="379"/>
      <c r="C35" s="233" t="s">
        <v>229</v>
      </c>
      <c r="D35" s="234" t="s">
        <v>298</v>
      </c>
      <c r="E35" s="235">
        <v>1</v>
      </c>
      <c r="F35" s="234" t="s">
        <v>15</v>
      </c>
      <c r="G35" s="235">
        <v>1</v>
      </c>
      <c r="H35" s="235">
        <v>30</v>
      </c>
      <c r="I35" s="235">
        <v>30</v>
      </c>
      <c r="J35" s="236">
        <f t="shared" si="18"/>
        <v>13567614</v>
      </c>
      <c r="K35" s="237">
        <v>0.08</v>
      </c>
      <c r="L35" s="238">
        <f t="shared" si="19"/>
        <v>1085409.1200000001</v>
      </c>
      <c r="M35" s="239">
        <f t="shared" si="20"/>
        <v>14653023.120000001</v>
      </c>
      <c r="N35" s="239">
        <f t="shared" si="23"/>
        <v>1465302.3120000002</v>
      </c>
      <c r="O35" s="239">
        <f t="shared" si="21"/>
        <v>278407.43928000005</v>
      </c>
      <c r="P35" s="240">
        <f t="shared" si="22"/>
        <v>14931430.559280001</v>
      </c>
      <c r="Q35" s="241"/>
      <c r="R35" s="242"/>
      <c r="S35" s="243">
        <f t="shared" si="5"/>
        <v>14931430.559280001</v>
      </c>
      <c r="T35" s="153"/>
      <c r="U35" s="136"/>
      <c r="V35" s="136"/>
      <c r="W35" s="136"/>
      <c r="X35" s="137"/>
      <c r="Y35" s="137"/>
      <c r="Z35" s="137"/>
      <c r="AA35" s="137"/>
      <c r="AB35" s="137"/>
      <c r="AC35" s="137"/>
    </row>
    <row r="36" spans="1:29" s="244" customFormat="1" x14ac:dyDescent="0.25">
      <c r="A36" s="232"/>
      <c r="B36" s="379"/>
      <c r="C36" s="233" t="s">
        <v>229</v>
      </c>
      <c r="D36" s="234" t="s">
        <v>299</v>
      </c>
      <c r="E36" s="235">
        <v>1</v>
      </c>
      <c r="F36" s="234" t="s">
        <v>15</v>
      </c>
      <c r="G36" s="235">
        <v>1</v>
      </c>
      <c r="H36" s="235">
        <v>30</v>
      </c>
      <c r="I36" s="235">
        <v>30</v>
      </c>
      <c r="J36" s="236">
        <f t="shared" si="18"/>
        <v>13567614</v>
      </c>
      <c r="K36" s="237">
        <v>0.08</v>
      </c>
      <c r="L36" s="238">
        <f t="shared" si="19"/>
        <v>1085409.1200000001</v>
      </c>
      <c r="M36" s="239">
        <f t="shared" si="20"/>
        <v>14653023.120000001</v>
      </c>
      <c r="N36" s="239">
        <f t="shared" si="23"/>
        <v>1465302.3120000002</v>
      </c>
      <c r="O36" s="239">
        <f t="shared" si="21"/>
        <v>278407.43928000005</v>
      </c>
      <c r="P36" s="240">
        <f t="shared" si="22"/>
        <v>14931430.559280001</v>
      </c>
      <c r="Q36" s="241"/>
      <c r="R36" s="242"/>
      <c r="S36" s="243">
        <f t="shared" si="5"/>
        <v>14931430.559280001</v>
      </c>
      <c r="T36" s="153"/>
      <c r="U36" s="136"/>
      <c r="V36" s="136"/>
      <c r="W36" s="136"/>
      <c r="X36" s="137"/>
      <c r="Y36" s="137"/>
      <c r="Z36" s="137"/>
      <c r="AA36" s="137"/>
      <c r="AB36" s="137"/>
      <c r="AC36" s="137"/>
    </row>
    <row r="37" spans="1:29" s="244" customFormat="1" ht="26.25" x14ac:dyDescent="0.25">
      <c r="A37" s="232"/>
      <c r="B37" s="379"/>
      <c r="C37" s="233" t="s">
        <v>229</v>
      </c>
      <c r="D37" s="234" t="s">
        <v>300</v>
      </c>
      <c r="E37" s="235">
        <v>1</v>
      </c>
      <c r="F37" s="234" t="s">
        <v>15</v>
      </c>
      <c r="G37" s="235">
        <v>1</v>
      </c>
      <c r="H37" s="235">
        <v>30</v>
      </c>
      <c r="I37" s="235">
        <v>30</v>
      </c>
      <c r="J37" s="236">
        <f t="shared" si="18"/>
        <v>13567614</v>
      </c>
      <c r="K37" s="237">
        <v>0.08</v>
      </c>
      <c r="L37" s="238">
        <f t="shared" si="19"/>
        <v>1085409.1200000001</v>
      </c>
      <c r="M37" s="239">
        <f t="shared" si="20"/>
        <v>14653023.120000001</v>
      </c>
      <c r="N37" s="239">
        <f t="shared" si="23"/>
        <v>1465302.3120000002</v>
      </c>
      <c r="O37" s="239">
        <f t="shared" si="21"/>
        <v>278407.43928000005</v>
      </c>
      <c r="P37" s="240">
        <f t="shared" si="22"/>
        <v>14931430.559280001</v>
      </c>
      <c r="Q37" s="241"/>
      <c r="R37" s="242"/>
      <c r="S37" s="243">
        <f t="shared" si="5"/>
        <v>14931430.559280001</v>
      </c>
      <c r="T37" s="153"/>
      <c r="U37" s="136"/>
      <c r="V37" s="136"/>
      <c r="W37" s="136"/>
      <c r="X37" s="137"/>
      <c r="Y37" s="137"/>
      <c r="Z37" s="137"/>
      <c r="AA37" s="137"/>
      <c r="AB37" s="137"/>
      <c r="AC37" s="137"/>
    </row>
    <row r="38" spans="1:29" s="244" customFormat="1" x14ac:dyDescent="0.25">
      <c r="A38" s="232"/>
      <c r="B38" s="379"/>
      <c r="C38" s="233" t="s">
        <v>229</v>
      </c>
      <c r="D38" s="245" t="s">
        <v>301</v>
      </c>
      <c r="E38" s="235">
        <v>1</v>
      </c>
      <c r="F38" s="234" t="s">
        <v>15</v>
      </c>
      <c r="G38" s="235">
        <v>1</v>
      </c>
      <c r="H38" s="235">
        <v>30</v>
      </c>
      <c r="I38" s="235">
        <v>30</v>
      </c>
      <c r="J38" s="236">
        <f t="shared" si="18"/>
        <v>13567614</v>
      </c>
      <c r="K38" s="237">
        <v>0.08</v>
      </c>
      <c r="L38" s="238">
        <f t="shared" ref="L38:L40" si="24">J38*K38</f>
        <v>1085409.1200000001</v>
      </c>
      <c r="M38" s="239">
        <f t="shared" ref="M38:M40" si="25">J38+L38</f>
        <v>14653023.120000001</v>
      </c>
      <c r="N38" s="239">
        <f t="shared" ref="N38:N40" si="26">M38*10%</f>
        <v>1465302.3120000002</v>
      </c>
      <c r="O38" s="239">
        <f t="shared" ref="O38:O40" si="27">+N38*19%</f>
        <v>278407.43928000005</v>
      </c>
      <c r="P38" s="240">
        <f t="shared" ref="P38:P40" si="28">M38+O38</f>
        <v>14931430.559280001</v>
      </c>
      <c r="Q38" s="241">
        <v>2</v>
      </c>
      <c r="R38" s="242">
        <f>8245733/30*Q38</f>
        <v>549715.53333333333</v>
      </c>
      <c r="S38" s="243">
        <f t="shared" si="5"/>
        <v>14381715.025946667</v>
      </c>
      <c r="T38" s="153"/>
      <c r="U38" s="136"/>
      <c r="V38" s="136"/>
      <c r="W38" s="136"/>
      <c r="X38" s="137"/>
      <c r="Y38" s="137"/>
      <c r="Z38" s="137"/>
      <c r="AA38" s="137"/>
      <c r="AB38" s="137"/>
      <c r="AC38" s="137"/>
    </row>
    <row r="39" spans="1:29" s="246" customFormat="1" ht="24.75" customHeight="1" x14ac:dyDescent="0.25">
      <c r="B39" s="379"/>
      <c r="C39" s="247" t="s">
        <v>229</v>
      </c>
      <c r="D39" s="248" t="s">
        <v>324</v>
      </c>
      <c r="E39" s="249">
        <v>1</v>
      </c>
      <c r="F39" s="248" t="s">
        <v>15</v>
      </c>
      <c r="G39" s="250">
        <v>1</v>
      </c>
      <c r="H39" s="250">
        <v>30</v>
      </c>
      <c r="I39" s="250">
        <v>17</v>
      </c>
      <c r="J39" s="251">
        <f t="shared" si="18"/>
        <v>7688314.5999999996</v>
      </c>
      <c r="K39" s="252">
        <v>0.08</v>
      </c>
      <c r="L39" s="253">
        <f t="shared" si="24"/>
        <v>615065.16799999995</v>
      </c>
      <c r="M39" s="254">
        <f t="shared" si="25"/>
        <v>8303379.7679999992</v>
      </c>
      <c r="N39" s="254">
        <f t="shared" si="26"/>
        <v>830337.97679999995</v>
      </c>
      <c r="O39" s="254">
        <f t="shared" si="27"/>
        <v>157764.21559199999</v>
      </c>
      <c r="P39" s="254">
        <f t="shared" si="28"/>
        <v>8461143.9835919999</v>
      </c>
      <c r="Q39" s="255"/>
      <c r="R39" s="256"/>
      <c r="S39" s="257">
        <f t="shared" si="5"/>
        <v>8461143.9835919999</v>
      </c>
      <c r="T39" s="172"/>
      <c r="U39" s="142"/>
      <c r="V39" s="142"/>
      <c r="W39" s="142"/>
      <c r="X39" s="140"/>
      <c r="Y39" s="140"/>
      <c r="Z39" s="140"/>
      <c r="AA39" s="140"/>
      <c r="AB39" s="140"/>
      <c r="AC39" s="140"/>
    </row>
    <row r="40" spans="1:29" s="244" customFormat="1" ht="21" customHeight="1" x14ac:dyDescent="0.25">
      <c r="A40" s="232"/>
      <c r="B40" s="379"/>
      <c r="C40" s="258" t="s">
        <v>229</v>
      </c>
      <c r="D40" s="245" t="s">
        <v>319</v>
      </c>
      <c r="E40" s="259">
        <v>1</v>
      </c>
      <c r="F40" s="245" t="s">
        <v>16</v>
      </c>
      <c r="G40" s="235">
        <v>1</v>
      </c>
      <c r="H40" s="235">
        <v>30</v>
      </c>
      <c r="I40" s="235">
        <v>30</v>
      </c>
      <c r="J40" s="236">
        <f>+(((((1423500*9.53+1659)*55.97%)/15*12)/30)*I40)*E40</f>
        <v>6075034.8446399998</v>
      </c>
      <c r="K40" s="237">
        <v>0.08</v>
      </c>
      <c r="L40" s="238">
        <f t="shared" si="24"/>
        <v>486002.78757119999</v>
      </c>
      <c r="M40" s="239">
        <f t="shared" si="25"/>
        <v>6561037.6322112</v>
      </c>
      <c r="N40" s="239">
        <f t="shared" si="26"/>
        <v>656103.76322112</v>
      </c>
      <c r="O40" s="239">
        <f t="shared" si="27"/>
        <v>124659.71501201281</v>
      </c>
      <c r="P40" s="240">
        <f t="shared" si="28"/>
        <v>6685697.3472232129</v>
      </c>
      <c r="Q40" s="241">
        <v>13</v>
      </c>
      <c r="R40" s="242">
        <f>P40/30*Q40</f>
        <v>2897135.5171300587</v>
      </c>
      <c r="S40" s="243">
        <f t="shared" si="5"/>
        <v>3788561.8300931542</v>
      </c>
      <c r="T40" s="153"/>
      <c r="U40" s="136"/>
      <c r="V40" s="136"/>
      <c r="W40" s="136"/>
      <c r="X40" s="137"/>
      <c r="Y40" s="137"/>
      <c r="Z40" s="137"/>
      <c r="AA40" s="137"/>
      <c r="AB40" s="137"/>
      <c r="AC40" s="137"/>
    </row>
    <row r="41" spans="1:29" s="244" customFormat="1" ht="21" customHeight="1" x14ac:dyDescent="0.25">
      <c r="A41" s="232"/>
      <c r="B41" s="379"/>
      <c r="C41" s="233" t="s">
        <v>229</v>
      </c>
      <c r="D41" s="260" t="s">
        <v>302</v>
      </c>
      <c r="E41" s="235">
        <v>1</v>
      </c>
      <c r="F41" s="234" t="s">
        <v>16</v>
      </c>
      <c r="G41" s="235">
        <v>1</v>
      </c>
      <c r="H41" s="235">
        <v>30</v>
      </c>
      <c r="I41" s="235">
        <v>30</v>
      </c>
      <c r="J41" s="236">
        <f>+(((((1423500*9.53+1659)*55.97%)/15*12)/30)*I41)*E41</f>
        <v>6075034.8446399998</v>
      </c>
      <c r="K41" s="237">
        <v>0.08</v>
      </c>
      <c r="L41" s="238">
        <f t="shared" si="19"/>
        <v>486002.78757119999</v>
      </c>
      <c r="M41" s="239">
        <f t="shared" si="20"/>
        <v>6561037.6322112</v>
      </c>
      <c r="N41" s="239">
        <f t="shared" si="23"/>
        <v>656103.76322112</v>
      </c>
      <c r="O41" s="239">
        <f t="shared" si="21"/>
        <v>124659.71501201281</v>
      </c>
      <c r="P41" s="240">
        <f t="shared" si="22"/>
        <v>6685697.3472232129</v>
      </c>
      <c r="Q41" s="241">
        <v>13</v>
      </c>
      <c r="R41" s="242">
        <f>P41/30*Q41</f>
        <v>2897135.5171300587</v>
      </c>
      <c r="S41" s="243">
        <f t="shared" si="5"/>
        <v>3788561.8300931542</v>
      </c>
      <c r="T41" s="153"/>
      <c r="U41" s="136"/>
      <c r="V41" s="136"/>
      <c r="W41" s="136"/>
      <c r="X41" s="137"/>
      <c r="Y41" s="137"/>
      <c r="Z41" s="137"/>
      <c r="AA41" s="137"/>
      <c r="AB41" s="137"/>
      <c r="AC41" s="137"/>
    </row>
    <row r="42" spans="1:29" s="244" customFormat="1" ht="26.25" x14ac:dyDescent="0.25">
      <c r="A42" s="232"/>
      <c r="B42" s="378"/>
      <c r="C42" s="233" t="s">
        <v>229</v>
      </c>
      <c r="D42" s="234" t="s">
        <v>303</v>
      </c>
      <c r="E42" s="235">
        <v>1</v>
      </c>
      <c r="F42" s="234" t="s">
        <v>17</v>
      </c>
      <c r="G42" s="235">
        <v>1</v>
      </c>
      <c r="H42" s="235">
        <v>30</v>
      </c>
      <c r="I42" s="235">
        <v>24</v>
      </c>
      <c r="J42" s="261">
        <f>+(((((1423500*9.53+1659)*55.97%)/15*12)/30)*I42)*E42</f>
        <v>4860027.8757119998</v>
      </c>
      <c r="K42" s="262">
        <v>0.08</v>
      </c>
      <c r="L42" s="263">
        <f t="shared" si="19"/>
        <v>388802.23005696002</v>
      </c>
      <c r="M42" s="240">
        <f t="shared" si="20"/>
        <v>5248830.10576896</v>
      </c>
      <c r="N42" s="240">
        <f t="shared" si="23"/>
        <v>524883.01057689602</v>
      </c>
      <c r="O42" s="240">
        <f t="shared" si="21"/>
        <v>99727.772009610242</v>
      </c>
      <c r="P42" s="240">
        <f t="shared" si="22"/>
        <v>5348557.8777785702</v>
      </c>
      <c r="Q42" s="241"/>
      <c r="R42" s="242"/>
      <c r="S42" s="243">
        <f t="shared" si="5"/>
        <v>5348557.8777785702</v>
      </c>
      <c r="T42" s="153"/>
      <c r="U42" s="136"/>
      <c r="V42" s="136"/>
      <c r="W42" s="136"/>
      <c r="X42" s="137"/>
      <c r="Y42" s="137"/>
      <c r="Z42" s="137"/>
      <c r="AA42" s="137"/>
      <c r="AB42" s="137"/>
      <c r="AC42" s="137"/>
    </row>
    <row r="43" spans="1:29" s="244" customFormat="1" ht="26.25" x14ac:dyDescent="0.25">
      <c r="A43" s="232"/>
      <c r="B43" s="378"/>
      <c r="C43" s="233" t="s">
        <v>229</v>
      </c>
      <c r="D43" s="234" t="s">
        <v>304</v>
      </c>
      <c r="E43" s="235">
        <v>1</v>
      </c>
      <c r="F43" s="234" t="s">
        <v>17</v>
      </c>
      <c r="G43" s="235">
        <v>1</v>
      </c>
      <c r="H43" s="235">
        <v>30</v>
      </c>
      <c r="I43" s="235">
        <v>24</v>
      </c>
      <c r="J43" s="261">
        <f>+(((((1423500*9.53+1659)*55.97%)/15*12)/30)*I43)*E43</f>
        <v>4860027.8757119998</v>
      </c>
      <c r="K43" s="262">
        <v>0.08</v>
      </c>
      <c r="L43" s="263">
        <f t="shared" si="19"/>
        <v>388802.23005696002</v>
      </c>
      <c r="M43" s="240">
        <f t="shared" si="20"/>
        <v>5248830.10576896</v>
      </c>
      <c r="N43" s="240">
        <f t="shared" si="23"/>
        <v>524883.01057689602</v>
      </c>
      <c r="O43" s="240">
        <f t="shared" si="21"/>
        <v>99727.772009610242</v>
      </c>
      <c r="P43" s="240">
        <f t="shared" si="22"/>
        <v>5348557.8777785702</v>
      </c>
      <c r="Q43" s="241"/>
      <c r="R43" s="242"/>
      <c r="S43" s="243">
        <f t="shared" si="5"/>
        <v>5348557.8777785702</v>
      </c>
      <c r="T43" s="153"/>
      <c r="U43" s="136"/>
      <c r="V43" s="136"/>
      <c r="W43" s="136"/>
      <c r="X43" s="137"/>
      <c r="Y43" s="137"/>
      <c r="Z43" s="137"/>
      <c r="AA43" s="137"/>
      <c r="AB43" s="137"/>
      <c r="AC43" s="137"/>
    </row>
    <row r="44" spans="1:29" s="309" customFormat="1" ht="24" customHeight="1" x14ac:dyDescent="0.25">
      <c r="A44" s="298"/>
      <c r="B44" s="379"/>
      <c r="C44" s="299" t="s">
        <v>229</v>
      </c>
      <c r="D44" s="383" t="s">
        <v>267</v>
      </c>
      <c r="E44" s="300">
        <v>1</v>
      </c>
      <c r="F44" s="301" t="s">
        <v>15</v>
      </c>
      <c r="G44" s="300">
        <v>1</v>
      </c>
      <c r="H44" s="300">
        <v>30</v>
      </c>
      <c r="I44" s="300">
        <v>30</v>
      </c>
      <c r="J44" s="323">
        <f>+(((1423500*9.53+1659)/30)*I44)*E44</f>
        <v>13567614</v>
      </c>
      <c r="K44" s="324">
        <v>0.08</v>
      </c>
      <c r="L44" s="325">
        <f t="shared" si="19"/>
        <v>1085409.1200000001</v>
      </c>
      <c r="M44" s="326">
        <f t="shared" si="20"/>
        <v>14653023.120000001</v>
      </c>
      <c r="N44" s="326">
        <f t="shared" si="23"/>
        <v>1465302.3120000002</v>
      </c>
      <c r="O44" s="326">
        <f t="shared" si="21"/>
        <v>278407.43928000005</v>
      </c>
      <c r="P44" s="305">
        <f t="shared" si="22"/>
        <v>14931430.559280001</v>
      </c>
      <c r="Q44" s="306"/>
      <c r="R44" s="307"/>
      <c r="S44" s="308">
        <f t="shared" si="5"/>
        <v>14931430.559280001</v>
      </c>
      <c r="T44" s="153"/>
      <c r="U44" s="136"/>
      <c r="V44" s="136"/>
      <c r="W44" s="136"/>
      <c r="X44" s="137"/>
      <c r="Y44" s="137"/>
      <c r="Z44" s="137"/>
      <c r="AA44" s="137"/>
      <c r="AB44" s="137"/>
      <c r="AC44" s="137"/>
    </row>
    <row r="45" spans="1:29" s="309" customFormat="1" x14ac:dyDescent="0.25">
      <c r="A45" s="298"/>
      <c r="B45" s="379"/>
      <c r="C45" s="299" t="s">
        <v>229</v>
      </c>
      <c r="D45" s="383"/>
      <c r="E45" s="300">
        <v>1</v>
      </c>
      <c r="F45" s="301" t="s">
        <v>16</v>
      </c>
      <c r="G45" s="300">
        <v>1</v>
      </c>
      <c r="H45" s="300">
        <v>30</v>
      </c>
      <c r="I45" s="300">
        <v>30</v>
      </c>
      <c r="J45" s="323">
        <f>+(((((1423500*9.53+1659)*55.97%)/15*12)/30)*I45)*E45</f>
        <v>6075034.8446399998</v>
      </c>
      <c r="K45" s="324">
        <v>0.08</v>
      </c>
      <c r="L45" s="325">
        <f t="shared" si="19"/>
        <v>486002.78757119999</v>
      </c>
      <c r="M45" s="326">
        <f t="shared" si="20"/>
        <v>6561037.6322112</v>
      </c>
      <c r="N45" s="326">
        <f t="shared" si="23"/>
        <v>656103.76322112</v>
      </c>
      <c r="O45" s="326">
        <f t="shared" si="21"/>
        <v>124659.71501201281</v>
      </c>
      <c r="P45" s="305">
        <f t="shared" si="22"/>
        <v>6685697.3472232129</v>
      </c>
      <c r="Q45" s="306"/>
      <c r="R45" s="307"/>
      <c r="S45" s="308">
        <f t="shared" si="5"/>
        <v>6685697.3472232129</v>
      </c>
      <c r="T45" s="153"/>
      <c r="U45" s="136"/>
      <c r="V45" s="136"/>
      <c r="W45" s="136"/>
      <c r="X45" s="137"/>
      <c r="Y45" s="137"/>
      <c r="Z45" s="137"/>
      <c r="AA45" s="137"/>
      <c r="AB45" s="137"/>
      <c r="AC45" s="137"/>
    </row>
    <row r="46" spans="1:29" s="309" customFormat="1" x14ac:dyDescent="0.25">
      <c r="A46" s="298"/>
      <c r="B46" s="379"/>
      <c r="C46" s="299" t="s">
        <v>229</v>
      </c>
      <c r="D46" s="383" t="s">
        <v>268</v>
      </c>
      <c r="E46" s="300">
        <v>1</v>
      </c>
      <c r="F46" s="301" t="s">
        <v>15</v>
      </c>
      <c r="G46" s="300">
        <v>1</v>
      </c>
      <c r="H46" s="300">
        <v>30</v>
      </c>
      <c r="I46" s="300">
        <v>30</v>
      </c>
      <c r="J46" s="323">
        <f>+(((1423500*9.53+1659)/30)*I46)*E46</f>
        <v>13567614</v>
      </c>
      <c r="K46" s="324">
        <v>0.08</v>
      </c>
      <c r="L46" s="325">
        <f t="shared" si="19"/>
        <v>1085409.1200000001</v>
      </c>
      <c r="M46" s="326">
        <f t="shared" si="20"/>
        <v>14653023.120000001</v>
      </c>
      <c r="N46" s="326">
        <f t="shared" si="23"/>
        <v>1465302.3120000002</v>
      </c>
      <c r="O46" s="326">
        <f t="shared" si="21"/>
        <v>278407.43928000005</v>
      </c>
      <c r="P46" s="305">
        <f t="shared" si="22"/>
        <v>14931430.559280001</v>
      </c>
      <c r="Q46" s="306"/>
      <c r="R46" s="307"/>
      <c r="S46" s="308">
        <f t="shared" si="5"/>
        <v>14931430.559280001</v>
      </c>
      <c r="T46" s="153"/>
      <c r="U46" s="136"/>
      <c r="V46" s="136"/>
      <c r="W46" s="136"/>
      <c r="X46" s="137"/>
      <c r="Y46" s="137"/>
      <c r="Z46" s="137"/>
      <c r="AA46" s="137"/>
      <c r="AB46" s="137"/>
      <c r="AC46" s="137"/>
    </row>
    <row r="47" spans="1:29" s="309" customFormat="1" x14ac:dyDescent="0.25">
      <c r="A47" s="298"/>
      <c r="B47" s="379"/>
      <c r="C47" s="299" t="s">
        <v>229</v>
      </c>
      <c r="D47" s="383"/>
      <c r="E47" s="300">
        <v>1</v>
      </c>
      <c r="F47" s="301" t="s">
        <v>16</v>
      </c>
      <c r="G47" s="300">
        <v>1</v>
      </c>
      <c r="H47" s="300">
        <v>30</v>
      </c>
      <c r="I47" s="300">
        <v>30</v>
      </c>
      <c r="J47" s="323">
        <f>+(((((1423500*9.53+1659)*55.97%)/15*12)/30)*I47)*E47</f>
        <v>6075034.8446399998</v>
      </c>
      <c r="K47" s="324">
        <v>0.08</v>
      </c>
      <c r="L47" s="325">
        <f t="shared" si="19"/>
        <v>486002.78757119999</v>
      </c>
      <c r="M47" s="326">
        <f t="shared" si="20"/>
        <v>6561037.6322112</v>
      </c>
      <c r="N47" s="326">
        <f t="shared" si="23"/>
        <v>656103.76322112</v>
      </c>
      <c r="O47" s="326">
        <f t="shared" si="21"/>
        <v>124659.71501201281</v>
      </c>
      <c r="P47" s="305">
        <f t="shared" si="22"/>
        <v>6685697.3472232129</v>
      </c>
      <c r="Q47" s="306"/>
      <c r="R47" s="307"/>
      <c r="S47" s="308">
        <f t="shared" si="5"/>
        <v>6685697.3472232129</v>
      </c>
      <c r="T47" s="153"/>
      <c r="U47" s="136"/>
      <c r="V47" s="136"/>
      <c r="W47" s="136"/>
      <c r="X47" s="137"/>
      <c r="Y47" s="137"/>
      <c r="Z47" s="137"/>
      <c r="AA47" s="137"/>
      <c r="AB47" s="137"/>
      <c r="AC47" s="137"/>
    </row>
    <row r="48" spans="1:29" s="309" customFormat="1" x14ac:dyDescent="0.25">
      <c r="A48" s="298"/>
      <c r="B48" s="379"/>
      <c r="C48" s="299" t="s">
        <v>229</v>
      </c>
      <c r="D48" s="383" t="s">
        <v>269</v>
      </c>
      <c r="E48" s="300">
        <v>1</v>
      </c>
      <c r="F48" s="301" t="s">
        <v>15</v>
      </c>
      <c r="G48" s="300">
        <v>1</v>
      </c>
      <c r="H48" s="300">
        <v>30</v>
      </c>
      <c r="I48" s="300">
        <v>30</v>
      </c>
      <c r="J48" s="323">
        <f>+(((1423500*9.53+1659)/30)*I48)*E48</f>
        <v>13567614</v>
      </c>
      <c r="K48" s="324">
        <v>0.08</v>
      </c>
      <c r="L48" s="325">
        <f t="shared" si="19"/>
        <v>1085409.1200000001</v>
      </c>
      <c r="M48" s="326">
        <f t="shared" si="20"/>
        <v>14653023.120000001</v>
      </c>
      <c r="N48" s="326">
        <f t="shared" si="23"/>
        <v>1465302.3120000002</v>
      </c>
      <c r="O48" s="326">
        <f t="shared" si="21"/>
        <v>278407.43928000005</v>
      </c>
      <c r="P48" s="305">
        <f t="shared" si="22"/>
        <v>14931430.559280001</v>
      </c>
      <c r="Q48" s="306"/>
      <c r="R48" s="307"/>
      <c r="S48" s="308">
        <f t="shared" si="5"/>
        <v>14931430.559280001</v>
      </c>
      <c r="T48" s="153"/>
      <c r="U48" s="136"/>
      <c r="V48" s="136"/>
      <c r="W48" s="136"/>
      <c r="X48" s="137"/>
      <c r="Y48" s="137"/>
      <c r="Z48" s="137"/>
      <c r="AA48" s="137"/>
      <c r="AB48" s="137"/>
      <c r="AC48" s="137"/>
    </row>
    <row r="49" spans="1:29" s="309" customFormat="1" x14ac:dyDescent="0.25">
      <c r="A49" s="298"/>
      <c r="B49" s="379"/>
      <c r="C49" s="299" t="s">
        <v>229</v>
      </c>
      <c r="D49" s="383"/>
      <c r="E49" s="300">
        <v>1</v>
      </c>
      <c r="F49" s="301" t="s">
        <v>16</v>
      </c>
      <c r="G49" s="300">
        <v>1</v>
      </c>
      <c r="H49" s="300">
        <v>30</v>
      </c>
      <c r="I49" s="300">
        <v>30</v>
      </c>
      <c r="J49" s="323">
        <f>+(((((1423500*9.53+1659)*55.97%)/15*12)/30)*I49)*E49</f>
        <v>6075034.8446399998</v>
      </c>
      <c r="K49" s="324">
        <v>0.08</v>
      </c>
      <c r="L49" s="325">
        <f t="shared" si="19"/>
        <v>486002.78757119999</v>
      </c>
      <c r="M49" s="326">
        <f t="shared" si="20"/>
        <v>6561037.6322112</v>
      </c>
      <c r="N49" s="326">
        <f t="shared" si="23"/>
        <v>656103.76322112</v>
      </c>
      <c r="O49" s="326">
        <f t="shared" si="21"/>
        <v>124659.71501201281</v>
      </c>
      <c r="P49" s="305">
        <f t="shared" si="22"/>
        <v>6685697.3472232129</v>
      </c>
      <c r="Q49" s="306"/>
      <c r="R49" s="307"/>
      <c r="S49" s="308">
        <f t="shared" si="5"/>
        <v>6685697.3472232129</v>
      </c>
      <c r="T49" s="153"/>
      <c r="U49" s="136"/>
      <c r="V49" s="136"/>
      <c r="W49" s="136"/>
      <c r="X49" s="137"/>
      <c r="Y49" s="137"/>
      <c r="Z49" s="137"/>
      <c r="AA49" s="137"/>
      <c r="AB49" s="137"/>
      <c r="AC49" s="137"/>
    </row>
    <row r="50" spans="1:29" s="309" customFormat="1" x14ac:dyDescent="0.25">
      <c r="A50" s="298"/>
      <c r="B50" s="379"/>
      <c r="C50" s="299" t="s">
        <v>229</v>
      </c>
      <c r="D50" s="327" t="s">
        <v>270</v>
      </c>
      <c r="E50" s="300">
        <v>1</v>
      </c>
      <c r="F50" s="301" t="s">
        <v>15</v>
      </c>
      <c r="G50" s="300">
        <v>1</v>
      </c>
      <c r="H50" s="300">
        <v>30</v>
      </c>
      <c r="I50" s="300">
        <v>30</v>
      </c>
      <c r="J50" s="323">
        <f t="shared" ref="J50:J55" si="29">+(((1423500*9.53+1659)/30)*I50)*E50</f>
        <v>13567614</v>
      </c>
      <c r="K50" s="324">
        <v>0.08</v>
      </c>
      <c r="L50" s="325">
        <f t="shared" si="19"/>
        <v>1085409.1200000001</v>
      </c>
      <c r="M50" s="326">
        <f t="shared" si="20"/>
        <v>14653023.120000001</v>
      </c>
      <c r="N50" s="326">
        <f t="shared" si="23"/>
        <v>1465302.3120000002</v>
      </c>
      <c r="O50" s="326">
        <f t="shared" si="21"/>
        <v>278407.43928000005</v>
      </c>
      <c r="P50" s="305">
        <f t="shared" si="22"/>
        <v>14931430.559280001</v>
      </c>
      <c r="Q50" s="306">
        <v>2</v>
      </c>
      <c r="R50" s="307">
        <f>8245733/30*Q50</f>
        <v>549715.53333333333</v>
      </c>
      <c r="S50" s="308">
        <f t="shared" si="5"/>
        <v>14381715.025946667</v>
      </c>
      <c r="T50" s="153"/>
      <c r="U50" s="136"/>
      <c r="V50" s="136"/>
      <c r="W50" s="136"/>
      <c r="X50" s="137"/>
      <c r="Y50" s="137"/>
      <c r="Z50" s="137"/>
      <c r="AA50" s="137"/>
      <c r="AB50" s="137"/>
      <c r="AC50" s="137"/>
    </row>
    <row r="51" spans="1:29" s="309" customFormat="1" x14ac:dyDescent="0.25">
      <c r="A51" s="298"/>
      <c r="B51" s="379"/>
      <c r="C51" s="299" t="s">
        <v>229</v>
      </c>
      <c r="D51" s="301" t="s">
        <v>271</v>
      </c>
      <c r="E51" s="300">
        <v>1</v>
      </c>
      <c r="F51" s="301" t="s">
        <v>15</v>
      </c>
      <c r="G51" s="300">
        <v>1</v>
      </c>
      <c r="H51" s="300">
        <v>30</v>
      </c>
      <c r="I51" s="300">
        <v>30</v>
      </c>
      <c r="J51" s="323">
        <f t="shared" si="29"/>
        <v>13567614</v>
      </c>
      <c r="K51" s="324">
        <v>0.08</v>
      </c>
      <c r="L51" s="325">
        <f t="shared" si="19"/>
        <v>1085409.1200000001</v>
      </c>
      <c r="M51" s="326">
        <f t="shared" si="20"/>
        <v>14653023.120000001</v>
      </c>
      <c r="N51" s="326">
        <f t="shared" si="23"/>
        <v>1465302.3120000002</v>
      </c>
      <c r="O51" s="326">
        <f t="shared" si="21"/>
        <v>278407.43928000005</v>
      </c>
      <c r="P51" s="305">
        <f t="shared" si="22"/>
        <v>14931430.559280001</v>
      </c>
      <c r="Q51" s="306">
        <v>2</v>
      </c>
      <c r="R51" s="307">
        <f t="shared" ref="R51:R55" si="30">8245733/30*Q51</f>
        <v>549715.53333333333</v>
      </c>
      <c r="S51" s="308">
        <f t="shared" si="5"/>
        <v>14381715.025946667</v>
      </c>
      <c r="T51" s="153"/>
      <c r="U51" s="136"/>
      <c r="V51" s="136"/>
      <c r="W51" s="136"/>
      <c r="X51" s="137"/>
      <c r="Y51" s="137"/>
      <c r="Z51" s="137"/>
      <c r="AA51" s="137"/>
      <c r="AB51" s="137"/>
      <c r="AC51" s="137"/>
    </row>
    <row r="52" spans="1:29" s="309" customFormat="1" x14ac:dyDescent="0.25">
      <c r="A52" s="298"/>
      <c r="B52" s="379"/>
      <c r="C52" s="299" t="s">
        <v>229</v>
      </c>
      <c r="D52" s="301" t="s">
        <v>272</v>
      </c>
      <c r="E52" s="300">
        <v>1</v>
      </c>
      <c r="F52" s="301" t="s">
        <v>15</v>
      </c>
      <c r="G52" s="300">
        <v>1</v>
      </c>
      <c r="H52" s="300">
        <v>30</v>
      </c>
      <c r="I52" s="300">
        <v>30</v>
      </c>
      <c r="J52" s="323">
        <f t="shared" si="29"/>
        <v>13567614</v>
      </c>
      <c r="K52" s="324">
        <v>0.08</v>
      </c>
      <c r="L52" s="325">
        <f t="shared" si="19"/>
        <v>1085409.1200000001</v>
      </c>
      <c r="M52" s="326">
        <f t="shared" si="20"/>
        <v>14653023.120000001</v>
      </c>
      <c r="N52" s="326">
        <f t="shared" si="23"/>
        <v>1465302.3120000002</v>
      </c>
      <c r="O52" s="326">
        <f t="shared" si="21"/>
        <v>278407.43928000005</v>
      </c>
      <c r="P52" s="305">
        <f t="shared" si="22"/>
        <v>14931430.559280001</v>
      </c>
      <c r="Q52" s="306">
        <v>2</v>
      </c>
      <c r="R52" s="307">
        <f t="shared" si="30"/>
        <v>549715.53333333333</v>
      </c>
      <c r="S52" s="308">
        <f t="shared" si="5"/>
        <v>14381715.025946667</v>
      </c>
      <c r="T52" s="153"/>
      <c r="U52" s="136"/>
      <c r="V52" s="136"/>
      <c r="W52" s="136"/>
      <c r="X52" s="137"/>
      <c r="Y52" s="137"/>
      <c r="Z52" s="137"/>
      <c r="AA52" s="137"/>
      <c r="AB52" s="137"/>
      <c r="AC52" s="137"/>
    </row>
    <row r="53" spans="1:29" s="309" customFormat="1" ht="26.25" x14ac:dyDescent="0.25">
      <c r="A53" s="298"/>
      <c r="B53" s="379"/>
      <c r="C53" s="299" t="s">
        <v>229</v>
      </c>
      <c r="D53" s="301" t="s">
        <v>309</v>
      </c>
      <c r="E53" s="300">
        <v>1</v>
      </c>
      <c r="F53" s="301" t="s">
        <v>15</v>
      </c>
      <c r="G53" s="300">
        <v>1</v>
      </c>
      <c r="H53" s="300">
        <v>30</v>
      </c>
      <c r="I53" s="300">
        <v>30</v>
      </c>
      <c r="J53" s="323">
        <f t="shared" si="29"/>
        <v>13567614</v>
      </c>
      <c r="K53" s="324">
        <v>0.08</v>
      </c>
      <c r="L53" s="325">
        <f t="shared" si="19"/>
        <v>1085409.1200000001</v>
      </c>
      <c r="M53" s="326">
        <f t="shared" si="20"/>
        <v>14653023.120000001</v>
      </c>
      <c r="N53" s="326">
        <f t="shared" si="23"/>
        <v>1465302.3120000002</v>
      </c>
      <c r="O53" s="326">
        <f t="shared" si="21"/>
        <v>278407.43928000005</v>
      </c>
      <c r="P53" s="305">
        <f t="shared" si="22"/>
        <v>14931430.559280001</v>
      </c>
      <c r="Q53" s="306">
        <v>2</v>
      </c>
      <c r="R53" s="307">
        <f t="shared" si="30"/>
        <v>549715.53333333333</v>
      </c>
      <c r="S53" s="308">
        <f t="shared" si="5"/>
        <v>14381715.025946667</v>
      </c>
      <c r="T53" s="153"/>
      <c r="U53" s="136"/>
      <c r="V53" s="136"/>
      <c r="W53" s="136"/>
      <c r="X53" s="137"/>
      <c r="Y53" s="137"/>
      <c r="Z53" s="137"/>
      <c r="AA53" s="137"/>
      <c r="AB53" s="137"/>
      <c r="AC53" s="137"/>
    </row>
    <row r="54" spans="1:29" s="309" customFormat="1" ht="25.5" x14ac:dyDescent="0.25">
      <c r="A54" s="298"/>
      <c r="B54" s="379"/>
      <c r="C54" s="299" t="s">
        <v>229</v>
      </c>
      <c r="D54" s="328" t="s">
        <v>273</v>
      </c>
      <c r="E54" s="300">
        <v>1</v>
      </c>
      <c r="F54" s="301" t="s">
        <v>15</v>
      </c>
      <c r="G54" s="300">
        <v>1</v>
      </c>
      <c r="H54" s="300">
        <v>30</v>
      </c>
      <c r="I54" s="300">
        <v>30</v>
      </c>
      <c r="J54" s="323">
        <f t="shared" si="29"/>
        <v>13567614</v>
      </c>
      <c r="K54" s="324">
        <v>0.08</v>
      </c>
      <c r="L54" s="325">
        <f t="shared" si="19"/>
        <v>1085409.1200000001</v>
      </c>
      <c r="M54" s="326">
        <f t="shared" si="20"/>
        <v>14653023.120000001</v>
      </c>
      <c r="N54" s="326">
        <f t="shared" si="23"/>
        <v>1465302.3120000002</v>
      </c>
      <c r="O54" s="326">
        <f t="shared" si="21"/>
        <v>278407.43928000005</v>
      </c>
      <c r="P54" s="305">
        <f t="shared" si="22"/>
        <v>14931430.559280001</v>
      </c>
      <c r="Q54" s="306">
        <v>2</v>
      </c>
      <c r="R54" s="307">
        <f t="shared" si="30"/>
        <v>549715.53333333333</v>
      </c>
      <c r="S54" s="308">
        <f t="shared" si="5"/>
        <v>14381715.025946667</v>
      </c>
      <c r="T54" s="153"/>
      <c r="U54" s="136"/>
      <c r="V54" s="136"/>
      <c r="W54" s="136"/>
      <c r="X54" s="137"/>
      <c r="Y54" s="137"/>
      <c r="Z54" s="137"/>
      <c r="AA54" s="137"/>
      <c r="AB54" s="137"/>
      <c r="AC54" s="137"/>
    </row>
    <row r="55" spans="1:29" s="309" customFormat="1" x14ac:dyDescent="0.25">
      <c r="A55" s="298"/>
      <c r="B55" s="379"/>
      <c r="C55" s="299" t="s">
        <v>229</v>
      </c>
      <c r="D55" s="328" t="s">
        <v>274</v>
      </c>
      <c r="E55" s="300">
        <v>1</v>
      </c>
      <c r="F55" s="301" t="s">
        <v>15</v>
      </c>
      <c r="G55" s="300">
        <v>1</v>
      </c>
      <c r="H55" s="300">
        <v>30</v>
      </c>
      <c r="I55" s="300">
        <v>30</v>
      </c>
      <c r="J55" s="323">
        <f t="shared" si="29"/>
        <v>13567614</v>
      </c>
      <c r="K55" s="324">
        <v>0.08</v>
      </c>
      <c r="L55" s="325">
        <f t="shared" si="19"/>
        <v>1085409.1200000001</v>
      </c>
      <c r="M55" s="326">
        <f t="shared" si="20"/>
        <v>14653023.120000001</v>
      </c>
      <c r="N55" s="326">
        <f t="shared" si="23"/>
        <v>1465302.3120000002</v>
      </c>
      <c r="O55" s="326">
        <f t="shared" si="21"/>
        <v>278407.43928000005</v>
      </c>
      <c r="P55" s="305">
        <f t="shared" si="22"/>
        <v>14931430.559280001</v>
      </c>
      <c r="Q55" s="306">
        <v>1</v>
      </c>
      <c r="R55" s="307">
        <f t="shared" si="30"/>
        <v>274857.76666666666</v>
      </c>
      <c r="S55" s="308">
        <f t="shared" si="5"/>
        <v>14656572.792613333</v>
      </c>
      <c r="T55" s="153"/>
      <c r="U55" s="136"/>
      <c r="V55" s="136"/>
      <c r="W55" s="136"/>
      <c r="X55" s="137"/>
      <c r="Y55" s="137"/>
      <c r="Z55" s="137"/>
      <c r="AA55" s="137"/>
      <c r="AB55" s="137"/>
      <c r="AC55" s="137"/>
    </row>
    <row r="56" spans="1:29" s="309" customFormat="1" x14ac:dyDescent="0.25">
      <c r="B56" s="379"/>
      <c r="C56" s="299" t="s">
        <v>229</v>
      </c>
      <c r="D56" s="328" t="s">
        <v>275</v>
      </c>
      <c r="E56" s="300">
        <v>1</v>
      </c>
      <c r="F56" s="301" t="s">
        <v>16</v>
      </c>
      <c r="G56" s="300">
        <v>1</v>
      </c>
      <c r="H56" s="300">
        <v>30</v>
      </c>
      <c r="I56" s="300">
        <v>30</v>
      </c>
      <c r="J56" s="302">
        <f>+(((((1423500*9.53+1659)*55.97%)/15*12)/30)*I56)*E56</f>
        <v>6075034.8446399998</v>
      </c>
      <c r="K56" s="303">
        <v>0.08</v>
      </c>
      <c r="L56" s="304">
        <f t="shared" si="19"/>
        <v>486002.78757119999</v>
      </c>
      <c r="M56" s="305">
        <f t="shared" si="20"/>
        <v>6561037.6322112</v>
      </c>
      <c r="N56" s="305">
        <f t="shared" si="23"/>
        <v>656103.76322112</v>
      </c>
      <c r="O56" s="305">
        <f t="shared" si="21"/>
        <v>124659.71501201281</v>
      </c>
      <c r="P56" s="305">
        <f t="shared" si="22"/>
        <v>6685697.3472232129</v>
      </c>
      <c r="Q56" s="306"/>
      <c r="R56" s="307"/>
      <c r="S56" s="308">
        <f t="shared" si="5"/>
        <v>6685697.3472232129</v>
      </c>
      <c r="T56" s="153"/>
      <c r="U56" s="136"/>
      <c r="V56" s="136"/>
      <c r="W56" s="136"/>
      <c r="X56" s="137"/>
      <c r="Y56" s="137"/>
      <c r="Z56" s="137"/>
      <c r="AA56" s="137"/>
      <c r="AB56" s="137"/>
      <c r="AC56" s="137"/>
    </row>
    <row r="57" spans="1:29" s="309" customFormat="1" x14ac:dyDescent="0.25">
      <c r="A57" s="298"/>
      <c r="B57" s="379"/>
      <c r="C57" s="299" t="s">
        <v>229</v>
      </c>
      <c r="D57" s="328" t="s">
        <v>276</v>
      </c>
      <c r="E57" s="300">
        <v>1</v>
      </c>
      <c r="F57" s="301" t="s">
        <v>16</v>
      </c>
      <c r="G57" s="300">
        <v>1</v>
      </c>
      <c r="H57" s="300">
        <v>30</v>
      </c>
      <c r="I57" s="300">
        <v>30</v>
      </c>
      <c r="J57" s="323">
        <f>+(((((1423500*9.53+1659)*55.97%)/15*12)/30)*I57)*E57</f>
        <v>6075034.8446399998</v>
      </c>
      <c r="K57" s="324">
        <v>0.08</v>
      </c>
      <c r="L57" s="325">
        <f t="shared" si="19"/>
        <v>486002.78757119999</v>
      </c>
      <c r="M57" s="326">
        <f t="shared" si="20"/>
        <v>6561037.6322112</v>
      </c>
      <c r="N57" s="326">
        <f t="shared" si="23"/>
        <v>656103.76322112</v>
      </c>
      <c r="O57" s="326">
        <f t="shared" si="21"/>
        <v>124659.71501201281</v>
      </c>
      <c r="P57" s="305">
        <f t="shared" si="22"/>
        <v>6685697.3472232129</v>
      </c>
      <c r="Q57" s="306"/>
      <c r="R57" s="307"/>
      <c r="S57" s="308">
        <f t="shared" si="5"/>
        <v>6685697.3472232129</v>
      </c>
      <c r="T57" s="153"/>
      <c r="U57" s="136"/>
      <c r="V57" s="136"/>
      <c r="W57" s="136"/>
      <c r="X57" s="137"/>
      <c r="Y57" s="137"/>
      <c r="Z57" s="137"/>
      <c r="AA57" s="137"/>
      <c r="AB57" s="137"/>
      <c r="AC57" s="137"/>
    </row>
    <row r="58" spans="1:29" s="309" customFormat="1" x14ac:dyDescent="0.25">
      <c r="A58" s="298"/>
      <c r="B58" s="379"/>
      <c r="C58" s="299" t="s">
        <v>229</v>
      </c>
      <c r="D58" s="386" t="s">
        <v>277</v>
      </c>
      <c r="E58" s="300">
        <v>1</v>
      </c>
      <c r="F58" s="301" t="s">
        <v>15</v>
      </c>
      <c r="G58" s="300">
        <v>1</v>
      </c>
      <c r="H58" s="300">
        <v>30</v>
      </c>
      <c r="I58" s="300">
        <v>30</v>
      </c>
      <c r="J58" s="323">
        <f>+(((1423500*9.53+1659)/30)*I58)*E58</f>
        <v>13567614</v>
      </c>
      <c r="K58" s="324">
        <v>0.08</v>
      </c>
      <c r="L58" s="325">
        <f t="shared" si="19"/>
        <v>1085409.1200000001</v>
      </c>
      <c r="M58" s="326">
        <f t="shared" si="20"/>
        <v>14653023.120000001</v>
      </c>
      <c r="N58" s="326">
        <f t="shared" si="23"/>
        <v>1465302.3120000002</v>
      </c>
      <c r="O58" s="326">
        <f t="shared" si="21"/>
        <v>278407.43928000005</v>
      </c>
      <c r="P58" s="305">
        <f t="shared" si="22"/>
        <v>14931430.559280001</v>
      </c>
      <c r="Q58" s="306">
        <v>4</v>
      </c>
      <c r="R58" s="307">
        <f>6685697/30*Q58</f>
        <v>891426.26666666672</v>
      </c>
      <c r="S58" s="308">
        <f t="shared" si="5"/>
        <v>14040004.292613333</v>
      </c>
      <c r="T58" s="153"/>
      <c r="U58" s="136"/>
      <c r="V58" s="136"/>
      <c r="W58" s="136"/>
      <c r="X58" s="137"/>
      <c r="Y58" s="137"/>
      <c r="Z58" s="137"/>
      <c r="AA58" s="137"/>
      <c r="AB58" s="137"/>
      <c r="AC58" s="137"/>
    </row>
    <row r="59" spans="1:29" s="298" customFormat="1" ht="26.25" x14ac:dyDescent="0.25">
      <c r="B59" s="378"/>
      <c r="C59" s="329" t="s">
        <v>229</v>
      </c>
      <c r="D59" s="387"/>
      <c r="E59" s="330">
        <v>1</v>
      </c>
      <c r="F59" s="331" t="s">
        <v>20</v>
      </c>
      <c r="G59" s="330">
        <v>1</v>
      </c>
      <c r="H59" s="330">
        <v>30</v>
      </c>
      <c r="I59" s="300">
        <v>30</v>
      </c>
      <c r="J59" s="323">
        <f>+(((((1423500*9.53+1659)*55.97%)/15*14)/30)*I59)*E59</f>
        <v>7087540.6520799994</v>
      </c>
      <c r="K59" s="324">
        <v>0.08</v>
      </c>
      <c r="L59" s="325">
        <f t="shared" si="19"/>
        <v>567003.25216639997</v>
      </c>
      <c r="M59" s="326">
        <f t="shared" si="20"/>
        <v>7654543.9042463992</v>
      </c>
      <c r="N59" s="326">
        <f t="shared" si="23"/>
        <v>765454.39042463992</v>
      </c>
      <c r="O59" s="326">
        <f t="shared" si="21"/>
        <v>145436.33418068159</v>
      </c>
      <c r="P59" s="326">
        <f t="shared" si="22"/>
        <v>7799980.2384270811</v>
      </c>
      <c r="Q59" s="332"/>
      <c r="R59" s="307"/>
      <c r="S59" s="333">
        <f t="shared" si="5"/>
        <v>7799980.2384270811</v>
      </c>
      <c r="T59" s="167"/>
      <c r="U59" s="133"/>
      <c r="V59" s="133"/>
      <c r="W59" s="133"/>
      <c r="X59" s="134"/>
      <c r="Y59" s="134"/>
      <c r="Z59" s="134"/>
      <c r="AA59" s="134"/>
      <c r="AB59" s="134"/>
      <c r="AC59" s="134"/>
    </row>
    <row r="60" spans="1:29" s="298" customFormat="1" ht="26.25" x14ac:dyDescent="0.25">
      <c r="B60" s="378"/>
      <c r="C60" s="329" t="s">
        <v>229</v>
      </c>
      <c r="D60" s="331" t="s">
        <v>278</v>
      </c>
      <c r="E60" s="330">
        <v>1</v>
      </c>
      <c r="F60" s="331" t="s">
        <v>20</v>
      </c>
      <c r="G60" s="330">
        <v>1</v>
      </c>
      <c r="H60" s="330">
        <v>30</v>
      </c>
      <c r="I60" s="300">
        <v>30</v>
      </c>
      <c r="J60" s="323">
        <f>+(((((1423500*9.53+1659)*55.97%)/15*14)/30)*I60)*E60</f>
        <v>7087540.6520799994</v>
      </c>
      <c r="K60" s="324">
        <v>0.08</v>
      </c>
      <c r="L60" s="325">
        <f t="shared" si="19"/>
        <v>567003.25216639997</v>
      </c>
      <c r="M60" s="326">
        <f t="shared" si="20"/>
        <v>7654543.9042463992</v>
      </c>
      <c r="N60" s="326">
        <f t="shared" si="23"/>
        <v>765454.39042463992</v>
      </c>
      <c r="O60" s="326">
        <f t="shared" si="21"/>
        <v>145436.33418068159</v>
      </c>
      <c r="P60" s="326">
        <f t="shared" si="22"/>
        <v>7799980.2384270811</v>
      </c>
      <c r="Q60" s="332"/>
      <c r="R60" s="307"/>
      <c r="S60" s="333">
        <f t="shared" si="5"/>
        <v>7799980.2384270811</v>
      </c>
      <c r="T60" s="167"/>
      <c r="U60" s="133"/>
      <c r="V60" s="133"/>
      <c r="W60" s="133"/>
      <c r="X60" s="134"/>
      <c r="Y60" s="134"/>
      <c r="Z60" s="134"/>
      <c r="AA60" s="134"/>
      <c r="AB60" s="134"/>
      <c r="AC60" s="134"/>
    </row>
    <row r="61" spans="1:29" s="309" customFormat="1" x14ac:dyDescent="0.25">
      <c r="A61" s="298"/>
      <c r="B61" s="379"/>
      <c r="C61" s="299" t="s">
        <v>229</v>
      </c>
      <c r="D61" s="301" t="s">
        <v>279</v>
      </c>
      <c r="E61" s="300">
        <v>1</v>
      </c>
      <c r="F61" s="301" t="s">
        <v>15</v>
      </c>
      <c r="G61" s="300">
        <v>1</v>
      </c>
      <c r="H61" s="300">
        <v>30</v>
      </c>
      <c r="I61" s="300">
        <v>30</v>
      </c>
      <c r="J61" s="323">
        <f>+(((1423500*9.53+1659)/30)*I61)*E61</f>
        <v>13567614</v>
      </c>
      <c r="K61" s="324">
        <v>0.08</v>
      </c>
      <c r="L61" s="325">
        <f t="shared" si="19"/>
        <v>1085409.1200000001</v>
      </c>
      <c r="M61" s="326">
        <f t="shared" si="20"/>
        <v>14653023.120000001</v>
      </c>
      <c r="N61" s="326">
        <f>M61*10%</f>
        <v>1465302.3120000002</v>
      </c>
      <c r="O61" s="326">
        <f>+N61*19%</f>
        <v>278407.43928000005</v>
      </c>
      <c r="P61" s="305">
        <f>M61+O61</f>
        <v>14931430.559280001</v>
      </c>
      <c r="Q61" s="306">
        <v>2</v>
      </c>
      <c r="R61" s="307">
        <f>6685697/30*Q61</f>
        <v>445713.13333333336</v>
      </c>
      <c r="S61" s="308">
        <f t="shared" si="5"/>
        <v>14485717.425946668</v>
      </c>
      <c r="T61" s="153"/>
      <c r="U61" s="136"/>
      <c r="V61" s="136"/>
      <c r="W61" s="136"/>
      <c r="X61" s="137"/>
      <c r="Y61" s="137"/>
      <c r="Z61" s="137"/>
      <c r="AA61" s="137"/>
      <c r="AB61" s="137"/>
      <c r="AC61" s="137"/>
    </row>
    <row r="62" spans="1:29" s="309" customFormat="1" x14ac:dyDescent="0.25">
      <c r="A62" s="298"/>
      <c r="B62" s="379"/>
      <c r="C62" s="334" t="s">
        <v>229</v>
      </c>
      <c r="D62" s="335" t="s">
        <v>280</v>
      </c>
      <c r="E62" s="300">
        <v>1</v>
      </c>
      <c r="F62" s="301" t="s">
        <v>15</v>
      </c>
      <c r="G62" s="300">
        <v>1</v>
      </c>
      <c r="H62" s="300">
        <v>30</v>
      </c>
      <c r="I62" s="300">
        <v>30</v>
      </c>
      <c r="J62" s="323">
        <f>+(((1423500*9.53+1659)/30)*I62)*E62</f>
        <v>13567614</v>
      </c>
      <c r="K62" s="324">
        <v>0.08</v>
      </c>
      <c r="L62" s="325">
        <f t="shared" si="19"/>
        <v>1085409.1200000001</v>
      </c>
      <c r="M62" s="326">
        <f t="shared" si="20"/>
        <v>14653023.120000001</v>
      </c>
      <c r="N62" s="326">
        <f t="shared" si="23"/>
        <v>1465302.3120000002</v>
      </c>
      <c r="O62" s="326">
        <f t="shared" si="21"/>
        <v>278407.43928000005</v>
      </c>
      <c r="P62" s="305">
        <f t="shared" si="22"/>
        <v>14931430.559280001</v>
      </c>
      <c r="Q62" s="306">
        <v>2</v>
      </c>
      <c r="R62" s="307">
        <f>6685697/30*Q62</f>
        <v>445713.13333333336</v>
      </c>
      <c r="S62" s="308">
        <f t="shared" si="5"/>
        <v>14485717.425946668</v>
      </c>
      <c r="T62" s="153"/>
      <c r="U62" s="136"/>
      <c r="V62" s="136"/>
      <c r="W62" s="136"/>
      <c r="X62" s="137"/>
      <c r="Y62" s="137"/>
      <c r="Z62" s="137"/>
      <c r="AA62" s="137"/>
      <c r="AB62" s="137"/>
      <c r="AC62" s="137"/>
    </row>
    <row r="63" spans="1:29" s="309" customFormat="1" x14ac:dyDescent="0.25">
      <c r="A63" s="298"/>
      <c r="B63" s="379"/>
      <c r="C63" s="299" t="s">
        <v>229</v>
      </c>
      <c r="D63" s="335" t="s">
        <v>281</v>
      </c>
      <c r="E63" s="300">
        <v>1</v>
      </c>
      <c r="F63" s="301" t="s">
        <v>15</v>
      </c>
      <c r="G63" s="300">
        <v>1</v>
      </c>
      <c r="H63" s="300">
        <v>30</v>
      </c>
      <c r="I63" s="300">
        <v>30</v>
      </c>
      <c r="J63" s="323">
        <f>+(((1423500*9.53+1659)/30)*I63)*E63</f>
        <v>13567614</v>
      </c>
      <c r="K63" s="324">
        <v>0.08</v>
      </c>
      <c r="L63" s="325">
        <f t="shared" si="19"/>
        <v>1085409.1200000001</v>
      </c>
      <c r="M63" s="326">
        <f t="shared" si="20"/>
        <v>14653023.120000001</v>
      </c>
      <c r="N63" s="326">
        <f t="shared" si="23"/>
        <v>1465302.3120000002</v>
      </c>
      <c r="O63" s="326">
        <f t="shared" si="21"/>
        <v>278407.43928000005</v>
      </c>
      <c r="P63" s="305">
        <f t="shared" si="22"/>
        <v>14931430.559280001</v>
      </c>
      <c r="Q63" s="306">
        <v>2</v>
      </c>
      <c r="R63" s="307">
        <f>6685697/30*Q63</f>
        <v>445713.13333333336</v>
      </c>
      <c r="S63" s="308">
        <f t="shared" si="5"/>
        <v>14485717.425946668</v>
      </c>
      <c r="T63" s="153"/>
      <c r="U63" s="136"/>
      <c r="V63" s="136"/>
      <c r="W63" s="136"/>
      <c r="X63" s="137"/>
      <c r="Y63" s="137"/>
      <c r="Z63" s="137"/>
      <c r="AA63" s="137"/>
      <c r="AB63" s="137"/>
      <c r="AC63" s="137"/>
    </row>
    <row r="64" spans="1:29" s="309" customFormat="1" x14ac:dyDescent="0.25">
      <c r="A64" s="298"/>
      <c r="B64" s="379"/>
      <c r="C64" s="299" t="s">
        <v>229</v>
      </c>
      <c r="D64" s="301" t="s">
        <v>282</v>
      </c>
      <c r="E64" s="300">
        <v>1</v>
      </c>
      <c r="F64" s="301" t="s">
        <v>15</v>
      </c>
      <c r="G64" s="300">
        <v>1</v>
      </c>
      <c r="H64" s="300">
        <v>30</v>
      </c>
      <c r="I64" s="300">
        <v>30</v>
      </c>
      <c r="J64" s="323">
        <f>+(((1423500*9.53+1659)/30)*I64)*E64</f>
        <v>13567614</v>
      </c>
      <c r="K64" s="324">
        <v>0.08</v>
      </c>
      <c r="L64" s="325">
        <f t="shared" si="19"/>
        <v>1085409.1200000001</v>
      </c>
      <c r="M64" s="326">
        <f t="shared" si="20"/>
        <v>14653023.120000001</v>
      </c>
      <c r="N64" s="326">
        <f t="shared" si="23"/>
        <v>1465302.3120000002</v>
      </c>
      <c r="O64" s="326">
        <f t="shared" si="21"/>
        <v>278407.43928000005</v>
      </c>
      <c r="P64" s="305">
        <f t="shared" si="22"/>
        <v>14931430.559280001</v>
      </c>
      <c r="Q64" s="306">
        <v>4</v>
      </c>
      <c r="R64" s="307">
        <f t="shared" ref="R64" si="31">6685697/30*Q64</f>
        <v>891426.26666666672</v>
      </c>
      <c r="S64" s="308">
        <f t="shared" si="5"/>
        <v>14040004.292613333</v>
      </c>
      <c r="T64" s="155"/>
      <c r="U64" s="136"/>
      <c r="V64" s="136"/>
      <c r="W64" s="136"/>
      <c r="X64" s="137"/>
      <c r="Y64" s="137"/>
      <c r="Z64" s="137"/>
      <c r="AA64" s="137"/>
      <c r="AB64" s="137"/>
      <c r="AC64" s="137"/>
    </row>
    <row r="65" spans="1:29" s="137" customFormat="1" ht="15" customHeight="1" x14ac:dyDescent="0.25">
      <c r="A65" s="134"/>
      <c r="B65" s="379"/>
      <c r="C65" s="135" t="s">
        <v>229</v>
      </c>
      <c r="D65" s="218" t="s">
        <v>283</v>
      </c>
      <c r="E65" s="200">
        <v>1</v>
      </c>
      <c r="F65" s="148" t="s">
        <v>15</v>
      </c>
      <c r="G65" s="200">
        <v>1</v>
      </c>
      <c r="H65" s="200">
        <v>30</v>
      </c>
      <c r="I65" s="200">
        <v>30</v>
      </c>
      <c r="J65" s="159">
        <f>+(((1423500*9.53+1659)/30)*I65)*E65</f>
        <v>13567614</v>
      </c>
      <c r="K65" s="160">
        <v>0.08</v>
      </c>
      <c r="L65" s="222">
        <f t="shared" si="19"/>
        <v>1085409.1200000001</v>
      </c>
      <c r="M65" s="161">
        <f t="shared" si="20"/>
        <v>14653023.120000001</v>
      </c>
      <c r="N65" s="161">
        <f t="shared" si="23"/>
        <v>1465302.3120000002</v>
      </c>
      <c r="O65" s="161">
        <f t="shared" si="21"/>
        <v>278407.43928000005</v>
      </c>
      <c r="P65" s="150">
        <f t="shared" si="22"/>
        <v>14931430.559280001</v>
      </c>
      <c r="Q65" s="219"/>
      <c r="R65" s="162"/>
      <c r="S65" s="152">
        <f t="shared" si="5"/>
        <v>14931430.559280001</v>
      </c>
      <c r="T65" s="153"/>
      <c r="U65" s="136"/>
      <c r="V65" s="136"/>
      <c r="W65" s="136"/>
    </row>
    <row r="66" spans="1:29" s="137" customFormat="1" ht="19.5" customHeight="1" x14ac:dyDescent="0.25">
      <c r="A66" s="134"/>
      <c r="B66" s="379"/>
      <c r="C66" s="135" t="s">
        <v>229</v>
      </c>
      <c r="D66" s="218" t="s">
        <v>284</v>
      </c>
      <c r="E66" s="200">
        <v>1</v>
      </c>
      <c r="F66" s="148" t="s">
        <v>16</v>
      </c>
      <c r="G66" s="200">
        <v>1</v>
      </c>
      <c r="H66" s="200">
        <v>30</v>
      </c>
      <c r="I66" s="200">
        <v>30</v>
      </c>
      <c r="J66" s="159">
        <f>+(((((1423500*9.53+1659)*55.97%)/15*12)/30)*I66)*E66</f>
        <v>6075034.8446399998</v>
      </c>
      <c r="K66" s="160">
        <v>0.08</v>
      </c>
      <c r="L66" s="222">
        <f t="shared" si="19"/>
        <v>486002.78757119999</v>
      </c>
      <c r="M66" s="161">
        <f t="shared" si="20"/>
        <v>6561037.6322112</v>
      </c>
      <c r="N66" s="161">
        <f t="shared" si="23"/>
        <v>656103.76322112</v>
      </c>
      <c r="O66" s="161">
        <f t="shared" si="21"/>
        <v>124659.71501201281</v>
      </c>
      <c r="P66" s="150">
        <f t="shared" si="22"/>
        <v>6685697.3472232129</v>
      </c>
      <c r="Q66" s="219"/>
      <c r="R66" s="162"/>
      <c r="S66" s="152">
        <f t="shared" si="5"/>
        <v>6685697.3472232129</v>
      </c>
      <c r="T66" s="153"/>
      <c r="U66" s="136"/>
      <c r="V66" s="136"/>
      <c r="W66" s="136"/>
    </row>
    <row r="67" spans="1:29" s="137" customFormat="1" x14ac:dyDescent="0.25">
      <c r="A67" s="134"/>
      <c r="B67" s="379"/>
      <c r="C67" s="135" t="s">
        <v>229</v>
      </c>
      <c r="D67" s="147" t="s">
        <v>283</v>
      </c>
      <c r="E67" s="200">
        <v>1</v>
      </c>
      <c r="F67" s="147" t="s">
        <v>183</v>
      </c>
      <c r="G67" s="200">
        <v>1</v>
      </c>
      <c r="H67" s="200">
        <v>30</v>
      </c>
      <c r="I67" s="200">
        <v>30</v>
      </c>
      <c r="J67" s="159">
        <f>+(((((1423500*9.53+1659)*55.97%)/15*8)/30)*I67)*E67</f>
        <v>4050023.22976</v>
      </c>
      <c r="K67" s="160">
        <v>0.08</v>
      </c>
      <c r="L67" s="222">
        <f t="shared" si="19"/>
        <v>324001.8583808</v>
      </c>
      <c r="M67" s="161">
        <f t="shared" si="20"/>
        <v>4374025.0881407997</v>
      </c>
      <c r="N67" s="161">
        <f t="shared" si="23"/>
        <v>437402.50881407998</v>
      </c>
      <c r="O67" s="161">
        <f t="shared" si="21"/>
        <v>83106.476674675199</v>
      </c>
      <c r="P67" s="150">
        <f t="shared" si="22"/>
        <v>4457131.5648154747</v>
      </c>
      <c r="Q67" s="219"/>
      <c r="R67" s="162"/>
      <c r="S67" s="152">
        <f t="shared" si="5"/>
        <v>4457131.5648154747</v>
      </c>
      <c r="T67" s="153"/>
      <c r="U67" s="136"/>
      <c r="V67" s="136"/>
      <c r="W67" s="136"/>
    </row>
    <row r="68" spans="1:29" s="137" customFormat="1" x14ac:dyDescent="0.25">
      <c r="A68" s="134"/>
      <c r="B68" s="379"/>
      <c r="C68" s="135" t="s">
        <v>229</v>
      </c>
      <c r="D68" s="148" t="s">
        <v>23</v>
      </c>
      <c r="E68" s="200">
        <v>1</v>
      </c>
      <c r="F68" s="148" t="s">
        <v>15</v>
      </c>
      <c r="G68" s="200">
        <v>1</v>
      </c>
      <c r="H68" s="200">
        <v>30</v>
      </c>
      <c r="I68" s="200">
        <v>30</v>
      </c>
      <c r="J68" s="159">
        <f>+(((1423500*9.53+1659)/30)*I68)*E68</f>
        <v>13567614</v>
      </c>
      <c r="K68" s="160">
        <v>0.08</v>
      </c>
      <c r="L68" s="222">
        <f t="shared" ref="L68" si="32">J68*K68</f>
        <v>1085409.1200000001</v>
      </c>
      <c r="M68" s="161">
        <f t="shared" ref="M68" si="33">J68+L68</f>
        <v>14653023.120000001</v>
      </c>
      <c r="N68" s="161">
        <f>M68*10%</f>
        <v>1465302.3120000002</v>
      </c>
      <c r="O68" s="161">
        <f>+N68*19%</f>
        <v>278407.43928000005</v>
      </c>
      <c r="P68" s="150">
        <f>M68+O68</f>
        <v>14931430.559280001</v>
      </c>
      <c r="Q68" s="219"/>
      <c r="R68" s="162"/>
      <c r="S68" s="152">
        <f t="shared" ref="S68" si="34">P68-R68</f>
        <v>14931430.559280001</v>
      </c>
      <c r="T68" s="153"/>
      <c r="U68" s="136"/>
      <c r="V68" s="136"/>
      <c r="W68" s="136"/>
    </row>
    <row r="69" spans="1:29" s="137" customFormat="1" ht="17.25" customHeight="1" x14ac:dyDescent="0.25">
      <c r="A69" s="134"/>
      <c r="B69" s="379"/>
      <c r="C69" s="135" t="s">
        <v>229</v>
      </c>
      <c r="D69" s="168" t="s">
        <v>239</v>
      </c>
      <c r="E69" s="200">
        <v>1</v>
      </c>
      <c r="F69" s="148" t="s">
        <v>15</v>
      </c>
      <c r="G69" s="200">
        <v>1</v>
      </c>
      <c r="H69" s="200">
        <v>30</v>
      </c>
      <c r="I69" s="200">
        <v>30</v>
      </c>
      <c r="J69" s="159">
        <f>+(((1423500*9.53+1659)/30)*I69)*E69</f>
        <v>13567614</v>
      </c>
      <c r="K69" s="160">
        <v>0.08</v>
      </c>
      <c r="L69" s="222">
        <f t="shared" si="19"/>
        <v>1085409.1200000001</v>
      </c>
      <c r="M69" s="161">
        <f t="shared" si="20"/>
        <v>14653023.120000001</v>
      </c>
      <c r="N69" s="161">
        <f>M69*10%</f>
        <v>1465302.3120000002</v>
      </c>
      <c r="O69" s="161">
        <f>+N69*19%</f>
        <v>278407.43928000005</v>
      </c>
      <c r="P69" s="150">
        <f>M69+O69</f>
        <v>14931430.559280001</v>
      </c>
      <c r="Q69" s="219"/>
      <c r="R69" s="162"/>
      <c r="S69" s="152">
        <f t="shared" si="5"/>
        <v>14931430.559280001</v>
      </c>
      <c r="T69" s="153"/>
      <c r="U69" s="136"/>
      <c r="V69" s="136"/>
      <c r="W69" s="136"/>
    </row>
    <row r="70" spans="1:29" s="137" customFormat="1" ht="15" customHeight="1" x14ac:dyDescent="0.25">
      <c r="A70" s="134"/>
      <c r="B70" s="379"/>
      <c r="C70" s="135" t="s">
        <v>229</v>
      </c>
      <c r="D70" s="168" t="s">
        <v>240</v>
      </c>
      <c r="E70" s="200">
        <v>1</v>
      </c>
      <c r="F70" s="148" t="s">
        <v>15</v>
      </c>
      <c r="G70" s="200">
        <v>1</v>
      </c>
      <c r="H70" s="200">
        <v>30</v>
      </c>
      <c r="I70" s="200">
        <v>30</v>
      </c>
      <c r="J70" s="159">
        <f>+(((1423500*9.53+1659)/30)*I70)*E70</f>
        <v>13567614</v>
      </c>
      <c r="K70" s="160">
        <v>0.08</v>
      </c>
      <c r="L70" s="222">
        <f t="shared" si="19"/>
        <v>1085409.1200000001</v>
      </c>
      <c r="M70" s="161">
        <f t="shared" si="20"/>
        <v>14653023.120000001</v>
      </c>
      <c r="N70" s="161">
        <f>M70*10%</f>
        <v>1465302.3120000002</v>
      </c>
      <c r="O70" s="161">
        <f>+N70*19%</f>
        <v>278407.43928000005</v>
      </c>
      <c r="P70" s="150">
        <f>M70+O70</f>
        <v>14931430.559280001</v>
      </c>
      <c r="Q70" s="219"/>
      <c r="R70" s="162"/>
      <c r="S70" s="152">
        <f t="shared" si="5"/>
        <v>14931430.559280001</v>
      </c>
      <c r="T70" s="153"/>
      <c r="U70" s="136"/>
      <c r="V70" s="136"/>
      <c r="W70" s="136"/>
    </row>
    <row r="71" spans="1:29" s="137" customFormat="1" ht="15" customHeight="1" x14ac:dyDescent="0.25">
      <c r="A71" s="134"/>
      <c r="B71" s="379"/>
      <c r="C71" s="135" t="s">
        <v>229</v>
      </c>
      <c r="D71" s="168" t="s">
        <v>241</v>
      </c>
      <c r="E71" s="200">
        <v>1</v>
      </c>
      <c r="F71" s="148" t="s">
        <v>183</v>
      </c>
      <c r="G71" s="200">
        <v>1</v>
      </c>
      <c r="H71" s="200">
        <v>30</v>
      </c>
      <c r="I71" s="200">
        <v>30</v>
      </c>
      <c r="J71" s="159">
        <f>+(((((1423500*9.53+1659)*55.97%)/15*8)/30)*I71)*E71</f>
        <v>4050023.22976</v>
      </c>
      <c r="K71" s="160">
        <v>0.08</v>
      </c>
      <c r="L71" s="222">
        <f t="shared" si="19"/>
        <v>324001.8583808</v>
      </c>
      <c r="M71" s="161">
        <f t="shared" si="20"/>
        <v>4374025.0881407997</v>
      </c>
      <c r="N71" s="161">
        <f>M71*10%</f>
        <v>437402.50881407998</v>
      </c>
      <c r="O71" s="161">
        <f>+N71*19%</f>
        <v>83106.476674675199</v>
      </c>
      <c r="P71" s="150">
        <f>M71+O71</f>
        <v>4457131.5648154747</v>
      </c>
      <c r="Q71" s="219"/>
      <c r="R71" s="162"/>
      <c r="S71" s="152">
        <f t="shared" si="5"/>
        <v>4457131.5648154747</v>
      </c>
      <c r="T71" s="153"/>
      <c r="U71" s="136"/>
      <c r="V71" s="136"/>
      <c r="W71" s="136"/>
    </row>
    <row r="72" spans="1:29" s="137" customFormat="1" ht="15" customHeight="1" x14ac:dyDescent="0.25">
      <c r="A72" s="134"/>
      <c r="B72" s="379"/>
      <c r="C72" s="135" t="s">
        <v>229</v>
      </c>
      <c r="D72" s="217" t="s">
        <v>242</v>
      </c>
      <c r="E72" s="200">
        <v>1</v>
      </c>
      <c r="F72" s="148" t="s">
        <v>15</v>
      </c>
      <c r="G72" s="200">
        <v>1</v>
      </c>
      <c r="H72" s="200">
        <v>30</v>
      </c>
      <c r="I72" s="200">
        <v>30</v>
      </c>
      <c r="J72" s="159">
        <f>+(((1423500*9.53+1659)/30)*I72)*E72</f>
        <v>13567614</v>
      </c>
      <c r="K72" s="160">
        <v>0.08</v>
      </c>
      <c r="L72" s="222">
        <f t="shared" si="19"/>
        <v>1085409.1200000001</v>
      </c>
      <c r="M72" s="161">
        <f t="shared" si="20"/>
        <v>14653023.120000001</v>
      </c>
      <c r="N72" s="161">
        <f t="shared" ref="N72:N111" si="35">M72*10%</f>
        <v>1465302.3120000002</v>
      </c>
      <c r="O72" s="161">
        <f t="shared" ref="O72:O111" si="36">+N72*19%</f>
        <v>278407.43928000005</v>
      </c>
      <c r="P72" s="150">
        <f>M72+O72</f>
        <v>14931430.559280001</v>
      </c>
      <c r="Q72" s="219"/>
      <c r="R72" s="162"/>
      <c r="S72" s="152">
        <f t="shared" si="5"/>
        <v>14931430.559280001</v>
      </c>
      <c r="T72" s="153"/>
      <c r="U72" s="136"/>
      <c r="V72" s="136"/>
      <c r="W72" s="136"/>
    </row>
    <row r="73" spans="1:29" s="137" customFormat="1" ht="15" customHeight="1" x14ac:dyDescent="0.25">
      <c r="A73" s="134"/>
      <c r="B73" s="378"/>
      <c r="C73" s="135" t="s">
        <v>229</v>
      </c>
      <c r="D73" s="168" t="s">
        <v>243</v>
      </c>
      <c r="E73" s="200">
        <v>1</v>
      </c>
      <c r="F73" s="148" t="s">
        <v>17</v>
      </c>
      <c r="G73" s="200">
        <v>1</v>
      </c>
      <c r="H73" s="200">
        <v>30</v>
      </c>
      <c r="I73" s="200">
        <v>24</v>
      </c>
      <c r="J73" s="154">
        <f>+(((((1423500*9.53+1659)*55.97%)/15*12)/30)*I73)*E73</f>
        <v>4860027.8757119998</v>
      </c>
      <c r="K73" s="149">
        <v>0.08</v>
      </c>
      <c r="L73" s="224">
        <f t="shared" si="19"/>
        <v>388802.23005696002</v>
      </c>
      <c r="M73" s="150">
        <f t="shared" si="20"/>
        <v>5248830.10576896</v>
      </c>
      <c r="N73" s="150">
        <f t="shared" si="35"/>
        <v>524883.01057689602</v>
      </c>
      <c r="O73" s="150">
        <f t="shared" si="36"/>
        <v>99727.772009610242</v>
      </c>
      <c r="P73" s="150">
        <f t="shared" ref="P73:P111" si="37">M73+O73</f>
        <v>5348557.8777785702</v>
      </c>
      <c r="Q73" s="219"/>
      <c r="R73" s="162"/>
      <c r="S73" s="152">
        <f t="shared" si="5"/>
        <v>5348557.8777785702</v>
      </c>
      <c r="T73" s="153"/>
      <c r="U73" s="136"/>
      <c r="V73" s="136"/>
      <c r="W73" s="136"/>
    </row>
    <row r="74" spans="1:29" s="137" customFormat="1" ht="15" customHeight="1" x14ac:dyDescent="0.25">
      <c r="A74" s="134"/>
      <c r="B74" s="379"/>
      <c r="C74" s="135" t="s">
        <v>229</v>
      </c>
      <c r="D74" s="384" t="s">
        <v>244</v>
      </c>
      <c r="E74" s="200">
        <v>1</v>
      </c>
      <c r="F74" s="148" t="s">
        <v>15</v>
      </c>
      <c r="G74" s="200">
        <v>1</v>
      </c>
      <c r="H74" s="200">
        <v>30</v>
      </c>
      <c r="I74" s="200">
        <v>30</v>
      </c>
      <c r="J74" s="159">
        <f>+(((1423500*9.53+1659)/30)*I74)*E74</f>
        <v>13567614</v>
      </c>
      <c r="K74" s="160">
        <v>0.08</v>
      </c>
      <c r="L74" s="222">
        <f t="shared" si="19"/>
        <v>1085409.1200000001</v>
      </c>
      <c r="M74" s="161">
        <f t="shared" si="20"/>
        <v>14653023.120000001</v>
      </c>
      <c r="N74" s="161">
        <f t="shared" si="35"/>
        <v>1465302.3120000002</v>
      </c>
      <c r="O74" s="161">
        <f t="shared" si="36"/>
        <v>278407.43928000005</v>
      </c>
      <c r="P74" s="150">
        <f t="shared" si="37"/>
        <v>14931430.559280001</v>
      </c>
      <c r="Q74" s="219"/>
      <c r="R74" s="162"/>
      <c r="S74" s="152">
        <f t="shared" ref="S74:S137" si="38">P74-R74</f>
        <v>14931430.559280001</v>
      </c>
      <c r="T74" s="153"/>
      <c r="U74" s="136"/>
      <c r="V74" s="136"/>
      <c r="W74" s="136"/>
    </row>
    <row r="75" spans="1:29" s="137" customFormat="1" ht="15" customHeight="1" x14ac:dyDescent="0.25">
      <c r="A75" s="134"/>
      <c r="B75" s="379"/>
      <c r="C75" s="135" t="s">
        <v>229</v>
      </c>
      <c r="D75" s="384"/>
      <c r="E75" s="200">
        <v>1</v>
      </c>
      <c r="F75" s="148" t="s">
        <v>21</v>
      </c>
      <c r="G75" s="200">
        <v>1</v>
      </c>
      <c r="H75" s="200">
        <v>30</v>
      </c>
      <c r="I75" s="200">
        <v>24</v>
      </c>
      <c r="J75" s="159">
        <f>+(((((1423500*9.53+1659)*55.97%)/15*8)/30)*I75)*E75</f>
        <v>3240018.5838080002</v>
      </c>
      <c r="K75" s="160">
        <v>0.08</v>
      </c>
      <c r="L75" s="222">
        <f t="shared" si="19"/>
        <v>259201.48670464003</v>
      </c>
      <c r="M75" s="161">
        <f t="shared" si="20"/>
        <v>3499220.0705126403</v>
      </c>
      <c r="N75" s="161">
        <f t="shared" si="35"/>
        <v>349922.00705126405</v>
      </c>
      <c r="O75" s="161">
        <f t="shared" si="36"/>
        <v>66485.181339740171</v>
      </c>
      <c r="P75" s="150">
        <f t="shared" si="37"/>
        <v>3565705.2518523806</v>
      </c>
      <c r="Q75" s="219"/>
      <c r="R75" s="162"/>
      <c r="S75" s="152">
        <f t="shared" si="38"/>
        <v>3565705.2518523806</v>
      </c>
      <c r="T75" s="153"/>
      <c r="U75" s="136"/>
      <c r="V75" s="136"/>
      <c r="W75" s="136"/>
    </row>
    <row r="76" spans="1:29" s="294" customFormat="1" ht="15" customHeight="1" x14ac:dyDescent="0.25">
      <c r="A76" s="281"/>
      <c r="B76" s="379"/>
      <c r="C76" s="282" t="s">
        <v>229</v>
      </c>
      <c r="D76" s="283" t="s">
        <v>311</v>
      </c>
      <c r="E76" s="284">
        <v>1</v>
      </c>
      <c r="F76" s="285" t="s">
        <v>16</v>
      </c>
      <c r="G76" s="284">
        <v>1</v>
      </c>
      <c r="H76" s="284">
        <v>30</v>
      </c>
      <c r="I76" s="284">
        <v>30</v>
      </c>
      <c r="J76" s="286">
        <f>+(((((1423500*9.53+1659)*55.97%)/15*12)/30)*I76)*E76</f>
        <v>6075034.8446399998</v>
      </c>
      <c r="K76" s="287">
        <v>0.08</v>
      </c>
      <c r="L76" s="288">
        <f>J76*K76</f>
        <v>486002.78757119999</v>
      </c>
      <c r="M76" s="289">
        <f>J76+L76</f>
        <v>6561037.6322112</v>
      </c>
      <c r="N76" s="289">
        <f t="shared" si="35"/>
        <v>656103.76322112</v>
      </c>
      <c r="O76" s="289">
        <f t="shared" si="36"/>
        <v>124659.71501201281</v>
      </c>
      <c r="P76" s="290">
        <f>M76+O76</f>
        <v>6685697.3472232129</v>
      </c>
      <c r="Q76" s="291">
        <v>5</v>
      </c>
      <c r="R76" s="292">
        <f>P76/30*Q76</f>
        <v>1114282.8912038687</v>
      </c>
      <c r="S76" s="293">
        <f t="shared" si="38"/>
        <v>5571414.4560193438</v>
      </c>
      <c r="T76" s="153"/>
      <c r="U76" s="136"/>
      <c r="V76" s="136"/>
      <c r="W76" s="136"/>
      <c r="X76" s="137"/>
      <c r="Y76" s="137"/>
      <c r="Z76" s="137"/>
      <c r="AA76" s="137"/>
      <c r="AB76" s="137"/>
      <c r="AC76" s="137"/>
    </row>
    <row r="77" spans="1:29" s="294" customFormat="1" ht="15" customHeight="1" x14ac:dyDescent="0.25">
      <c r="A77" s="281"/>
      <c r="B77" s="379"/>
      <c r="C77" s="282" t="s">
        <v>229</v>
      </c>
      <c r="D77" s="283" t="s">
        <v>218</v>
      </c>
      <c r="E77" s="284">
        <v>2</v>
      </c>
      <c r="F77" s="285" t="s">
        <v>15</v>
      </c>
      <c r="G77" s="284">
        <v>1</v>
      </c>
      <c r="H77" s="284">
        <v>30</v>
      </c>
      <c r="I77" s="284">
        <v>30</v>
      </c>
      <c r="J77" s="286">
        <f>+(((1423500*9.53+1659)/30)*I77)*E77</f>
        <v>27135228</v>
      </c>
      <c r="K77" s="287">
        <v>0.08</v>
      </c>
      <c r="L77" s="288">
        <f>J77*K77</f>
        <v>2170818.2400000002</v>
      </c>
      <c r="M77" s="289">
        <f>J77+L77</f>
        <v>29306046.240000002</v>
      </c>
      <c r="N77" s="289">
        <f t="shared" si="35"/>
        <v>2930604.6240000003</v>
      </c>
      <c r="O77" s="289">
        <f t="shared" si="36"/>
        <v>556814.8785600001</v>
      </c>
      <c r="P77" s="290">
        <f t="shared" si="37"/>
        <v>29862861.118560001</v>
      </c>
      <c r="Q77" s="291">
        <v>3</v>
      </c>
      <c r="R77" s="292">
        <f>8245733/30*Q77</f>
        <v>824573.3</v>
      </c>
      <c r="S77" s="293">
        <f t="shared" si="38"/>
        <v>29038287.818560001</v>
      </c>
      <c r="T77" s="153"/>
      <c r="U77" s="136"/>
      <c r="V77" s="136"/>
      <c r="W77" s="136"/>
      <c r="X77" s="137"/>
      <c r="Y77" s="137"/>
      <c r="Z77" s="137"/>
      <c r="AA77" s="137"/>
      <c r="AB77" s="137"/>
      <c r="AC77" s="137"/>
    </row>
    <row r="78" spans="1:29" s="294" customFormat="1" ht="28.5" customHeight="1" x14ac:dyDescent="0.25">
      <c r="A78" s="281"/>
      <c r="B78" s="378"/>
      <c r="C78" s="282" t="s">
        <v>229</v>
      </c>
      <c r="D78" s="283" t="s">
        <v>218</v>
      </c>
      <c r="E78" s="284">
        <v>2</v>
      </c>
      <c r="F78" s="285" t="s">
        <v>17</v>
      </c>
      <c r="G78" s="284">
        <v>2</v>
      </c>
      <c r="H78" s="284">
        <v>30</v>
      </c>
      <c r="I78" s="284">
        <v>24</v>
      </c>
      <c r="J78" s="295">
        <f>+(((((1423500*9.53+1659)*55.97%)/15*12)/30)*I78)*E78</f>
        <v>9720055.7514239997</v>
      </c>
      <c r="K78" s="296">
        <v>0.08</v>
      </c>
      <c r="L78" s="297">
        <f t="shared" si="19"/>
        <v>777604.46011392004</v>
      </c>
      <c r="M78" s="290">
        <f t="shared" si="20"/>
        <v>10497660.21153792</v>
      </c>
      <c r="N78" s="290">
        <f t="shared" si="35"/>
        <v>1049766.021153792</v>
      </c>
      <c r="O78" s="290">
        <f t="shared" si="36"/>
        <v>199455.54401922048</v>
      </c>
      <c r="P78" s="290">
        <f t="shared" si="37"/>
        <v>10697115.75555714</v>
      </c>
      <c r="Q78" s="291"/>
      <c r="R78" s="292"/>
      <c r="S78" s="293">
        <f t="shared" si="38"/>
        <v>10697115.75555714</v>
      </c>
      <c r="T78" s="153"/>
      <c r="U78" s="136"/>
      <c r="V78" s="136"/>
      <c r="W78" s="136"/>
      <c r="X78" s="137"/>
      <c r="Y78" s="137"/>
      <c r="Z78" s="137"/>
      <c r="AA78" s="137"/>
      <c r="AB78" s="137"/>
      <c r="AC78" s="137"/>
    </row>
    <row r="79" spans="1:29" s="137" customFormat="1" ht="15" customHeight="1" x14ac:dyDescent="0.25">
      <c r="A79" s="134"/>
      <c r="B79" s="379"/>
      <c r="C79" s="135" t="s">
        <v>229</v>
      </c>
      <c r="D79" s="384" t="s">
        <v>245</v>
      </c>
      <c r="E79" s="200">
        <v>1</v>
      </c>
      <c r="F79" s="148" t="s">
        <v>15</v>
      </c>
      <c r="G79" s="200">
        <v>1</v>
      </c>
      <c r="H79" s="200">
        <v>30</v>
      </c>
      <c r="I79" s="200">
        <v>30</v>
      </c>
      <c r="J79" s="159">
        <f t="shared" ref="J79:J85" si="39">+(((1423500*9.53+1659)/30)*I79)*E79</f>
        <v>13567614</v>
      </c>
      <c r="K79" s="160">
        <v>0.08</v>
      </c>
      <c r="L79" s="222">
        <f t="shared" si="19"/>
        <v>1085409.1200000001</v>
      </c>
      <c r="M79" s="161">
        <f t="shared" si="20"/>
        <v>14653023.120000001</v>
      </c>
      <c r="N79" s="161">
        <f t="shared" si="35"/>
        <v>1465302.3120000002</v>
      </c>
      <c r="O79" s="161">
        <f t="shared" si="36"/>
        <v>278407.43928000005</v>
      </c>
      <c r="P79" s="150">
        <f t="shared" si="37"/>
        <v>14931430.559280001</v>
      </c>
      <c r="Q79" s="219"/>
      <c r="R79" s="162"/>
      <c r="S79" s="152">
        <f t="shared" si="38"/>
        <v>14931430.559280001</v>
      </c>
      <c r="T79" s="153"/>
      <c r="U79" s="136"/>
      <c r="V79" s="136"/>
      <c r="W79" s="136"/>
    </row>
    <row r="80" spans="1:29" s="137" customFormat="1" ht="15" customHeight="1" x14ac:dyDescent="0.25">
      <c r="A80" s="134"/>
      <c r="B80" s="379"/>
      <c r="C80" s="135" t="s">
        <v>229</v>
      </c>
      <c r="D80" s="384"/>
      <c r="E80" s="200">
        <v>1</v>
      </c>
      <c r="F80" s="148" t="s">
        <v>15</v>
      </c>
      <c r="G80" s="200">
        <v>1</v>
      </c>
      <c r="H80" s="200">
        <v>30</v>
      </c>
      <c r="I80" s="200">
        <v>30</v>
      </c>
      <c r="J80" s="159">
        <f t="shared" si="39"/>
        <v>13567614</v>
      </c>
      <c r="K80" s="160">
        <v>0.08</v>
      </c>
      <c r="L80" s="222">
        <f t="shared" ref="L80" si="40">J80*K80</f>
        <v>1085409.1200000001</v>
      </c>
      <c r="M80" s="161">
        <f t="shared" ref="M80" si="41">J80+L80</f>
        <v>14653023.120000001</v>
      </c>
      <c r="N80" s="161">
        <f t="shared" ref="N80" si="42">M80*10%</f>
        <v>1465302.3120000002</v>
      </c>
      <c r="O80" s="161">
        <f t="shared" ref="O80" si="43">+N80*19%</f>
        <v>278407.43928000005</v>
      </c>
      <c r="P80" s="150">
        <f t="shared" ref="P80" si="44">M80+O80</f>
        <v>14931430.559280001</v>
      </c>
      <c r="Q80" s="219"/>
      <c r="R80" s="162"/>
      <c r="S80" s="152">
        <f t="shared" ref="S80" si="45">P80-R80</f>
        <v>14931430.559280001</v>
      </c>
      <c r="T80" s="153"/>
      <c r="U80" s="136"/>
      <c r="V80" s="136"/>
      <c r="W80" s="136"/>
    </row>
    <row r="81" spans="1:29" s="137" customFormat="1" ht="17.25" customHeight="1" x14ac:dyDescent="0.25">
      <c r="A81" s="134"/>
      <c r="B81" s="379"/>
      <c r="C81" s="135" t="s">
        <v>229</v>
      </c>
      <c r="D81" s="168" t="s">
        <v>246</v>
      </c>
      <c r="E81" s="200">
        <v>1</v>
      </c>
      <c r="F81" s="148" t="s">
        <v>15</v>
      </c>
      <c r="G81" s="200">
        <v>1</v>
      </c>
      <c r="H81" s="200">
        <v>30</v>
      </c>
      <c r="I81" s="200">
        <v>30</v>
      </c>
      <c r="J81" s="159">
        <f t="shared" si="39"/>
        <v>13567614</v>
      </c>
      <c r="K81" s="160">
        <v>0.08</v>
      </c>
      <c r="L81" s="222">
        <f t="shared" si="19"/>
        <v>1085409.1200000001</v>
      </c>
      <c r="M81" s="161">
        <f t="shared" si="20"/>
        <v>14653023.120000001</v>
      </c>
      <c r="N81" s="161">
        <f t="shared" si="35"/>
        <v>1465302.3120000002</v>
      </c>
      <c r="O81" s="161">
        <f t="shared" si="36"/>
        <v>278407.43928000005</v>
      </c>
      <c r="P81" s="150">
        <f t="shared" si="37"/>
        <v>14931430.559280001</v>
      </c>
      <c r="Q81" s="219"/>
      <c r="R81" s="162"/>
      <c r="S81" s="152">
        <f t="shared" si="38"/>
        <v>14931430.559280001</v>
      </c>
      <c r="T81" s="153"/>
      <c r="U81" s="136"/>
      <c r="V81" s="136"/>
      <c r="W81" s="136"/>
    </row>
    <row r="82" spans="1:29" s="137" customFormat="1" ht="17.25" customHeight="1" x14ac:dyDescent="0.25">
      <c r="A82" s="134"/>
      <c r="B82" s="379"/>
      <c r="C82" s="135" t="s">
        <v>229</v>
      </c>
      <c r="D82" s="168" t="s">
        <v>247</v>
      </c>
      <c r="E82" s="200">
        <v>1</v>
      </c>
      <c r="F82" s="148" t="s">
        <v>15</v>
      </c>
      <c r="G82" s="200">
        <v>1</v>
      </c>
      <c r="H82" s="200">
        <v>30</v>
      </c>
      <c r="I82" s="200">
        <v>30</v>
      </c>
      <c r="J82" s="159">
        <f t="shared" si="39"/>
        <v>13567614</v>
      </c>
      <c r="K82" s="160">
        <v>0.08</v>
      </c>
      <c r="L82" s="222">
        <f t="shared" si="19"/>
        <v>1085409.1200000001</v>
      </c>
      <c r="M82" s="161">
        <f t="shared" si="20"/>
        <v>14653023.120000001</v>
      </c>
      <c r="N82" s="161">
        <f t="shared" si="35"/>
        <v>1465302.3120000002</v>
      </c>
      <c r="O82" s="161">
        <f t="shared" si="36"/>
        <v>278407.43928000005</v>
      </c>
      <c r="P82" s="150">
        <f t="shared" si="37"/>
        <v>14931430.559280001</v>
      </c>
      <c r="Q82" s="219"/>
      <c r="R82" s="162"/>
      <c r="S82" s="152">
        <f t="shared" si="38"/>
        <v>14931430.559280001</v>
      </c>
      <c r="T82" s="153"/>
      <c r="U82" s="136"/>
      <c r="V82" s="136"/>
      <c r="W82" s="136"/>
    </row>
    <row r="83" spans="1:29" s="137" customFormat="1" ht="17.25" customHeight="1" x14ac:dyDescent="0.25">
      <c r="A83" s="134"/>
      <c r="B83" s="379"/>
      <c r="C83" s="135" t="s">
        <v>229</v>
      </c>
      <c r="D83" s="168" t="s">
        <v>248</v>
      </c>
      <c r="E83" s="200">
        <v>1</v>
      </c>
      <c r="F83" s="148" t="s">
        <v>15</v>
      </c>
      <c r="G83" s="200">
        <v>1</v>
      </c>
      <c r="H83" s="200">
        <v>30</v>
      </c>
      <c r="I83" s="200">
        <v>30</v>
      </c>
      <c r="J83" s="159">
        <f t="shared" si="39"/>
        <v>13567614</v>
      </c>
      <c r="K83" s="160">
        <v>0.08</v>
      </c>
      <c r="L83" s="222">
        <f t="shared" si="19"/>
        <v>1085409.1200000001</v>
      </c>
      <c r="M83" s="161">
        <f t="shared" si="20"/>
        <v>14653023.120000001</v>
      </c>
      <c r="N83" s="161">
        <f t="shared" si="35"/>
        <v>1465302.3120000002</v>
      </c>
      <c r="O83" s="161">
        <f t="shared" si="36"/>
        <v>278407.43928000005</v>
      </c>
      <c r="P83" s="150">
        <f t="shared" si="37"/>
        <v>14931430.559280001</v>
      </c>
      <c r="Q83" s="219"/>
      <c r="R83" s="162"/>
      <c r="S83" s="152">
        <f t="shared" si="38"/>
        <v>14931430.559280001</v>
      </c>
      <c r="T83" s="153"/>
      <c r="U83" s="136"/>
      <c r="V83" s="136"/>
      <c r="W83" s="136"/>
    </row>
    <row r="84" spans="1:29" s="277" customFormat="1" ht="15.75" customHeight="1" x14ac:dyDescent="0.25">
      <c r="A84" s="264"/>
      <c r="B84" s="379"/>
      <c r="C84" s="265" t="s">
        <v>229</v>
      </c>
      <c r="D84" s="266" t="s">
        <v>316</v>
      </c>
      <c r="E84" s="267">
        <v>1</v>
      </c>
      <c r="F84" s="268" t="s">
        <v>15</v>
      </c>
      <c r="G84" s="267">
        <v>1</v>
      </c>
      <c r="H84" s="267">
        <v>30</v>
      </c>
      <c r="I84" s="267">
        <v>30</v>
      </c>
      <c r="J84" s="269">
        <f t="shared" si="39"/>
        <v>13567614</v>
      </c>
      <c r="K84" s="270">
        <v>0.08</v>
      </c>
      <c r="L84" s="271">
        <f t="shared" si="19"/>
        <v>1085409.1200000001</v>
      </c>
      <c r="M84" s="272">
        <f t="shared" si="20"/>
        <v>14653023.120000001</v>
      </c>
      <c r="N84" s="272">
        <f t="shared" si="35"/>
        <v>1465302.3120000002</v>
      </c>
      <c r="O84" s="272">
        <f t="shared" si="36"/>
        <v>278407.43928000005</v>
      </c>
      <c r="P84" s="273">
        <f t="shared" si="37"/>
        <v>14931430.559280001</v>
      </c>
      <c r="Q84" s="274"/>
      <c r="R84" s="275"/>
      <c r="S84" s="276">
        <f t="shared" si="38"/>
        <v>14931430.559280001</v>
      </c>
      <c r="T84" s="153"/>
      <c r="U84" s="136"/>
      <c r="V84" s="136"/>
      <c r="W84" s="136"/>
      <c r="X84" s="137"/>
      <c r="Y84" s="137"/>
      <c r="Z84" s="137"/>
      <c r="AA84" s="137"/>
      <c r="AB84" s="137"/>
      <c r="AC84" s="137"/>
    </row>
    <row r="85" spans="1:29" s="277" customFormat="1" ht="15.75" customHeight="1" x14ac:dyDescent="0.25">
      <c r="A85" s="264"/>
      <c r="B85" s="379"/>
      <c r="C85" s="265" t="s">
        <v>229</v>
      </c>
      <c r="D85" s="266" t="s">
        <v>317</v>
      </c>
      <c r="E85" s="267">
        <v>1</v>
      </c>
      <c r="F85" s="268" t="s">
        <v>15</v>
      </c>
      <c r="G85" s="267">
        <v>1</v>
      </c>
      <c r="H85" s="267">
        <v>30</v>
      </c>
      <c r="I85" s="267">
        <v>30</v>
      </c>
      <c r="J85" s="278">
        <f t="shared" si="39"/>
        <v>13567614</v>
      </c>
      <c r="K85" s="279">
        <v>0.08</v>
      </c>
      <c r="L85" s="280">
        <f t="shared" si="19"/>
        <v>1085409.1200000001</v>
      </c>
      <c r="M85" s="273">
        <f t="shared" si="20"/>
        <v>14653023.120000001</v>
      </c>
      <c r="N85" s="273">
        <f t="shared" si="35"/>
        <v>1465302.3120000002</v>
      </c>
      <c r="O85" s="273">
        <f t="shared" si="36"/>
        <v>278407.43928000005</v>
      </c>
      <c r="P85" s="273">
        <f t="shared" si="37"/>
        <v>14931430.559280001</v>
      </c>
      <c r="Q85" s="274">
        <v>2</v>
      </c>
      <c r="R85" s="275">
        <f>8245733/30*Q85</f>
        <v>549715.53333333333</v>
      </c>
      <c r="S85" s="276">
        <f t="shared" si="38"/>
        <v>14381715.025946667</v>
      </c>
      <c r="T85" s="153"/>
      <c r="U85" s="136"/>
      <c r="V85" s="136"/>
      <c r="W85" s="136"/>
      <c r="X85" s="137"/>
      <c r="Y85" s="137"/>
      <c r="Z85" s="137"/>
      <c r="AA85" s="137"/>
      <c r="AB85" s="137"/>
      <c r="AC85" s="137"/>
    </row>
    <row r="86" spans="1:29" s="277" customFormat="1" ht="17.25" customHeight="1" x14ac:dyDescent="0.25">
      <c r="A86" s="264"/>
      <c r="B86" s="379"/>
      <c r="C86" s="265" t="s">
        <v>229</v>
      </c>
      <c r="D86" s="266" t="s">
        <v>167</v>
      </c>
      <c r="E86" s="267">
        <v>1</v>
      </c>
      <c r="F86" s="268" t="s">
        <v>16</v>
      </c>
      <c r="G86" s="267">
        <v>1</v>
      </c>
      <c r="H86" s="267">
        <v>30</v>
      </c>
      <c r="I86" s="267">
        <v>30</v>
      </c>
      <c r="J86" s="269">
        <f>+(((((1423500*9.53+1659)*55.97%)/15*12)/30)*I86)*E86</f>
        <v>6075034.8446399998</v>
      </c>
      <c r="K86" s="270">
        <v>0.08</v>
      </c>
      <c r="L86" s="271">
        <f t="shared" si="19"/>
        <v>486002.78757119999</v>
      </c>
      <c r="M86" s="272">
        <f t="shared" si="20"/>
        <v>6561037.6322112</v>
      </c>
      <c r="N86" s="272">
        <f t="shared" si="35"/>
        <v>656103.76322112</v>
      </c>
      <c r="O86" s="272">
        <f t="shared" si="36"/>
        <v>124659.71501201281</v>
      </c>
      <c r="P86" s="273">
        <f t="shared" si="37"/>
        <v>6685697.3472232129</v>
      </c>
      <c r="Q86" s="274">
        <v>1</v>
      </c>
      <c r="R86" s="275">
        <f>P86/30*Q86</f>
        <v>222856.57824077376</v>
      </c>
      <c r="S86" s="276">
        <f t="shared" si="38"/>
        <v>6462840.7689824393</v>
      </c>
      <c r="T86" s="153"/>
      <c r="U86" s="136"/>
      <c r="V86" s="136"/>
      <c r="W86" s="136"/>
      <c r="X86" s="137"/>
      <c r="Y86" s="137"/>
      <c r="Z86" s="137"/>
      <c r="AA86" s="137"/>
      <c r="AB86" s="137"/>
      <c r="AC86" s="137"/>
    </row>
    <row r="87" spans="1:29" s="277" customFormat="1" ht="17.25" customHeight="1" x14ac:dyDescent="0.25">
      <c r="A87" s="264"/>
      <c r="B87" s="378"/>
      <c r="C87" s="265" t="s">
        <v>229</v>
      </c>
      <c r="D87" s="268" t="s">
        <v>310</v>
      </c>
      <c r="E87" s="267">
        <v>1</v>
      </c>
      <c r="F87" s="268" t="s">
        <v>17</v>
      </c>
      <c r="G87" s="267">
        <v>1</v>
      </c>
      <c r="H87" s="267">
        <v>30</v>
      </c>
      <c r="I87" s="267">
        <v>24</v>
      </c>
      <c r="J87" s="278">
        <f>+(((((1423500*9.53+1659)*55.97%)/15*12)/30)*I87)*E87</f>
        <v>4860027.8757119998</v>
      </c>
      <c r="K87" s="279">
        <v>0.08</v>
      </c>
      <c r="L87" s="280">
        <f t="shared" si="19"/>
        <v>388802.23005696002</v>
      </c>
      <c r="M87" s="273">
        <f t="shared" si="20"/>
        <v>5248830.10576896</v>
      </c>
      <c r="N87" s="273">
        <f t="shared" si="35"/>
        <v>524883.01057689602</v>
      </c>
      <c r="O87" s="273">
        <f t="shared" si="36"/>
        <v>99727.772009610242</v>
      </c>
      <c r="P87" s="273">
        <f t="shared" si="37"/>
        <v>5348557.8777785702</v>
      </c>
      <c r="Q87" s="274"/>
      <c r="R87" s="275"/>
      <c r="S87" s="276">
        <f t="shared" si="38"/>
        <v>5348557.8777785702</v>
      </c>
      <c r="T87" s="153"/>
      <c r="U87" s="136"/>
      <c r="V87" s="136"/>
      <c r="W87" s="136"/>
      <c r="X87" s="137"/>
      <c r="Y87" s="137"/>
      <c r="Z87" s="137"/>
      <c r="AA87" s="137"/>
      <c r="AB87" s="137"/>
      <c r="AC87" s="137"/>
    </row>
    <row r="88" spans="1:29" s="277" customFormat="1" ht="17.25" customHeight="1" x14ac:dyDescent="0.25">
      <c r="A88" s="264"/>
      <c r="B88" s="378"/>
      <c r="C88" s="265" t="s">
        <v>229</v>
      </c>
      <c r="D88" s="268" t="s">
        <v>321</v>
      </c>
      <c r="E88" s="267">
        <v>1</v>
      </c>
      <c r="F88" s="268" t="s">
        <v>17</v>
      </c>
      <c r="G88" s="267">
        <v>1</v>
      </c>
      <c r="H88" s="267">
        <v>30</v>
      </c>
      <c r="I88" s="267">
        <v>24</v>
      </c>
      <c r="J88" s="278">
        <f>+(((((1423500*9.53+1659)*55.97%)/15*12)/30)*I88)*E88</f>
        <v>4860027.8757119998</v>
      </c>
      <c r="K88" s="279">
        <v>0.08</v>
      </c>
      <c r="L88" s="280">
        <f t="shared" si="19"/>
        <v>388802.23005696002</v>
      </c>
      <c r="M88" s="273">
        <f t="shared" si="20"/>
        <v>5248830.10576896</v>
      </c>
      <c r="N88" s="273">
        <f t="shared" si="35"/>
        <v>524883.01057689602</v>
      </c>
      <c r="O88" s="273">
        <f t="shared" si="36"/>
        <v>99727.772009610242</v>
      </c>
      <c r="P88" s="273">
        <f t="shared" si="37"/>
        <v>5348557.8777785702</v>
      </c>
      <c r="Q88" s="274"/>
      <c r="R88" s="275"/>
      <c r="S88" s="276">
        <f t="shared" si="38"/>
        <v>5348557.8777785702</v>
      </c>
      <c r="T88" s="153"/>
      <c r="U88" s="136"/>
      <c r="V88" s="136"/>
      <c r="W88" s="136"/>
      <c r="X88" s="137"/>
      <c r="Y88" s="137"/>
      <c r="Z88" s="137"/>
      <c r="AA88" s="137"/>
      <c r="AB88" s="137"/>
      <c r="AC88" s="137"/>
    </row>
    <row r="89" spans="1:29" s="350" customFormat="1" ht="26.25" customHeight="1" x14ac:dyDescent="0.25">
      <c r="A89" s="336"/>
      <c r="B89" s="379"/>
      <c r="C89" s="337" t="s">
        <v>229</v>
      </c>
      <c r="D89" s="338" t="s">
        <v>201</v>
      </c>
      <c r="E89" s="339">
        <v>1</v>
      </c>
      <c r="F89" s="340" t="s">
        <v>15</v>
      </c>
      <c r="G89" s="339">
        <v>1</v>
      </c>
      <c r="H89" s="341">
        <v>30</v>
      </c>
      <c r="I89" s="341">
        <v>30</v>
      </c>
      <c r="J89" s="342">
        <f>+(((1423500*9.53+1659)/30)*I89)*E89</f>
        <v>13567614</v>
      </c>
      <c r="K89" s="343">
        <v>0.08</v>
      </c>
      <c r="L89" s="344">
        <f t="shared" si="19"/>
        <v>1085409.1200000001</v>
      </c>
      <c r="M89" s="345">
        <f t="shared" si="20"/>
        <v>14653023.120000001</v>
      </c>
      <c r="N89" s="345">
        <f t="shared" si="35"/>
        <v>1465302.3120000002</v>
      </c>
      <c r="O89" s="345">
        <f t="shared" si="36"/>
        <v>278407.43928000005</v>
      </c>
      <c r="P89" s="346">
        <f t="shared" si="37"/>
        <v>14931430.559280001</v>
      </c>
      <c r="Q89" s="347"/>
      <c r="R89" s="348"/>
      <c r="S89" s="349">
        <f t="shared" si="38"/>
        <v>14931430.559280001</v>
      </c>
      <c r="T89" s="153"/>
      <c r="U89" s="136"/>
      <c r="V89" s="136"/>
      <c r="W89" s="136"/>
      <c r="X89" s="137"/>
      <c r="Y89" s="137"/>
      <c r="Z89" s="137"/>
      <c r="AA89" s="137"/>
      <c r="AB89" s="137"/>
      <c r="AC89" s="137"/>
    </row>
    <row r="90" spans="1:29" s="350" customFormat="1" ht="22.5" customHeight="1" x14ac:dyDescent="0.25">
      <c r="A90" s="336"/>
      <c r="B90" s="379"/>
      <c r="C90" s="337" t="s">
        <v>229</v>
      </c>
      <c r="D90" s="338" t="s">
        <v>202</v>
      </c>
      <c r="E90" s="339">
        <v>1</v>
      </c>
      <c r="F90" s="340" t="s">
        <v>15</v>
      </c>
      <c r="G90" s="339">
        <v>1</v>
      </c>
      <c r="H90" s="341">
        <v>30</v>
      </c>
      <c r="I90" s="341">
        <v>30</v>
      </c>
      <c r="J90" s="342">
        <f>+(((1423500*9.53+1659)/30)*I90)*E90</f>
        <v>13567614</v>
      </c>
      <c r="K90" s="343">
        <v>0.08</v>
      </c>
      <c r="L90" s="344">
        <f t="shared" si="19"/>
        <v>1085409.1200000001</v>
      </c>
      <c r="M90" s="345">
        <f t="shared" si="20"/>
        <v>14653023.120000001</v>
      </c>
      <c r="N90" s="345">
        <f t="shared" si="35"/>
        <v>1465302.3120000002</v>
      </c>
      <c r="O90" s="345">
        <f t="shared" si="36"/>
        <v>278407.43928000005</v>
      </c>
      <c r="P90" s="346">
        <f t="shared" si="37"/>
        <v>14931430.559280001</v>
      </c>
      <c r="Q90" s="347"/>
      <c r="R90" s="348"/>
      <c r="S90" s="349">
        <f t="shared" si="38"/>
        <v>14931430.559280001</v>
      </c>
      <c r="T90" s="153"/>
      <c r="U90" s="136"/>
      <c r="V90" s="136"/>
      <c r="W90" s="136"/>
      <c r="X90" s="137"/>
      <c r="Y90" s="137"/>
      <c r="Z90" s="137"/>
      <c r="AA90" s="137"/>
      <c r="AB90" s="137"/>
      <c r="AC90" s="137"/>
    </row>
    <row r="91" spans="1:29" s="350" customFormat="1" ht="33.75" customHeight="1" x14ac:dyDescent="0.25">
      <c r="A91" s="336"/>
      <c r="B91" s="379"/>
      <c r="C91" s="337" t="s">
        <v>229</v>
      </c>
      <c r="D91" s="338" t="s">
        <v>203</v>
      </c>
      <c r="E91" s="339">
        <v>1</v>
      </c>
      <c r="F91" s="351" t="s">
        <v>16</v>
      </c>
      <c r="G91" s="339">
        <v>1</v>
      </c>
      <c r="H91" s="341">
        <v>30</v>
      </c>
      <c r="I91" s="341">
        <v>30</v>
      </c>
      <c r="J91" s="352">
        <f>+(((((1423500*9.53+1659)*55.97%)/15*12)/30)*I91)*E91</f>
        <v>6075034.8446399998</v>
      </c>
      <c r="K91" s="343">
        <v>0.08</v>
      </c>
      <c r="L91" s="353">
        <f t="shared" ref="L91" si="46">J91*K91</f>
        <v>486002.78757119999</v>
      </c>
      <c r="M91" s="345">
        <f t="shared" ref="M91" si="47">J91+L91</f>
        <v>6561037.6322112</v>
      </c>
      <c r="N91" s="345">
        <f t="shared" ref="N91" si="48">M91*10%</f>
        <v>656103.76322112</v>
      </c>
      <c r="O91" s="345">
        <f t="shared" ref="O91" si="49">+N91*19%</f>
        <v>124659.71501201281</v>
      </c>
      <c r="P91" s="346">
        <f t="shared" ref="P91" si="50">M91+O91</f>
        <v>6685697.3472232129</v>
      </c>
      <c r="Q91" s="347"/>
      <c r="R91" s="348"/>
      <c r="S91" s="349">
        <f t="shared" si="38"/>
        <v>6685697.3472232129</v>
      </c>
      <c r="T91" s="372"/>
      <c r="U91" s="136"/>
      <c r="V91" s="136"/>
      <c r="W91" s="136"/>
      <c r="X91" s="137"/>
      <c r="Y91" s="137"/>
      <c r="Z91" s="137"/>
      <c r="AA91" s="137"/>
      <c r="AB91" s="137"/>
      <c r="AC91" s="137"/>
    </row>
    <row r="92" spans="1:29" s="350" customFormat="1" ht="15" customHeight="1" x14ac:dyDescent="0.25">
      <c r="B92" s="379"/>
      <c r="C92" s="337" t="s">
        <v>229</v>
      </c>
      <c r="D92" s="338" t="s">
        <v>204</v>
      </c>
      <c r="E92" s="339">
        <v>1</v>
      </c>
      <c r="F92" s="340" t="s">
        <v>15</v>
      </c>
      <c r="G92" s="339">
        <v>1</v>
      </c>
      <c r="H92" s="341">
        <v>30</v>
      </c>
      <c r="I92" s="341">
        <v>30</v>
      </c>
      <c r="J92" s="354">
        <f t="shared" ref="J92:J110" si="51">+(((1423500*9.53+1659)/30)*I92)*E92</f>
        <v>13567614</v>
      </c>
      <c r="K92" s="343">
        <v>0.08</v>
      </c>
      <c r="L92" s="355">
        <f t="shared" si="19"/>
        <v>1085409.1200000001</v>
      </c>
      <c r="M92" s="346">
        <f t="shared" si="20"/>
        <v>14653023.120000001</v>
      </c>
      <c r="N92" s="346">
        <f t="shared" si="35"/>
        <v>1465302.3120000002</v>
      </c>
      <c r="O92" s="346">
        <f t="shared" si="36"/>
        <v>278407.43928000005</v>
      </c>
      <c r="P92" s="346">
        <f t="shared" si="37"/>
        <v>14931430.559280001</v>
      </c>
      <c r="Q92" s="347">
        <v>3</v>
      </c>
      <c r="R92" s="348">
        <f>8245733/30*Q92</f>
        <v>824573.3</v>
      </c>
      <c r="S92" s="349">
        <f t="shared" si="38"/>
        <v>14106857.25928</v>
      </c>
      <c r="T92" s="373"/>
      <c r="U92" s="136"/>
      <c r="V92" s="136"/>
      <c r="W92" s="136"/>
      <c r="X92" s="137"/>
      <c r="Y92" s="137"/>
      <c r="Z92" s="137"/>
      <c r="AA92" s="137"/>
      <c r="AB92" s="137"/>
      <c r="AC92" s="137"/>
    </row>
    <row r="93" spans="1:29" s="350" customFormat="1" ht="15" customHeight="1" x14ac:dyDescent="0.25">
      <c r="B93" s="379"/>
      <c r="C93" s="337" t="s">
        <v>229</v>
      </c>
      <c r="D93" s="338" t="s">
        <v>205</v>
      </c>
      <c r="E93" s="339">
        <v>1</v>
      </c>
      <c r="F93" s="340" t="s">
        <v>15</v>
      </c>
      <c r="G93" s="339">
        <v>1</v>
      </c>
      <c r="H93" s="341">
        <v>30</v>
      </c>
      <c r="I93" s="341">
        <v>30</v>
      </c>
      <c r="J93" s="354">
        <f t="shared" si="51"/>
        <v>13567614</v>
      </c>
      <c r="K93" s="343">
        <v>0.08</v>
      </c>
      <c r="L93" s="355">
        <f t="shared" si="19"/>
        <v>1085409.1200000001</v>
      </c>
      <c r="M93" s="346">
        <f t="shared" si="20"/>
        <v>14653023.120000001</v>
      </c>
      <c r="N93" s="346">
        <f t="shared" si="35"/>
        <v>1465302.3120000002</v>
      </c>
      <c r="O93" s="346">
        <f t="shared" si="36"/>
        <v>278407.43928000005</v>
      </c>
      <c r="P93" s="346">
        <f t="shared" si="37"/>
        <v>14931430.559280001</v>
      </c>
      <c r="Q93" s="347">
        <v>3</v>
      </c>
      <c r="R93" s="348">
        <f>8245733/30*Q93</f>
        <v>824573.3</v>
      </c>
      <c r="S93" s="349">
        <f t="shared" si="38"/>
        <v>14106857.25928</v>
      </c>
      <c r="T93" s="153"/>
      <c r="U93" s="136"/>
      <c r="V93" s="136"/>
      <c r="W93" s="136"/>
      <c r="X93" s="137"/>
      <c r="Y93" s="137"/>
      <c r="Z93" s="137"/>
      <c r="AA93" s="137"/>
      <c r="AB93" s="137"/>
      <c r="AC93" s="137"/>
    </row>
    <row r="94" spans="1:29" s="350" customFormat="1" ht="15" customHeight="1" x14ac:dyDescent="0.25">
      <c r="B94" s="379"/>
      <c r="C94" s="337" t="s">
        <v>229</v>
      </c>
      <c r="D94" s="338" t="s">
        <v>206</v>
      </c>
      <c r="E94" s="339">
        <v>1</v>
      </c>
      <c r="F94" s="340" t="s">
        <v>15</v>
      </c>
      <c r="G94" s="339">
        <v>1</v>
      </c>
      <c r="H94" s="341">
        <v>30</v>
      </c>
      <c r="I94" s="341">
        <v>30</v>
      </c>
      <c r="J94" s="354">
        <f t="shared" si="51"/>
        <v>13567614</v>
      </c>
      <c r="K94" s="343">
        <v>0.08</v>
      </c>
      <c r="L94" s="355">
        <f t="shared" ref="L94:L111" si="52">J94*K94</f>
        <v>1085409.1200000001</v>
      </c>
      <c r="M94" s="346">
        <f t="shared" ref="M94:M111" si="53">J94+L94</f>
        <v>14653023.120000001</v>
      </c>
      <c r="N94" s="346">
        <f t="shared" si="35"/>
        <v>1465302.3120000002</v>
      </c>
      <c r="O94" s="346">
        <f t="shared" si="36"/>
        <v>278407.43928000005</v>
      </c>
      <c r="P94" s="346">
        <f t="shared" si="37"/>
        <v>14931430.559280001</v>
      </c>
      <c r="Q94" s="347">
        <v>3</v>
      </c>
      <c r="R94" s="348">
        <f>8245733/30*Q94</f>
        <v>824573.3</v>
      </c>
      <c r="S94" s="349">
        <f t="shared" si="38"/>
        <v>14106857.25928</v>
      </c>
      <c r="T94" s="153"/>
      <c r="U94" s="136"/>
      <c r="V94" s="136"/>
      <c r="W94" s="136"/>
      <c r="X94" s="137"/>
      <c r="Y94" s="137"/>
      <c r="Z94" s="137"/>
      <c r="AA94" s="137"/>
      <c r="AB94" s="137"/>
      <c r="AC94" s="137"/>
    </row>
    <row r="95" spans="1:29" s="350" customFormat="1" ht="15" customHeight="1" x14ac:dyDescent="0.25">
      <c r="B95" s="379"/>
      <c r="C95" s="337" t="s">
        <v>229</v>
      </c>
      <c r="D95" s="338" t="s">
        <v>207</v>
      </c>
      <c r="E95" s="356">
        <v>1</v>
      </c>
      <c r="F95" s="340" t="s">
        <v>15</v>
      </c>
      <c r="G95" s="341">
        <v>1</v>
      </c>
      <c r="H95" s="341">
        <v>30</v>
      </c>
      <c r="I95" s="341">
        <v>30</v>
      </c>
      <c r="J95" s="357">
        <f t="shared" si="51"/>
        <v>13567614</v>
      </c>
      <c r="K95" s="343">
        <v>0.08</v>
      </c>
      <c r="L95" s="358">
        <f t="shared" si="52"/>
        <v>1085409.1200000001</v>
      </c>
      <c r="M95" s="346">
        <f t="shared" si="53"/>
        <v>14653023.120000001</v>
      </c>
      <c r="N95" s="346">
        <f t="shared" si="35"/>
        <v>1465302.3120000002</v>
      </c>
      <c r="O95" s="346">
        <f t="shared" si="36"/>
        <v>278407.43928000005</v>
      </c>
      <c r="P95" s="346">
        <f t="shared" si="37"/>
        <v>14931430.559280001</v>
      </c>
      <c r="Q95" s="347">
        <v>3</v>
      </c>
      <c r="R95" s="348">
        <f t="shared" ref="R95:R98" si="54">8245733/30*Q95</f>
        <v>824573.3</v>
      </c>
      <c r="S95" s="349">
        <f t="shared" si="38"/>
        <v>14106857.25928</v>
      </c>
      <c r="T95" s="153"/>
      <c r="U95" s="136"/>
      <c r="V95" s="136"/>
      <c r="W95" s="136"/>
      <c r="X95" s="137"/>
      <c r="Y95" s="137"/>
      <c r="Z95" s="137"/>
      <c r="AA95" s="137"/>
      <c r="AB95" s="137"/>
      <c r="AC95" s="137"/>
    </row>
    <row r="96" spans="1:29" s="350" customFormat="1" ht="15" customHeight="1" x14ac:dyDescent="0.25">
      <c r="B96" s="379"/>
      <c r="C96" s="337" t="s">
        <v>229</v>
      </c>
      <c r="D96" s="385" t="s">
        <v>208</v>
      </c>
      <c r="E96" s="341">
        <v>1</v>
      </c>
      <c r="F96" s="340" t="s">
        <v>15</v>
      </c>
      <c r="G96" s="341">
        <v>1</v>
      </c>
      <c r="H96" s="341">
        <v>30</v>
      </c>
      <c r="I96" s="341">
        <v>30</v>
      </c>
      <c r="J96" s="357">
        <f t="shared" si="51"/>
        <v>13567614</v>
      </c>
      <c r="K96" s="343">
        <v>0.08</v>
      </c>
      <c r="L96" s="358">
        <f t="shared" si="52"/>
        <v>1085409.1200000001</v>
      </c>
      <c r="M96" s="346">
        <f t="shared" si="53"/>
        <v>14653023.120000001</v>
      </c>
      <c r="N96" s="346">
        <f t="shared" si="35"/>
        <v>1465302.3120000002</v>
      </c>
      <c r="O96" s="346">
        <f t="shared" si="36"/>
        <v>278407.43928000005</v>
      </c>
      <c r="P96" s="346">
        <f t="shared" si="37"/>
        <v>14931430.559280001</v>
      </c>
      <c r="Q96" s="347">
        <v>3</v>
      </c>
      <c r="R96" s="348">
        <f t="shared" si="54"/>
        <v>824573.3</v>
      </c>
      <c r="S96" s="349">
        <f t="shared" si="38"/>
        <v>14106857.25928</v>
      </c>
      <c r="T96" s="153"/>
      <c r="U96" s="136"/>
      <c r="V96" s="136"/>
      <c r="W96" s="136"/>
      <c r="X96" s="137"/>
      <c r="Y96" s="137"/>
      <c r="Z96" s="137"/>
      <c r="AA96" s="137"/>
      <c r="AB96" s="137"/>
      <c r="AC96" s="137"/>
    </row>
    <row r="97" spans="2:29" s="350" customFormat="1" ht="15" customHeight="1" x14ac:dyDescent="0.25">
      <c r="B97" s="379"/>
      <c r="C97" s="337" t="s">
        <v>229</v>
      </c>
      <c r="D97" s="385"/>
      <c r="E97" s="341">
        <v>1</v>
      </c>
      <c r="F97" s="340" t="s">
        <v>15</v>
      </c>
      <c r="G97" s="341">
        <v>1</v>
      </c>
      <c r="H97" s="341">
        <v>30</v>
      </c>
      <c r="I97" s="341">
        <v>30</v>
      </c>
      <c r="J97" s="357">
        <f t="shared" si="51"/>
        <v>13567614</v>
      </c>
      <c r="K97" s="343">
        <v>0.08</v>
      </c>
      <c r="L97" s="358">
        <f t="shared" si="52"/>
        <v>1085409.1200000001</v>
      </c>
      <c r="M97" s="346">
        <f t="shared" si="53"/>
        <v>14653023.120000001</v>
      </c>
      <c r="N97" s="346">
        <f t="shared" si="35"/>
        <v>1465302.3120000002</v>
      </c>
      <c r="O97" s="346">
        <f t="shared" si="36"/>
        <v>278407.43928000005</v>
      </c>
      <c r="P97" s="346">
        <f t="shared" si="37"/>
        <v>14931430.559280001</v>
      </c>
      <c r="Q97" s="347">
        <v>3</v>
      </c>
      <c r="R97" s="348">
        <f t="shared" si="54"/>
        <v>824573.3</v>
      </c>
      <c r="S97" s="349">
        <f t="shared" si="38"/>
        <v>14106857.25928</v>
      </c>
      <c r="T97" s="153"/>
      <c r="U97" s="136"/>
      <c r="V97" s="136"/>
      <c r="W97" s="136"/>
      <c r="X97" s="137"/>
      <c r="Y97" s="137"/>
      <c r="Z97" s="137"/>
      <c r="AA97" s="137"/>
      <c r="AB97" s="137"/>
      <c r="AC97" s="137"/>
    </row>
    <row r="98" spans="2:29" s="350" customFormat="1" ht="15" customHeight="1" x14ac:dyDescent="0.25">
      <c r="B98" s="379"/>
      <c r="C98" s="337" t="s">
        <v>229</v>
      </c>
      <c r="D98" s="338" t="s">
        <v>219</v>
      </c>
      <c r="E98" s="341">
        <v>1</v>
      </c>
      <c r="F98" s="340" t="s">
        <v>15</v>
      </c>
      <c r="G98" s="341">
        <v>1</v>
      </c>
      <c r="H98" s="341">
        <v>30</v>
      </c>
      <c r="I98" s="341">
        <v>30</v>
      </c>
      <c r="J98" s="357">
        <f t="shared" si="51"/>
        <v>13567614</v>
      </c>
      <c r="K98" s="343">
        <v>0.08</v>
      </c>
      <c r="L98" s="358">
        <f t="shared" si="52"/>
        <v>1085409.1200000001</v>
      </c>
      <c r="M98" s="346">
        <f t="shared" si="53"/>
        <v>14653023.120000001</v>
      </c>
      <c r="N98" s="346">
        <f t="shared" si="35"/>
        <v>1465302.3120000002</v>
      </c>
      <c r="O98" s="346">
        <f t="shared" si="36"/>
        <v>278407.43928000005</v>
      </c>
      <c r="P98" s="346">
        <f t="shared" si="37"/>
        <v>14931430.559280001</v>
      </c>
      <c r="Q98" s="347">
        <v>2</v>
      </c>
      <c r="R98" s="348">
        <f t="shared" si="54"/>
        <v>549715.53333333333</v>
      </c>
      <c r="S98" s="349">
        <f t="shared" si="38"/>
        <v>14381715.025946667</v>
      </c>
      <c r="T98" s="153"/>
      <c r="U98" s="136"/>
      <c r="V98" s="136"/>
      <c r="W98" s="136"/>
      <c r="X98" s="137"/>
      <c r="Y98" s="137"/>
      <c r="Z98" s="137"/>
      <c r="AA98" s="137"/>
      <c r="AB98" s="137"/>
      <c r="AC98" s="137"/>
    </row>
    <row r="99" spans="2:29" s="350" customFormat="1" ht="15" customHeight="1" x14ac:dyDescent="0.25">
      <c r="B99" s="379"/>
      <c r="C99" s="337" t="s">
        <v>229</v>
      </c>
      <c r="D99" s="359" t="s">
        <v>209</v>
      </c>
      <c r="E99" s="341">
        <v>1</v>
      </c>
      <c r="F99" s="340" t="s">
        <v>15</v>
      </c>
      <c r="G99" s="341">
        <v>1</v>
      </c>
      <c r="H99" s="341">
        <v>30</v>
      </c>
      <c r="I99" s="341">
        <v>30</v>
      </c>
      <c r="J99" s="357">
        <f t="shared" si="51"/>
        <v>13567614</v>
      </c>
      <c r="K99" s="343">
        <v>0.08</v>
      </c>
      <c r="L99" s="358">
        <f t="shared" si="52"/>
        <v>1085409.1200000001</v>
      </c>
      <c r="M99" s="346">
        <f t="shared" si="53"/>
        <v>14653023.120000001</v>
      </c>
      <c r="N99" s="346">
        <f t="shared" si="35"/>
        <v>1465302.3120000002</v>
      </c>
      <c r="O99" s="346">
        <f t="shared" si="36"/>
        <v>278407.43928000005</v>
      </c>
      <c r="P99" s="346">
        <f t="shared" si="37"/>
        <v>14931430.559280001</v>
      </c>
      <c r="Q99" s="347"/>
      <c r="R99" s="348"/>
      <c r="S99" s="349">
        <f t="shared" si="38"/>
        <v>14931430.559280001</v>
      </c>
      <c r="T99" s="153"/>
      <c r="U99" s="136"/>
      <c r="V99" s="136"/>
      <c r="W99" s="136"/>
      <c r="X99" s="137"/>
      <c r="Y99" s="137"/>
      <c r="Z99" s="137"/>
      <c r="AA99" s="137"/>
      <c r="AB99" s="137"/>
      <c r="AC99" s="137"/>
    </row>
    <row r="100" spans="2:29" s="350" customFormat="1" ht="15" customHeight="1" x14ac:dyDescent="0.25">
      <c r="B100" s="379"/>
      <c r="C100" s="337" t="s">
        <v>229</v>
      </c>
      <c r="D100" s="338" t="s">
        <v>230</v>
      </c>
      <c r="E100" s="341">
        <v>1</v>
      </c>
      <c r="F100" s="340" t="s">
        <v>15</v>
      </c>
      <c r="G100" s="341">
        <v>1</v>
      </c>
      <c r="H100" s="341">
        <v>30</v>
      </c>
      <c r="I100" s="341">
        <v>30</v>
      </c>
      <c r="J100" s="357">
        <f t="shared" si="51"/>
        <v>13567614</v>
      </c>
      <c r="K100" s="343">
        <v>0.08</v>
      </c>
      <c r="L100" s="358">
        <f t="shared" si="52"/>
        <v>1085409.1200000001</v>
      </c>
      <c r="M100" s="346">
        <f t="shared" si="53"/>
        <v>14653023.120000001</v>
      </c>
      <c r="N100" s="346">
        <f t="shared" si="35"/>
        <v>1465302.3120000002</v>
      </c>
      <c r="O100" s="346">
        <f t="shared" si="36"/>
        <v>278407.43928000005</v>
      </c>
      <c r="P100" s="346">
        <f t="shared" si="37"/>
        <v>14931430.559280001</v>
      </c>
      <c r="Q100" s="347">
        <v>2</v>
      </c>
      <c r="R100" s="348">
        <f>6685697/30*Q100</f>
        <v>445713.13333333336</v>
      </c>
      <c r="S100" s="349">
        <f t="shared" si="38"/>
        <v>14485717.425946668</v>
      </c>
      <c r="T100" s="153"/>
      <c r="U100" s="136"/>
      <c r="V100" s="136"/>
      <c r="W100" s="136"/>
      <c r="X100" s="137"/>
      <c r="Y100" s="137"/>
      <c r="Z100" s="137"/>
      <c r="AA100" s="137"/>
      <c r="AB100" s="137"/>
      <c r="AC100" s="137"/>
    </row>
    <row r="101" spans="2:29" s="350" customFormat="1" ht="15" customHeight="1" x14ac:dyDescent="0.25">
      <c r="B101" s="379"/>
      <c r="C101" s="337" t="s">
        <v>229</v>
      </c>
      <c r="D101" s="338" t="s">
        <v>231</v>
      </c>
      <c r="E101" s="341">
        <v>1</v>
      </c>
      <c r="F101" s="340" t="s">
        <v>15</v>
      </c>
      <c r="G101" s="341">
        <v>1</v>
      </c>
      <c r="H101" s="341">
        <v>30</v>
      </c>
      <c r="I101" s="341">
        <v>30</v>
      </c>
      <c r="J101" s="357">
        <f t="shared" si="51"/>
        <v>13567614</v>
      </c>
      <c r="K101" s="343">
        <v>0.08</v>
      </c>
      <c r="L101" s="358">
        <f t="shared" si="52"/>
        <v>1085409.1200000001</v>
      </c>
      <c r="M101" s="346">
        <f t="shared" si="53"/>
        <v>14653023.120000001</v>
      </c>
      <c r="N101" s="346">
        <f t="shared" si="35"/>
        <v>1465302.3120000002</v>
      </c>
      <c r="O101" s="346">
        <f t="shared" si="36"/>
        <v>278407.43928000005</v>
      </c>
      <c r="P101" s="346">
        <f t="shared" si="37"/>
        <v>14931430.559280001</v>
      </c>
      <c r="Q101" s="347">
        <v>2</v>
      </c>
      <c r="R101" s="348">
        <f>6685697/30*Q101</f>
        <v>445713.13333333336</v>
      </c>
      <c r="S101" s="349">
        <f t="shared" si="38"/>
        <v>14485717.425946668</v>
      </c>
      <c r="T101" s="153"/>
      <c r="U101" s="136"/>
      <c r="V101" s="136"/>
      <c r="W101" s="136"/>
      <c r="X101" s="137"/>
      <c r="Y101" s="137"/>
      <c r="Z101" s="137"/>
      <c r="AA101" s="137"/>
      <c r="AB101" s="137"/>
      <c r="AC101" s="137"/>
    </row>
    <row r="102" spans="2:29" s="350" customFormat="1" ht="15" customHeight="1" x14ac:dyDescent="0.25">
      <c r="B102" s="379"/>
      <c r="C102" s="337" t="s">
        <v>229</v>
      </c>
      <c r="D102" s="338" t="s">
        <v>232</v>
      </c>
      <c r="E102" s="341">
        <v>1</v>
      </c>
      <c r="F102" s="340" t="s">
        <v>15</v>
      </c>
      <c r="G102" s="341">
        <v>1</v>
      </c>
      <c r="H102" s="341">
        <v>30</v>
      </c>
      <c r="I102" s="341">
        <v>30</v>
      </c>
      <c r="J102" s="357">
        <f t="shared" si="51"/>
        <v>13567614</v>
      </c>
      <c r="K102" s="343">
        <v>0.08</v>
      </c>
      <c r="L102" s="358">
        <f t="shared" si="52"/>
        <v>1085409.1200000001</v>
      </c>
      <c r="M102" s="346">
        <f t="shared" si="53"/>
        <v>14653023.120000001</v>
      </c>
      <c r="N102" s="346">
        <f t="shared" si="35"/>
        <v>1465302.3120000002</v>
      </c>
      <c r="O102" s="346">
        <f t="shared" si="36"/>
        <v>278407.43928000005</v>
      </c>
      <c r="P102" s="346">
        <f t="shared" si="37"/>
        <v>14931430.559280001</v>
      </c>
      <c r="Q102" s="347">
        <v>2</v>
      </c>
      <c r="R102" s="348">
        <f>6685697/30*Q102</f>
        <v>445713.13333333336</v>
      </c>
      <c r="S102" s="349">
        <f t="shared" si="38"/>
        <v>14485717.425946668</v>
      </c>
      <c r="T102" s="153"/>
      <c r="U102" s="136"/>
      <c r="V102" s="136"/>
      <c r="W102" s="136"/>
      <c r="X102" s="137"/>
      <c r="Y102" s="137"/>
      <c r="Z102" s="137"/>
      <c r="AA102" s="137"/>
      <c r="AB102" s="137"/>
      <c r="AC102" s="137"/>
    </row>
    <row r="103" spans="2:29" s="350" customFormat="1" ht="15" customHeight="1" x14ac:dyDescent="0.25">
      <c r="B103" s="379"/>
      <c r="C103" s="337" t="s">
        <v>229</v>
      </c>
      <c r="D103" s="338" t="s">
        <v>210</v>
      </c>
      <c r="E103" s="341">
        <v>1</v>
      </c>
      <c r="F103" s="340" t="s">
        <v>15</v>
      </c>
      <c r="G103" s="341">
        <v>1</v>
      </c>
      <c r="H103" s="341">
        <v>30</v>
      </c>
      <c r="I103" s="341">
        <v>30</v>
      </c>
      <c r="J103" s="357">
        <f t="shared" si="51"/>
        <v>13567614</v>
      </c>
      <c r="K103" s="343">
        <v>0.08</v>
      </c>
      <c r="L103" s="358">
        <f t="shared" si="52"/>
        <v>1085409.1200000001</v>
      </c>
      <c r="M103" s="346">
        <f t="shared" si="53"/>
        <v>14653023.120000001</v>
      </c>
      <c r="N103" s="346">
        <f t="shared" si="35"/>
        <v>1465302.3120000002</v>
      </c>
      <c r="O103" s="346">
        <f t="shared" si="36"/>
        <v>278407.43928000005</v>
      </c>
      <c r="P103" s="346">
        <f t="shared" si="37"/>
        <v>14931430.559280001</v>
      </c>
      <c r="Q103" s="347">
        <v>2</v>
      </c>
      <c r="R103" s="348">
        <f t="shared" ref="R103:R105" si="55">6685697/30*Q103</f>
        <v>445713.13333333336</v>
      </c>
      <c r="S103" s="349">
        <f t="shared" si="38"/>
        <v>14485717.425946668</v>
      </c>
      <c r="T103" s="153"/>
      <c r="U103" s="136"/>
      <c r="V103" s="136"/>
      <c r="W103" s="136"/>
      <c r="X103" s="137"/>
      <c r="Y103" s="137"/>
      <c r="Z103" s="137"/>
      <c r="AA103" s="137"/>
      <c r="AB103" s="137"/>
      <c r="AC103" s="137"/>
    </row>
    <row r="104" spans="2:29" s="350" customFormat="1" ht="15" customHeight="1" x14ac:dyDescent="0.25">
      <c r="B104" s="379"/>
      <c r="C104" s="337" t="s">
        <v>229</v>
      </c>
      <c r="D104" s="338" t="s">
        <v>211</v>
      </c>
      <c r="E104" s="341">
        <v>1</v>
      </c>
      <c r="F104" s="340" t="s">
        <v>15</v>
      </c>
      <c r="G104" s="341">
        <v>1</v>
      </c>
      <c r="H104" s="341">
        <v>30</v>
      </c>
      <c r="I104" s="341">
        <v>30</v>
      </c>
      <c r="J104" s="357">
        <f t="shared" si="51"/>
        <v>13567614</v>
      </c>
      <c r="K104" s="343">
        <v>0.08</v>
      </c>
      <c r="L104" s="358">
        <f t="shared" si="52"/>
        <v>1085409.1200000001</v>
      </c>
      <c r="M104" s="346">
        <f t="shared" si="53"/>
        <v>14653023.120000001</v>
      </c>
      <c r="N104" s="346">
        <f t="shared" si="35"/>
        <v>1465302.3120000002</v>
      </c>
      <c r="O104" s="346">
        <f t="shared" si="36"/>
        <v>278407.43928000005</v>
      </c>
      <c r="P104" s="346">
        <f t="shared" si="37"/>
        <v>14931430.559280001</v>
      </c>
      <c r="Q104" s="347">
        <v>2</v>
      </c>
      <c r="R104" s="348">
        <f t="shared" si="55"/>
        <v>445713.13333333336</v>
      </c>
      <c r="S104" s="349">
        <f t="shared" si="38"/>
        <v>14485717.425946668</v>
      </c>
      <c r="T104" s="153"/>
      <c r="U104" s="136"/>
      <c r="V104" s="136"/>
      <c r="W104" s="136"/>
      <c r="X104" s="137"/>
      <c r="Y104" s="137"/>
      <c r="Z104" s="137"/>
      <c r="AA104" s="137"/>
      <c r="AB104" s="137"/>
      <c r="AC104" s="137"/>
    </row>
    <row r="105" spans="2:29" s="350" customFormat="1" ht="15" customHeight="1" x14ac:dyDescent="0.25">
      <c r="B105" s="379"/>
      <c r="C105" s="337" t="s">
        <v>229</v>
      </c>
      <c r="D105" s="338" t="s">
        <v>212</v>
      </c>
      <c r="E105" s="341">
        <v>1</v>
      </c>
      <c r="F105" s="340" t="s">
        <v>15</v>
      </c>
      <c r="G105" s="341">
        <v>1</v>
      </c>
      <c r="H105" s="341">
        <v>30</v>
      </c>
      <c r="I105" s="341">
        <v>30</v>
      </c>
      <c r="J105" s="357">
        <f t="shared" si="51"/>
        <v>13567614</v>
      </c>
      <c r="K105" s="343">
        <v>0.08</v>
      </c>
      <c r="L105" s="358">
        <f t="shared" si="52"/>
        <v>1085409.1200000001</v>
      </c>
      <c r="M105" s="346">
        <f t="shared" si="53"/>
        <v>14653023.120000001</v>
      </c>
      <c r="N105" s="346">
        <f t="shared" si="35"/>
        <v>1465302.3120000002</v>
      </c>
      <c r="O105" s="346">
        <f t="shared" si="36"/>
        <v>278407.43928000005</v>
      </c>
      <c r="P105" s="346">
        <f t="shared" si="37"/>
        <v>14931430.559280001</v>
      </c>
      <c r="Q105" s="347">
        <v>2</v>
      </c>
      <c r="R105" s="348">
        <f t="shared" si="55"/>
        <v>445713.13333333336</v>
      </c>
      <c r="S105" s="349">
        <f t="shared" si="38"/>
        <v>14485717.425946668</v>
      </c>
      <c r="T105" s="153"/>
      <c r="U105" s="136"/>
      <c r="V105" s="136"/>
      <c r="W105" s="136"/>
      <c r="X105" s="137"/>
      <c r="Y105" s="137"/>
      <c r="Z105" s="137"/>
      <c r="AA105" s="137"/>
      <c r="AB105" s="137"/>
      <c r="AC105" s="137"/>
    </row>
    <row r="106" spans="2:29" s="350" customFormat="1" ht="15" customHeight="1" x14ac:dyDescent="0.25">
      <c r="B106" s="379"/>
      <c r="C106" s="337" t="s">
        <v>229</v>
      </c>
      <c r="D106" s="338" t="s">
        <v>213</v>
      </c>
      <c r="E106" s="341">
        <v>1</v>
      </c>
      <c r="F106" s="340" t="s">
        <v>15</v>
      </c>
      <c r="G106" s="341">
        <v>1</v>
      </c>
      <c r="H106" s="341">
        <v>30</v>
      </c>
      <c r="I106" s="341">
        <v>30</v>
      </c>
      <c r="J106" s="357">
        <f t="shared" si="51"/>
        <v>13567614</v>
      </c>
      <c r="K106" s="343">
        <v>0.08</v>
      </c>
      <c r="L106" s="358">
        <f t="shared" si="52"/>
        <v>1085409.1200000001</v>
      </c>
      <c r="M106" s="346">
        <f t="shared" si="53"/>
        <v>14653023.120000001</v>
      </c>
      <c r="N106" s="346">
        <f t="shared" si="35"/>
        <v>1465302.3120000002</v>
      </c>
      <c r="O106" s="346">
        <f t="shared" si="36"/>
        <v>278407.43928000005</v>
      </c>
      <c r="P106" s="346">
        <f t="shared" si="37"/>
        <v>14931430.559280001</v>
      </c>
      <c r="Q106" s="347"/>
      <c r="R106" s="348"/>
      <c r="S106" s="349">
        <f t="shared" si="38"/>
        <v>14931430.559280001</v>
      </c>
      <c r="T106" s="153"/>
      <c r="U106" s="136"/>
      <c r="V106" s="136"/>
      <c r="W106" s="136"/>
      <c r="X106" s="137"/>
      <c r="Y106" s="137"/>
      <c r="Z106" s="137"/>
      <c r="AA106" s="137"/>
      <c r="AB106" s="137"/>
      <c r="AC106" s="137"/>
    </row>
    <row r="107" spans="2:29" s="350" customFormat="1" ht="15" customHeight="1" x14ac:dyDescent="0.25">
      <c r="B107" s="379"/>
      <c r="C107" s="337" t="s">
        <v>229</v>
      </c>
      <c r="D107" s="338" t="s">
        <v>214</v>
      </c>
      <c r="E107" s="341">
        <v>1</v>
      </c>
      <c r="F107" s="340" t="s">
        <v>15</v>
      </c>
      <c r="G107" s="341">
        <v>1</v>
      </c>
      <c r="H107" s="341">
        <v>30</v>
      </c>
      <c r="I107" s="341">
        <v>30</v>
      </c>
      <c r="J107" s="357">
        <f t="shared" si="51"/>
        <v>13567614</v>
      </c>
      <c r="K107" s="343">
        <v>0.08</v>
      </c>
      <c r="L107" s="358">
        <f t="shared" ref="L107" si="56">J107*K107</f>
        <v>1085409.1200000001</v>
      </c>
      <c r="M107" s="346">
        <f t="shared" ref="M107" si="57">J107+L107</f>
        <v>14653023.120000001</v>
      </c>
      <c r="N107" s="346">
        <f t="shared" ref="N107" si="58">M107*10%</f>
        <v>1465302.3120000002</v>
      </c>
      <c r="O107" s="346">
        <f t="shared" ref="O107" si="59">+N107*19%</f>
        <v>278407.43928000005</v>
      </c>
      <c r="P107" s="346">
        <f t="shared" ref="P107" si="60">M107+O107</f>
        <v>14931430.559280001</v>
      </c>
      <c r="Q107" s="347"/>
      <c r="R107" s="348"/>
      <c r="S107" s="349">
        <f t="shared" si="38"/>
        <v>14931430.559280001</v>
      </c>
      <c r="T107" s="153"/>
      <c r="U107" s="136"/>
      <c r="V107" s="136"/>
      <c r="W107" s="136"/>
      <c r="X107" s="137"/>
      <c r="Y107" s="137"/>
      <c r="Z107" s="137"/>
      <c r="AA107" s="137"/>
      <c r="AB107" s="137"/>
      <c r="AC107" s="137"/>
    </row>
    <row r="108" spans="2:29" s="350" customFormat="1" ht="15" customHeight="1" x14ac:dyDescent="0.25">
      <c r="B108" s="379"/>
      <c r="C108" s="337" t="s">
        <v>229</v>
      </c>
      <c r="D108" s="338" t="s">
        <v>215</v>
      </c>
      <c r="E108" s="341">
        <v>1</v>
      </c>
      <c r="F108" s="340" t="s">
        <v>15</v>
      </c>
      <c r="G108" s="341">
        <v>1</v>
      </c>
      <c r="H108" s="341">
        <v>30</v>
      </c>
      <c r="I108" s="341">
        <v>30</v>
      </c>
      <c r="J108" s="357">
        <f t="shared" si="51"/>
        <v>13567614</v>
      </c>
      <c r="K108" s="343">
        <v>0.08</v>
      </c>
      <c r="L108" s="358">
        <f t="shared" si="52"/>
        <v>1085409.1200000001</v>
      </c>
      <c r="M108" s="346">
        <f t="shared" si="53"/>
        <v>14653023.120000001</v>
      </c>
      <c r="N108" s="346">
        <f t="shared" si="35"/>
        <v>1465302.3120000002</v>
      </c>
      <c r="O108" s="346">
        <f t="shared" si="36"/>
        <v>278407.43928000005</v>
      </c>
      <c r="P108" s="346">
        <f t="shared" si="37"/>
        <v>14931430.559280001</v>
      </c>
      <c r="Q108" s="347"/>
      <c r="R108" s="348"/>
      <c r="S108" s="349">
        <f t="shared" si="38"/>
        <v>14931430.559280001</v>
      </c>
      <c r="T108" s="153"/>
      <c r="U108" s="136"/>
      <c r="V108" s="136"/>
      <c r="W108" s="136"/>
      <c r="X108" s="137"/>
      <c r="Y108" s="137"/>
      <c r="Z108" s="137"/>
      <c r="AA108" s="137"/>
      <c r="AB108" s="137"/>
      <c r="AC108" s="137"/>
    </row>
    <row r="109" spans="2:29" s="350" customFormat="1" ht="15" customHeight="1" x14ac:dyDescent="0.25">
      <c r="B109" s="379"/>
      <c r="C109" s="337" t="s">
        <v>229</v>
      </c>
      <c r="D109" s="338" t="s">
        <v>216</v>
      </c>
      <c r="E109" s="341">
        <v>1</v>
      </c>
      <c r="F109" s="340" t="s">
        <v>15</v>
      </c>
      <c r="G109" s="341">
        <v>1</v>
      </c>
      <c r="H109" s="341">
        <v>30</v>
      </c>
      <c r="I109" s="341">
        <v>30</v>
      </c>
      <c r="J109" s="357">
        <f t="shared" si="51"/>
        <v>13567614</v>
      </c>
      <c r="K109" s="343">
        <v>0.08</v>
      </c>
      <c r="L109" s="358">
        <f t="shared" si="52"/>
        <v>1085409.1200000001</v>
      </c>
      <c r="M109" s="346">
        <f t="shared" si="53"/>
        <v>14653023.120000001</v>
      </c>
      <c r="N109" s="346">
        <f t="shared" si="35"/>
        <v>1465302.3120000002</v>
      </c>
      <c r="O109" s="346">
        <f t="shared" si="36"/>
        <v>278407.43928000005</v>
      </c>
      <c r="P109" s="346">
        <f t="shared" si="37"/>
        <v>14931430.559280001</v>
      </c>
      <c r="Q109" s="347"/>
      <c r="R109" s="348"/>
      <c r="S109" s="349">
        <f t="shared" si="38"/>
        <v>14931430.559280001</v>
      </c>
      <c r="T109" s="153"/>
      <c r="U109" s="136"/>
      <c r="V109" s="136"/>
      <c r="W109" s="136"/>
      <c r="X109" s="137"/>
      <c r="Y109" s="137"/>
      <c r="Z109" s="137"/>
      <c r="AA109" s="137"/>
      <c r="AB109" s="137"/>
      <c r="AC109" s="137"/>
    </row>
    <row r="110" spans="2:29" s="371" customFormat="1" ht="15" customHeight="1" x14ac:dyDescent="0.25">
      <c r="B110" s="379"/>
      <c r="C110" s="360" t="s">
        <v>229</v>
      </c>
      <c r="D110" s="361" t="s">
        <v>228</v>
      </c>
      <c r="E110" s="362">
        <v>1</v>
      </c>
      <c r="F110" s="363" t="s">
        <v>15</v>
      </c>
      <c r="G110" s="362">
        <v>1</v>
      </c>
      <c r="H110" s="362">
        <v>30</v>
      </c>
      <c r="I110" s="362">
        <v>24</v>
      </c>
      <c r="J110" s="364">
        <f t="shared" si="51"/>
        <v>10854091.199999999</v>
      </c>
      <c r="K110" s="365">
        <v>0.08</v>
      </c>
      <c r="L110" s="366">
        <f t="shared" si="52"/>
        <v>868327.29599999997</v>
      </c>
      <c r="M110" s="367">
        <f t="shared" si="53"/>
        <v>11722418.495999999</v>
      </c>
      <c r="N110" s="367">
        <f t="shared" si="35"/>
        <v>1172241.8496000001</v>
      </c>
      <c r="O110" s="367">
        <f t="shared" si="36"/>
        <v>222725.95142400003</v>
      </c>
      <c r="P110" s="367">
        <f t="shared" si="37"/>
        <v>11945144.447424</v>
      </c>
      <c r="Q110" s="368"/>
      <c r="R110" s="369"/>
      <c r="S110" s="370">
        <f t="shared" si="38"/>
        <v>11945144.447424</v>
      </c>
      <c r="T110" s="172"/>
      <c r="U110" s="142"/>
      <c r="V110" s="142"/>
      <c r="W110" s="142"/>
      <c r="X110" s="140"/>
      <c r="Y110" s="140"/>
      <c r="Z110" s="140"/>
      <c r="AA110" s="140"/>
      <c r="AB110" s="140"/>
      <c r="AC110" s="140"/>
    </row>
    <row r="111" spans="2:29" s="350" customFormat="1" ht="15" customHeight="1" x14ac:dyDescent="0.25">
      <c r="B111" s="379"/>
      <c r="C111" s="337" t="s">
        <v>229</v>
      </c>
      <c r="D111" s="338" t="s">
        <v>217</v>
      </c>
      <c r="E111" s="341">
        <v>1</v>
      </c>
      <c r="F111" s="340" t="s">
        <v>16</v>
      </c>
      <c r="G111" s="341">
        <v>1</v>
      </c>
      <c r="H111" s="341">
        <v>30</v>
      </c>
      <c r="I111" s="341">
        <v>30</v>
      </c>
      <c r="J111" s="357">
        <f>+(((((1423500*9.53+1659)*55.97%)/15*12)/30)*I111)*E111</f>
        <v>6075034.8446399998</v>
      </c>
      <c r="K111" s="343">
        <v>0.08</v>
      </c>
      <c r="L111" s="358">
        <f t="shared" si="52"/>
        <v>486002.78757119999</v>
      </c>
      <c r="M111" s="346">
        <f t="shared" si="53"/>
        <v>6561037.6322112</v>
      </c>
      <c r="N111" s="346">
        <f t="shared" si="35"/>
        <v>656103.76322112</v>
      </c>
      <c r="O111" s="346">
        <f t="shared" si="36"/>
        <v>124659.71501201281</v>
      </c>
      <c r="P111" s="346">
        <f t="shared" si="37"/>
        <v>6685697.3472232129</v>
      </c>
      <c r="Q111" s="347"/>
      <c r="R111" s="348"/>
      <c r="S111" s="349">
        <f t="shared" si="38"/>
        <v>6685697.3472232129</v>
      </c>
      <c r="T111" s="153"/>
      <c r="U111" s="136"/>
      <c r="V111" s="136"/>
      <c r="W111" s="136"/>
      <c r="X111" s="137"/>
      <c r="Y111" s="137"/>
      <c r="Z111" s="137"/>
      <c r="AA111" s="137"/>
      <c r="AB111" s="137"/>
      <c r="AC111" s="137"/>
    </row>
    <row r="112" spans="2:29" x14ac:dyDescent="0.25">
      <c r="B112" s="128"/>
      <c r="C112" s="130"/>
      <c r="D112" s="157"/>
      <c r="E112" s="201">
        <f>+SUM(E29:E111)</f>
        <v>85</v>
      </c>
      <c r="F112" s="157"/>
      <c r="G112" s="207">
        <f>SUM(G29:G111)</f>
        <v>84</v>
      </c>
      <c r="H112" s="207"/>
      <c r="I112" s="201"/>
      <c r="J112" s="158">
        <f>SUM(J29:J111)</f>
        <v>951467391.4131521</v>
      </c>
      <c r="K112" s="158"/>
      <c r="L112" s="225">
        <f>SUM(L29:L111)</f>
        <v>76117391.313052148</v>
      </c>
      <c r="M112" s="158">
        <f>SUM(M29:M111)</f>
        <v>1027584782.7262044</v>
      </c>
      <c r="N112" s="158">
        <f>SUM(N29:N111)</f>
        <v>102758478.27262051</v>
      </c>
      <c r="O112" s="158">
        <f>SUM(O29:O111)</f>
        <v>19524110.871797867</v>
      </c>
      <c r="P112" s="158">
        <f>SUM(P29:P111)</f>
        <v>1047108893.5980027</v>
      </c>
      <c r="Q112" s="207">
        <f t="shared" ref="Q112:S112" si="61">SUM(Q29:Q111)</f>
        <v>96</v>
      </c>
      <c r="R112" s="225">
        <f>SUM(R29:R111)</f>
        <v>23370276.370371431</v>
      </c>
      <c r="S112" s="158">
        <f t="shared" si="61"/>
        <v>1023738617.2276311</v>
      </c>
      <c r="T112" s="374"/>
    </row>
    <row r="113" spans="1:29" s="137" customFormat="1" ht="15" customHeight="1" x14ac:dyDescent="0.25">
      <c r="A113" s="134"/>
      <c r="B113" s="377" t="s">
        <v>82</v>
      </c>
      <c r="C113" s="135" t="s">
        <v>229</v>
      </c>
      <c r="D113" s="168" t="s">
        <v>249</v>
      </c>
      <c r="E113" s="200">
        <v>1</v>
      </c>
      <c r="F113" s="148" t="s">
        <v>17</v>
      </c>
      <c r="G113" s="200">
        <v>1</v>
      </c>
      <c r="H113" s="200">
        <v>30</v>
      </c>
      <c r="I113" s="200">
        <v>24</v>
      </c>
      <c r="J113" s="154">
        <f>+(((((1423500*9.53+1659)*55.97%)/15*12)/30)*I113)*E113</f>
        <v>4860027.8757119998</v>
      </c>
      <c r="K113" s="149">
        <v>0.08</v>
      </c>
      <c r="L113" s="224">
        <f t="shared" ref="L113:L131" si="62">J113*K113</f>
        <v>388802.23005696002</v>
      </c>
      <c r="M113" s="150">
        <f t="shared" ref="M113:M131" si="63">J113+L113</f>
        <v>5248830.10576896</v>
      </c>
      <c r="N113" s="150">
        <f t="shared" ref="N113:N131" si="64">M113*10%</f>
        <v>524883.01057689602</v>
      </c>
      <c r="O113" s="150">
        <f t="shared" ref="O113:O131" si="65">+N113*19%</f>
        <v>99727.772009610242</v>
      </c>
      <c r="P113" s="150">
        <f t="shared" ref="P113:P130" si="66">M113+O113</f>
        <v>5348557.8777785702</v>
      </c>
      <c r="Q113" s="219"/>
      <c r="R113" s="162"/>
      <c r="S113" s="152">
        <f t="shared" si="38"/>
        <v>5348557.8777785702</v>
      </c>
      <c r="T113" s="153"/>
      <c r="U113" s="136"/>
      <c r="V113" s="136"/>
      <c r="W113" s="136"/>
    </row>
    <row r="114" spans="1:29" s="137" customFormat="1" ht="26.25" x14ac:dyDescent="0.25">
      <c r="A114" s="134"/>
      <c r="B114" s="378"/>
      <c r="C114" s="135" t="s">
        <v>229</v>
      </c>
      <c r="D114" s="168" t="s">
        <v>250</v>
      </c>
      <c r="E114" s="200">
        <v>1</v>
      </c>
      <c r="F114" s="148" t="s">
        <v>17</v>
      </c>
      <c r="G114" s="200">
        <v>1</v>
      </c>
      <c r="H114" s="200">
        <v>30</v>
      </c>
      <c r="I114" s="200">
        <v>24</v>
      </c>
      <c r="J114" s="154">
        <f>+(((((1423500*9.53+1659)*55.97%)/15*12)/30)*I114)*E114</f>
        <v>4860027.8757119998</v>
      </c>
      <c r="K114" s="149">
        <v>0.08</v>
      </c>
      <c r="L114" s="224">
        <f t="shared" si="62"/>
        <v>388802.23005696002</v>
      </c>
      <c r="M114" s="150">
        <f t="shared" si="63"/>
        <v>5248830.10576896</v>
      </c>
      <c r="N114" s="150">
        <f t="shared" si="64"/>
        <v>524883.01057689602</v>
      </c>
      <c r="O114" s="150">
        <f t="shared" si="65"/>
        <v>99727.772009610242</v>
      </c>
      <c r="P114" s="150">
        <f t="shared" si="66"/>
        <v>5348557.8777785702</v>
      </c>
      <c r="Q114" s="219"/>
      <c r="R114" s="162"/>
      <c r="S114" s="152">
        <f t="shared" si="38"/>
        <v>5348557.8777785702</v>
      </c>
      <c r="T114" s="153"/>
      <c r="U114" s="136"/>
      <c r="V114" s="136"/>
      <c r="W114" s="136"/>
    </row>
    <row r="115" spans="1:29" s="137" customFormat="1" ht="26.25" x14ac:dyDescent="0.25">
      <c r="A115" s="134"/>
      <c r="B115" s="378"/>
      <c r="C115" s="135" t="s">
        <v>229</v>
      </c>
      <c r="D115" s="168" t="s">
        <v>251</v>
      </c>
      <c r="E115" s="200">
        <v>1</v>
      </c>
      <c r="F115" s="148" t="s">
        <v>17</v>
      </c>
      <c r="G115" s="200">
        <v>1</v>
      </c>
      <c r="H115" s="200">
        <v>30</v>
      </c>
      <c r="I115" s="200">
        <v>24</v>
      </c>
      <c r="J115" s="154">
        <f>+(((((1423500*9.53+1659)*55.97%)/15*12)/30)*I115)*E115</f>
        <v>4860027.8757119998</v>
      </c>
      <c r="K115" s="149">
        <v>0.08</v>
      </c>
      <c r="L115" s="224">
        <f t="shared" si="62"/>
        <v>388802.23005696002</v>
      </c>
      <c r="M115" s="150">
        <f t="shared" si="63"/>
        <v>5248830.10576896</v>
      </c>
      <c r="N115" s="150">
        <f t="shared" si="64"/>
        <v>524883.01057689602</v>
      </c>
      <c r="O115" s="150">
        <f t="shared" si="65"/>
        <v>99727.772009610242</v>
      </c>
      <c r="P115" s="150">
        <f t="shared" si="66"/>
        <v>5348557.8777785702</v>
      </c>
      <c r="Q115" s="219"/>
      <c r="R115" s="162"/>
      <c r="S115" s="152">
        <f t="shared" si="38"/>
        <v>5348557.8777785702</v>
      </c>
      <c r="T115" s="153"/>
      <c r="U115" s="136"/>
      <c r="V115" s="136"/>
      <c r="W115" s="136"/>
    </row>
    <row r="116" spans="1:29" s="137" customFormat="1" ht="26.25" x14ac:dyDescent="0.25">
      <c r="A116" s="134"/>
      <c r="B116" s="378"/>
      <c r="C116" s="135" t="s">
        <v>229</v>
      </c>
      <c r="D116" s="168" t="s">
        <v>252</v>
      </c>
      <c r="E116" s="200">
        <v>1</v>
      </c>
      <c r="F116" s="148" t="s">
        <v>17</v>
      </c>
      <c r="G116" s="200">
        <v>1</v>
      </c>
      <c r="H116" s="200">
        <v>30</v>
      </c>
      <c r="I116" s="200">
        <v>24</v>
      </c>
      <c r="J116" s="154">
        <f>+(((((1423500*9.53+1659)*55.97%)/15*12)/30)*I116)*E116</f>
        <v>4860027.8757119998</v>
      </c>
      <c r="K116" s="149">
        <v>0.08</v>
      </c>
      <c r="L116" s="224">
        <f t="shared" si="62"/>
        <v>388802.23005696002</v>
      </c>
      <c r="M116" s="150">
        <f t="shared" si="63"/>
        <v>5248830.10576896</v>
      </c>
      <c r="N116" s="150">
        <f t="shared" si="64"/>
        <v>524883.01057689602</v>
      </c>
      <c r="O116" s="150">
        <f t="shared" si="65"/>
        <v>99727.772009610242</v>
      </c>
      <c r="P116" s="150">
        <f t="shared" si="66"/>
        <v>5348557.8777785702</v>
      </c>
      <c r="Q116" s="219"/>
      <c r="R116" s="162"/>
      <c r="S116" s="152">
        <f t="shared" si="38"/>
        <v>5348557.8777785702</v>
      </c>
      <c r="T116" s="153"/>
      <c r="U116" s="136"/>
      <c r="V116" s="136"/>
      <c r="W116" s="136"/>
    </row>
    <row r="117" spans="1:29" s="137" customFormat="1" ht="26.25" x14ac:dyDescent="0.25">
      <c r="A117" s="134"/>
      <c r="B117" s="379"/>
      <c r="C117" s="135" t="s">
        <v>229</v>
      </c>
      <c r="D117" s="168" t="s">
        <v>31</v>
      </c>
      <c r="E117" s="200">
        <v>1</v>
      </c>
      <c r="F117" s="148" t="s">
        <v>19</v>
      </c>
      <c r="G117" s="200">
        <v>1</v>
      </c>
      <c r="H117" s="200">
        <v>30</v>
      </c>
      <c r="I117" s="200">
        <v>24</v>
      </c>
      <c r="J117" s="154">
        <f>+(((((1423500*9.53+1659)*55.97%)/15*14)/30)*I117)*E117</f>
        <v>5670032.5216639992</v>
      </c>
      <c r="K117" s="149">
        <v>0.08</v>
      </c>
      <c r="L117" s="224">
        <f t="shared" si="62"/>
        <v>453602.60173311993</v>
      </c>
      <c r="M117" s="150">
        <f t="shared" si="63"/>
        <v>6123635.1233971193</v>
      </c>
      <c r="N117" s="150">
        <f t="shared" si="64"/>
        <v>612363.512339712</v>
      </c>
      <c r="O117" s="150">
        <f t="shared" si="65"/>
        <v>116349.06734454528</v>
      </c>
      <c r="P117" s="150">
        <f t="shared" si="66"/>
        <v>6239984.1907416647</v>
      </c>
      <c r="Q117" s="219"/>
      <c r="R117" s="162"/>
      <c r="S117" s="152">
        <f t="shared" si="38"/>
        <v>6239984.1907416647</v>
      </c>
      <c r="T117" s="153"/>
      <c r="U117" s="136"/>
      <c r="V117" s="136"/>
      <c r="W117" s="136"/>
    </row>
    <row r="118" spans="1:29" s="137" customFormat="1" x14ac:dyDescent="0.25">
      <c r="A118" s="134"/>
      <c r="B118" s="379"/>
      <c r="C118" s="135" t="s">
        <v>229</v>
      </c>
      <c r="D118" s="168" t="s">
        <v>253</v>
      </c>
      <c r="E118" s="200">
        <v>1</v>
      </c>
      <c r="F118" s="148" t="s">
        <v>15</v>
      </c>
      <c r="G118" s="200">
        <v>1</v>
      </c>
      <c r="H118" s="200">
        <v>30</v>
      </c>
      <c r="I118" s="200">
        <v>30</v>
      </c>
      <c r="J118" s="154">
        <f>+(((1423500*9.53+1659)/30)*I118)*E118</f>
        <v>13567614</v>
      </c>
      <c r="K118" s="149">
        <v>0.08</v>
      </c>
      <c r="L118" s="224">
        <f t="shared" si="62"/>
        <v>1085409.1200000001</v>
      </c>
      <c r="M118" s="150">
        <f t="shared" si="63"/>
        <v>14653023.120000001</v>
      </c>
      <c r="N118" s="150">
        <f t="shared" si="64"/>
        <v>1465302.3120000002</v>
      </c>
      <c r="O118" s="150">
        <f t="shared" si="65"/>
        <v>278407.43928000005</v>
      </c>
      <c r="P118" s="150">
        <f t="shared" si="66"/>
        <v>14931430.559280001</v>
      </c>
      <c r="Q118" s="219"/>
      <c r="R118" s="162"/>
      <c r="S118" s="152">
        <f t="shared" si="38"/>
        <v>14931430.559280001</v>
      </c>
      <c r="T118" s="153"/>
      <c r="U118" s="136"/>
      <c r="V118" s="136"/>
      <c r="W118" s="136"/>
    </row>
    <row r="119" spans="1:29" s="137" customFormat="1" ht="26.25" x14ac:dyDescent="0.25">
      <c r="A119" s="134"/>
      <c r="B119" s="379"/>
      <c r="C119" s="135" t="s">
        <v>229</v>
      </c>
      <c r="D119" s="168" t="s">
        <v>254</v>
      </c>
      <c r="E119" s="200">
        <v>1</v>
      </c>
      <c r="F119" s="148" t="s">
        <v>21</v>
      </c>
      <c r="G119" s="200">
        <v>1</v>
      </c>
      <c r="H119" s="200">
        <v>30</v>
      </c>
      <c r="I119" s="200">
        <v>24</v>
      </c>
      <c r="J119" s="154">
        <f>+(((((1423500*9.53+1659)*55.97%)/15*8)/30)*I119)*E119</f>
        <v>3240018.5838080002</v>
      </c>
      <c r="K119" s="149">
        <v>0.08</v>
      </c>
      <c r="L119" s="224">
        <f t="shared" si="62"/>
        <v>259201.48670464003</v>
      </c>
      <c r="M119" s="150">
        <f t="shared" si="63"/>
        <v>3499220.0705126403</v>
      </c>
      <c r="N119" s="150">
        <f t="shared" si="64"/>
        <v>349922.00705126405</v>
      </c>
      <c r="O119" s="150">
        <f t="shared" si="65"/>
        <v>66485.181339740171</v>
      </c>
      <c r="P119" s="150">
        <f t="shared" si="66"/>
        <v>3565705.2518523806</v>
      </c>
      <c r="Q119" s="219"/>
      <c r="R119" s="162"/>
      <c r="S119" s="152">
        <f t="shared" si="38"/>
        <v>3565705.2518523806</v>
      </c>
      <c r="T119" s="153"/>
      <c r="U119" s="136"/>
      <c r="V119" s="136"/>
      <c r="W119" s="136"/>
    </row>
    <row r="120" spans="1:29" s="137" customFormat="1" x14ac:dyDescent="0.25">
      <c r="A120" s="134"/>
      <c r="B120" s="379"/>
      <c r="C120" s="135" t="s">
        <v>229</v>
      </c>
      <c r="D120" s="168" t="s">
        <v>255</v>
      </c>
      <c r="E120" s="200">
        <v>1</v>
      </c>
      <c r="F120" s="148" t="s">
        <v>15</v>
      </c>
      <c r="G120" s="200">
        <v>1</v>
      </c>
      <c r="H120" s="200">
        <v>30</v>
      </c>
      <c r="I120" s="200">
        <v>30</v>
      </c>
      <c r="J120" s="154">
        <f>+(((1423500*9.53+1659)/30)*I120)*E120</f>
        <v>13567614</v>
      </c>
      <c r="K120" s="149">
        <v>0.08</v>
      </c>
      <c r="L120" s="224">
        <f t="shared" si="62"/>
        <v>1085409.1200000001</v>
      </c>
      <c r="M120" s="150">
        <f t="shared" si="63"/>
        <v>14653023.120000001</v>
      </c>
      <c r="N120" s="150">
        <f t="shared" si="64"/>
        <v>1465302.3120000002</v>
      </c>
      <c r="O120" s="150">
        <f t="shared" si="65"/>
        <v>278407.43928000005</v>
      </c>
      <c r="P120" s="150">
        <f t="shared" si="66"/>
        <v>14931430.559280001</v>
      </c>
      <c r="Q120" s="219"/>
      <c r="R120" s="162"/>
      <c r="S120" s="152">
        <f t="shared" si="38"/>
        <v>14931430.559280001</v>
      </c>
      <c r="T120" s="153"/>
      <c r="U120" s="136"/>
      <c r="V120" s="136"/>
      <c r="W120" s="136"/>
    </row>
    <row r="121" spans="1:29" s="137" customFormat="1" ht="26.25" x14ac:dyDescent="0.25">
      <c r="A121" s="134"/>
      <c r="B121" s="378"/>
      <c r="C121" s="135" t="s">
        <v>229</v>
      </c>
      <c r="D121" s="168" t="s">
        <v>256</v>
      </c>
      <c r="E121" s="200">
        <v>1</v>
      </c>
      <c r="F121" s="148" t="s">
        <v>17</v>
      </c>
      <c r="G121" s="200">
        <v>1</v>
      </c>
      <c r="H121" s="200">
        <v>30</v>
      </c>
      <c r="I121" s="200">
        <v>24</v>
      </c>
      <c r="J121" s="154">
        <f>+(((((1423500*9.53+1659)*55.97%)/15*12)/30)*I121)*E121</f>
        <v>4860027.8757119998</v>
      </c>
      <c r="K121" s="149">
        <v>0.08</v>
      </c>
      <c r="L121" s="224">
        <f t="shared" si="62"/>
        <v>388802.23005696002</v>
      </c>
      <c r="M121" s="150">
        <f t="shared" si="63"/>
        <v>5248830.10576896</v>
      </c>
      <c r="N121" s="150">
        <f t="shared" si="64"/>
        <v>524883.01057689602</v>
      </c>
      <c r="O121" s="150">
        <f t="shared" si="65"/>
        <v>99727.772009610242</v>
      </c>
      <c r="P121" s="150">
        <f t="shared" si="66"/>
        <v>5348557.8777785702</v>
      </c>
      <c r="Q121" s="219"/>
      <c r="R121" s="162"/>
      <c r="S121" s="152">
        <f t="shared" si="38"/>
        <v>5348557.8777785702</v>
      </c>
      <c r="T121" s="153"/>
      <c r="U121" s="136"/>
      <c r="V121" s="136"/>
      <c r="W121" s="136"/>
    </row>
    <row r="122" spans="1:29" s="137" customFormat="1" x14ac:dyDescent="0.25">
      <c r="A122" s="134"/>
      <c r="B122" s="379"/>
      <c r="C122" s="135" t="s">
        <v>229</v>
      </c>
      <c r="D122" s="168" t="s">
        <v>257</v>
      </c>
      <c r="E122" s="200">
        <v>1</v>
      </c>
      <c r="F122" s="148" t="s">
        <v>15</v>
      </c>
      <c r="G122" s="200">
        <v>1</v>
      </c>
      <c r="H122" s="200">
        <v>30</v>
      </c>
      <c r="I122" s="200">
        <v>30</v>
      </c>
      <c r="J122" s="154">
        <f>+(((1423500*9.53+1659)/30)*I122)*E122</f>
        <v>13567614</v>
      </c>
      <c r="K122" s="149">
        <v>0.08</v>
      </c>
      <c r="L122" s="224">
        <f t="shared" si="62"/>
        <v>1085409.1200000001</v>
      </c>
      <c r="M122" s="150">
        <f t="shared" si="63"/>
        <v>14653023.120000001</v>
      </c>
      <c r="N122" s="150">
        <f t="shared" si="64"/>
        <v>1465302.3120000002</v>
      </c>
      <c r="O122" s="150">
        <f t="shared" si="65"/>
        <v>278407.43928000005</v>
      </c>
      <c r="P122" s="150">
        <f t="shared" si="66"/>
        <v>14931430.559280001</v>
      </c>
      <c r="Q122" s="219"/>
      <c r="R122" s="162"/>
      <c r="S122" s="152">
        <f t="shared" si="38"/>
        <v>14931430.559280001</v>
      </c>
      <c r="T122" s="153"/>
      <c r="U122" s="136"/>
      <c r="V122" s="136"/>
      <c r="W122" s="136"/>
    </row>
    <row r="123" spans="1:29" s="322" customFormat="1" ht="30" x14ac:dyDescent="0.25">
      <c r="A123" s="310"/>
      <c r="B123" s="379"/>
      <c r="C123" s="311" t="s">
        <v>229</v>
      </c>
      <c r="D123" s="312" t="s">
        <v>285</v>
      </c>
      <c r="E123" s="313">
        <v>1</v>
      </c>
      <c r="F123" s="314" t="s">
        <v>15</v>
      </c>
      <c r="G123" s="313">
        <v>1</v>
      </c>
      <c r="H123" s="313">
        <v>30</v>
      </c>
      <c r="I123" s="313">
        <v>30</v>
      </c>
      <c r="J123" s="315">
        <f>+(((1423500*9.53+1659)/30)*I123)*E123</f>
        <v>13567614</v>
      </c>
      <c r="K123" s="316">
        <v>0.08</v>
      </c>
      <c r="L123" s="317">
        <f t="shared" si="62"/>
        <v>1085409.1200000001</v>
      </c>
      <c r="M123" s="318">
        <f t="shared" si="63"/>
        <v>14653023.120000001</v>
      </c>
      <c r="N123" s="318">
        <f t="shared" si="64"/>
        <v>1465302.3120000002</v>
      </c>
      <c r="O123" s="318">
        <f t="shared" si="65"/>
        <v>278407.43928000005</v>
      </c>
      <c r="P123" s="318">
        <f t="shared" si="66"/>
        <v>14931430.559280001</v>
      </c>
      <c r="Q123" s="319">
        <v>1</v>
      </c>
      <c r="R123" s="320">
        <f>8245733/30*Q123</f>
        <v>274857.76666666666</v>
      </c>
      <c r="S123" s="321">
        <f t="shared" si="38"/>
        <v>14656572.792613333</v>
      </c>
      <c r="T123" s="153"/>
      <c r="U123" s="136"/>
      <c r="V123" s="136"/>
      <c r="W123" s="136"/>
      <c r="X123" s="137"/>
      <c r="Y123" s="137"/>
      <c r="Z123" s="137"/>
      <c r="AA123" s="137"/>
      <c r="AB123" s="137"/>
      <c r="AC123" s="137"/>
    </row>
    <row r="124" spans="1:29" s="137" customFormat="1" x14ac:dyDescent="0.25">
      <c r="A124" s="134"/>
      <c r="B124" s="379"/>
      <c r="C124" s="135" t="s">
        <v>229</v>
      </c>
      <c r="D124" s="168" t="s">
        <v>286</v>
      </c>
      <c r="E124" s="200">
        <v>1</v>
      </c>
      <c r="F124" s="148" t="s">
        <v>15</v>
      </c>
      <c r="G124" s="200">
        <v>1</v>
      </c>
      <c r="H124" s="200">
        <v>30</v>
      </c>
      <c r="I124" s="200">
        <v>30</v>
      </c>
      <c r="J124" s="154">
        <f>+(((1423500*9.53+1659)/30)*I124)*E124</f>
        <v>13567614</v>
      </c>
      <c r="K124" s="149">
        <v>0.08</v>
      </c>
      <c r="L124" s="224">
        <f t="shared" si="62"/>
        <v>1085409.1200000001</v>
      </c>
      <c r="M124" s="150">
        <f t="shared" si="63"/>
        <v>14653023.120000001</v>
      </c>
      <c r="N124" s="150">
        <f t="shared" si="64"/>
        <v>1465302.3120000002</v>
      </c>
      <c r="O124" s="150">
        <f t="shared" si="65"/>
        <v>278407.43928000005</v>
      </c>
      <c r="P124" s="150">
        <f t="shared" si="66"/>
        <v>14931430.559280001</v>
      </c>
      <c r="Q124" s="219"/>
      <c r="R124" s="162"/>
      <c r="S124" s="152">
        <f t="shared" si="38"/>
        <v>14931430.559280001</v>
      </c>
      <c r="T124" s="153"/>
      <c r="U124" s="136"/>
      <c r="V124" s="136"/>
      <c r="W124" s="136"/>
    </row>
    <row r="125" spans="1:29" s="137" customFormat="1" x14ac:dyDescent="0.25">
      <c r="A125" s="134"/>
      <c r="B125" s="379"/>
      <c r="C125" s="135" t="s">
        <v>229</v>
      </c>
      <c r="D125" s="168" t="s">
        <v>287</v>
      </c>
      <c r="E125" s="200">
        <v>1</v>
      </c>
      <c r="F125" s="148" t="s">
        <v>15</v>
      </c>
      <c r="G125" s="200">
        <v>1</v>
      </c>
      <c r="H125" s="200">
        <v>30</v>
      </c>
      <c r="I125" s="200">
        <v>30</v>
      </c>
      <c r="J125" s="154">
        <f>+(((1423500*9.53+1659)/30)*I125)*E125</f>
        <v>13567614</v>
      </c>
      <c r="K125" s="149">
        <v>0.08</v>
      </c>
      <c r="L125" s="224">
        <f t="shared" si="62"/>
        <v>1085409.1200000001</v>
      </c>
      <c r="M125" s="150">
        <f t="shared" si="63"/>
        <v>14653023.120000001</v>
      </c>
      <c r="N125" s="150">
        <f t="shared" si="64"/>
        <v>1465302.3120000002</v>
      </c>
      <c r="O125" s="150">
        <f t="shared" si="65"/>
        <v>278407.43928000005</v>
      </c>
      <c r="P125" s="150">
        <f t="shared" si="66"/>
        <v>14931430.559280001</v>
      </c>
      <c r="Q125" s="219"/>
      <c r="R125" s="162"/>
      <c r="S125" s="152">
        <f t="shared" si="38"/>
        <v>14931430.559280001</v>
      </c>
      <c r="T125" s="153"/>
      <c r="U125" s="136"/>
      <c r="V125" s="136"/>
      <c r="W125" s="136"/>
    </row>
    <row r="126" spans="1:29" s="137" customFormat="1" x14ac:dyDescent="0.25">
      <c r="A126" s="134"/>
      <c r="B126" s="379"/>
      <c r="C126" s="135" t="s">
        <v>229</v>
      </c>
      <c r="D126" s="168" t="s">
        <v>288</v>
      </c>
      <c r="E126" s="200">
        <v>1</v>
      </c>
      <c r="F126" s="148" t="s">
        <v>15</v>
      </c>
      <c r="G126" s="200">
        <v>1</v>
      </c>
      <c r="H126" s="200">
        <v>30</v>
      </c>
      <c r="I126" s="200">
        <v>30</v>
      </c>
      <c r="J126" s="154">
        <f>+(((1423500*9.53+1659)/30)*I126)*E126</f>
        <v>13567614</v>
      </c>
      <c r="K126" s="149">
        <v>0.08</v>
      </c>
      <c r="L126" s="224">
        <f t="shared" si="62"/>
        <v>1085409.1200000001</v>
      </c>
      <c r="M126" s="150">
        <f t="shared" si="63"/>
        <v>14653023.120000001</v>
      </c>
      <c r="N126" s="150">
        <f t="shared" si="64"/>
        <v>1465302.3120000002</v>
      </c>
      <c r="O126" s="150">
        <f t="shared" si="65"/>
        <v>278407.43928000005</v>
      </c>
      <c r="P126" s="150">
        <f t="shared" si="66"/>
        <v>14931430.559280001</v>
      </c>
      <c r="Q126" s="219"/>
      <c r="R126" s="162"/>
      <c r="S126" s="152">
        <f t="shared" si="38"/>
        <v>14931430.559280001</v>
      </c>
      <c r="T126" s="153"/>
      <c r="U126" s="136"/>
      <c r="V126" s="136"/>
      <c r="W126" s="136"/>
    </row>
    <row r="127" spans="1:29" s="137" customFormat="1" x14ac:dyDescent="0.25">
      <c r="A127" s="134"/>
      <c r="B127" s="379"/>
      <c r="C127" s="135" t="s">
        <v>229</v>
      </c>
      <c r="D127" s="168" t="s">
        <v>289</v>
      </c>
      <c r="E127" s="200">
        <v>1</v>
      </c>
      <c r="F127" s="148" t="s">
        <v>16</v>
      </c>
      <c r="G127" s="200">
        <v>1</v>
      </c>
      <c r="H127" s="200">
        <v>30</v>
      </c>
      <c r="I127" s="200">
        <v>30</v>
      </c>
      <c r="J127" s="154">
        <f>+(((((1423500*9.53+1659)*55.97%)/15*12)/30)*I127)*E127</f>
        <v>6075034.8446399998</v>
      </c>
      <c r="K127" s="149">
        <v>0.08</v>
      </c>
      <c r="L127" s="224">
        <f t="shared" si="62"/>
        <v>486002.78757119999</v>
      </c>
      <c r="M127" s="150">
        <f t="shared" si="63"/>
        <v>6561037.6322112</v>
      </c>
      <c r="N127" s="150">
        <f t="shared" si="64"/>
        <v>656103.76322112</v>
      </c>
      <c r="O127" s="150">
        <f t="shared" si="65"/>
        <v>124659.71501201281</v>
      </c>
      <c r="P127" s="150">
        <f t="shared" si="66"/>
        <v>6685697.3472232129</v>
      </c>
      <c r="Q127" s="219"/>
      <c r="R127" s="162"/>
      <c r="S127" s="152">
        <f t="shared" si="38"/>
        <v>6685697.3472232129</v>
      </c>
      <c r="T127" s="153"/>
      <c r="U127" s="136"/>
      <c r="V127" s="136"/>
      <c r="W127" s="136"/>
    </row>
    <row r="128" spans="1:29" s="137" customFormat="1" x14ac:dyDescent="0.25">
      <c r="A128" s="134"/>
      <c r="B128" s="379"/>
      <c r="C128" s="135" t="s">
        <v>229</v>
      </c>
      <c r="D128" s="168" t="s">
        <v>290</v>
      </c>
      <c r="E128" s="200">
        <v>1</v>
      </c>
      <c r="F128" s="148" t="s">
        <v>16</v>
      </c>
      <c r="G128" s="200">
        <v>1</v>
      </c>
      <c r="H128" s="200">
        <v>30</v>
      </c>
      <c r="I128" s="200">
        <v>30</v>
      </c>
      <c r="J128" s="154">
        <f>+(((((1423500*9.53+1659)*55.97%)/15*12)/30)*I128)*E128</f>
        <v>6075034.8446399998</v>
      </c>
      <c r="K128" s="149">
        <v>0.08</v>
      </c>
      <c r="L128" s="224">
        <f t="shared" si="62"/>
        <v>486002.78757119999</v>
      </c>
      <c r="M128" s="150">
        <f t="shared" si="63"/>
        <v>6561037.6322112</v>
      </c>
      <c r="N128" s="150">
        <f t="shared" si="64"/>
        <v>656103.76322112</v>
      </c>
      <c r="O128" s="150">
        <f t="shared" si="65"/>
        <v>124659.71501201281</v>
      </c>
      <c r="P128" s="150">
        <f t="shared" si="66"/>
        <v>6685697.3472232129</v>
      </c>
      <c r="Q128" s="219"/>
      <c r="R128" s="162"/>
      <c r="S128" s="152">
        <f t="shared" si="38"/>
        <v>6685697.3472232129</v>
      </c>
      <c r="T128" s="153"/>
      <c r="U128" s="136"/>
      <c r="V128" s="136"/>
      <c r="W128" s="136"/>
    </row>
    <row r="129" spans="1:23" s="137" customFormat="1" x14ac:dyDescent="0.25">
      <c r="A129" s="134"/>
      <c r="B129" s="379"/>
      <c r="C129" s="135" t="s">
        <v>229</v>
      </c>
      <c r="D129" s="168" t="s">
        <v>291</v>
      </c>
      <c r="E129" s="200">
        <v>1</v>
      </c>
      <c r="F129" s="148" t="s">
        <v>16</v>
      </c>
      <c r="G129" s="200">
        <v>1</v>
      </c>
      <c r="H129" s="200">
        <v>30</v>
      </c>
      <c r="I129" s="200">
        <v>30</v>
      </c>
      <c r="J129" s="154">
        <f>+(((((1423500*9.53+1659)*55.97%)/15*12)/30)*I129)*E129</f>
        <v>6075034.8446399998</v>
      </c>
      <c r="K129" s="149">
        <v>0.08</v>
      </c>
      <c r="L129" s="224">
        <f t="shared" si="62"/>
        <v>486002.78757119999</v>
      </c>
      <c r="M129" s="150">
        <f t="shared" si="63"/>
        <v>6561037.6322112</v>
      </c>
      <c r="N129" s="150">
        <f t="shared" si="64"/>
        <v>656103.76322112</v>
      </c>
      <c r="O129" s="150">
        <f t="shared" si="65"/>
        <v>124659.71501201281</v>
      </c>
      <c r="P129" s="150">
        <f t="shared" si="66"/>
        <v>6685697.3472232129</v>
      </c>
      <c r="Q129" s="219"/>
      <c r="R129" s="162"/>
      <c r="S129" s="152">
        <f t="shared" si="38"/>
        <v>6685697.3472232129</v>
      </c>
      <c r="T129" s="153"/>
      <c r="U129" s="136"/>
      <c r="V129" s="136"/>
      <c r="W129" s="136"/>
    </row>
    <row r="130" spans="1:23" s="137" customFormat="1" ht="14.25" customHeight="1" x14ac:dyDescent="0.25">
      <c r="A130" s="134"/>
      <c r="B130" s="379"/>
      <c r="C130" s="135" t="s">
        <v>229</v>
      </c>
      <c r="D130" s="164" t="s">
        <v>46</v>
      </c>
      <c r="E130" s="200">
        <v>1</v>
      </c>
      <c r="F130" s="148" t="s">
        <v>19</v>
      </c>
      <c r="G130" s="200">
        <v>1</v>
      </c>
      <c r="H130" s="200">
        <v>30</v>
      </c>
      <c r="I130" s="200">
        <v>24</v>
      </c>
      <c r="J130" s="154">
        <f>+(((((1423500*9.53+1659)*55.97%)/15*14)/30)*I130)*E130</f>
        <v>5670032.5216639992</v>
      </c>
      <c r="K130" s="149">
        <v>0.08</v>
      </c>
      <c r="L130" s="224">
        <f t="shared" si="62"/>
        <v>453602.60173311993</v>
      </c>
      <c r="M130" s="150">
        <f t="shared" si="63"/>
        <v>6123635.1233971193</v>
      </c>
      <c r="N130" s="150">
        <f t="shared" si="64"/>
        <v>612363.512339712</v>
      </c>
      <c r="O130" s="150">
        <f t="shared" si="65"/>
        <v>116349.06734454528</v>
      </c>
      <c r="P130" s="150">
        <f t="shared" si="66"/>
        <v>6239984.1907416647</v>
      </c>
      <c r="Q130" s="219"/>
      <c r="R130" s="162"/>
      <c r="S130" s="152">
        <f t="shared" si="38"/>
        <v>6239984.1907416647</v>
      </c>
      <c r="T130" s="153"/>
      <c r="U130" s="136"/>
      <c r="V130" s="136"/>
      <c r="W130" s="136"/>
    </row>
    <row r="131" spans="1:23" s="137" customFormat="1" ht="27.75" customHeight="1" x14ac:dyDescent="0.25">
      <c r="A131" s="134"/>
      <c r="B131" s="379"/>
      <c r="C131" s="135" t="s">
        <v>229</v>
      </c>
      <c r="D131" s="164" t="s">
        <v>200</v>
      </c>
      <c r="E131" s="202">
        <v>1</v>
      </c>
      <c r="F131" s="146" t="s">
        <v>198</v>
      </c>
      <c r="G131" s="208">
        <v>1</v>
      </c>
      <c r="H131" s="202">
        <v>30</v>
      </c>
      <c r="I131" s="202">
        <v>20</v>
      </c>
      <c r="J131" s="154">
        <f>+(((((1423500*9.53+1659)*55.97%)/15*14)/30)*I131)*E131</f>
        <v>4725027.1013866663</v>
      </c>
      <c r="K131" s="149">
        <v>0.08</v>
      </c>
      <c r="L131" s="224">
        <f t="shared" si="62"/>
        <v>378002.16811093333</v>
      </c>
      <c r="M131" s="150">
        <f t="shared" si="63"/>
        <v>5103029.2694975995</v>
      </c>
      <c r="N131" s="150">
        <f t="shared" si="64"/>
        <v>510302.92694975995</v>
      </c>
      <c r="O131" s="150">
        <f t="shared" si="65"/>
        <v>96957.556120454392</v>
      </c>
      <c r="P131" s="150">
        <f>M131+O131</f>
        <v>5199986.8256180538</v>
      </c>
      <c r="Q131" s="219"/>
      <c r="R131" s="162"/>
      <c r="S131" s="152">
        <f t="shared" si="38"/>
        <v>5199986.8256180538</v>
      </c>
      <c r="T131" s="153"/>
      <c r="U131" s="136"/>
      <c r="V131" s="136"/>
      <c r="W131" s="136"/>
    </row>
    <row r="132" spans="1:23" x14ac:dyDescent="0.25">
      <c r="B132" s="129"/>
      <c r="C132" s="130"/>
      <c r="D132" s="157"/>
      <c r="E132" s="201">
        <f>+SUM(E113:E131)</f>
        <v>19</v>
      </c>
      <c r="F132" s="157"/>
      <c r="G132" s="207">
        <f>SUM(G113:G131)</f>
        <v>19</v>
      </c>
      <c r="H132" s="207"/>
      <c r="I132" s="201"/>
      <c r="J132" s="158">
        <f>SUM(J113:J131)</f>
        <v>156803652.64100263</v>
      </c>
      <c r="K132" s="157"/>
      <c r="L132" s="225">
        <f>SUM(L113:L131)</f>
        <v>12544292.211280214</v>
      </c>
      <c r="M132" s="158">
        <f>SUM(M113:M131)</f>
        <v>169347944.85228291</v>
      </c>
      <c r="N132" s="158">
        <f>SUM(N113:N131)</f>
        <v>16934794.485228293</v>
      </c>
      <c r="O132" s="158">
        <f>SUM(O113:O131)</f>
        <v>3217610.9521933757</v>
      </c>
      <c r="P132" s="158">
        <f>SUM(P113:P131)</f>
        <v>172565555.80447632</v>
      </c>
      <c r="Q132" s="207">
        <f t="shared" ref="Q132:S132" si="67">SUM(Q113:Q131)</f>
        <v>1</v>
      </c>
      <c r="R132" s="225">
        <f t="shared" si="67"/>
        <v>274857.76666666666</v>
      </c>
      <c r="S132" s="158">
        <f t="shared" si="67"/>
        <v>172290698.03780964</v>
      </c>
    </row>
    <row r="133" spans="1:23" s="137" customFormat="1" ht="15" customHeight="1" x14ac:dyDescent="0.25">
      <c r="A133" s="134"/>
      <c r="B133" s="380" t="s">
        <v>83</v>
      </c>
      <c r="C133" s="135" t="s">
        <v>229</v>
      </c>
      <c r="D133" s="168" t="s">
        <v>258</v>
      </c>
      <c r="E133" s="200">
        <v>1</v>
      </c>
      <c r="F133" s="148" t="s">
        <v>15</v>
      </c>
      <c r="G133" s="200">
        <v>1</v>
      </c>
      <c r="H133" s="200">
        <v>30</v>
      </c>
      <c r="I133" s="200">
        <v>30</v>
      </c>
      <c r="J133" s="154">
        <f>+(((1423500*9.53+1659)/30)*I133)*E133</f>
        <v>13567614</v>
      </c>
      <c r="K133" s="149">
        <v>0.08</v>
      </c>
      <c r="L133" s="224">
        <f t="shared" ref="L133:L146" si="68">J133*K133</f>
        <v>1085409.1200000001</v>
      </c>
      <c r="M133" s="150">
        <f t="shared" ref="M133:M146" si="69">J133+L133</f>
        <v>14653023.120000001</v>
      </c>
      <c r="N133" s="150">
        <f t="shared" ref="N133:N142" si="70">M133*10%</f>
        <v>1465302.3120000002</v>
      </c>
      <c r="O133" s="150">
        <f t="shared" ref="O133:O142" si="71">+N133*19%</f>
        <v>278407.43928000005</v>
      </c>
      <c r="P133" s="150">
        <f t="shared" ref="P133:P142" si="72">M133+O133</f>
        <v>14931430.559280001</v>
      </c>
      <c r="Q133" s="219"/>
      <c r="R133" s="162"/>
      <c r="S133" s="152">
        <f t="shared" si="38"/>
        <v>14931430.559280001</v>
      </c>
      <c r="T133" s="153"/>
      <c r="U133" s="136"/>
      <c r="V133" s="136"/>
      <c r="W133" s="136"/>
    </row>
    <row r="134" spans="1:23" s="137" customFormat="1" x14ac:dyDescent="0.25">
      <c r="A134" s="134"/>
      <c r="B134" s="380"/>
      <c r="C134" s="135" t="s">
        <v>229</v>
      </c>
      <c r="D134" s="168" t="s">
        <v>259</v>
      </c>
      <c r="E134" s="200">
        <v>1</v>
      </c>
      <c r="F134" s="148" t="s">
        <v>15</v>
      </c>
      <c r="G134" s="200">
        <v>1</v>
      </c>
      <c r="H134" s="200">
        <v>30</v>
      </c>
      <c r="I134" s="200">
        <v>30</v>
      </c>
      <c r="J134" s="154">
        <f>+(((1423500*9.53+1659)/30)*I134)*E134</f>
        <v>13567614</v>
      </c>
      <c r="K134" s="149">
        <v>0.08</v>
      </c>
      <c r="L134" s="224">
        <f t="shared" si="68"/>
        <v>1085409.1200000001</v>
      </c>
      <c r="M134" s="150">
        <f t="shared" si="69"/>
        <v>14653023.120000001</v>
      </c>
      <c r="N134" s="150">
        <f t="shared" si="70"/>
        <v>1465302.3120000002</v>
      </c>
      <c r="O134" s="150">
        <f t="shared" si="71"/>
        <v>278407.43928000005</v>
      </c>
      <c r="P134" s="150">
        <f t="shared" si="72"/>
        <v>14931430.559280001</v>
      </c>
      <c r="Q134" s="219"/>
      <c r="R134" s="162"/>
      <c r="S134" s="152">
        <f t="shared" si="38"/>
        <v>14931430.559280001</v>
      </c>
      <c r="T134" s="153"/>
      <c r="U134" s="136"/>
      <c r="V134" s="136"/>
      <c r="W134" s="136"/>
    </row>
    <row r="135" spans="1:23" s="137" customFormat="1" ht="26.25" x14ac:dyDescent="0.25">
      <c r="A135" s="134"/>
      <c r="B135" s="381"/>
      <c r="C135" s="135" t="s">
        <v>229</v>
      </c>
      <c r="D135" s="168" t="s">
        <v>260</v>
      </c>
      <c r="E135" s="200">
        <v>1</v>
      </c>
      <c r="F135" s="148" t="s">
        <v>17</v>
      </c>
      <c r="G135" s="200">
        <v>1</v>
      </c>
      <c r="H135" s="200">
        <v>30</v>
      </c>
      <c r="I135" s="200">
        <v>24</v>
      </c>
      <c r="J135" s="154">
        <f>+(((((1423500*9.53+1659)*55.97%)/15*12)/30)*I135)*E135</f>
        <v>4860027.8757119998</v>
      </c>
      <c r="K135" s="149">
        <v>0.08</v>
      </c>
      <c r="L135" s="224">
        <f t="shared" si="68"/>
        <v>388802.23005696002</v>
      </c>
      <c r="M135" s="150">
        <f t="shared" si="69"/>
        <v>5248830.10576896</v>
      </c>
      <c r="N135" s="150">
        <f t="shared" si="70"/>
        <v>524883.01057689602</v>
      </c>
      <c r="O135" s="150">
        <f t="shared" si="71"/>
        <v>99727.772009610242</v>
      </c>
      <c r="P135" s="150">
        <f t="shared" si="72"/>
        <v>5348557.8777785702</v>
      </c>
      <c r="Q135" s="219"/>
      <c r="R135" s="162"/>
      <c r="S135" s="152">
        <f t="shared" si="38"/>
        <v>5348557.8777785702</v>
      </c>
      <c r="T135" s="153"/>
      <c r="U135" s="136"/>
      <c r="V135" s="136"/>
      <c r="W135" s="136"/>
    </row>
    <row r="136" spans="1:23" s="137" customFormat="1" ht="26.25" customHeight="1" x14ac:dyDescent="0.25">
      <c r="A136" s="134"/>
      <c r="B136" s="381"/>
      <c r="C136" s="135" t="s">
        <v>229</v>
      </c>
      <c r="D136" s="168" t="s">
        <v>261</v>
      </c>
      <c r="E136" s="200">
        <v>1</v>
      </c>
      <c r="F136" s="148" t="s">
        <v>17</v>
      </c>
      <c r="G136" s="200">
        <v>1</v>
      </c>
      <c r="H136" s="200">
        <v>30</v>
      </c>
      <c r="I136" s="200">
        <v>24</v>
      </c>
      <c r="J136" s="154">
        <f>+(((((1423500*9.53+1659)*55.97%)/15*12)/30)*I136)*E136</f>
        <v>4860027.8757119998</v>
      </c>
      <c r="K136" s="149">
        <v>0.08</v>
      </c>
      <c r="L136" s="224">
        <f t="shared" si="68"/>
        <v>388802.23005696002</v>
      </c>
      <c r="M136" s="150">
        <f t="shared" si="69"/>
        <v>5248830.10576896</v>
      </c>
      <c r="N136" s="150">
        <f t="shared" si="70"/>
        <v>524883.01057689602</v>
      </c>
      <c r="O136" s="150">
        <f t="shared" si="71"/>
        <v>99727.772009610242</v>
      </c>
      <c r="P136" s="150">
        <f t="shared" si="72"/>
        <v>5348557.8777785702</v>
      </c>
      <c r="Q136" s="219"/>
      <c r="R136" s="162"/>
      <c r="S136" s="152">
        <f t="shared" si="38"/>
        <v>5348557.8777785702</v>
      </c>
      <c r="T136" s="153"/>
      <c r="U136" s="136"/>
      <c r="V136" s="136"/>
      <c r="W136" s="136"/>
    </row>
    <row r="137" spans="1:23" s="134" customFormat="1" ht="26.25" x14ac:dyDescent="0.25">
      <c r="B137" s="381"/>
      <c r="C137" s="131" t="s">
        <v>229</v>
      </c>
      <c r="D137" s="170" t="s">
        <v>262</v>
      </c>
      <c r="E137" s="132">
        <v>1</v>
      </c>
      <c r="F137" s="165" t="s">
        <v>57</v>
      </c>
      <c r="G137" s="132">
        <v>1</v>
      </c>
      <c r="H137" s="132">
        <v>30</v>
      </c>
      <c r="I137" s="202">
        <v>20</v>
      </c>
      <c r="J137" s="154">
        <f>+(((((1423500*9.53+1659)*55.97%)/15*12)/30)*I137)*E137</f>
        <v>4050023.2297599996</v>
      </c>
      <c r="K137" s="149">
        <v>0.08</v>
      </c>
      <c r="L137" s="224">
        <f t="shared" si="68"/>
        <v>324001.8583808</v>
      </c>
      <c r="M137" s="150">
        <f t="shared" si="69"/>
        <v>4374025.0881407997</v>
      </c>
      <c r="N137" s="150">
        <f t="shared" si="70"/>
        <v>437402.50881407998</v>
      </c>
      <c r="O137" s="150">
        <f t="shared" si="71"/>
        <v>83106.476674675199</v>
      </c>
      <c r="P137" s="150">
        <f>M137+O137</f>
        <v>4457131.5648154747</v>
      </c>
      <c r="Q137" s="220"/>
      <c r="R137" s="230"/>
      <c r="S137" s="166">
        <f t="shared" si="38"/>
        <v>4457131.5648154747</v>
      </c>
      <c r="T137" s="167"/>
      <c r="U137" s="133"/>
      <c r="V137" s="133"/>
      <c r="W137" s="133"/>
    </row>
    <row r="138" spans="1:23" s="137" customFormat="1" x14ac:dyDescent="0.25">
      <c r="A138" s="134"/>
      <c r="B138" s="380"/>
      <c r="C138" s="135" t="s">
        <v>229</v>
      </c>
      <c r="D138" s="164" t="s">
        <v>263</v>
      </c>
      <c r="E138" s="200">
        <v>1</v>
      </c>
      <c r="F138" s="148" t="s">
        <v>15</v>
      </c>
      <c r="G138" s="200">
        <v>1</v>
      </c>
      <c r="H138" s="200">
        <v>30</v>
      </c>
      <c r="I138" s="200">
        <v>30</v>
      </c>
      <c r="J138" s="154">
        <f t="shared" ref="J138:J142" si="73">+(((1423500*9.53+1659)/30)*I138)*E138</f>
        <v>13567614</v>
      </c>
      <c r="K138" s="149">
        <v>0.08</v>
      </c>
      <c r="L138" s="224">
        <f t="shared" si="68"/>
        <v>1085409.1200000001</v>
      </c>
      <c r="M138" s="150">
        <f t="shared" si="69"/>
        <v>14653023.120000001</v>
      </c>
      <c r="N138" s="150">
        <f t="shared" si="70"/>
        <v>1465302.3120000002</v>
      </c>
      <c r="O138" s="150">
        <f t="shared" si="71"/>
        <v>278407.43928000005</v>
      </c>
      <c r="P138" s="150">
        <f t="shared" si="72"/>
        <v>14931430.559280001</v>
      </c>
      <c r="Q138" s="219"/>
      <c r="R138" s="162"/>
      <c r="S138" s="152">
        <f t="shared" ref="S138:S146" si="74">P138-R138</f>
        <v>14931430.559280001</v>
      </c>
      <c r="T138" s="153"/>
      <c r="U138" s="136"/>
      <c r="V138" s="136"/>
      <c r="W138" s="136"/>
    </row>
    <row r="139" spans="1:23" s="137" customFormat="1" x14ac:dyDescent="0.25">
      <c r="A139" s="134"/>
      <c r="B139" s="380"/>
      <c r="C139" s="135" t="s">
        <v>229</v>
      </c>
      <c r="D139" s="168" t="s">
        <v>264</v>
      </c>
      <c r="E139" s="200">
        <v>1</v>
      </c>
      <c r="F139" s="148" t="s">
        <v>15</v>
      </c>
      <c r="G139" s="200">
        <v>1</v>
      </c>
      <c r="H139" s="200">
        <v>30</v>
      </c>
      <c r="I139" s="200">
        <v>30</v>
      </c>
      <c r="J139" s="154">
        <f t="shared" si="73"/>
        <v>13567614</v>
      </c>
      <c r="K139" s="149">
        <v>0.08</v>
      </c>
      <c r="L139" s="224">
        <f t="shared" si="68"/>
        <v>1085409.1200000001</v>
      </c>
      <c r="M139" s="150">
        <f t="shared" si="69"/>
        <v>14653023.120000001</v>
      </c>
      <c r="N139" s="150">
        <f t="shared" si="70"/>
        <v>1465302.3120000002</v>
      </c>
      <c r="O139" s="150">
        <f t="shared" si="71"/>
        <v>278407.43928000005</v>
      </c>
      <c r="P139" s="150">
        <f t="shared" si="72"/>
        <v>14931430.559280001</v>
      </c>
      <c r="Q139" s="219"/>
      <c r="R139" s="162"/>
      <c r="S139" s="152">
        <f t="shared" si="74"/>
        <v>14931430.559280001</v>
      </c>
      <c r="T139" s="153"/>
      <c r="U139" s="136"/>
      <c r="V139" s="136"/>
      <c r="W139" s="136"/>
    </row>
    <row r="140" spans="1:23" s="137" customFormat="1" x14ac:dyDescent="0.25">
      <c r="A140" s="134"/>
      <c r="B140" s="380"/>
      <c r="C140" s="135" t="s">
        <v>229</v>
      </c>
      <c r="D140" s="164" t="s">
        <v>265</v>
      </c>
      <c r="E140" s="200">
        <v>1</v>
      </c>
      <c r="F140" s="148" t="s">
        <v>15</v>
      </c>
      <c r="G140" s="200">
        <v>1</v>
      </c>
      <c r="H140" s="200">
        <v>30</v>
      </c>
      <c r="I140" s="200">
        <v>30</v>
      </c>
      <c r="J140" s="154">
        <f t="shared" si="73"/>
        <v>13567614</v>
      </c>
      <c r="K140" s="149">
        <v>0.08</v>
      </c>
      <c r="L140" s="224">
        <f t="shared" si="68"/>
        <v>1085409.1200000001</v>
      </c>
      <c r="M140" s="150">
        <f t="shared" si="69"/>
        <v>14653023.120000001</v>
      </c>
      <c r="N140" s="150">
        <f t="shared" si="70"/>
        <v>1465302.3120000002</v>
      </c>
      <c r="O140" s="150">
        <f t="shared" si="71"/>
        <v>278407.43928000005</v>
      </c>
      <c r="P140" s="150">
        <f t="shared" si="72"/>
        <v>14931430.559280001</v>
      </c>
      <c r="Q140" s="219"/>
      <c r="R140" s="162"/>
      <c r="S140" s="152">
        <f t="shared" si="74"/>
        <v>14931430.559280001</v>
      </c>
      <c r="T140" s="153"/>
      <c r="U140" s="136"/>
      <c r="V140" s="136"/>
      <c r="W140" s="136"/>
    </row>
    <row r="141" spans="1:23" s="137" customFormat="1" x14ac:dyDescent="0.25">
      <c r="A141" s="134"/>
      <c r="B141" s="380"/>
      <c r="C141" s="135" t="s">
        <v>229</v>
      </c>
      <c r="D141" s="168" t="s">
        <v>266</v>
      </c>
      <c r="E141" s="200">
        <v>1</v>
      </c>
      <c r="F141" s="148" t="s">
        <v>15</v>
      </c>
      <c r="G141" s="200">
        <v>1</v>
      </c>
      <c r="H141" s="200">
        <v>30</v>
      </c>
      <c r="I141" s="200">
        <v>30</v>
      </c>
      <c r="J141" s="154">
        <f t="shared" si="73"/>
        <v>13567614</v>
      </c>
      <c r="K141" s="149">
        <v>0.08</v>
      </c>
      <c r="L141" s="224">
        <f t="shared" si="68"/>
        <v>1085409.1200000001</v>
      </c>
      <c r="M141" s="150">
        <f t="shared" si="69"/>
        <v>14653023.120000001</v>
      </c>
      <c r="N141" s="150">
        <f t="shared" si="70"/>
        <v>1465302.3120000002</v>
      </c>
      <c r="O141" s="150">
        <f t="shared" si="71"/>
        <v>278407.43928000005</v>
      </c>
      <c r="P141" s="150">
        <f t="shared" si="72"/>
        <v>14931430.559280001</v>
      </c>
      <c r="Q141" s="219"/>
      <c r="R141" s="162"/>
      <c r="S141" s="152">
        <f t="shared" si="74"/>
        <v>14931430.559280001</v>
      </c>
      <c r="T141" s="153"/>
      <c r="U141" s="136"/>
      <c r="V141" s="136"/>
      <c r="W141" s="136"/>
    </row>
    <row r="142" spans="1:23" s="137" customFormat="1" x14ac:dyDescent="0.25">
      <c r="A142" s="134"/>
      <c r="B142" s="380"/>
      <c r="C142" s="135" t="s">
        <v>229</v>
      </c>
      <c r="D142" s="164" t="s">
        <v>73</v>
      </c>
      <c r="E142" s="200">
        <v>1</v>
      </c>
      <c r="F142" s="148" t="s">
        <v>15</v>
      </c>
      <c r="G142" s="200">
        <v>1</v>
      </c>
      <c r="H142" s="200">
        <v>30</v>
      </c>
      <c r="I142" s="200">
        <v>30</v>
      </c>
      <c r="J142" s="154">
        <f t="shared" si="73"/>
        <v>13567614</v>
      </c>
      <c r="K142" s="149">
        <v>0.08</v>
      </c>
      <c r="L142" s="224">
        <f t="shared" si="68"/>
        <v>1085409.1200000001</v>
      </c>
      <c r="M142" s="150">
        <f t="shared" si="69"/>
        <v>14653023.120000001</v>
      </c>
      <c r="N142" s="150">
        <f t="shared" si="70"/>
        <v>1465302.3120000002</v>
      </c>
      <c r="O142" s="150">
        <f t="shared" si="71"/>
        <v>278407.43928000005</v>
      </c>
      <c r="P142" s="150">
        <f t="shared" si="72"/>
        <v>14931430.559280001</v>
      </c>
      <c r="Q142" s="219"/>
      <c r="R142" s="162"/>
      <c r="S142" s="152">
        <f t="shared" si="74"/>
        <v>14931430.559280001</v>
      </c>
      <c r="T142" s="153"/>
      <c r="U142" s="136"/>
      <c r="V142" s="136"/>
      <c r="W142" s="136"/>
    </row>
    <row r="143" spans="1:23" s="137" customFormat="1" ht="26.25" x14ac:dyDescent="0.25">
      <c r="A143" s="134"/>
      <c r="B143" s="380"/>
      <c r="C143" s="135" t="s">
        <v>229</v>
      </c>
      <c r="D143" s="148" t="s">
        <v>25</v>
      </c>
      <c r="E143" s="200">
        <v>1</v>
      </c>
      <c r="F143" s="148" t="s">
        <v>26</v>
      </c>
      <c r="G143" s="200">
        <v>1</v>
      </c>
      <c r="H143" s="200">
        <v>30</v>
      </c>
      <c r="I143" s="200">
        <v>30</v>
      </c>
      <c r="J143" s="154">
        <f>+(((1423500*9.53+1659)/30)*I143)*E143</f>
        <v>13567614</v>
      </c>
      <c r="K143" s="149">
        <v>0.1</v>
      </c>
      <c r="L143" s="224">
        <f t="shared" si="68"/>
        <v>1356761.4000000001</v>
      </c>
      <c r="M143" s="150">
        <f t="shared" si="69"/>
        <v>14924375.4</v>
      </c>
      <c r="N143" s="150">
        <f>M143*10%</f>
        <v>1492437.54</v>
      </c>
      <c r="O143" s="150">
        <f>+N143*19%</f>
        <v>283563.13260000001</v>
      </c>
      <c r="P143" s="150">
        <f>M143+O143</f>
        <v>15207938.532600001</v>
      </c>
      <c r="Q143" s="219"/>
      <c r="R143" s="162"/>
      <c r="S143" s="152">
        <f t="shared" si="74"/>
        <v>15207938.532600001</v>
      </c>
      <c r="T143" s="153"/>
      <c r="U143" s="136"/>
      <c r="V143" s="136"/>
      <c r="W143" s="136"/>
    </row>
    <row r="144" spans="1:23" s="140" customFormat="1" x14ac:dyDescent="0.25">
      <c r="B144" s="380"/>
      <c r="C144" s="141" t="s">
        <v>229</v>
      </c>
      <c r="D144" s="171" t="s">
        <v>322</v>
      </c>
      <c r="E144" s="203">
        <v>1</v>
      </c>
      <c r="F144" s="171" t="s">
        <v>15</v>
      </c>
      <c r="G144" s="203">
        <v>1</v>
      </c>
      <c r="H144" s="203">
        <v>30</v>
      </c>
      <c r="I144" s="203">
        <v>30</v>
      </c>
      <c r="J144" s="154">
        <f t="shared" ref="J144" si="75">+(((1423500*9.53+1659)/30)*I144)*E144</f>
        <v>13567614</v>
      </c>
      <c r="K144" s="149">
        <v>0.08</v>
      </c>
      <c r="L144" s="224">
        <f t="shared" ref="L144" si="76">J144*K144</f>
        <v>1085409.1200000001</v>
      </c>
      <c r="M144" s="150">
        <f t="shared" ref="M144" si="77">J144+L144</f>
        <v>14653023.120000001</v>
      </c>
      <c r="N144" s="150">
        <f t="shared" ref="N144" si="78">M144*10%</f>
        <v>1465302.3120000002</v>
      </c>
      <c r="O144" s="150">
        <f t="shared" ref="O144" si="79">+N144*19%</f>
        <v>278407.43928000005</v>
      </c>
      <c r="P144" s="150">
        <f t="shared" ref="P144" si="80">M144+O144</f>
        <v>14931430.559280001</v>
      </c>
      <c r="Q144" s="219"/>
      <c r="R144" s="162"/>
      <c r="S144" s="152">
        <f t="shared" ref="S144:S145" si="81">P144-R144</f>
        <v>14931430.559280001</v>
      </c>
      <c r="T144" s="172"/>
      <c r="U144" s="142"/>
      <c r="V144" s="142"/>
      <c r="W144" s="142"/>
    </row>
    <row r="145" spans="1:23" s="140" customFormat="1" x14ac:dyDescent="0.25">
      <c r="B145" s="380"/>
      <c r="C145" s="141" t="s">
        <v>229</v>
      </c>
      <c r="D145" s="171" t="s">
        <v>322</v>
      </c>
      <c r="E145" s="203">
        <v>1</v>
      </c>
      <c r="F145" s="171" t="s">
        <v>15</v>
      </c>
      <c r="G145" s="203">
        <v>1</v>
      </c>
      <c r="H145" s="203">
        <v>30</v>
      </c>
      <c r="I145" s="203">
        <v>6</v>
      </c>
      <c r="J145" s="154">
        <f t="shared" ref="J145" si="82">+(((1423500*9.53+1659)/30)*I145)*E145</f>
        <v>2713522.8</v>
      </c>
      <c r="K145" s="149">
        <v>0.08</v>
      </c>
      <c r="L145" s="224">
        <f t="shared" ref="L145" si="83">J145*K145</f>
        <v>217081.82399999999</v>
      </c>
      <c r="M145" s="150">
        <f t="shared" ref="M145" si="84">J145+L145</f>
        <v>2930604.6239999998</v>
      </c>
      <c r="N145" s="150">
        <f t="shared" ref="N145" si="85">M145*10%</f>
        <v>293060.46240000002</v>
      </c>
      <c r="O145" s="150">
        <f t="shared" ref="O145" si="86">+N145*19%</f>
        <v>55681.487856000007</v>
      </c>
      <c r="P145" s="150">
        <f t="shared" ref="P145" si="87">M145+O145</f>
        <v>2986286.111856</v>
      </c>
      <c r="Q145" s="219"/>
      <c r="R145" s="162"/>
      <c r="S145" s="152">
        <f t="shared" si="81"/>
        <v>2986286.111856</v>
      </c>
      <c r="T145" s="172"/>
      <c r="U145" s="142"/>
      <c r="V145" s="142"/>
      <c r="W145" s="142"/>
    </row>
    <row r="146" spans="1:23" s="134" customFormat="1" ht="26.25" x14ac:dyDescent="0.25">
      <c r="B146" s="381"/>
      <c r="C146" s="131" t="s">
        <v>229</v>
      </c>
      <c r="D146" s="165" t="s">
        <v>75</v>
      </c>
      <c r="E146" s="132">
        <v>1</v>
      </c>
      <c r="F146" s="165" t="s">
        <v>57</v>
      </c>
      <c r="G146" s="132">
        <v>1</v>
      </c>
      <c r="H146" s="132">
        <v>30</v>
      </c>
      <c r="I146" s="202">
        <v>20</v>
      </c>
      <c r="J146" s="154">
        <f>+(((((1423500*9.53+1659)*55.97%)/15*12)/30)*I146)*E146</f>
        <v>4050023.2297599996</v>
      </c>
      <c r="K146" s="160">
        <v>0.08</v>
      </c>
      <c r="L146" s="222">
        <f t="shared" si="68"/>
        <v>324001.8583808</v>
      </c>
      <c r="M146" s="161">
        <f t="shared" si="69"/>
        <v>4374025.0881407997</v>
      </c>
      <c r="N146" s="161">
        <f>M146*10%</f>
        <v>437402.50881407998</v>
      </c>
      <c r="O146" s="161">
        <f>+N146*19%</f>
        <v>83106.476674675199</v>
      </c>
      <c r="P146" s="161">
        <f>M146+O146</f>
        <v>4457131.5648154747</v>
      </c>
      <c r="Q146" s="220"/>
      <c r="R146" s="230"/>
      <c r="S146" s="166">
        <f t="shared" si="74"/>
        <v>4457131.5648154747</v>
      </c>
      <c r="T146" s="167"/>
      <c r="U146" s="133"/>
      <c r="V146" s="133"/>
      <c r="W146" s="133"/>
    </row>
    <row r="147" spans="1:23" x14ac:dyDescent="0.25">
      <c r="B147" s="126"/>
      <c r="C147" s="130"/>
      <c r="D147" s="157"/>
      <c r="E147" s="201">
        <f>+E133+E134+E135+E136+E137+E138+E139+E140+E141+E142+E143+E146+E144</f>
        <v>13</v>
      </c>
      <c r="F147" s="157"/>
      <c r="G147" s="207">
        <f>SUM(G133:G146)</f>
        <v>14</v>
      </c>
      <c r="H147" s="207"/>
      <c r="I147" s="201"/>
      <c r="J147" s="158">
        <f>SUM(J133:J146)</f>
        <v>142642151.01094401</v>
      </c>
      <c r="K147" s="157"/>
      <c r="L147" s="225">
        <f t="shared" ref="L147:S147" si="88">SUM(L133:L146)</f>
        <v>11682724.360875521</v>
      </c>
      <c r="M147" s="158">
        <f t="shared" si="88"/>
        <v>154324875.37181956</v>
      </c>
      <c r="N147" s="158">
        <f t="shared" si="88"/>
        <v>15432487.537181955</v>
      </c>
      <c r="O147" s="158">
        <f t="shared" si="88"/>
        <v>2932172.6320645716</v>
      </c>
      <c r="P147" s="158">
        <f t="shared" si="88"/>
        <v>157257048.00388414</v>
      </c>
      <c r="Q147" s="207">
        <f t="shared" si="88"/>
        <v>0</v>
      </c>
      <c r="R147" s="225">
        <f t="shared" si="88"/>
        <v>0</v>
      </c>
      <c r="S147" s="158">
        <f t="shared" si="88"/>
        <v>157257048.00388414</v>
      </c>
      <c r="T147" s="374"/>
    </row>
    <row r="148" spans="1:23" s="134" customFormat="1" ht="39" x14ac:dyDescent="0.25">
      <c r="B148" s="138"/>
      <c r="C148" s="131" t="s">
        <v>229</v>
      </c>
      <c r="D148" s="165" t="s">
        <v>326</v>
      </c>
      <c r="E148" s="132">
        <v>1</v>
      </c>
      <c r="F148" s="173" t="s">
        <v>233</v>
      </c>
      <c r="G148" s="132">
        <v>1</v>
      </c>
      <c r="H148" s="132">
        <v>6</v>
      </c>
      <c r="I148" s="132">
        <v>6</v>
      </c>
      <c r="J148" s="159">
        <f>+((((((1423500*9.53+1659)*55.97%)/15*3)/30)*I148))+((((((1423500*9.53+1659)*44.03%)/9*9)/30*I148)))</f>
        <v>1498515.8310720001</v>
      </c>
      <c r="K148" s="160">
        <v>0.08</v>
      </c>
      <c r="L148" s="222">
        <f t="shared" ref="L148:L149" si="89">J148*K148</f>
        <v>119881.26648576</v>
      </c>
      <c r="M148" s="161">
        <f t="shared" ref="M148:M149" si="90">J148+L148</f>
        <v>1618397.0975577601</v>
      </c>
      <c r="N148" s="161">
        <f>M148*10%</f>
        <v>161839.70975577601</v>
      </c>
      <c r="O148" s="161">
        <f>+N148*19%</f>
        <v>30749.544853597443</v>
      </c>
      <c r="P148" s="161">
        <f>M148+O148</f>
        <v>1649146.6424113575</v>
      </c>
      <c r="Q148" s="220"/>
      <c r="R148" s="230"/>
      <c r="S148" s="166">
        <f>P148-R148</f>
        <v>1649146.6424113575</v>
      </c>
      <c r="T148" s="167"/>
      <c r="U148" s="133"/>
      <c r="V148" s="139"/>
      <c r="W148" s="133"/>
    </row>
    <row r="149" spans="1:23" s="134" customFormat="1" ht="26.25" x14ac:dyDescent="0.25">
      <c r="B149" s="138"/>
      <c r="C149" s="131" t="s">
        <v>229</v>
      </c>
      <c r="D149" s="198" t="s">
        <v>323</v>
      </c>
      <c r="E149" s="132">
        <v>1</v>
      </c>
      <c r="F149" s="148" t="s">
        <v>17</v>
      </c>
      <c r="G149" s="200">
        <v>1</v>
      </c>
      <c r="H149" s="200">
        <v>1</v>
      </c>
      <c r="I149" s="200">
        <v>1</v>
      </c>
      <c r="J149" s="154">
        <f>+(((((1423500*9.53+1659)*55.97%)/15*12)/30)*I149)*E149</f>
        <v>202501.16148799998</v>
      </c>
      <c r="K149" s="149">
        <v>0.08</v>
      </c>
      <c r="L149" s="224">
        <f t="shared" si="89"/>
        <v>16200.092919039998</v>
      </c>
      <c r="M149" s="150">
        <f t="shared" si="90"/>
        <v>218701.25440703999</v>
      </c>
      <c r="N149" s="150">
        <f t="shared" ref="N149" si="91">M149*10%</f>
        <v>21870.125440704</v>
      </c>
      <c r="O149" s="150">
        <f t="shared" ref="O149" si="92">+N149*19%</f>
        <v>4155.3238337337598</v>
      </c>
      <c r="P149" s="150">
        <f t="shared" ref="P149" si="93">M149+O149</f>
        <v>222856.57824077376</v>
      </c>
      <c r="Q149" s="219"/>
      <c r="R149" s="162"/>
      <c r="S149" s="152">
        <f t="shared" ref="S149" si="94">P149-R149</f>
        <v>222856.57824077376</v>
      </c>
      <c r="T149" s="167"/>
      <c r="U149" s="133"/>
      <c r="V149" s="139"/>
      <c r="W149" s="133"/>
    </row>
    <row r="150" spans="1:23" s="134" customFormat="1" x14ac:dyDescent="0.25">
      <c r="B150" s="138"/>
      <c r="C150" s="131"/>
      <c r="D150" s="165"/>
      <c r="E150" s="132"/>
      <c r="F150" s="165"/>
      <c r="G150" s="132"/>
      <c r="H150" s="132"/>
      <c r="I150" s="132"/>
      <c r="J150" s="163"/>
      <c r="K150" s="160"/>
      <c r="L150" s="222"/>
      <c r="M150" s="161"/>
      <c r="N150" s="161"/>
      <c r="O150" s="161"/>
      <c r="P150" s="161"/>
      <c r="Q150" s="220"/>
      <c r="R150" s="230"/>
      <c r="S150" s="166"/>
      <c r="T150" s="167"/>
      <c r="U150" s="133"/>
      <c r="V150" s="133"/>
      <c r="W150" s="133"/>
    </row>
    <row r="151" spans="1:23" x14ac:dyDescent="0.25">
      <c r="B151" s="126"/>
      <c r="C151" s="123"/>
      <c r="D151" s="174"/>
      <c r="E151" s="204"/>
      <c r="F151" s="174"/>
      <c r="G151" s="207"/>
      <c r="H151" s="209"/>
      <c r="I151" s="210"/>
      <c r="J151" s="158">
        <f>SUM(J148:J150)</f>
        <v>1701016.9925600002</v>
      </c>
      <c r="K151" s="158"/>
      <c r="L151" s="225">
        <f>SUM(L148:L150)</f>
        <v>136081.35940479999</v>
      </c>
      <c r="M151" s="175">
        <f>SUM(M148:M150)</f>
        <v>1837098.3519648002</v>
      </c>
      <c r="N151" s="175">
        <f>SUM(N148:N150)</f>
        <v>183709.83519648001</v>
      </c>
      <c r="O151" s="176">
        <f>SUM(O148:O150)</f>
        <v>34904.868687331204</v>
      </c>
      <c r="P151" s="158">
        <f>SUM(P148:P150)</f>
        <v>1872003.2206521314</v>
      </c>
      <c r="Q151" s="207">
        <f t="shared" ref="Q151:S151" si="95">SUM(Q148:Q150)</f>
        <v>0</v>
      </c>
      <c r="R151" s="225">
        <f t="shared" si="95"/>
        <v>0</v>
      </c>
      <c r="S151" s="158">
        <f t="shared" si="95"/>
        <v>1872003.2206521314</v>
      </c>
    </row>
    <row r="152" spans="1:23" s="137" customFormat="1" x14ac:dyDescent="0.25">
      <c r="A152"/>
      <c r="D152" s="177"/>
      <c r="E152" s="136"/>
      <c r="F152" s="177"/>
      <c r="G152" s="136"/>
      <c r="H152" s="136"/>
      <c r="I152" s="136"/>
      <c r="J152" s="178"/>
      <c r="K152" s="169"/>
      <c r="L152" s="226"/>
      <c r="M152" s="169"/>
      <c r="N152" s="169"/>
      <c r="O152" s="169"/>
      <c r="P152" s="152"/>
      <c r="Q152" s="219"/>
      <c r="R152" s="162"/>
      <c r="S152" s="151"/>
      <c r="T152" s="153"/>
      <c r="U152" s="136"/>
      <c r="V152" s="136"/>
      <c r="W152" s="136"/>
    </row>
    <row r="153" spans="1:23" x14ac:dyDescent="0.25">
      <c r="B153" s="126"/>
      <c r="C153" s="123"/>
      <c r="D153" s="179"/>
      <c r="E153" s="205">
        <f>+E28+E112+E132+E147</f>
        <v>137</v>
      </c>
      <c r="F153" s="179"/>
      <c r="G153" s="211">
        <f>+G151+G147+G132+G112+G28</f>
        <v>137</v>
      </c>
      <c r="H153" s="212"/>
      <c r="I153" s="213"/>
      <c r="J153" s="145">
        <f>+J151+J147+J132+J112+J28</f>
        <v>1420690465.5351307</v>
      </c>
      <c r="K153" s="180"/>
      <c r="L153" s="223">
        <f>+L151+L147+L132+L112+L28</f>
        <v>113926589.52281044</v>
      </c>
      <c r="M153" s="180">
        <f>+M151+M147+M132+M112+M28</f>
        <v>1534617055.0579414</v>
      </c>
      <c r="N153" s="180">
        <f>+N151+N147+N132+N112+N28</f>
        <v>153461705.50579423</v>
      </c>
      <c r="O153" s="181">
        <f>+O151+O147+O132+O112+O28</f>
        <v>29157724.04610087</v>
      </c>
      <c r="P153" s="182">
        <f>+P151+P147+P132+P112+P28</f>
        <v>1563774779.1040425</v>
      </c>
      <c r="Q153" s="221">
        <f t="shared" ref="Q153" si="96">+Q151+Q147+Q132+Q112+Q28</f>
        <v>97</v>
      </c>
      <c r="R153" s="231">
        <f>+R151+R147+R132+R112+R28</f>
        <v>23645134.137038097</v>
      </c>
      <c r="S153" s="182">
        <f>SUM(S28+S112+S132+S147+S151)</f>
        <v>1540129644.9670043</v>
      </c>
    </row>
    <row r="154" spans="1:23" x14ac:dyDescent="0.25">
      <c r="B154" s="127"/>
      <c r="C154" s="127"/>
      <c r="D154" s="183"/>
      <c r="E154" s="206"/>
      <c r="F154" s="183"/>
      <c r="G154" s="214"/>
      <c r="H154" s="214"/>
      <c r="I154" s="206"/>
      <c r="J154" s="185"/>
      <c r="K154" s="184"/>
      <c r="L154" s="227"/>
      <c r="M154" s="184"/>
      <c r="N154" s="184"/>
      <c r="O154" s="184"/>
      <c r="P154" s="184"/>
      <c r="Q154" s="214"/>
      <c r="R154" s="227"/>
      <c r="S154" s="182">
        <f>P153-R153</f>
        <v>1540129644.9670045</v>
      </c>
    </row>
    <row r="155" spans="1:23" x14ac:dyDescent="0.25">
      <c r="B155" s="127"/>
      <c r="C155" s="127"/>
      <c r="D155" s="183"/>
      <c r="E155" s="206"/>
      <c r="F155" s="183"/>
      <c r="G155" s="214"/>
      <c r="H155" s="214"/>
      <c r="I155" s="206"/>
      <c r="J155" s="185"/>
      <c r="K155" s="184"/>
      <c r="L155" s="227"/>
      <c r="M155" s="184"/>
      <c r="N155" s="184"/>
      <c r="O155" s="184"/>
      <c r="P155" s="186"/>
      <c r="Q155" s="214"/>
      <c r="R155" s="227"/>
      <c r="S155" s="187"/>
    </row>
    <row r="156" spans="1:23" ht="20.25" customHeight="1" x14ac:dyDescent="0.25">
      <c r="U156" s="134"/>
      <c r="V156" s="134"/>
      <c r="W156" s="134"/>
    </row>
    <row r="157" spans="1:23" ht="20.25" customHeight="1" x14ac:dyDescent="0.25">
      <c r="U157" s="134"/>
      <c r="V157" s="134"/>
      <c r="W157" s="134"/>
    </row>
    <row r="158" spans="1:23" ht="20.25" customHeight="1" x14ac:dyDescent="0.25">
      <c r="U158" s="134"/>
      <c r="V158" s="134"/>
      <c r="W158" s="134"/>
    </row>
    <row r="159" spans="1:23" ht="20.25" customHeight="1" x14ac:dyDescent="0.25">
      <c r="U159" s="134"/>
      <c r="V159" s="134"/>
      <c r="W159" s="134"/>
    </row>
    <row r="160" spans="1:23" ht="20.25" customHeight="1" x14ac:dyDescent="0.25"/>
    <row r="161" spans="5:16" ht="20.25" customHeight="1" x14ac:dyDescent="0.25"/>
    <row r="162" spans="5:16" ht="20.25" customHeight="1" x14ac:dyDescent="0.25"/>
    <row r="163" spans="5:16" ht="20.25" customHeight="1" x14ac:dyDescent="0.25"/>
    <row r="164" spans="5:16" ht="15" customHeight="1" x14ac:dyDescent="0.25">
      <c r="G164" s="215"/>
      <c r="H164" s="215"/>
      <c r="P164" s="189"/>
    </row>
    <row r="165" spans="5:16" ht="15" customHeight="1" x14ac:dyDescent="0.25">
      <c r="G165" s="215"/>
      <c r="H165" s="215"/>
      <c r="P165" s="169"/>
    </row>
    <row r="166" spans="5:16" ht="15" customHeight="1" x14ac:dyDescent="0.25">
      <c r="G166" s="215"/>
      <c r="H166" s="215"/>
      <c r="P166" s="169"/>
    </row>
    <row r="167" spans="5:16" ht="15" customHeight="1" x14ac:dyDescent="0.25">
      <c r="E167" s="66"/>
      <c r="F167" s="191"/>
      <c r="G167" s="215"/>
      <c r="H167" s="215"/>
    </row>
    <row r="168" spans="5:16" ht="15" customHeight="1" x14ac:dyDescent="0.25">
      <c r="G168" s="215"/>
      <c r="H168" s="215"/>
      <c r="O168" s="192"/>
    </row>
    <row r="169" spans="5:16" ht="15" customHeight="1" x14ac:dyDescent="0.25">
      <c r="G169" s="215"/>
      <c r="H169" s="215"/>
      <c r="O169" s="190"/>
    </row>
    <row r="170" spans="5:16" ht="15" customHeight="1" x14ac:dyDescent="0.25">
      <c r="G170" s="215"/>
      <c r="H170" s="215"/>
      <c r="O170" s="190"/>
    </row>
    <row r="171" spans="5:16" ht="15" customHeight="1" x14ac:dyDescent="0.25">
      <c r="G171" s="215"/>
      <c r="H171" s="215"/>
    </row>
    <row r="172" spans="5:16" ht="15" customHeight="1" x14ac:dyDescent="0.25">
      <c r="G172" s="215"/>
      <c r="H172" s="215"/>
    </row>
    <row r="173" spans="5:16" ht="15.75" customHeight="1" x14ac:dyDescent="0.25"/>
    <row r="174" spans="5:16" ht="15" customHeight="1" x14ac:dyDescent="0.25"/>
    <row r="175" spans="5:16" ht="15" customHeight="1" x14ac:dyDescent="0.25"/>
    <row r="176" spans="5:16" ht="15" customHeight="1" x14ac:dyDescent="0.25">
      <c r="E176" s="70"/>
      <c r="F176" s="193"/>
    </row>
    <row r="177" spans="5:16" x14ac:dyDescent="0.25">
      <c r="E177" s="66"/>
      <c r="J177" s="194"/>
      <c r="M177" s="195"/>
      <c r="N177" s="195"/>
      <c r="O177" s="195"/>
      <c r="P177" s="195"/>
    </row>
    <row r="178" spans="5:16" x14ac:dyDescent="0.25">
      <c r="E178" s="66"/>
    </row>
    <row r="179" spans="5:16" x14ac:dyDescent="0.25">
      <c r="E179" s="66"/>
    </row>
    <row r="180" spans="5:16" x14ac:dyDescent="0.25">
      <c r="K180" s="196"/>
    </row>
    <row r="181" spans="5:16" x14ac:dyDescent="0.25">
      <c r="J181" s="197"/>
    </row>
  </sheetData>
  <autoFilter ref="B7:P151"/>
  <mergeCells count="19">
    <mergeCell ref="Q3:S3"/>
    <mergeCell ref="Q4:S4"/>
    <mergeCell ref="Q5:S5"/>
    <mergeCell ref="B3:P3"/>
    <mergeCell ref="B4:P4"/>
    <mergeCell ref="B5:P5"/>
    <mergeCell ref="B8:B26"/>
    <mergeCell ref="D14:D15"/>
    <mergeCell ref="D18:D19"/>
    <mergeCell ref="B113:B131"/>
    <mergeCell ref="B133:B146"/>
    <mergeCell ref="B29:B111"/>
    <mergeCell ref="D44:D45"/>
    <mergeCell ref="D46:D47"/>
    <mergeCell ref="D48:D49"/>
    <mergeCell ref="D74:D75"/>
    <mergeCell ref="D79:D80"/>
    <mergeCell ref="D96:D97"/>
    <mergeCell ref="D58:D59"/>
  </mergeCells>
  <pageMargins left="0.19685039370078741" right="0.27559055118110237" top="0.74803149606299213" bottom="0.74803149606299213" header="0.31496062992125984" footer="0.31496062992125984"/>
  <pageSetup paperSize="9" scale="44" fitToHeight="0" orientation="landscape" r:id="rId1"/>
  <rowBreaks count="1" manualBreakCount="1">
    <brk id="83" max="1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V220"/>
  <sheetViews>
    <sheetView showGridLines="0" topLeftCell="B122" zoomScale="80" zoomScaleNormal="80" workbookViewId="0">
      <selection activeCell="P155" sqref="P155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8" width="6.85546875" customWidth="1"/>
    <col min="9" max="9" width="14.42578125" hidden="1" customWidth="1"/>
    <col min="10" max="10" width="20.7109375" customWidth="1"/>
    <col min="11" max="11" width="5.5703125" customWidth="1"/>
    <col min="12" max="12" width="17.28515625" customWidth="1"/>
    <col min="13" max="13" width="18" customWidth="1"/>
    <col min="14" max="14" width="16.7109375" customWidth="1"/>
    <col min="15" max="15" width="16.28515625" customWidth="1"/>
    <col min="16" max="16" width="20.85546875" customWidth="1"/>
    <col min="17" max="17" width="21.5703125" hidden="1" customWidth="1"/>
    <col min="18" max="18" width="17.85546875" customWidth="1"/>
    <col min="19" max="19" width="15.140625" customWidth="1"/>
    <col min="20" max="20" width="16.140625" customWidth="1"/>
    <col min="21" max="21" width="15" bestFit="1" customWidth="1"/>
    <col min="22" max="22" width="16" bestFit="1" customWidth="1"/>
  </cols>
  <sheetData>
    <row r="3" spans="2:21" x14ac:dyDescent="0.25">
      <c r="B3" s="408" t="s">
        <v>0</v>
      </c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</row>
    <row r="4" spans="2:21" ht="27" customHeight="1" x14ac:dyDescent="0.25">
      <c r="B4" s="408" t="s">
        <v>1</v>
      </c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8"/>
    </row>
    <row r="5" spans="2:21" x14ac:dyDescent="0.25">
      <c r="B5" s="408" t="s">
        <v>169</v>
      </c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08"/>
      <c r="P5" s="408"/>
    </row>
    <row r="6" spans="2:21" x14ac:dyDescent="0.25"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</row>
    <row r="7" spans="2:21" ht="25.5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180</v>
      </c>
      <c r="I7" s="97" t="s">
        <v>186</v>
      </c>
      <c r="J7" s="98" t="s">
        <v>8</v>
      </c>
      <c r="K7" s="409" t="s">
        <v>9</v>
      </c>
      <c r="L7" s="409"/>
      <c r="M7" s="97" t="s">
        <v>10</v>
      </c>
      <c r="N7" s="97" t="s">
        <v>11</v>
      </c>
      <c r="O7" s="97" t="s">
        <v>12</v>
      </c>
      <c r="P7" s="97" t="s">
        <v>13</v>
      </c>
    </row>
    <row r="8" spans="2:21" ht="15" customHeight="1" x14ac:dyDescent="0.25">
      <c r="B8" s="410" t="s">
        <v>80</v>
      </c>
      <c r="C8" s="18" t="s">
        <v>14</v>
      </c>
      <c r="D8" s="413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+(((1160000*8.8+0)/30)*I8)*E8</f>
        <v>10208000</v>
      </c>
      <c r="K8" s="4">
        <v>0.08</v>
      </c>
      <c r="L8" s="5">
        <f t="shared" ref="L8:L41" si="0">J8*K8</f>
        <v>816640</v>
      </c>
      <c r="M8" s="5">
        <f t="shared" ref="M8:M41" si="1">J8+L8</f>
        <v>11024640</v>
      </c>
      <c r="N8" s="5">
        <f t="shared" ref="N8:N41" si="2">M8*10%</f>
        <v>1102464</v>
      </c>
      <c r="O8" s="5">
        <f t="shared" ref="O8:O41" si="3">+N8*19%</f>
        <v>209468.16</v>
      </c>
      <c r="P8" s="5">
        <f t="shared" ref="P8:P41" si="4">M8+O8</f>
        <v>11234108.16</v>
      </c>
      <c r="T8" s="112"/>
      <c r="U8" s="80"/>
    </row>
    <row r="9" spans="2:21" x14ac:dyDescent="0.25">
      <c r="B9" s="411"/>
      <c r="C9" s="18" t="s">
        <v>14</v>
      </c>
      <c r="D9" s="413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6">
        <f>+(((((1160000*8.8+0)*55.97%)/15*12)/30)*I9)*E9</f>
        <v>4570734.08</v>
      </c>
      <c r="K9" s="4">
        <v>0.08</v>
      </c>
      <c r="L9" s="5">
        <f t="shared" si="0"/>
        <v>365658.72639999999</v>
      </c>
      <c r="M9" s="5">
        <f t="shared" si="1"/>
        <v>4936392.8064000001</v>
      </c>
      <c r="N9" s="5">
        <f t="shared" si="2"/>
        <v>493639.28064000001</v>
      </c>
      <c r="O9" s="5">
        <f t="shared" si="3"/>
        <v>93791.463321600007</v>
      </c>
      <c r="P9" s="5">
        <f t="shared" si="4"/>
        <v>5030184.2697216002</v>
      </c>
      <c r="T9" s="80"/>
      <c r="U9" s="80"/>
    </row>
    <row r="10" spans="2:21" x14ac:dyDescent="0.25">
      <c r="B10" s="411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3">
        <f>+(((1160000*8.8+0)/30)*I10)*E10</f>
        <v>10208000</v>
      </c>
      <c r="K10" s="4">
        <v>0.08</v>
      </c>
      <c r="L10" s="5">
        <f t="shared" si="0"/>
        <v>816640</v>
      </c>
      <c r="M10" s="5">
        <f t="shared" si="1"/>
        <v>11024640</v>
      </c>
      <c r="N10" s="5">
        <f t="shared" si="2"/>
        <v>1102464</v>
      </c>
      <c r="O10" s="5">
        <f t="shared" si="3"/>
        <v>209468.16</v>
      </c>
      <c r="P10" s="5">
        <f t="shared" si="4"/>
        <v>11234108.16</v>
      </c>
      <c r="T10" s="80"/>
      <c r="U10" s="80"/>
    </row>
    <row r="11" spans="2:21" x14ac:dyDescent="0.25">
      <c r="B11" s="411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6">
        <f>+(((((1160000*8.8+0)*55.97%)/15*12)/30)*I11)*E11</f>
        <v>4570734.08</v>
      </c>
      <c r="K11" s="4">
        <v>0.08</v>
      </c>
      <c r="L11" s="5">
        <f t="shared" si="0"/>
        <v>365658.72639999999</v>
      </c>
      <c r="M11" s="5">
        <f t="shared" si="1"/>
        <v>4936392.8064000001</v>
      </c>
      <c r="N11" s="5">
        <f t="shared" si="2"/>
        <v>493639.28064000001</v>
      </c>
      <c r="O11" s="5">
        <f t="shared" si="3"/>
        <v>93791.463321600007</v>
      </c>
      <c r="P11" s="5">
        <f t="shared" si="4"/>
        <v>5030184.2697216002</v>
      </c>
      <c r="T11" s="80"/>
    </row>
    <row r="12" spans="2:21" x14ac:dyDescent="0.25">
      <c r="B12" s="411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6">
        <f>+(((((1160000*8.8+0)*55.97%)/15*12)/30)*I12)*E12</f>
        <v>4570734.08</v>
      </c>
      <c r="K12" s="4">
        <v>0.08</v>
      </c>
      <c r="L12" s="5">
        <f t="shared" si="0"/>
        <v>365658.72639999999</v>
      </c>
      <c r="M12" s="5">
        <f t="shared" si="1"/>
        <v>4936392.8064000001</v>
      </c>
      <c r="N12" s="5">
        <f t="shared" si="2"/>
        <v>493639.28064000001</v>
      </c>
      <c r="O12" s="5">
        <f t="shared" si="3"/>
        <v>93791.463321600007</v>
      </c>
      <c r="P12" s="5">
        <f t="shared" si="4"/>
        <v>5030184.2697216002</v>
      </c>
      <c r="T12" s="80"/>
    </row>
    <row r="13" spans="2:21" x14ac:dyDescent="0.25">
      <c r="B13" s="411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+(((((1160000*8.8+0)*55.97%)/15*12)/30)*I13)*E13</f>
        <v>3656587.2639999995</v>
      </c>
      <c r="K13" s="4">
        <v>0.08</v>
      </c>
      <c r="L13" s="5">
        <f t="shared" si="0"/>
        <v>292526.98111999995</v>
      </c>
      <c r="M13" s="5">
        <f t="shared" si="1"/>
        <v>3949114.2451199996</v>
      </c>
      <c r="N13" s="5">
        <f t="shared" si="2"/>
        <v>394911.424512</v>
      </c>
      <c r="O13" s="5">
        <f t="shared" si="3"/>
        <v>75033.170657280003</v>
      </c>
      <c r="P13" s="5">
        <f t="shared" si="4"/>
        <v>4024147.4157772795</v>
      </c>
      <c r="T13" s="80"/>
    </row>
    <row r="14" spans="2:21" x14ac:dyDescent="0.25">
      <c r="B14" s="411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3">
        <f>+(((1160000*8.8+0)/30)*I14)*E14</f>
        <v>10208000</v>
      </c>
      <c r="K14" s="4">
        <v>0.08</v>
      </c>
      <c r="L14" s="5">
        <f t="shared" si="0"/>
        <v>816640</v>
      </c>
      <c r="M14" s="5">
        <f t="shared" si="1"/>
        <v>11024640</v>
      </c>
      <c r="N14" s="5">
        <f t="shared" si="2"/>
        <v>1102464</v>
      </c>
      <c r="O14" s="5">
        <f t="shared" si="3"/>
        <v>209468.16</v>
      </c>
      <c r="P14" s="5">
        <f t="shared" si="4"/>
        <v>11234108.16</v>
      </c>
      <c r="T14" s="80"/>
    </row>
    <row r="15" spans="2:21" x14ac:dyDescent="0.25">
      <c r="B15" s="411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6">
        <f>+(((((1160000*8.8+0)*55.97%)/15*12)/30)*I15)*E15</f>
        <v>3656587.2639999995</v>
      </c>
      <c r="K15" s="4">
        <v>0.08</v>
      </c>
      <c r="L15" s="5">
        <f t="shared" si="0"/>
        <v>292526.98111999995</v>
      </c>
      <c r="M15" s="5">
        <f t="shared" si="1"/>
        <v>3949114.2451199996</v>
      </c>
      <c r="N15" s="5">
        <f t="shared" si="2"/>
        <v>394911.424512</v>
      </c>
      <c r="O15" s="5">
        <f t="shared" si="3"/>
        <v>75033.170657280003</v>
      </c>
      <c r="P15" s="5">
        <f t="shared" si="4"/>
        <v>4024147.4157772795</v>
      </c>
    </row>
    <row r="16" spans="2:21" x14ac:dyDescent="0.25">
      <c r="B16" s="411"/>
      <c r="C16" s="18" t="s">
        <v>14</v>
      </c>
      <c r="D16" s="413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6">
        <f>+(((((1160000*8.8+0)*55.97%)/15*12)/30)*I16)*E16</f>
        <v>4570734.08</v>
      </c>
      <c r="K16" s="4">
        <v>0.08</v>
      </c>
      <c r="L16" s="5">
        <f t="shared" si="0"/>
        <v>365658.72639999999</v>
      </c>
      <c r="M16" s="5">
        <f t="shared" si="1"/>
        <v>4936392.8064000001</v>
      </c>
      <c r="N16" s="5">
        <f t="shared" si="2"/>
        <v>493639.28064000001</v>
      </c>
      <c r="O16" s="5">
        <f t="shared" si="3"/>
        <v>93791.463321600007</v>
      </c>
      <c r="P16" s="5">
        <f t="shared" si="4"/>
        <v>5030184.2697216002</v>
      </c>
    </row>
    <row r="17" spans="2:18" x14ac:dyDescent="0.25">
      <c r="B17" s="411"/>
      <c r="C17" s="18" t="s">
        <v>14</v>
      </c>
      <c r="D17" s="413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6">
        <f>+(((((1160000*8.8+0)*55.97%)/15*12)/30)*I17)*E17</f>
        <v>3656587.2639999995</v>
      </c>
      <c r="K17" s="4">
        <v>0.08</v>
      </c>
      <c r="L17" s="5">
        <f t="shared" si="0"/>
        <v>292526.98111999995</v>
      </c>
      <c r="M17" s="5">
        <f t="shared" si="1"/>
        <v>3949114.2451199996</v>
      </c>
      <c r="N17" s="5">
        <f t="shared" si="2"/>
        <v>394911.424512</v>
      </c>
      <c r="O17" s="5">
        <f t="shared" si="3"/>
        <v>75033.170657280003</v>
      </c>
      <c r="P17" s="5">
        <f t="shared" si="4"/>
        <v>4024147.4157772795</v>
      </c>
    </row>
    <row r="18" spans="2:18" x14ac:dyDescent="0.25">
      <c r="B18" s="411"/>
      <c r="C18" s="18" t="s">
        <v>14</v>
      </c>
      <c r="D18" s="413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6">
        <f>+(((((1160000*8.8+0)*55.97%)/15*12)/30)*I18)*E18</f>
        <v>4570734.08</v>
      </c>
      <c r="K18" s="4">
        <v>0.08</v>
      </c>
      <c r="L18" s="5">
        <f t="shared" si="0"/>
        <v>365658.72639999999</v>
      </c>
      <c r="M18" s="5">
        <f t="shared" si="1"/>
        <v>4936392.8064000001</v>
      </c>
      <c r="N18" s="5">
        <f t="shared" si="2"/>
        <v>493639.28064000001</v>
      </c>
      <c r="O18" s="5">
        <f t="shared" si="3"/>
        <v>93791.463321600007</v>
      </c>
      <c r="P18" s="5">
        <f t="shared" si="4"/>
        <v>5030184.2697216002</v>
      </c>
    </row>
    <row r="19" spans="2:18" x14ac:dyDescent="0.25">
      <c r="B19" s="411"/>
      <c r="C19" s="18" t="s">
        <v>14</v>
      </c>
      <c r="D19" s="413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6">
        <f>+(((((1160000*8.8+0)*55.97%)/15*14)/30)*I19)*E19</f>
        <v>4266018.4746666662</v>
      </c>
      <c r="K19" s="4">
        <v>0.08</v>
      </c>
      <c r="L19" s="5">
        <f t="shared" si="0"/>
        <v>341281.47797333333</v>
      </c>
      <c r="M19" s="5">
        <f t="shared" si="1"/>
        <v>4607299.9526399998</v>
      </c>
      <c r="N19" s="5">
        <f t="shared" si="2"/>
        <v>460729.99526400003</v>
      </c>
      <c r="O19" s="5">
        <f t="shared" si="3"/>
        <v>87538.699100160011</v>
      </c>
      <c r="P19" s="5">
        <f t="shared" si="4"/>
        <v>4694838.6517401598</v>
      </c>
    </row>
    <row r="20" spans="2:18" x14ac:dyDescent="0.25">
      <c r="B20" s="411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3">
        <f>+(((1160000*8.8+0)/30)*I20)*E20</f>
        <v>10208000</v>
      </c>
      <c r="K20" s="4">
        <v>0.08</v>
      </c>
      <c r="L20" s="5">
        <f t="shared" si="0"/>
        <v>816640</v>
      </c>
      <c r="M20" s="5">
        <f t="shared" si="1"/>
        <v>11024640</v>
      </c>
      <c r="N20" s="5">
        <f t="shared" si="2"/>
        <v>1102464</v>
      </c>
      <c r="O20" s="5">
        <f t="shared" si="3"/>
        <v>209468.16</v>
      </c>
      <c r="P20" s="5">
        <f t="shared" si="4"/>
        <v>11234108.16</v>
      </c>
    </row>
    <row r="21" spans="2:18" x14ac:dyDescent="0.25">
      <c r="B21" s="411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6">
        <f>+(((((1160000*8.8+0)*55.97%)/15*14)/30)*I21)*E21</f>
        <v>5332523.0933333328</v>
      </c>
      <c r="K21" s="4">
        <v>0.08</v>
      </c>
      <c r="L21" s="5">
        <f t="shared" si="0"/>
        <v>426601.84746666666</v>
      </c>
      <c r="M21" s="5">
        <f t="shared" si="1"/>
        <v>5759124.9407999991</v>
      </c>
      <c r="N21" s="5">
        <f t="shared" si="2"/>
        <v>575912.49407999997</v>
      </c>
      <c r="O21" s="5">
        <f t="shared" si="3"/>
        <v>109423.37387519999</v>
      </c>
      <c r="P21" s="5">
        <f t="shared" si="4"/>
        <v>5868548.3146751989</v>
      </c>
      <c r="Q21" s="15"/>
    </row>
    <row r="22" spans="2:18" x14ac:dyDescent="0.25">
      <c r="B22" s="411"/>
      <c r="C22" s="18" t="s">
        <v>14</v>
      </c>
      <c r="D22" s="413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6">
        <f>+(((((1160000*8.8+0)*55.97%)/15*12)/30)*I22)*E22</f>
        <v>4570734.08</v>
      </c>
      <c r="K22" s="4">
        <v>0.08</v>
      </c>
      <c r="L22" s="5">
        <f t="shared" si="0"/>
        <v>365658.72639999999</v>
      </c>
      <c r="M22" s="5">
        <f t="shared" si="1"/>
        <v>4936392.8064000001</v>
      </c>
      <c r="N22" s="5">
        <f t="shared" si="2"/>
        <v>493639.28064000001</v>
      </c>
      <c r="O22" s="5">
        <f t="shared" si="3"/>
        <v>93791.463321600007</v>
      </c>
      <c r="P22" s="5">
        <f t="shared" si="4"/>
        <v>5030184.2697216002</v>
      </c>
    </row>
    <row r="23" spans="2:18" x14ac:dyDescent="0.25">
      <c r="B23" s="411"/>
      <c r="C23" s="18" t="s">
        <v>14</v>
      </c>
      <c r="D23" s="413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6">
        <f>+(((((1160000*8.8+0)*55.97%)/15*14)/30)*I23)*E23</f>
        <v>4266018.4746666662</v>
      </c>
      <c r="K23" s="4">
        <v>0.08</v>
      </c>
      <c r="L23" s="5">
        <f t="shared" si="0"/>
        <v>341281.47797333333</v>
      </c>
      <c r="M23" s="5">
        <f t="shared" si="1"/>
        <v>4607299.9526399998</v>
      </c>
      <c r="N23" s="5">
        <f t="shared" si="2"/>
        <v>460729.99526400003</v>
      </c>
      <c r="O23" s="5">
        <f t="shared" si="3"/>
        <v>87538.699100160011</v>
      </c>
      <c r="P23" s="5">
        <f t="shared" si="4"/>
        <v>4694838.6517401598</v>
      </c>
    </row>
    <row r="24" spans="2:18" x14ac:dyDescent="0.25">
      <c r="B24" s="411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6">
        <f>+(((((1160000*8.8+0)*55.97%)/15*8)/30)*I24)*E24</f>
        <v>2437724.8426666665</v>
      </c>
      <c r="K24" s="4">
        <v>0.08</v>
      </c>
      <c r="L24" s="5">
        <f t="shared" si="0"/>
        <v>195017.98741333332</v>
      </c>
      <c r="M24" s="5">
        <f t="shared" si="1"/>
        <v>2632742.8300799998</v>
      </c>
      <c r="N24" s="5">
        <f t="shared" si="2"/>
        <v>263274.283008</v>
      </c>
      <c r="O24" s="5">
        <f t="shared" si="3"/>
        <v>50022.113771520002</v>
      </c>
      <c r="P24" s="5">
        <f t="shared" si="4"/>
        <v>2682764.9438515198</v>
      </c>
    </row>
    <row r="25" spans="2:18" x14ac:dyDescent="0.25">
      <c r="B25" s="411"/>
      <c r="C25" s="18" t="s">
        <v>14</v>
      </c>
      <c r="D25" s="413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3">
        <f>+(((1160000*8.8+0)/30)*I25)*E25</f>
        <v>10208000</v>
      </c>
      <c r="K25" s="4">
        <v>0.08</v>
      </c>
      <c r="L25" s="5">
        <f t="shared" si="0"/>
        <v>816640</v>
      </c>
      <c r="M25" s="5">
        <f t="shared" si="1"/>
        <v>11024640</v>
      </c>
      <c r="N25" s="5">
        <f t="shared" si="2"/>
        <v>1102464</v>
      </c>
      <c r="O25" s="5">
        <f t="shared" si="3"/>
        <v>209468.16</v>
      </c>
      <c r="P25" s="5">
        <f t="shared" si="4"/>
        <v>11234108.16</v>
      </c>
    </row>
    <row r="26" spans="2:18" x14ac:dyDescent="0.25">
      <c r="B26" s="411"/>
      <c r="C26" s="18" t="s">
        <v>14</v>
      </c>
      <c r="D26" s="413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6">
        <f>+(((((1160000*8.8+0)*55.97%)/15*12)/30)*I26)*E26</f>
        <v>3656587.2639999995</v>
      </c>
      <c r="K26" s="4">
        <v>0.08</v>
      </c>
      <c r="L26" s="5">
        <f t="shared" si="0"/>
        <v>292526.98111999995</v>
      </c>
      <c r="M26" s="5">
        <f t="shared" si="1"/>
        <v>3949114.2451199996</v>
      </c>
      <c r="N26" s="5">
        <f t="shared" si="2"/>
        <v>394911.424512</v>
      </c>
      <c r="O26" s="5">
        <f t="shared" si="3"/>
        <v>75033.170657280003</v>
      </c>
      <c r="P26" s="5">
        <f t="shared" si="4"/>
        <v>4024147.4157772795</v>
      </c>
    </row>
    <row r="27" spans="2:18" x14ac:dyDescent="0.25">
      <c r="B27" s="411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6">
        <f>+(((((1160000*8.8+0)*55.97%)/15*14)/30)*I27)*E27</f>
        <v>4266018.4746666662</v>
      </c>
      <c r="K27" s="4">
        <v>0.08</v>
      </c>
      <c r="L27" s="5">
        <f t="shared" si="0"/>
        <v>341281.47797333333</v>
      </c>
      <c r="M27" s="5">
        <f t="shared" si="1"/>
        <v>4607299.9526399998</v>
      </c>
      <c r="N27" s="5">
        <f t="shared" si="2"/>
        <v>460729.99526400003</v>
      </c>
      <c r="O27" s="5">
        <f t="shared" si="3"/>
        <v>87538.699100160011</v>
      </c>
      <c r="P27" s="5">
        <f t="shared" si="4"/>
        <v>4694838.6517401598</v>
      </c>
      <c r="Q27" s="15">
        <f>+M27-N27</f>
        <v>4146569.9573759995</v>
      </c>
    </row>
    <row r="28" spans="2:18" x14ac:dyDescent="0.25">
      <c r="B28" s="411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6">
        <f>+(((((1160000*8.8+0)*55.97%)/15*12)/30)*I28)*E28</f>
        <v>3656587.2639999995</v>
      </c>
      <c r="K28" s="4">
        <v>0.08</v>
      </c>
      <c r="L28" s="5">
        <f t="shared" si="0"/>
        <v>292526.98111999995</v>
      </c>
      <c r="M28" s="5">
        <f t="shared" si="1"/>
        <v>3949114.2451199996</v>
      </c>
      <c r="N28" s="5">
        <f t="shared" si="2"/>
        <v>394911.424512</v>
      </c>
      <c r="O28" s="5">
        <f t="shared" si="3"/>
        <v>75033.170657280003</v>
      </c>
      <c r="P28" s="5">
        <f t="shared" si="4"/>
        <v>4024147.4157772795</v>
      </c>
      <c r="R28" s="15"/>
    </row>
    <row r="29" spans="2:18" x14ac:dyDescent="0.25">
      <c r="B29" s="411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3">
        <f>+(((1160000*8.8+0)/30)*I29)*E29</f>
        <v>10208000</v>
      </c>
      <c r="K29" s="4">
        <v>0.08</v>
      </c>
      <c r="L29" s="5">
        <f t="shared" si="0"/>
        <v>816640</v>
      </c>
      <c r="M29" s="5">
        <f t="shared" si="1"/>
        <v>11024640</v>
      </c>
      <c r="N29" s="5">
        <f t="shared" si="2"/>
        <v>1102464</v>
      </c>
      <c r="O29" s="5">
        <f t="shared" si="3"/>
        <v>209468.16</v>
      </c>
      <c r="P29" s="5">
        <f t="shared" si="4"/>
        <v>11234108.16</v>
      </c>
    </row>
    <row r="30" spans="2:18" x14ac:dyDescent="0.25">
      <c r="B30" s="411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30">
        <f>+(((1160000*8.8+0)/30)*I30)*E30</f>
        <v>10208000</v>
      </c>
      <c r="K30" s="26">
        <v>0.08</v>
      </c>
      <c r="L30" s="27">
        <f t="shared" si="0"/>
        <v>816640</v>
      </c>
      <c r="M30" s="27">
        <f t="shared" si="1"/>
        <v>11024640</v>
      </c>
      <c r="N30" s="27">
        <f t="shared" si="2"/>
        <v>1102464</v>
      </c>
      <c r="O30" s="27">
        <f t="shared" si="3"/>
        <v>209468.16</v>
      </c>
      <c r="P30" s="27">
        <f t="shared" si="4"/>
        <v>11234108.16</v>
      </c>
    </row>
    <row r="31" spans="2:18" x14ac:dyDescent="0.25">
      <c r="B31" s="411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30">
        <f>+(((1160000*8.8+0)/30)*I31)*E31</f>
        <v>10208000</v>
      </c>
      <c r="K31" s="26">
        <v>0.08</v>
      </c>
      <c r="L31" s="27">
        <f t="shared" si="0"/>
        <v>816640</v>
      </c>
      <c r="M31" s="27">
        <f t="shared" si="1"/>
        <v>11024640</v>
      </c>
      <c r="N31" s="27">
        <f t="shared" si="2"/>
        <v>1102464</v>
      </c>
      <c r="O31" s="27">
        <f t="shared" si="3"/>
        <v>209468.16</v>
      </c>
      <c r="P31" s="27">
        <f t="shared" si="4"/>
        <v>11234108.16</v>
      </c>
    </row>
    <row r="32" spans="2:18" x14ac:dyDescent="0.25">
      <c r="B32" s="411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30">
        <f>+(((1160000*8.8+0)/30)*I32)*E32</f>
        <v>10208000</v>
      </c>
      <c r="K32" s="26">
        <v>0.08</v>
      </c>
      <c r="L32" s="27">
        <f t="shared" si="0"/>
        <v>816640</v>
      </c>
      <c r="M32" s="27">
        <f t="shared" si="1"/>
        <v>11024640</v>
      </c>
      <c r="N32" s="27">
        <f t="shared" si="2"/>
        <v>1102464</v>
      </c>
      <c r="O32" s="27">
        <f t="shared" si="3"/>
        <v>209468.16</v>
      </c>
      <c r="P32" s="27">
        <f t="shared" si="4"/>
        <v>11234108.16</v>
      </c>
    </row>
    <row r="33" spans="2:16" x14ac:dyDescent="0.25">
      <c r="B33" s="411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25">
        <f>+(((((1160000*8.8+0)*55.97%)/15*12)/30)*I33)*E33</f>
        <v>3656587.2639999995</v>
      </c>
      <c r="K33" s="26">
        <v>0.08</v>
      </c>
      <c r="L33" s="27">
        <f t="shared" si="0"/>
        <v>292526.98111999995</v>
      </c>
      <c r="M33" s="27">
        <f t="shared" si="1"/>
        <v>3949114.2451199996</v>
      </c>
      <c r="N33" s="27">
        <f t="shared" si="2"/>
        <v>394911.424512</v>
      </c>
      <c r="O33" s="27">
        <f t="shared" si="3"/>
        <v>75033.170657280003</v>
      </c>
      <c r="P33" s="27">
        <f t="shared" si="4"/>
        <v>4024147.4157772795</v>
      </c>
    </row>
    <row r="34" spans="2:16" x14ac:dyDescent="0.25">
      <c r="B34" s="411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25">
        <f>+(((((1160000*8.8+0)*55.97%)/15*12)/30)*I34)*E34</f>
        <v>3656587.2639999995</v>
      </c>
      <c r="K34" s="26">
        <v>0.08</v>
      </c>
      <c r="L34" s="27">
        <f t="shared" si="0"/>
        <v>292526.98111999995</v>
      </c>
      <c r="M34" s="27">
        <f t="shared" si="1"/>
        <v>3949114.2451199996</v>
      </c>
      <c r="N34" s="27">
        <f t="shared" si="2"/>
        <v>394911.424512</v>
      </c>
      <c r="O34" s="27">
        <f t="shared" si="3"/>
        <v>75033.170657280003</v>
      </c>
      <c r="P34" s="27">
        <f t="shared" si="4"/>
        <v>4024147.4157772795</v>
      </c>
    </row>
    <row r="35" spans="2:16" x14ac:dyDescent="0.25">
      <c r="B35" s="411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3">
        <f>+(((1160000*8.8+0)/30)*I35)*E35</f>
        <v>10208000</v>
      </c>
      <c r="K35" s="4">
        <v>0.08</v>
      </c>
      <c r="L35" s="5">
        <f t="shared" si="0"/>
        <v>816640</v>
      </c>
      <c r="M35" s="5">
        <f t="shared" si="1"/>
        <v>11024640</v>
      </c>
      <c r="N35" s="5">
        <f t="shared" si="2"/>
        <v>1102464</v>
      </c>
      <c r="O35" s="5">
        <f t="shared" si="3"/>
        <v>209468.16</v>
      </c>
      <c r="P35" s="5">
        <f t="shared" si="4"/>
        <v>11234108.16</v>
      </c>
    </row>
    <row r="36" spans="2:16" x14ac:dyDescent="0.25">
      <c r="B36" s="411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3">
        <f>+(((1160000*8.8+0)/30)*I36)*E36</f>
        <v>10208000</v>
      </c>
      <c r="K36" s="4">
        <v>0.08</v>
      </c>
      <c r="L36" s="5">
        <f t="shared" si="0"/>
        <v>816640</v>
      </c>
      <c r="M36" s="5">
        <f t="shared" si="1"/>
        <v>11024640</v>
      </c>
      <c r="N36" s="5">
        <f t="shared" si="2"/>
        <v>1102464</v>
      </c>
      <c r="O36" s="5">
        <f t="shared" si="3"/>
        <v>209468.16</v>
      </c>
      <c r="P36" s="5">
        <f t="shared" si="4"/>
        <v>11234108.16</v>
      </c>
    </row>
    <row r="37" spans="2:16" x14ac:dyDescent="0.25">
      <c r="B37" s="411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3">
        <f>+(((1160000*8.8+0)/30)*I37)*E37</f>
        <v>10208000</v>
      </c>
      <c r="K37" s="4">
        <v>0.08</v>
      </c>
      <c r="L37" s="5">
        <f t="shared" si="0"/>
        <v>816640</v>
      </c>
      <c r="M37" s="5">
        <f t="shared" si="1"/>
        <v>11024640</v>
      </c>
      <c r="N37" s="5">
        <f t="shared" si="2"/>
        <v>1102464</v>
      </c>
      <c r="O37" s="5">
        <f t="shared" si="3"/>
        <v>209468.16</v>
      </c>
      <c r="P37" s="5">
        <f t="shared" si="4"/>
        <v>11234108.16</v>
      </c>
    </row>
    <row r="38" spans="2:16" x14ac:dyDescent="0.25">
      <c r="B38" s="411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6">
        <f>+(((((1160000*8.8+0)*55.97%)/15*12)/30)*I38)*E38</f>
        <v>4570734.08</v>
      </c>
      <c r="K38" s="4">
        <v>0.08</v>
      </c>
      <c r="L38" s="5">
        <f t="shared" si="0"/>
        <v>365658.72639999999</v>
      </c>
      <c r="M38" s="5">
        <f t="shared" si="1"/>
        <v>4936392.8064000001</v>
      </c>
      <c r="N38" s="5">
        <f t="shared" si="2"/>
        <v>493639.28064000001</v>
      </c>
      <c r="O38" s="5">
        <f t="shared" si="3"/>
        <v>93791.463321600007</v>
      </c>
      <c r="P38" s="5">
        <f t="shared" si="4"/>
        <v>5030184.2697216002</v>
      </c>
    </row>
    <row r="39" spans="2:16" x14ac:dyDescent="0.25">
      <c r="B39" s="411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6">
        <f>+(((((1160000*8.8+0)*55.97%)/15*12)/30)*I39)*E39</f>
        <v>4570734.08</v>
      </c>
      <c r="K39" s="4">
        <v>0.08</v>
      </c>
      <c r="L39" s="5">
        <f t="shared" si="0"/>
        <v>365658.72639999999</v>
      </c>
      <c r="M39" s="5">
        <f t="shared" si="1"/>
        <v>4936392.8064000001</v>
      </c>
      <c r="N39" s="5">
        <f t="shared" si="2"/>
        <v>493639.28064000001</v>
      </c>
      <c r="O39" s="5">
        <f t="shared" si="3"/>
        <v>93791.463321600007</v>
      </c>
      <c r="P39" s="5">
        <f t="shared" si="4"/>
        <v>5030184.2697216002</v>
      </c>
    </row>
    <row r="40" spans="2:16" x14ac:dyDescent="0.25">
      <c r="B40" s="411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3">
        <f>+(((1160000*8.8+0)/30)*I40)*E40</f>
        <v>10208000</v>
      </c>
      <c r="K40" s="4">
        <v>0.08</v>
      </c>
      <c r="L40" s="5">
        <f t="shared" si="0"/>
        <v>816640</v>
      </c>
      <c r="M40" s="5">
        <f t="shared" si="1"/>
        <v>11024640</v>
      </c>
      <c r="N40" s="5">
        <f t="shared" si="2"/>
        <v>1102464</v>
      </c>
      <c r="O40" s="5">
        <f t="shared" si="3"/>
        <v>209468.16</v>
      </c>
      <c r="P40" s="5">
        <f t="shared" si="4"/>
        <v>11234108.16</v>
      </c>
    </row>
    <row r="41" spans="2:16" x14ac:dyDescent="0.25">
      <c r="B41" s="412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6">
        <f>+(((((1160000*8.8+0)*55.97%)/15*12)/30)*I41)*E41</f>
        <v>4570734.08</v>
      </c>
      <c r="K41" s="4">
        <v>0.08</v>
      </c>
      <c r="L41" s="5">
        <f t="shared" si="0"/>
        <v>365658.72639999999</v>
      </c>
      <c r="M41" s="5">
        <f t="shared" si="1"/>
        <v>4936392.8064000001</v>
      </c>
      <c r="N41" s="5">
        <f t="shared" si="2"/>
        <v>493639.28064000001</v>
      </c>
      <c r="O41" s="5">
        <f t="shared" si="3"/>
        <v>93791.463321600007</v>
      </c>
      <c r="P41" s="5">
        <f t="shared" si="4"/>
        <v>5030184.2697216002</v>
      </c>
    </row>
    <row r="42" spans="2:16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1">
        <f>SUM(J8:J41)</f>
        <v>220005020.92800003</v>
      </c>
      <c r="K42" s="103"/>
      <c r="L42" s="101">
        <f>SUM(L8:L41)</f>
        <v>17600401.674239997</v>
      </c>
      <c r="M42" s="101">
        <f>SUM(M8:M41)</f>
        <v>237605422.60223997</v>
      </c>
      <c r="N42" s="101">
        <f>SUM(N8:N41)</f>
        <v>23760542.260223992</v>
      </c>
      <c r="O42" s="101">
        <f>SUM(O8:O41)</f>
        <v>4514503.0294425618</v>
      </c>
      <c r="P42" s="101">
        <f>SUM(P8:P41)</f>
        <v>242119925.63168249</v>
      </c>
    </row>
    <row r="43" spans="2:16" ht="15" customHeight="1" x14ac:dyDescent="0.25">
      <c r="B43" s="398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3">
        <f t="shared" ref="J43:J51" si="5">+(((1160000*8.8+0)/30)*I43)*E43</f>
        <v>10208000</v>
      </c>
      <c r="K43" s="4">
        <v>0.08</v>
      </c>
      <c r="L43" s="5">
        <f t="shared" ref="L43:L106" si="6">J43*K43</f>
        <v>816640</v>
      </c>
      <c r="M43" s="5">
        <f t="shared" ref="M43:M106" si="7">J43+L43</f>
        <v>11024640</v>
      </c>
      <c r="N43" s="5">
        <f t="shared" ref="N43:N84" si="8">M43*10%</f>
        <v>1102464</v>
      </c>
      <c r="O43" s="5">
        <f t="shared" ref="O43:O84" si="9">+N43*19%</f>
        <v>209468.16</v>
      </c>
      <c r="P43" s="5">
        <f t="shared" ref="P43:P84" si="10">M43+O43</f>
        <v>11234108.16</v>
      </c>
    </row>
    <row r="44" spans="2:16" x14ac:dyDescent="0.25">
      <c r="B44" s="399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3">
        <f t="shared" si="5"/>
        <v>10208000</v>
      </c>
      <c r="K44" s="4">
        <v>0.08</v>
      </c>
      <c r="L44" s="5">
        <f t="shared" si="6"/>
        <v>816640</v>
      </c>
      <c r="M44" s="5">
        <f t="shared" si="7"/>
        <v>11024640</v>
      </c>
      <c r="N44" s="5">
        <f t="shared" si="8"/>
        <v>1102464</v>
      </c>
      <c r="O44" s="5">
        <f t="shared" si="9"/>
        <v>209468.16</v>
      </c>
      <c r="P44" s="5">
        <f t="shared" si="10"/>
        <v>11234108.16</v>
      </c>
    </row>
    <row r="45" spans="2:16" x14ac:dyDescent="0.25">
      <c r="B45" s="399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3">
        <f t="shared" si="5"/>
        <v>10208000</v>
      </c>
      <c r="K45" s="4">
        <v>0.08</v>
      </c>
      <c r="L45" s="5">
        <f t="shared" si="6"/>
        <v>816640</v>
      </c>
      <c r="M45" s="5">
        <f t="shared" si="7"/>
        <v>11024640</v>
      </c>
      <c r="N45" s="5">
        <f t="shared" si="8"/>
        <v>1102464</v>
      </c>
      <c r="O45" s="5">
        <f t="shared" si="9"/>
        <v>209468.16</v>
      </c>
      <c r="P45" s="5">
        <f t="shared" si="10"/>
        <v>11234108.16</v>
      </c>
    </row>
    <row r="46" spans="2:16" x14ac:dyDescent="0.25">
      <c r="B46" s="399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3">
        <f t="shared" si="5"/>
        <v>10208000</v>
      </c>
      <c r="K46" s="4">
        <v>0.08</v>
      </c>
      <c r="L46" s="5">
        <f t="shared" si="6"/>
        <v>816640</v>
      </c>
      <c r="M46" s="5">
        <f t="shared" si="7"/>
        <v>11024640</v>
      </c>
      <c r="N46" s="5">
        <f t="shared" si="8"/>
        <v>1102464</v>
      </c>
      <c r="O46" s="5">
        <f t="shared" si="9"/>
        <v>209468.16</v>
      </c>
      <c r="P46" s="5">
        <f t="shared" si="10"/>
        <v>11234108.16</v>
      </c>
    </row>
    <row r="47" spans="2:16" x14ac:dyDescent="0.25">
      <c r="B47" s="399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3">
        <f t="shared" si="5"/>
        <v>10208000</v>
      </c>
      <c r="K47" s="4">
        <v>0.08</v>
      </c>
      <c r="L47" s="5">
        <f t="shared" si="6"/>
        <v>816640</v>
      </c>
      <c r="M47" s="5">
        <f t="shared" si="7"/>
        <v>11024640</v>
      </c>
      <c r="N47" s="5">
        <f t="shared" si="8"/>
        <v>1102464</v>
      </c>
      <c r="O47" s="5">
        <f t="shared" si="9"/>
        <v>209468.16</v>
      </c>
      <c r="P47" s="5">
        <f t="shared" si="10"/>
        <v>11234108.16</v>
      </c>
    </row>
    <row r="48" spans="2:16" x14ac:dyDescent="0.25">
      <c r="B48" s="399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3">
        <f t="shared" si="5"/>
        <v>10208000</v>
      </c>
      <c r="K48" s="4">
        <v>0.08</v>
      </c>
      <c r="L48" s="5">
        <f t="shared" si="6"/>
        <v>816640</v>
      </c>
      <c r="M48" s="5">
        <f t="shared" si="7"/>
        <v>11024640</v>
      </c>
      <c r="N48" s="5">
        <f t="shared" si="8"/>
        <v>1102464</v>
      </c>
      <c r="O48" s="5">
        <f t="shared" si="9"/>
        <v>209468.16</v>
      </c>
      <c r="P48" s="5">
        <f t="shared" si="10"/>
        <v>11234108.16</v>
      </c>
    </row>
    <row r="49" spans="2:17" x14ac:dyDescent="0.25">
      <c r="B49" s="399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3">
        <f t="shared" si="5"/>
        <v>10208000</v>
      </c>
      <c r="K49" s="4">
        <v>0.08</v>
      </c>
      <c r="L49" s="5">
        <f t="shared" si="6"/>
        <v>816640</v>
      </c>
      <c r="M49" s="5">
        <f t="shared" si="7"/>
        <v>11024640</v>
      </c>
      <c r="N49" s="5">
        <f t="shared" si="8"/>
        <v>1102464</v>
      </c>
      <c r="O49" s="5">
        <f t="shared" si="9"/>
        <v>209468.16</v>
      </c>
      <c r="P49" s="5">
        <f t="shared" si="10"/>
        <v>11234108.16</v>
      </c>
    </row>
    <row r="50" spans="2:17" x14ac:dyDescent="0.25">
      <c r="B50" s="399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3">
        <f t="shared" si="5"/>
        <v>10208000</v>
      </c>
      <c r="K50" s="4">
        <v>0.08</v>
      </c>
      <c r="L50" s="5">
        <f t="shared" si="6"/>
        <v>816640</v>
      </c>
      <c r="M50" s="5">
        <f t="shared" si="7"/>
        <v>11024640</v>
      </c>
      <c r="N50" s="5">
        <f t="shared" si="8"/>
        <v>1102464</v>
      </c>
      <c r="O50" s="5">
        <f t="shared" si="9"/>
        <v>209468.16</v>
      </c>
      <c r="P50" s="5">
        <f t="shared" si="10"/>
        <v>11234108.16</v>
      </c>
    </row>
    <row r="51" spans="2:17" x14ac:dyDescent="0.25">
      <c r="B51" s="399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3">
        <f t="shared" si="5"/>
        <v>10208000</v>
      </c>
      <c r="K51" s="4">
        <v>0.08</v>
      </c>
      <c r="L51" s="5">
        <f t="shared" si="6"/>
        <v>816640</v>
      </c>
      <c r="M51" s="5">
        <f t="shared" si="7"/>
        <v>11024640</v>
      </c>
      <c r="N51" s="5">
        <f t="shared" si="8"/>
        <v>1102464</v>
      </c>
      <c r="O51" s="5">
        <f t="shared" si="9"/>
        <v>209468.16</v>
      </c>
      <c r="P51" s="5">
        <f t="shared" si="10"/>
        <v>11234108.16</v>
      </c>
    </row>
    <row r="52" spans="2:17" x14ac:dyDescent="0.25">
      <c r="B52" s="399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6">
        <f>+(((((1160000*8.8+0)*55.97%)/15*12)/30)*I52)*E52</f>
        <v>3656587.2639999995</v>
      </c>
      <c r="K52" s="4">
        <v>0.08</v>
      </c>
      <c r="L52" s="5">
        <f t="shared" si="6"/>
        <v>292526.98111999995</v>
      </c>
      <c r="M52" s="5">
        <f t="shared" si="7"/>
        <v>3949114.2451199996</v>
      </c>
      <c r="N52" s="5">
        <f t="shared" si="8"/>
        <v>394911.424512</v>
      </c>
      <c r="O52" s="5">
        <f t="shared" si="9"/>
        <v>75033.170657280003</v>
      </c>
      <c r="P52" s="5">
        <f t="shared" si="10"/>
        <v>4024147.4157772795</v>
      </c>
    </row>
    <row r="53" spans="2:17" x14ac:dyDescent="0.25">
      <c r="B53" s="399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6">
        <f>+(((((1160000*8.8+0)*55.97%)/15*12)/30)*I53)*E53</f>
        <v>3656587.2639999995</v>
      </c>
      <c r="K53" s="4">
        <v>0.08</v>
      </c>
      <c r="L53" s="5">
        <f t="shared" si="6"/>
        <v>292526.98111999995</v>
      </c>
      <c r="M53" s="5">
        <f t="shared" si="7"/>
        <v>3949114.2451199996</v>
      </c>
      <c r="N53" s="5">
        <f t="shared" si="8"/>
        <v>394911.424512</v>
      </c>
      <c r="O53" s="5">
        <f t="shared" si="9"/>
        <v>75033.170657280003</v>
      </c>
      <c r="P53" s="5">
        <f t="shared" si="10"/>
        <v>4024147.4157772795</v>
      </c>
    </row>
    <row r="54" spans="2:17" ht="15" customHeight="1" x14ac:dyDescent="0.25">
      <c r="B54" s="399"/>
      <c r="C54" s="18" t="s">
        <v>14</v>
      </c>
      <c r="D54" s="405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3">
        <f>+(((1160000*8.8+0)/30)*I54)*E54</f>
        <v>10208000</v>
      </c>
      <c r="K54" s="4">
        <v>0.08</v>
      </c>
      <c r="L54" s="5">
        <f t="shared" si="6"/>
        <v>816640</v>
      </c>
      <c r="M54" s="5">
        <f t="shared" si="7"/>
        <v>11024640</v>
      </c>
      <c r="N54" s="5">
        <f t="shared" si="8"/>
        <v>1102464</v>
      </c>
      <c r="O54" s="5">
        <f t="shared" si="9"/>
        <v>209468.16</v>
      </c>
      <c r="P54" s="5">
        <f t="shared" si="10"/>
        <v>11234108.16</v>
      </c>
    </row>
    <row r="55" spans="2:17" x14ac:dyDescent="0.25">
      <c r="B55" s="399"/>
      <c r="C55" s="18" t="s">
        <v>14</v>
      </c>
      <c r="D55" s="406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6">
        <f>+(((((1160000*8.8+0)*55.97%)/15*12)/30)*I55)*E55</f>
        <v>4570734.08</v>
      </c>
      <c r="K55" s="4">
        <v>0.08</v>
      </c>
      <c r="L55" s="5">
        <f t="shared" si="6"/>
        <v>365658.72639999999</v>
      </c>
      <c r="M55" s="5">
        <f t="shared" si="7"/>
        <v>4936392.8064000001</v>
      </c>
      <c r="N55" s="5">
        <f t="shared" si="8"/>
        <v>493639.28064000001</v>
      </c>
      <c r="O55" s="5">
        <f t="shared" si="9"/>
        <v>93791.463321600007</v>
      </c>
      <c r="P55" s="5">
        <f t="shared" si="10"/>
        <v>5030184.2697216002</v>
      </c>
    </row>
    <row r="56" spans="2:17" x14ac:dyDescent="0.25">
      <c r="B56" s="399"/>
      <c r="C56" s="18" t="s">
        <v>14</v>
      </c>
      <c r="D56" s="405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3">
        <f>+(((1160000*8.8+0)/30)*I56)*E56</f>
        <v>10208000</v>
      </c>
      <c r="K56" s="4">
        <v>0.08</v>
      </c>
      <c r="L56" s="5">
        <f t="shared" si="6"/>
        <v>816640</v>
      </c>
      <c r="M56" s="5">
        <f t="shared" si="7"/>
        <v>11024640</v>
      </c>
      <c r="N56" s="5">
        <f t="shared" si="8"/>
        <v>1102464</v>
      </c>
      <c r="O56" s="5">
        <f t="shared" si="9"/>
        <v>209468.16</v>
      </c>
      <c r="P56" s="5">
        <f t="shared" si="10"/>
        <v>11234108.16</v>
      </c>
    </row>
    <row r="57" spans="2:17" x14ac:dyDescent="0.25">
      <c r="B57" s="399"/>
      <c r="C57" s="18" t="s">
        <v>14</v>
      </c>
      <c r="D57" s="406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6">
        <f>+(((((1160000*8.8+0)*55.97%)/15*12)/30)*I57)*E57</f>
        <v>4570734.08</v>
      </c>
      <c r="K57" s="4">
        <v>0.08</v>
      </c>
      <c r="L57" s="5">
        <f t="shared" si="6"/>
        <v>365658.72639999999</v>
      </c>
      <c r="M57" s="5">
        <f t="shared" si="7"/>
        <v>4936392.8064000001</v>
      </c>
      <c r="N57" s="5">
        <f t="shared" si="8"/>
        <v>493639.28064000001</v>
      </c>
      <c r="O57" s="5">
        <f t="shared" si="9"/>
        <v>93791.463321600007</v>
      </c>
      <c r="P57" s="5">
        <f t="shared" si="10"/>
        <v>5030184.2697216002</v>
      </c>
    </row>
    <row r="58" spans="2:17" x14ac:dyDescent="0.25">
      <c r="B58" s="399"/>
      <c r="C58" s="18" t="s">
        <v>14</v>
      </c>
      <c r="D58" s="405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3">
        <f>+(((1160000*8.8+0)/30)*I58)*E58</f>
        <v>10208000</v>
      </c>
      <c r="K58" s="4">
        <v>0.08</v>
      </c>
      <c r="L58" s="5">
        <f t="shared" si="6"/>
        <v>816640</v>
      </c>
      <c r="M58" s="5">
        <f t="shared" si="7"/>
        <v>11024640</v>
      </c>
      <c r="N58" s="5">
        <f t="shared" si="8"/>
        <v>1102464</v>
      </c>
      <c r="O58" s="5">
        <f t="shared" si="9"/>
        <v>209468.16</v>
      </c>
      <c r="P58" s="5">
        <f t="shared" si="10"/>
        <v>11234108.16</v>
      </c>
    </row>
    <row r="59" spans="2:17" x14ac:dyDescent="0.25">
      <c r="B59" s="399"/>
      <c r="C59" s="18" t="s">
        <v>14</v>
      </c>
      <c r="D59" s="406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6">
        <f>+(((((1160000*8.8+0)*55.97%)/15*12)/30)*I59)*E59</f>
        <v>4570734.08</v>
      </c>
      <c r="K59" s="4">
        <v>0.08</v>
      </c>
      <c r="L59" s="5">
        <f t="shared" si="6"/>
        <v>365658.72639999999</v>
      </c>
      <c r="M59" s="5">
        <f t="shared" si="7"/>
        <v>4936392.8064000001</v>
      </c>
      <c r="N59" s="5">
        <f t="shared" si="8"/>
        <v>493639.28064000001</v>
      </c>
      <c r="O59" s="5">
        <f t="shared" si="9"/>
        <v>93791.463321600007</v>
      </c>
      <c r="P59" s="5">
        <f t="shared" si="10"/>
        <v>5030184.2697216002</v>
      </c>
    </row>
    <row r="60" spans="2:17" x14ac:dyDescent="0.25">
      <c r="B60" s="399"/>
      <c r="C60" s="18" t="s">
        <v>14</v>
      </c>
      <c r="D60" s="405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3">
        <f>+(((1160000*8.8+0)/30)*I60)*E60</f>
        <v>10208000</v>
      </c>
      <c r="K60" s="4">
        <v>0.08</v>
      </c>
      <c r="L60" s="5">
        <f t="shared" si="6"/>
        <v>816640</v>
      </c>
      <c r="M60" s="5">
        <f t="shared" si="7"/>
        <v>11024640</v>
      </c>
      <c r="N60" s="5">
        <f t="shared" si="8"/>
        <v>1102464</v>
      </c>
      <c r="O60" s="5">
        <f t="shared" si="9"/>
        <v>209468.16</v>
      </c>
      <c r="P60" s="5">
        <f t="shared" si="10"/>
        <v>11234108.16</v>
      </c>
    </row>
    <row r="61" spans="2:17" x14ac:dyDescent="0.25">
      <c r="B61" s="399"/>
      <c r="C61" s="18" t="s">
        <v>14</v>
      </c>
      <c r="D61" s="406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6">
        <f>+(((((1160000*8.8+0)*55.97%)/15*12)/30)*I61)*E61</f>
        <v>4570734.08</v>
      </c>
      <c r="K61" s="4">
        <v>0.08</v>
      </c>
      <c r="L61" s="5">
        <f t="shared" si="6"/>
        <v>365658.72639999999</v>
      </c>
      <c r="M61" s="5">
        <f t="shared" si="7"/>
        <v>4936392.8064000001</v>
      </c>
      <c r="N61" s="5">
        <f t="shared" si="8"/>
        <v>493639.28064000001</v>
      </c>
      <c r="O61" s="5">
        <f t="shared" si="9"/>
        <v>93791.463321600007</v>
      </c>
      <c r="P61" s="5">
        <f t="shared" si="10"/>
        <v>5030184.2697216002</v>
      </c>
      <c r="Q61" s="15"/>
    </row>
    <row r="62" spans="2:17" x14ac:dyDescent="0.25">
      <c r="B62" s="399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3">
        <f>+(((1160000*8.8+0)/30)*I62)*E62</f>
        <v>10208000</v>
      </c>
      <c r="K62" s="4">
        <v>0.08</v>
      </c>
      <c r="L62" s="5">
        <f t="shared" si="6"/>
        <v>816640</v>
      </c>
      <c r="M62" s="5">
        <f t="shared" si="7"/>
        <v>11024640</v>
      </c>
      <c r="N62" s="5">
        <f t="shared" si="8"/>
        <v>1102464</v>
      </c>
      <c r="O62" s="5">
        <f t="shared" si="9"/>
        <v>209468.16</v>
      </c>
      <c r="P62" s="5">
        <f t="shared" si="10"/>
        <v>11234108.16</v>
      </c>
    </row>
    <row r="63" spans="2:17" x14ac:dyDescent="0.25">
      <c r="B63" s="399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6">
        <f>+(((((1160000*8.8+0)*55.97%)/15*12)/30)*I63)*E63</f>
        <v>4570734.08</v>
      </c>
      <c r="K63" s="4">
        <v>0.08</v>
      </c>
      <c r="L63" s="5">
        <f t="shared" si="6"/>
        <v>365658.72639999999</v>
      </c>
      <c r="M63" s="5">
        <f t="shared" si="7"/>
        <v>4936392.8064000001</v>
      </c>
      <c r="N63" s="5">
        <f t="shared" si="8"/>
        <v>493639.28064000001</v>
      </c>
      <c r="O63" s="5">
        <f t="shared" si="9"/>
        <v>93791.463321600007</v>
      </c>
      <c r="P63" s="5">
        <f t="shared" si="10"/>
        <v>5030184.2697216002</v>
      </c>
    </row>
    <row r="64" spans="2:17" x14ac:dyDescent="0.25">
      <c r="B64" s="399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3">
        <f t="shared" ref="J64:J69" si="11">+(((1160000*8.8+0)/30)*I64)*E64</f>
        <v>10208000</v>
      </c>
      <c r="K64" s="4">
        <v>0.08</v>
      </c>
      <c r="L64" s="5">
        <f t="shared" si="6"/>
        <v>816640</v>
      </c>
      <c r="M64" s="5">
        <f t="shared" si="7"/>
        <v>11024640</v>
      </c>
      <c r="N64" s="5">
        <f t="shared" si="8"/>
        <v>1102464</v>
      </c>
      <c r="O64" s="5">
        <f t="shared" si="9"/>
        <v>209468.16</v>
      </c>
      <c r="P64" s="5">
        <f t="shared" si="10"/>
        <v>11234108.16</v>
      </c>
    </row>
    <row r="65" spans="2:17" x14ac:dyDescent="0.25">
      <c r="B65" s="399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3">
        <f t="shared" si="11"/>
        <v>20416000</v>
      </c>
      <c r="K65" s="4">
        <v>0.08</v>
      </c>
      <c r="L65" s="5">
        <f t="shared" si="6"/>
        <v>1633280</v>
      </c>
      <c r="M65" s="5">
        <f t="shared" si="7"/>
        <v>22049280</v>
      </c>
      <c r="N65" s="5">
        <f t="shared" si="8"/>
        <v>2204928</v>
      </c>
      <c r="O65" s="5">
        <f t="shared" si="9"/>
        <v>418936.32000000001</v>
      </c>
      <c r="P65" s="5">
        <f t="shared" si="10"/>
        <v>22468216.32</v>
      </c>
    </row>
    <row r="66" spans="2:17" x14ac:dyDescent="0.25">
      <c r="B66" s="399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3">
        <f t="shared" si="11"/>
        <v>10208000</v>
      </c>
      <c r="K66" s="4">
        <v>0.08</v>
      </c>
      <c r="L66" s="5">
        <f t="shared" si="6"/>
        <v>816640</v>
      </c>
      <c r="M66" s="5">
        <f t="shared" si="7"/>
        <v>11024640</v>
      </c>
      <c r="N66" s="5">
        <f t="shared" si="8"/>
        <v>1102464</v>
      </c>
      <c r="O66" s="5">
        <f t="shared" si="9"/>
        <v>209468.16</v>
      </c>
      <c r="P66" s="5">
        <f t="shared" si="10"/>
        <v>11234108.16</v>
      </c>
    </row>
    <row r="67" spans="2:17" x14ac:dyDescent="0.25">
      <c r="B67" s="399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3">
        <f t="shared" si="11"/>
        <v>10208000</v>
      </c>
      <c r="K67" s="4">
        <v>0.08</v>
      </c>
      <c r="L67" s="5">
        <f t="shared" si="6"/>
        <v>816640</v>
      </c>
      <c r="M67" s="5">
        <f t="shared" si="7"/>
        <v>11024640</v>
      </c>
      <c r="N67" s="5">
        <f t="shared" si="8"/>
        <v>1102464</v>
      </c>
      <c r="O67" s="5">
        <f t="shared" si="9"/>
        <v>209468.16</v>
      </c>
      <c r="P67" s="5">
        <f t="shared" si="10"/>
        <v>11234108.16</v>
      </c>
    </row>
    <row r="68" spans="2:17" x14ac:dyDescent="0.25">
      <c r="B68" s="399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3">
        <f t="shared" si="11"/>
        <v>10208000</v>
      </c>
      <c r="K68" s="4">
        <v>0.08</v>
      </c>
      <c r="L68" s="5">
        <f t="shared" si="6"/>
        <v>816640</v>
      </c>
      <c r="M68" s="5">
        <f t="shared" si="7"/>
        <v>11024640</v>
      </c>
      <c r="N68" s="5">
        <f t="shared" si="8"/>
        <v>1102464</v>
      </c>
      <c r="O68" s="5">
        <f t="shared" si="9"/>
        <v>209468.16</v>
      </c>
      <c r="P68" s="5">
        <f t="shared" si="10"/>
        <v>11234108.16</v>
      </c>
    </row>
    <row r="69" spans="2:17" x14ac:dyDescent="0.25">
      <c r="B69" s="399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3">
        <f t="shared" si="11"/>
        <v>10208000</v>
      </c>
      <c r="K69" s="4">
        <v>0.08</v>
      </c>
      <c r="L69" s="5">
        <f t="shared" si="6"/>
        <v>816640</v>
      </c>
      <c r="M69" s="5">
        <f t="shared" si="7"/>
        <v>11024640</v>
      </c>
      <c r="N69" s="5">
        <f t="shared" si="8"/>
        <v>1102464</v>
      </c>
      <c r="O69" s="5">
        <f t="shared" si="9"/>
        <v>209468.16</v>
      </c>
      <c r="P69" s="5">
        <f t="shared" si="10"/>
        <v>11234108.16</v>
      </c>
    </row>
    <row r="70" spans="2:17" x14ac:dyDescent="0.25">
      <c r="B70" s="399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6">
        <f>+(((((1160000*8.8+0)*55.97%)/15*12)/30)*I70)*E70</f>
        <v>4570734.08</v>
      </c>
      <c r="K70" s="4">
        <v>0.08</v>
      </c>
      <c r="L70" s="5">
        <f t="shared" si="6"/>
        <v>365658.72639999999</v>
      </c>
      <c r="M70" s="5">
        <f t="shared" si="7"/>
        <v>4936392.8064000001</v>
      </c>
      <c r="N70" s="5">
        <f t="shared" si="8"/>
        <v>493639.28064000001</v>
      </c>
      <c r="O70" s="5">
        <f t="shared" si="9"/>
        <v>93791.463321600007</v>
      </c>
      <c r="P70" s="5">
        <f t="shared" si="10"/>
        <v>5030184.2697216002</v>
      </c>
    </row>
    <row r="71" spans="2:17" x14ac:dyDescent="0.25">
      <c r="B71" s="399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6">
        <f>+(((((1160000*8.8+0)*55.97%)/15*12)/30)*I71)*E71</f>
        <v>4570734.08</v>
      </c>
      <c r="K71" s="4">
        <v>0.08</v>
      </c>
      <c r="L71" s="5">
        <f t="shared" si="6"/>
        <v>365658.72639999999</v>
      </c>
      <c r="M71" s="5">
        <f t="shared" si="7"/>
        <v>4936392.8064000001</v>
      </c>
      <c r="N71" s="5">
        <f t="shared" si="8"/>
        <v>493639.28064000001</v>
      </c>
      <c r="O71" s="5">
        <f t="shared" si="9"/>
        <v>93791.463321600007</v>
      </c>
      <c r="P71" s="5">
        <f t="shared" si="10"/>
        <v>5030184.2697216002</v>
      </c>
    </row>
    <row r="72" spans="2:17" x14ac:dyDescent="0.25">
      <c r="B72" s="399"/>
      <c r="C72" s="18" t="s">
        <v>14</v>
      </c>
      <c r="D72" s="405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3">
        <f>+(((1160000*8.8+0)/30)*I72)*E72</f>
        <v>10208000</v>
      </c>
      <c r="K72" s="4">
        <v>0.08</v>
      </c>
      <c r="L72" s="5">
        <f t="shared" si="6"/>
        <v>816640</v>
      </c>
      <c r="M72" s="5">
        <f t="shared" si="7"/>
        <v>11024640</v>
      </c>
      <c r="N72" s="5">
        <f t="shared" si="8"/>
        <v>1102464</v>
      </c>
      <c r="O72" s="5">
        <f t="shared" si="9"/>
        <v>209468.16</v>
      </c>
      <c r="P72" s="5">
        <f t="shared" si="10"/>
        <v>11234108.16</v>
      </c>
    </row>
    <row r="73" spans="2:17" x14ac:dyDescent="0.25">
      <c r="B73" s="399"/>
      <c r="C73" s="18" t="s">
        <v>14</v>
      </c>
      <c r="D73" s="407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6">
        <f>+(((((1160000*8.8+0)*55.97%)/15*12)/30)*I73)*E73</f>
        <v>4570734.08</v>
      </c>
      <c r="K73" s="4">
        <v>0.08</v>
      </c>
      <c r="L73" s="5">
        <f t="shared" si="6"/>
        <v>365658.72639999999</v>
      </c>
      <c r="M73" s="5">
        <f t="shared" si="7"/>
        <v>4936392.8064000001</v>
      </c>
      <c r="N73" s="5">
        <f t="shared" si="8"/>
        <v>493639.28064000001</v>
      </c>
      <c r="O73" s="5">
        <f t="shared" si="9"/>
        <v>93791.463321600007</v>
      </c>
      <c r="P73" s="5">
        <f t="shared" si="10"/>
        <v>5030184.2697216002</v>
      </c>
    </row>
    <row r="74" spans="2:17" x14ac:dyDescent="0.25">
      <c r="B74" s="399"/>
      <c r="C74" s="18" t="s">
        <v>14</v>
      </c>
      <c r="D74" s="407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6">
        <f>+(((((1160000*8.8+0)*55.97%)/15*14)/30)*I74)*E74</f>
        <v>5332523.0933333328</v>
      </c>
      <c r="K74" s="4">
        <v>0.08</v>
      </c>
      <c r="L74" s="5">
        <f t="shared" si="6"/>
        <v>426601.84746666666</v>
      </c>
      <c r="M74" s="5">
        <f t="shared" si="7"/>
        <v>5759124.9407999991</v>
      </c>
      <c r="N74" s="5">
        <f t="shared" si="8"/>
        <v>575912.49407999997</v>
      </c>
      <c r="O74" s="5">
        <f t="shared" si="9"/>
        <v>109423.37387519999</v>
      </c>
      <c r="P74" s="5">
        <f t="shared" si="10"/>
        <v>5868548.3146751989</v>
      </c>
      <c r="Q74" s="15">
        <f>+M74-N74</f>
        <v>5183212.4467199994</v>
      </c>
    </row>
    <row r="75" spans="2:17" x14ac:dyDescent="0.25">
      <c r="B75" s="399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30">
        <f>+(((1160000*8.8+0)/30)*I75)*E75</f>
        <v>10208000</v>
      </c>
      <c r="K75" s="26">
        <v>0.08</v>
      </c>
      <c r="L75" s="27">
        <f t="shared" si="6"/>
        <v>816640</v>
      </c>
      <c r="M75" s="27">
        <f t="shared" si="7"/>
        <v>11024640</v>
      </c>
      <c r="N75" s="27">
        <f>M75*10%</f>
        <v>1102464</v>
      </c>
      <c r="O75" s="27">
        <f>+N75*19%</f>
        <v>209468.16</v>
      </c>
      <c r="P75" s="27">
        <f>M75+O75</f>
        <v>11234108.16</v>
      </c>
    </row>
    <row r="76" spans="2:17" x14ac:dyDescent="0.25">
      <c r="B76" s="399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30">
        <f>+(((1160000*8.8+0)/30)*I76)*E76</f>
        <v>10208000</v>
      </c>
      <c r="K76" s="26">
        <v>0.08</v>
      </c>
      <c r="L76" s="27">
        <f t="shared" si="6"/>
        <v>816640</v>
      </c>
      <c r="M76" s="27">
        <f t="shared" si="7"/>
        <v>11024640</v>
      </c>
      <c r="N76" s="27">
        <f>M76*10%</f>
        <v>1102464</v>
      </c>
      <c r="O76" s="27">
        <f>+N76*19%</f>
        <v>209468.16</v>
      </c>
      <c r="P76" s="27">
        <f>M76+O76</f>
        <v>11234108.16</v>
      </c>
    </row>
    <row r="77" spans="2:17" x14ac:dyDescent="0.25">
      <c r="B77" s="399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6">
        <f>+(((((1160000*8.8+0)*55.97%)/15*14)/30)*I77)*E77</f>
        <v>5332523.0933333328</v>
      </c>
      <c r="K77" s="4">
        <v>0.08</v>
      </c>
      <c r="L77" s="5">
        <f t="shared" si="6"/>
        <v>426601.84746666666</v>
      </c>
      <c r="M77" s="5">
        <f t="shared" si="7"/>
        <v>5759124.9407999991</v>
      </c>
      <c r="N77" s="5">
        <f t="shared" si="8"/>
        <v>575912.49407999997</v>
      </c>
      <c r="O77" s="5">
        <f t="shared" si="9"/>
        <v>109423.37387519999</v>
      </c>
      <c r="P77" s="5">
        <f t="shared" si="10"/>
        <v>5868548.3146751989</v>
      </c>
    </row>
    <row r="78" spans="2:17" x14ac:dyDescent="0.25">
      <c r="B78" s="399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3">
        <f>+(((1160000*8.8+0)/30)*I78)*E78</f>
        <v>10208000</v>
      </c>
      <c r="K78" s="4">
        <v>0.08</v>
      </c>
      <c r="L78" s="5">
        <f t="shared" si="6"/>
        <v>816640</v>
      </c>
      <c r="M78" s="5">
        <f t="shared" si="7"/>
        <v>11024640</v>
      </c>
      <c r="N78" s="5">
        <f>M78*10%</f>
        <v>1102464</v>
      </c>
      <c r="O78" s="5">
        <f>+N78*19%</f>
        <v>209468.16</v>
      </c>
      <c r="P78" s="5">
        <f>M78+O78</f>
        <v>11234108.16</v>
      </c>
    </row>
    <row r="79" spans="2:17" x14ac:dyDescent="0.25">
      <c r="B79" s="399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3">
        <f>+(((1160000*8.8+0)/30)*I79)*E79</f>
        <v>10208000</v>
      </c>
      <c r="K79" s="4">
        <v>0.08</v>
      </c>
      <c r="L79" s="5">
        <f t="shared" si="6"/>
        <v>816640</v>
      </c>
      <c r="M79" s="5">
        <f t="shared" si="7"/>
        <v>11024640</v>
      </c>
      <c r="N79" s="5">
        <f t="shared" si="8"/>
        <v>1102464</v>
      </c>
      <c r="O79" s="5">
        <f t="shared" si="9"/>
        <v>209468.16</v>
      </c>
      <c r="P79" s="5">
        <f t="shared" si="10"/>
        <v>11234108.16</v>
      </c>
    </row>
    <row r="80" spans="2:17" x14ac:dyDescent="0.25">
      <c r="B80" s="399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3">
        <f>+(((1160000*8.8+0)/30)*I80)*E80</f>
        <v>10208000</v>
      </c>
      <c r="K80" s="4">
        <v>0.08</v>
      </c>
      <c r="L80" s="5">
        <f t="shared" si="6"/>
        <v>816640</v>
      </c>
      <c r="M80" s="5">
        <f t="shared" si="7"/>
        <v>11024640</v>
      </c>
      <c r="N80" s="5">
        <f t="shared" si="8"/>
        <v>1102464</v>
      </c>
      <c r="O80" s="5">
        <f t="shared" si="9"/>
        <v>209468.16</v>
      </c>
      <c r="P80" s="5">
        <f t="shared" si="10"/>
        <v>11234108.16</v>
      </c>
    </row>
    <row r="81" spans="2:17" x14ac:dyDescent="0.25">
      <c r="B81" s="399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3">
        <f>+(((1160000*8.8+0)/30)*I81)*E81</f>
        <v>10208000</v>
      </c>
      <c r="K81" s="4">
        <v>0.08</v>
      </c>
      <c r="L81" s="5">
        <f t="shared" si="6"/>
        <v>816640</v>
      </c>
      <c r="M81" s="5">
        <f t="shared" si="7"/>
        <v>11024640</v>
      </c>
      <c r="N81" s="5">
        <f t="shared" si="8"/>
        <v>1102464</v>
      </c>
      <c r="O81" s="5">
        <f t="shared" si="9"/>
        <v>209468.16</v>
      </c>
      <c r="P81" s="5">
        <f t="shared" si="10"/>
        <v>11234108.16</v>
      </c>
    </row>
    <row r="82" spans="2:17" x14ac:dyDescent="0.25">
      <c r="B82" s="399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3">
        <f>+(((1160000*8.8+0)/30)*I82)*E82</f>
        <v>10208000</v>
      </c>
      <c r="K82" s="4">
        <v>0.08</v>
      </c>
      <c r="L82" s="5">
        <f t="shared" si="6"/>
        <v>816640</v>
      </c>
      <c r="M82" s="5">
        <f t="shared" si="7"/>
        <v>11024640</v>
      </c>
      <c r="N82" s="5">
        <f t="shared" si="8"/>
        <v>1102464</v>
      </c>
      <c r="O82" s="5">
        <f t="shared" si="9"/>
        <v>209468.16</v>
      </c>
      <c r="P82" s="5">
        <f t="shared" si="10"/>
        <v>11234108.16</v>
      </c>
      <c r="Q82" s="393"/>
    </row>
    <row r="83" spans="2:17" x14ac:dyDescent="0.25">
      <c r="B83" s="399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6">
        <f>+(((((1160000*8.8+0)*55.97%)/15*12)/30)*I83)*E83</f>
        <v>4570734.08</v>
      </c>
      <c r="K83" s="4">
        <v>0.08</v>
      </c>
      <c r="L83" s="5">
        <f t="shared" si="6"/>
        <v>365658.72639999999</v>
      </c>
      <c r="M83" s="5">
        <f t="shared" si="7"/>
        <v>4936392.8064000001</v>
      </c>
      <c r="N83" s="5">
        <f t="shared" si="8"/>
        <v>493639.28064000001</v>
      </c>
      <c r="O83" s="5">
        <f t="shared" si="9"/>
        <v>93791.463321600007</v>
      </c>
      <c r="P83" s="5">
        <f t="shared" si="10"/>
        <v>5030184.2697216002</v>
      </c>
      <c r="Q83" s="393"/>
    </row>
    <row r="84" spans="2:17" x14ac:dyDescent="0.25">
      <c r="B84" s="399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5">
        <f>+(((((1160000*8.8+0)*55.97%)/15*8)/30)*I84)*E84</f>
        <v>3047156.0533333332</v>
      </c>
      <c r="K84" s="26">
        <v>0.08</v>
      </c>
      <c r="L84" s="27">
        <f t="shared" si="6"/>
        <v>243772.48426666667</v>
      </c>
      <c r="M84" s="27">
        <f t="shared" si="7"/>
        <v>3290928.5375999999</v>
      </c>
      <c r="N84" s="27">
        <f t="shared" si="8"/>
        <v>329092.85376000003</v>
      </c>
      <c r="O84" s="27">
        <f t="shared" si="9"/>
        <v>62527.642214400003</v>
      </c>
      <c r="P84" s="27">
        <f t="shared" si="10"/>
        <v>3353456.1798144002</v>
      </c>
      <c r="Q84" s="15">
        <f>+M84-N84</f>
        <v>2961835.6838400001</v>
      </c>
    </row>
    <row r="85" spans="2:17" x14ac:dyDescent="0.25">
      <c r="B85" s="399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3">
        <f>+(((1160000*8.8+0)/30)*I85)*E85</f>
        <v>10208000</v>
      </c>
      <c r="K85" s="4">
        <v>0.08</v>
      </c>
      <c r="L85" s="5">
        <f t="shared" si="6"/>
        <v>816640</v>
      </c>
      <c r="M85" s="5">
        <f t="shared" si="7"/>
        <v>11024640</v>
      </c>
      <c r="N85" s="5">
        <f>M85*10%</f>
        <v>1102464</v>
      </c>
      <c r="O85" s="5">
        <f>+N85*19%</f>
        <v>209468.16</v>
      </c>
      <c r="P85" s="5">
        <f>M85+O85</f>
        <v>11234108.16</v>
      </c>
      <c r="Q85" s="41"/>
    </row>
    <row r="86" spans="2:17" ht="17.25" customHeight="1" x14ac:dyDescent="0.25">
      <c r="B86" s="399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3">
        <f>+(((1160000*8.8+0)/30)*I86)*E86</f>
        <v>10208000</v>
      </c>
      <c r="K86" s="4">
        <v>0.08</v>
      </c>
      <c r="L86" s="5">
        <f t="shared" si="6"/>
        <v>816640</v>
      </c>
      <c r="M86" s="5">
        <f t="shared" si="7"/>
        <v>11024640</v>
      </c>
      <c r="N86" s="5">
        <f>M86*10%</f>
        <v>1102464</v>
      </c>
      <c r="O86" s="5">
        <f>+N86*19%</f>
        <v>209468.16</v>
      </c>
      <c r="P86" s="5">
        <f>M86+O86</f>
        <v>11234108.16</v>
      </c>
    </row>
    <row r="87" spans="2:17" ht="17.25" customHeight="1" x14ac:dyDescent="0.25">
      <c r="B87" s="399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3">
        <f>+(((1160000*8.8+0)/30)*I87)*E87</f>
        <v>10208000</v>
      </c>
      <c r="K87" s="4">
        <v>0.08</v>
      </c>
      <c r="L87" s="5">
        <f t="shared" si="6"/>
        <v>816640</v>
      </c>
      <c r="M87" s="5">
        <f t="shared" si="7"/>
        <v>11024640</v>
      </c>
      <c r="N87" s="5">
        <f>M87*10%</f>
        <v>1102464</v>
      </c>
      <c r="O87" s="5">
        <f>+N87*19%</f>
        <v>209468.16</v>
      </c>
      <c r="P87" s="5">
        <f>M87+O87</f>
        <v>11234108.16</v>
      </c>
    </row>
    <row r="88" spans="2:17" ht="17.25" customHeight="1" x14ac:dyDescent="0.25">
      <c r="B88" s="399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5">
        <f>+(((((1160000*8.8+0)*55.97%)/15*12)/30)*I88)*E88</f>
        <v>4570734.08</v>
      </c>
      <c r="K88" s="26">
        <v>0.08</v>
      </c>
      <c r="L88" s="27">
        <f t="shared" si="6"/>
        <v>365658.72639999999</v>
      </c>
      <c r="M88" s="27">
        <f t="shared" si="7"/>
        <v>4936392.8064000001</v>
      </c>
      <c r="N88" s="27">
        <f t="shared" ref="N88" si="12">M88*10%</f>
        <v>493639.28064000001</v>
      </c>
      <c r="O88" s="27">
        <f t="shared" ref="O88" si="13">+N88*19%</f>
        <v>93791.463321600007</v>
      </c>
      <c r="P88" s="27">
        <f t="shared" ref="P88" si="14">M88+O88</f>
        <v>5030184.2697216002</v>
      </c>
    </row>
    <row r="89" spans="2:17" ht="17.25" customHeight="1" x14ac:dyDescent="0.25">
      <c r="B89" s="399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+(((((1160000*8.8+0)*55.97%)/15*12)/30)*I89)*E89</f>
        <v>2894798.2506666663</v>
      </c>
      <c r="K89" s="92">
        <v>0.08</v>
      </c>
      <c r="L89" s="93">
        <f t="shared" si="6"/>
        <v>231583.86005333331</v>
      </c>
      <c r="M89" s="93">
        <f t="shared" si="7"/>
        <v>3126382.1107199998</v>
      </c>
      <c r="N89" s="93">
        <f>M89*10%</f>
        <v>312638.21107199998</v>
      </c>
      <c r="O89" s="93">
        <f>+N89*19%</f>
        <v>59401.260103679997</v>
      </c>
      <c r="P89" s="93">
        <f>M89+O89</f>
        <v>3185783.37082368</v>
      </c>
    </row>
    <row r="90" spans="2:17" ht="17.25" customHeight="1" x14ac:dyDescent="0.25">
      <c r="B90" s="399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+(((((1160000*8.8+0)*55.97%)/15*12)/30)*I90)*E90</f>
        <v>3047156.0533333332</v>
      </c>
      <c r="K90" s="4">
        <v>0.08</v>
      </c>
      <c r="L90" s="5">
        <f t="shared" si="6"/>
        <v>243772.48426666667</v>
      </c>
      <c r="M90" s="5">
        <f t="shared" si="7"/>
        <v>3290928.5375999999</v>
      </c>
      <c r="N90" s="5">
        <f>M90*10%</f>
        <v>329092.85376000003</v>
      </c>
      <c r="O90" s="5">
        <f>+N90*19%</f>
        <v>62527.642214400003</v>
      </c>
      <c r="P90" s="5">
        <f>M90+O90</f>
        <v>3353456.1798144002</v>
      </c>
    </row>
    <row r="91" spans="2:17" ht="17.25" customHeight="1" x14ac:dyDescent="0.25">
      <c r="B91" s="399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5">
        <f>+(((((1160000*8.8+0)*55.97%)/15*12)/30)*I91)*E91</f>
        <v>3656587.2639999995</v>
      </c>
      <c r="K91" s="26">
        <v>0.08</v>
      </c>
      <c r="L91" s="27">
        <f t="shared" si="6"/>
        <v>292526.98111999995</v>
      </c>
      <c r="M91" s="27">
        <f t="shared" si="7"/>
        <v>3949114.2451199996</v>
      </c>
      <c r="N91" s="27">
        <f t="shared" ref="N91:N105" si="15">M91*10%</f>
        <v>394911.424512</v>
      </c>
      <c r="O91" s="27">
        <f t="shared" ref="O91:O105" si="16">+N91*19%</f>
        <v>75033.170657280003</v>
      </c>
      <c r="P91" s="27">
        <f t="shared" ref="P91:P105" si="17">M91+O91</f>
        <v>4024147.4157772795</v>
      </c>
      <c r="Q91" s="15"/>
    </row>
    <row r="92" spans="2:17" ht="17.25" customHeight="1" x14ac:dyDescent="0.25">
      <c r="B92" s="399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6">
        <f>+(((((1160000*8.8+0)*55.97%)/15*12)/30)*I92)*E92</f>
        <v>3047156.0533333332</v>
      </c>
      <c r="K92" s="4">
        <v>0.08</v>
      </c>
      <c r="L92" s="5">
        <f t="shared" si="6"/>
        <v>243772.48426666667</v>
      </c>
      <c r="M92" s="5">
        <f t="shared" si="7"/>
        <v>3290928.5375999999</v>
      </c>
      <c r="N92" s="5">
        <f t="shared" si="15"/>
        <v>329092.85376000003</v>
      </c>
      <c r="O92" s="5">
        <f t="shared" si="16"/>
        <v>62527.642214400003</v>
      </c>
      <c r="P92" s="5">
        <f t="shared" si="17"/>
        <v>3353456.1798144002</v>
      </c>
    </row>
    <row r="93" spans="2:17" ht="17.25" customHeight="1" x14ac:dyDescent="0.25">
      <c r="B93" s="399"/>
      <c r="C93" s="36" t="s">
        <v>14</v>
      </c>
      <c r="D93" s="394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3">
        <f>+(((1160000*8.8+0)/30)*I93)*E93</f>
        <v>10208000</v>
      </c>
      <c r="K93" s="4">
        <v>0.08</v>
      </c>
      <c r="L93" s="5">
        <f t="shared" si="6"/>
        <v>816640</v>
      </c>
      <c r="M93" s="5">
        <f t="shared" si="7"/>
        <v>11024640</v>
      </c>
      <c r="N93" s="5">
        <f t="shared" si="15"/>
        <v>1102464</v>
      </c>
      <c r="O93" s="5">
        <f t="shared" si="16"/>
        <v>209468.16</v>
      </c>
      <c r="P93" s="5">
        <f t="shared" si="17"/>
        <v>11234108.16</v>
      </c>
    </row>
    <row r="94" spans="2:17" ht="17.25" customHeight="1" x14ac:dyDescent="0.25">
      <c r="B94" s="399"/>
      <c r="C94" s="36" t="s">
        <v>14</v>
      </c>
      <c r="D94" s="395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6">
        <f>+(((((1160000*8.8+0)*55.97%)/15*8)/30)*I94)*E94</f>
        <v>2437724.8426666665</v>
      </c>
      <c r="K94" s="4">
        <v>0.08</v>
      </c>
      <c r="L94" s="5">
        <f t="shared" si="6"/>
        <v>195017.98741333332</v>
      </c>
      <c r="M94" s="5">
        <f t="shared" si="7"/>
        <v>2632742.8300799998</v>
      </c>
      <c r="N94" s="5">
        <f t="shared" si="15"/>
        <v>263274.283008</v>
      </c>
      <c r="O94" s="5">
        <f t="shared" si="16"/>
        <v>50022.113771520002</v>
      </c>
      <c r="P94" s="5">
        <f t="shared" si="17"/>
        <v>2682764.9438515198</v>
      </c>
      <c r="Q94" s="15">
        <f>+M94-N94</f>
        <v>2369468.5470719999</v>
      </c>
    </row>
    <row r="95" spans="2:17" ht="17.25" customHeight="1" x14ac:dyDescent="0.25">
      <c r="B95" s="399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3">
        <f t="shared" ref="J95:J101" si="18">+(((1160000*8.8+0)/30)*I95)*E95</f>
        <v>10208000</v>
      </c>
      <c r="K95" s="4">
        <v>0.08</v>
      </c>
      <c r="L95" s="5">
        <f t="shared" si="6"/>
        <v>816640</v>
      </c>
      <c r="M95" s="5">
        <f t="shared" si="7"/>
        <v>11024640</v>
      </c>
      <c r="N95" s="5">
        <f t="shared" si="15"/>
        <v>1102464</v>
      </c>
      <c r="O95" s="5">
        <f t="shared" si="16"/>
        <v>209468.16</v>
      </c>
      <c r="P95" s="5">
        <f t="shared" si="17"/>
        <v>11234108.16</v>
      </c>
    </row>
    <row r="96" spans="2:17" ht="17.25" customHeight="1" x14ac:dyDescent="0.25">
      <c r="B96" s="399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3">
        <f t="shared" si="18"/>
        <v>10208000</v>
      </c>
      <c r="K96" s="4">
        <v>0.08</v>
      </c>
      <c r="L96" s="5">
        <f t="shared" si="6"/>
        <v>816640</v>
      </c>
      <c r="M96" s="5">
        <f t="shared" si="7"/>
        <v>11024640</v>
      </c>
      <c r="N96" s="5">
        <f t="shared" si="15"/>
        <v>1102464</v>
      </c>
      <c r="O96" s="5">
        <f t="shared" si="16"/>
        <v>209468.16</v>
      </c>
      <c r="P96" s="5">
        <f t="shared" si="17"/>
        <v>11234108.16</v>
      </c>
    </row>
    <row r="97" spans="2:18" ht="17.25" customHeight="1" x14ac:dyDescent="0.25">
      <c r="B97" s="399"/>
      <c r="C97" s="36" t="s">
        <v>14</v>
      </c>
      <c r="D97" s="396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3">
        <f t="shared" si="18"/>
        <v>10208000</v>
      </c>
      <c r="K97" s="4">
        <v>0.08</v>
      </c>
      <c r="L97" s="5">
        <f t="shared" si="6"/>
        <v>816640</v>
      </c>
      <c r="M97" s="5">
        <f t="shared" si="7"/>
        <v>11024640</v>
      </c>
      <c r="N97" s="5">
        <f t="shared" si="15"/>
        <v>1102464</v>
      </c>
      <c r="O97" s="5">
        <f t="shared" si="16"/>
        <v>209468.16</v>
      </c>
      <c r="P97" s="5">
        <f t="shared" si="17"/>
        <v>11234108.16</v>
      </c>
    </row>
    <row r="98" spans="2:18" ht="17.25" customHeight="1" x14ac:dyDescent="0.25">
      <c r="B98" s="399"/>
      <c r="C98" s="37" t="s">
        <v>14</v>
      </c>
      <c r="D98" s="397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30">
        <f t="shared" si="18"/>
        <v>10208000</v>
      </c>
      <c r="K98" s="26">
        <v>0.08</v>
      </c>
      <c r="L98" s="27">
        <f t="shared" si="6"/>
        <v>816640</v>
      </c>
      <c r="M98" s="27">
        <f t="shared" si="7"/>
        <v>11024640</v>
      </c>
      <c r="N98" s="27">
        <f t="shared" si="15"/>
        <v>1102464</v>
      </c>
      <c r="O98" s="27">
        <f t="shared" si="16"/>
        <v>209468.16</v>
      </c>
      <c r="P98" s="27">
        <f t="shared" si="17"/>
        <v>11234108.16</v>
      </c>
    </row>
    <row r="99" spans="2:18" ht="17.25" customHeight="1" x14ac:dyDescent="0.25">
      <c r="B99" s="399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3">
        <f t="shared" si="18"/>
        <v>10208000</v>
      </c>
      <c r="K99" s="4">
        <v>0.08</v>
      </c>
      <c r="L99" s="5">
        <f t="shared" si="6"/>
        <v>816640</v>
      </c>
      <c r="M99" s="5">
        <f t="shared" si="7"/>
        <v>11024640</v>
      </c>
      <c r="N99" s="5">
        <f t="shared" si="15"/>
        <v>1102464</v>
      </c>
      <c r="O99" s="5">
        <f t="shared" si="16"/>
        <v>209468.16</v>
      </c>
      <c r="P99" s="5">
        <f t="shared" si="17"/>
        <v>11234108.16</v>
      </c>
    </row>
    <row r="100" spans="2:18" ht="17.25" customHeight="1" x14ac:dyDescent="0.25">
      <c r="B100" s="399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30">
        <f t="shared" si="18"/>
        <v>10208000</v>
      </c>
      <c r="K100" s="26">
        <v>0.08</v>
      </c>
      <c r="L100" s="27">
        <f t="shared" si="6"/>
        <v>816640</v>
      </c>
      <c r="M100" s="27">
        <f t="shared" si="7"/>
        <v>11024640</v>
      </c>
      <c r="N100" s="27">
        <f t="shared" si="15"/>
        <v>1102464</v>
      </c>
      <c r="O100" s="27">
        <f t="shared" si="16"/>
        <v>209468.16</v>
      </c>
      <c r="P100" s="27">
        <f t="shared" si="17"/>
        <v>11234108.16</v>
      </c>
    </row>
    <row r="101" spans="2:18" ht="17.25" customHeight="1" x14ac:dyDescent="0.25">
      <c r="B101" s="399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30">
        <f t="shared" si="18"/>
        <v>10208000</v>
      </c>
      <c r="K101" s="26">
        <v>0.08</v>
      </c>
      <c r="L101" s="27">
        <f t="shared" si="6"/>
        <v>816640</v>
      </c>
      <c r="M101" s="27">
        <f t="shared" si="7"/>
        <v>11024640</v>
      </c>
      <c r="N101" s="27">
        <f t="shared" si="15"/>
        <v>1102464</v>
      </c>
      <c r="O101" s="27">
        <f t="shared" si="16"/>
        <v>209468.16</v>
      </c>
      <c r="P101" s="27">
        <f t="shared" si="17"/>
        <v>11234108.16</v>
      </c>
    </row>
    <row r="102" spans="2:18" ht="17.25" customHeight="1" x14ac:dyDescent="0.25">
      <c r="B102" s="399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5">
        <f>+(((((1160000*8.8+0)*55.97%)/15*12)/30)*I102)*E102</f>
        <v>4570734.08</v>
      </c>
      <c r="K102" s="26">
        <v>0.08</v>
      </c>
      <c r="L102" s="27">
        <f t="shared" si="6"/>
        <v>365658.72639999999</v>
      </c>
      <c r="M102" s="27">
        <f t="shared" si="7"/>
        <v>4936392.8064000001</v>
      </c>
      <c r="N102" s="27">
        <f t="shared" si="15"/>
        <v>493639.28064000001</v>
      </c>
      <c r="O102" s="27">
        <f t="shared" si="16"/>
        <v>93791.463321600007</v>
      </c>
      <c r="P102" s="27">
        <f t="shared" si="17"/>
        <v>5030184.2697216002</v>
      </c>
    </row>
    <row r="103" spans="2:18" ht="17.25" customHeight="1" x14ac:dyDescent="0.25">
      <c r="B103" s="399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6">
        <f>+(((((1160000*8.8+0)*55.97%)/15*12)/30)*I103)*E103</f>
        <v>3047156.0533333332</v>
      </c>
      <c r="K103" s="4">
        <v>0.08</v>
      </c>
      <c r="L103" s="5">
        <f t="shared" si="6"/>
        <v>243772.48426666667</v>
      </c>
      <c r="M103" s="5">
        <f t="shared" si="7"/>
        <v>3290928.5375999999</v>
      </c>
      <c r="N103" s="5">
        <f t="shared" si="15"/>
        <v>329092.85376000003</v>
      </c>
      <c r="O103" s="5">
        <f t="shared" si="16"/>
        <v>62527.642214400003</v>
      </c>
      <c r="P103" s="5">
        <f t="shared" si="17"/>
        <v>3353456.1798144002</v>
      </c>
      <c r="R103" s="15"/>
    </row>
    <row r="104" spans="2:18" ht="17.25" customHeight="1" x14ac:dyDescent="0.25">
      <c r="B104" s="399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5">
        <f>+(((1160000*8.8+0)/30)*I104)*E104</f>
        <v>20416000</v>
      </c>
      <c r="K104" s="26">
        <v>0.08</v>
      </c>
      <c r="L104" s="27">
        <f t="shared" si="6"/>
        <v>1633280</v>
      </c>
      <c r="M104" s="27">
        <f t="shared" si="7"/>
        <v>22049280</v>
      </c>
      <c r="N104" s="27">
        <f t="shared" si="15"/>
        <v>2204928</v>
      </c>
      <c r="O104" s="27">
        <f t="shared" si="16"/>
        <v>418936.32000000001</v>
      </c>
      <c r="P104" s="27">
        <f t="shared" si="17"/>
        <v>22468216.32</v>
      </c>
      <c r="R104" s="15"/>
    </row>
    <row r="105" spans="2:18" ht="17.25" customHeight="1" x14ac:dyDescent="0.25">
      <c r="B105" s="399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5">
        <f>+(((1160000*8.8+0)/30)*I105)*E105</f>
        <v>10208000</v>
      </c>
      <c r="K105" s="26">
        <v>0.08</v>
      </c>
      <c r="L105" s="27">
        <f t="shared" si="6"/>
        <v>816640</v>
      </c>
      <c r="M105" s="27">
        <f t="shared" si="7"/>
        <v>11024640</v>
      </c>
      <c r="N105" s="27">
        <f t="shared" si="15"/>
        <v>1102464</v>
      </c>
      <c r="O105" s="27">
        <f t="shared" si="16"/>
        <v>209468.16</v>
      </c>
      <c r="P105" s="27">
        <f t="shared" si="17"/>
        <v>11234108.16</v>
      </c>
      <c r="R105" s="15"/>
    </row>
    <row r="106" spans="2:18" ht="17.25" customHeight="1" x14ac:dyDescent="0.25">
      <c r="B106" s="404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+((((((1160000*8.8+0)*55.97%)/15*3)/30)*I106))+((((((1160000*8.8+0)*44.03%)/9*9)/30*I106)))</f>
        <v>375817.72800000006</v>
      </c>
      <c r="K106" s="92">
        <v>0.08</v>
      </c>
      <c r="L106" s="93">
        <f t="shared" si="6"/>
        <v>30065.418240000006</v>
      </c>
      <c r="M106" s="93">
        <f t="shared" si="7"/>
        <v>405883.14624000009</v>
      </c>
      <c r="N106" s="93">
        <f>M106*10%</f>
        <v>40588.314624000013</v>
      </c>
      <c r="O106" s="93">
        <f>+N106*19%</f>
        <v>7711.7797785600023</v>
      </c>
      <c r="P106" s="93">
        <f>M106+O106</f>
        <v>413594.92601856007</v>
      </c>
      <c r="R106" s="15"/>
    </row>
    <row r="107" spans="2:18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1">
        <f>SUM(J43:J106)</f>
        <v>528753847.89333332</v>
      </c>
      <c r="K107" s="101"/>
      <c r="L107" s="101">
        <f t="shared" ref="L107:O107" si="19">SUM(L43:L106)</f>
        <v>42300307.83146666</v>
      </c>
      <c r="M107" s="101">
        <f t="shared" si="19"/>
        <v>571054155.72479987</v>
      </c>
      <c r="N107" s="101">
        <f t="shared" si="19"/>
        <v>57105415.572479978</v>
      </c>
      <c r="O107" s="101">
        <f t="shared" si="19"/>
        <v>10850028.958771205</v>
      </c>
      <c r="P107" s="101">
        <f>SUM(P43:P106)</f>
        <v>581904184.68357193</v>
      </c>
    </row>
    <row r="108" spans="2:18" ht="15" customHeight="1" x14ac:dyDescent="0.25">
      <c r="B108" s="398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6">
        <f>+(((((1160000*8.8+0)*55.97%)/15*12)/30)*I108)*E108</f>
        <v>3656587.2639999995</v>
      </c>
      <c r="K108" s="4">
        <v>0.08</v>
      </c>
      <c r="L108" s="5">
        <f t="shared" ref="L108:L128" si="20">J108*K108</f>
        <v>292526.98111999995</v>
      </c>
      <c r="M108" s="5">
        <f t="shared" ref="M108:M128" si="21">J108+L108</f>
        <v>3949114.2451199996</v>
      </c>
      <c r="N108" s="5">
        <f t="shared" ref="N108:N128" si="22">M108*10%</f>
        <v>394911.424512</v>
      </c>
      <c r="O108" s="5">
        <f t="shared" ref="O108:O128" si="23">+N108*19%</f>
        <v>75033.170657280003</v>
      </c>
      <c r="P108" s="5">
        <f t="shared" ref="P108:P128" si="24">M108+O108</f>
        <v>4024147.4157772795</v>
      </c>
    </row>
    <row r="109" spans="2:18" x14ac:dyDescent="0.25">
      <c r="B109" s="399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6">
        <f>+(((((1160000*8.8+0)*55.97%)/15*12)/30)*I109)*E109</f>
        <v>3656587.2639999995</v>
      </c>
      <c r="K109" s="4">
        <v>0.08</v>
      </c>
      <c r="L109" s="5">
        <f t="shared" si="20"/>
        <v>292526.98111999995</v>
      </c>
      <c r="M109" s="5">
        <f t="shared" si="21"/>
        <v>3949114.2451199996</v>
      </c>
      <c r="N109" s="5">
        <f t="shared" si="22"/>
        <v>394911.424512</v>
      </c>
      <c r="O109" s="5">
        <f t="shared" si="23"/>
        <v>75033.170657280003</v>
      </c>
      <c r="P109" s="5">
        <f t="shared" si="24"/>
        <v>4024147.4157772795</v>
      </c>
    </row>
    <row r="110" spans="2:18" x14ac:dyDescent="0.25">
      <c r="B110" s="399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6">
        <f>+(((((1160000*8.8+0)*55.97%)/15*12)/30)*I110)*E110</f>
        <v>3656587.2639999995</v>
      </c>
      <c r="K110" s="4">
        <v>0.08</v>
      </c>
      <c r="L110" s="5">
        <f t="shared" si="20"/>
        <v>292526.98111999995</v>
      </c>
      <c r="M110" s="5">
        <f t="shared" si="21"/>
        <v>3949114.2451199996</v>
      </c>
      <c r="N110" s="5">
        <f t="shared" si="22"/>
        <v>394911.424512</v>
      </c>
      <c r="O110" s="5">
        <f t="shared" si="23"/>
        <v>75033.170657280003</v>
      </c>
      <c r="P110" s="5">
        <f t="shared" si="24"/>
        <v>4024147.4157772795</v>
      </c>
      <c r="Q110" s="15"/>
    </row>
    <row r="111" spans="2:18" x14ac:dyDescent="0.25">
      <c r="B111" s="399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6">
        <f>+(((((1160000*8.8+0)*55.97%)/15*12)/30)*I111)*E111</f>
        <v>3656587.2639999995</v>
      </c>
      <c r="K111" s="4">
        <v>0.08</v>
      </c>
      <c r="L111" s="5">
        <f t="shared" si="20"/>
        <v>292526.98111999995</v>
      </c>
      <c r="M111" s="5">
        <f t="shared" si="21"/>
        <v>3949114.2451199996</v>
      </c>
      <c r="N111" s="5">
        <f t="shared" si="22"/>
        <v>394911.424512</v>
      </c>
      <c r="O111" s="5">
        <f t="shared" si="23"/>
        <v>75033.170657280003</v>
      </c>
      <c r="P111" s="5">
        <f t="shared" si="24"/>
        <v>4024147.4157772795</v>
      </c>
    </row>
    <row r="112" spans="2:18" x14ac:dyDescent="0.25">
      <c r="B112" s="399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6">
        <f>+(((((1160000*8.8+0)*55.97%)/15*14)/30)*I112)*E112</f>
        <v>4266018.4746666662</v>
      </c>
      <c r="K112" s="4">
        <v>0.08</v>
      </c>
      <c r="L112" s="5">
        <f t="shared" si="20"/>
        <v>341281.47797333333</v>
      </c>
      <c r="M112" s="5">
        <f t="shared" si="21"/>
        <v>4607299.9526399998</v>
      </c>
      <c r="N112" s="5">
        <f t="shared" si="22"/>
        <v>460729.99526400003</v>
      </c>
      <c r="O112" s="5">
        <f t="shared" si="23"/>
        <v>87538.699100160011</v>
      </c>
      <c r="P112" s="5">
        <f t="shared" si="24"/>
        <v>4694838.6517401598</v>
      </c>
      <c r="Q112" s="15"/>
    </row>
    <row r="113" spans="2:17" x14ac:dyDescent="0.25">
      <c r="B113" s="399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3">
        <f>+(((1160000*8.8+0)/30)*I113)*E113</f>
        <v>10208000</v>
      </c>
      <c r="K113" s="4">
        <v>0.08</v>
      </c>
      <c r="L113" s="5">
        <f t="shared" si="20"/>
        <v>816640</v>
      </c>
      <c r="M113" s="5">
        <f t="shared" si="21"/>
        <v>11024640</v>
      </c>
      <c r="N113" s="5">
        <f t="shared" si="22"/>
        <v>1102464</v>
      </c>
      <c r="O113" s="5">
        <f t="shared" si="23"/>
        <v>209468.16</v>
      </c>
      <c r="P113" s="5">
        <f t="shared" si="24"/>
        <v>11234108.16</v>
      </c>
    </row>
    <row r="114" spans="2:17" x14ac:dyDescent="0.25">
      <c r="B114" s="399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6">
        <f>+(((((1160000*8.8+0)*55.97%)/15*8)/30)*I114)*E114</f>
        <v>2437724.8426666665</v>
      </c>
      <c r="K114" s="4">
        <v>0.08</v>
      </c>
      <c r="L114" s="5">
        <f t="shared" si="20"/>
        <v>195017.98741333332</v>
      </c>
      <c r="M114" s="5">
        <f t="shared" si="21"/>
        <v>2632742.8300799998</v>
      </c>
      <c r="N114" s="5">
        <f t="shared" si="22"/>
        <v>263274.283008</v>
      </c>
      <c r="O114" s="5">
        <f t="shared" si="23"/>
        <v>50022.113771520002</v>
      </c>
      <c r="P114" s="5">
        <f t="shared" si="24"/>
        <v>2682764.9438515198</v>
      </c>
    </row>
    <row r="115" spans="2:17" x14ac:dyDescent="0.25">
      <c r="B115" s="399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6">
        <f>+(((1160000*8.8+0)/30)*I115)*E115</f>
        <v>10208000</v>
      </c>
      <c r="K115" s="4">
        <v>0.08</v>
      </c>
      <c r="L115" s="5">
        <f t="shared" si="20"/>
        <v>816640</v>
      </c>
      <c r="M115" s="5">
        <f t="shared" si="21"/>
        <v>11024640</v>
      </c>
      <c r="N115" s="5">
        <f t="shared" si="22"/>
        <v>1102464</v>
      </c>
      <c r="O115" s="5">
        <f t="shared" si="23"/>
        <v>209468.16</v>
      </c>
      <c r="P115" s="5">
        <f t="shared" si="24"/>
        <v>11234108.16</v>
      </c>
    </row>
    <row r="116" spans="2:17" x14ac:dyDescent="0.25">
      <c r="B116" s="399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6">
        <f>+(((((1160000*8.8+0)*55.97%)/15*12)/30)*I116)*E116</f>
        <v>3656587.2639999995</v>
      </c>
      <c r="K116" s="4">
        <v>0.08</v>
      </c>
      <c r="L116" s="5">
        <f t="shared" si="20"/>
        <v>292526.98111999995</v>
      </c>
      <c r="M116" s="5">
        <f t="shared" si="21"/>
        <v>3949114.2451199996</v>
      </c>
      <c r="N116" s="5">
        <f t="shared" si="22"/>
        <v>394911.424512</v>
      </c>
      <c r="O116" s="5">
        <f t="shared" si="23"/>
        <v>75033.170657280003</v>
      </c>
      <c r="P116" s="5">
        <f t="shared" si="24"/>
        <v>4024147.4157772795</v>
      </c>
      <c r="Q116" s="15">
        <f>+M116-N116</f>
        <v>3554202.8206079998</v>
      </c>
    </row>
    <row r="117" spans="2:17" x14ac:dyDescent="0.25">
      <c r="B117" s="399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6">
        <f>+(((1160000*8.8+0)/30)*I117)*E117</f>
        <v>10208000</v>
      </c>
      <c r="K117" s="4">
        <v>0.08</v>
      </c>
      <c r="L117" s="5">
        <f t="shared" si="20"/>
        <v>816640</v>
      </c>
      <c r="M117" s="5">
        <f t="shared" si="21"/>
        <v>11024640</v>
      </c>
      <c r="N117" s="5">
        <f t="shared" si="22"/>
        <v>1102464</v>
      </c>
      <c r="O117" s="5">
        <f t="shared" si="23"/>
        <v>209468.16</v>
      </c>
      <c r="P117" s="5">
        <f t="shared" si="24"/>
        <v>11234108.16</v>
      </c>
    </row>
    <row r="118" spans="2:17" x14ac:dyDescent="0.25">
      <c r="B118" s="399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6">
        <f>+(((((1160000*8.8+0)*55.97%)/15*12)/30)*I118)*E118</f>
        <v>4570734.08</v>
      </c>
      <c r="K118" s="4">
        <v>0.08</v>
      </c>
      <c r="L118" s="5">
        <f t="shared" si="20"/>
        <v>365658.72639999999</v>
      </c>
      <c r="M118" s="5">
        <f t="shared" si="21"/>
        <v>4936392.8064000001</v>
      </c>
      <c r="N118" s="5">
        <f t="shared" si="22"/>
        <v>493639.28064000001</v>
      </c>
      <c r="O118" s="5">
        <f t="shared" si="23"/>
        <v>93791.463321600007</v>
      </c>
      <c r="P118" s="5">
        <f t="shared" si="24"/>
        <v>5030184.2697216002</v>
      </c>
    </row>
    <row r="119" spans="2:17" x14ac:dyDescent="0.25">
      <c r="B119" s="399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3">
        <f>+(((1160000*8.8+0)/30)*I119)*E119</f>
        <v>10208000</v>
      </c>
      <c r="K119" s="4">
        <v>0.08</v>
      </c>
      <c r="L119" s="5">
        <f t="shared" si="20"/>
        <v>816640</v>
      </c>
      <c r="M119" s="5">
        <f t="shared" si="21"/>
        <v>11024640</v>
      </c>
      <c r="N119" s="5">
        <f t="shared" si="22"/>
        <v>1102464</v>
      </c>
      <c r="O119" s="5">
        <f t="shared" si="23"/>
        <v>209468.16</v>
      </c>
      <c r="P119" s="5">
        <f t="shared" si="24"/>
        <v>11234108.16</v>
      </c>
    </row>
    <row r="120" spans="2:17" x14ac:dyDescent="0.25">
      <c r="B120" s="399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3">
        <f>+(((1160000*8.8+0)/30)*I120)*E120</f>
        <v>10208000</v>
      </c>
      <c r="K120" s="4">
        <v>0.08</v>
      </c>
      <c r="L120" s="5">
        <f t="shared" si="20"/>
        <v>816640</v>
      </c>
      <c r="M120" s="5">
        <f t="shared" si="21"/>
        <v>11024640</v>
      </c>
      <c r="N120" s="5">
        <f t="shared" si="22"/>
        <v>1102464</v>
      </c>
      <c r="O120" s="5">
        <f t="shared" si="23"/>
        <v>209468.16</v>
      </c>
      <c r="P120" s="5">
        <f t="shared" si="24"/>
        <v>11234108.16</v>
      </c>
    </row>
    <row r="121" spans="2:17" x14ac:dyDescent="0.25">
      <c r="B121" s="399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3">
        <f>+(((1160000*8.8+0)/30)*I121)*E121</f>
        <v>10208000</v>
      </c>
      <c r="K121" s="4">
        <v>0.08</v>
      </c>
      <c r="L121" s="5">
        <f t="shared" si="20"/>
        <v>816640</v>
      </c>
      <c r="M121" s="5">
        <f t="shared" si="21"/>
        <v>11024640</v>
      </c>
      <c r="N121" s="5">
        <f t="shared" si="22"/>
        <v>1102464</v>
      </c>
      <c r="O121" s="5">
        <f t="shared" si="23"/>
        <v>209468.16</v>
      </c>
      <c r="P121" s="5">
        <f t="shared" si="24"/>
        <v>11234108.16</v>
      </c>
      <c r="Q121" s="15"/>
    </row>
    <row r="122" spans="2:17" x14ac:dyDescent="0.25">
      <c r="B122" s="399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3">
        <f>+(((1160000*8.8+0)/30)*I122)*E122</f>
        <v>10208000</v>
      </c>
      <c r="K122" s="4">
        <v>0.08</v>
      </c>
      <c r="L122" s="5">
        <f t="shared" si="20"/>
        <v>816640</v>
      </c>
      <c r="M122" s="5">
        <f t="shared" si="21"/>
        <v>11024640</v>
      </c>
      <c r="N122" s="5">
        <f t="shared" si="22"/>
        <v>1102464</v>
      </c>
      <c r="O122" s="5">
        <f t="shared" si="23"/>
        <v>209468.16</v>
      </c>
      <c r="P122" s="5">
        <f t="shared" si="24"/>
        <v>11234108.16</v>
      </c>
    </row>
    <row r="123" spans="2:17" x14ac:dyDescent="0.25">
      <c r="B123" s="399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6">
        <f>+(((((1160000*8.8+0)*55.97%)/15*12)/30)*I123)*E123</f>
        <v>4570734.08</v>
      </c>
      <c r="K123" s="4">
        <v>0.08</v>
      </c>
      <c r="L123" s="5">
        <f t="shared" si="20"/>
        <v>365658.72639999999</v>
      </c>
      <c r="M123" s="5">
        <f t="shared" si="21"/>
        <v>4936392.8064000001</v>
      </c>
      <c r="N123" s="5">
        <f t="shared" si="22"/>
        <v>493639.28064000001</v>
      </c>
      <c r="O123" s="5">
        <f t="shared" si="23"/>
        <v>93791.463321600007</v>
      </c>
      <c r="P123" s="5">
        <f t="shared" si="24"/>
        <v>5030184.2697216002</v>
      </c>
      <c r="Q123" s="15">
        <f>+M123-N123</f>
        <v>4442753.5257600006</v>
      </c>
    </row>
    <row r="124" spans="2:17" x14ac:dyDescent="0.25">
      <c r="B124" s="399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6">
        <f>+(((((1160000*8.8+0)*55.97%)/15*12)/30)*I124)*E124</f>
        <v>4570734.08</v>
      </c>
      <c r="K124" s="4">
        <v>0.08</v>
      </c>
      <c r="L124" s="5">
        <f t="shared" si="20"/>
        <v>365658.72639999999</v>
      </c>
      <c r="M124" s="5">
        <f t="shared" si="21"/>
        <v>4936392.8064000001</v>
      </c>
      <c r="N124" s="5">
        <f t="shared" si="22"/>
        <v>493639.28064000001</v>
      </c>
      <c r="O124" s="5">
        <f t="shared" si="23"/>
        <v>93791.463321600007</v>
      </c>
      <c r="P124" s="5">
        <f t="shared" si="24"/>
        <v>5030184.2697216002</v>
      </c>
    </row>
    <row r="125" spans="2:17" x14ac:dyDescent="0.25">
      <c r="B125" s="399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6">
        <f>+(((((1160000*8.8+0)*55.97%)/15*12)/30)*I125)*E125</f>
        <v>4570734.08</v>
      </c>
      <c r="K125" s="4">
        <v>0.08</v>
      </c>
      <c r="L125" s="5">
        <f t="shared" si="20"/>
        <v>365658.72639999999</v>
      </c>
      <c r="M125" s="5">
        <f t="shared" si="21"/>
        <v>4936392.8064000001</v>
      </c>
      <c r="N125" s="5">
        <f t="shared" si="22"/>
        <v>493639.28064000001</v>
      </c>
      <c r="O125" s="5">
        <f t="shared" si="23"/>
        <v>93791.463321600007</v>
      </c>
      <c r="P125" s="5">
        <f t="shared" si="24"/>
        <v>5030184.2697216002</v>
      </c>
    </row>
    <row r="126" spans="2:17" x14ac:dyDescent="0.25">
      <c r="B126" s="399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6">
        <f>+(((((1160000*8.8+0)*55.97%)/15*12)/30)*I126)*E126</f>
        <v>4570734.08</v>
      </c>
      <c r="K126" s="4">
        <v>0.08</v>
      </c>
      <c r="L126" s="5">
        <f t="shared" si="20"/>
        <v>365658.72639999999</v>
      </c>
      <c r="M126" s="5">
        <f t="shared" si="21"/>
        <v>4936392.8064000001</v>
      </c>
      <c r="N126" s="5">
        <f t="shared" si="22"/>
        <v>493639.28064000001</v>
      </c>
      <c r="O126" s="5">
        <f t="shared" si="23"/>
        <v>93791.463321600007</v>
      </c>
      <c r="P126" s="5">
        <f t="shared" si="24"/>
        <v>5030184.2697216002</v>
      </c>
    </row>
    <row r="127" spans="2:17" ht="14.25" customHeight="1" x14ac:dyDescent="0.25">
      <c r="B127" s="399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6">
        <f>+(((((1160000*8.8+0)*55.97%)/15*14)/30)*I127)*E127</f>
        <v>4266018.4746666662</v>
      </c>
      <c r="K127" s="4">
        <v>0.08</v>
      </c>
      <c r="L127" s="5">
        <f t="shared" si="20"/>
        <v>341281.47797333333</v>
      </c>
      <c r="M127" s="5">
        <f t="shared" si="21"/>
        <v>4607299.9526399998</v>
      </c>
      <c r="N127" s="5">
        <f t="shared" si="22"/>
        <v>460729.99526400003</v>
      </c>
      <c r="O127" s="5">
        <f t="shared" si="23"/>
        <v>87538.699100160011</v>
      </c>
      <c r="P127" s="5">
        <f t="shared" si="24"/>
        <v>4694838.6517401598</v>
      </c>
    </row>
    <row r="128" spans="2:17" ht="28.5" customHeight="1" x14ac:dyDescent="0.25">
      <c r="B128" s="399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3">
        <f>+(((((1160000*8.8+0)*55.97%)/15*14)/30)*20)*E128+(((((1160000*8.8+0)*55.97%)/15*8)/30)*4)</f>
        <v>3961302.8693333324</v>
      </c>
      <c r="K128" s="64">
        <v>0.08</v>
      </c>
      <c r="L128" s="65">
        <f t="shared" si="20"/>
        <v>316904.22954666661</v>
      </c>
      <c r="M128" s="65">
        <f t="shared" si="21"/>
        <v>4278207.0988799985</v>
      </c>
      <c r="N128" s="65">
        <f t="shared" si="22"/>
        <v>427820.70988799987</v>
      </c>
      <c r="O128" s="65">
        <f t="shared" si="23"/>
        <v>81285.934878719971</v>
      </c>
      <c r="P128" s="65">
        <f t="shared" si="24"/>
        <v>4359493.0337587185</v>
      </c>
      <c r="Q128" s="15">
        <f>+M128-N128</f>
        <v>3850386.3889919985</v>
      </c>
    </row>
    <row r="129" spans="2:18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1">
        <f>SUM(J108:J128)</f>
        <v>127523671.38133332</v>
      </c>
      <c r="K129" s="103"/>
      <c r="L129" s="101">
        <f>SUM(L108:L128)</f>
        <v>10201893.710506663</v>
      </c>
      <c r="M129" s="101">
        <f>SUM(M108:M128)</f>
        <v>137725565.09184</v>
      </c>
      <c r="N129" s="101">
        <f>SUM(N108:N128)</f>
        <v>13772556.509184001</v>
      </c>
      <c r="O129" s="101">
        <f>SUM(O108:O128)</f>
        <v>2616785.7367449603</v>
      </c>
      <c r="P129" s="101">
        <f>SUM(P108:P128)</f>
        <v>140342350.82858494</v>
      </c>
    </row>
    <row r="130" spans="2:18" ht="15" customHeight="1" x14ac:dyDescent="0.25">
      <c r="B130" s="400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3">
        <f>+(((1160000*8.8+0)/30)*I130)*E130</f>
        <v>10208000</v>
      </c>
      <c r="K130" s="4">
        <v>0.08</v>
      </c>
      <c r="L130" s="5">
        <f t="shared" ref="L130:L144" si="25">J130*K130</f>
        <v>816640</v>
      </c>
      <c r="M130" s="5">
        <f t="shared" ref="M130:M144" si="26">J130+L130</f>
        <v>11024640</v>
      </c>
      <c r="N130" s="5">
        <f t="shared" ref="N130:N142" si="27">M130*10%</f>
        <v>1102464</v>
      </c>
      <c r="O130" s="5">
        <f t="shared" ref="O130:O142" si="28">+N130*19%</f>
        <v>209468.16</v>
      </c>
      <c r="P130" s="5">
        <f t="shared" ref="P130:P142" si="29">M130+O130</f>
        <v>11234108.16</v>
      </c>
    </row>
    <row r="131" spans="2:18" x14ac:dyDescent="0.25">
      <c r="B131" s="401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3">
        <f>+(((1160000*8.8+0)/30)*I131)*E131</f>
        <v>10208000</v>
      </c>
      <c r="K131" s="4">
        <v>0.08</v>
      </c>
      <c r="L131" s="5">
        <f t="shared" si="25"/>
        <v>816640</v>
      </c>
      <c r="M131" s="5">
        <f t="shared" si="26"/>
        <v>11024640</v>
      </c>
      <c r="N131" s="5">
        <f t="shared" si="27"/>
        <v>1102464</v>
      </c>
      <c r="O131" s="5">
        <f t="shared" si="28"/>
        <v>209468.16</v>
      </c>
      <c r="P131" s="5">
        <f t="shared" si="29"/>
        <v>11234108.16</v>
      </c>
    </row>
    <row r="132" spans="2:18" x14ac:dyDescent="0.25">
      <c r="B132" s="401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6">
        <f>+(((((1160000*8.8+0)*55.97%)/15*12)/30)*I132)*E132</f>
        <v>3656587.2639999995</v>
      </c>
      <c r="K132" s="4">
        <v>0.08</v>
      </c>
      <c r="L132" s="5">
        <f t="shared" si="25"/>
        <v>292526.98111999995</v>
      </c>
      <c r="M132" s="5">
        <f t="shared" si="26"/>
        <v>3949114.2451199996</v>
      </c>
      <c r="N132" s="5">
        <f t="shared" si="27"/>
        <v>394911.424512</v>
      </c>
      <c r="O132" s="5">
        <f t="shared" si="28"/>
        <v>75033.170657280003</v>
      </c>
      <c r="P132" s="5">
        <f t="shared" si="29"/>
        <v>4024147.4157772795</v>
      </c>
    </row>
    <row r="133" spans="2:18" x14ac:dyDescent="0.25">
      <c r="B133" s="401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6">
        <f>+(((((1160000*8.8+0)*55.97%)/15*12)/30)*I133)*E133</f>
        <v>3656587.2639999995</v>
      </c>
      <c r="K133" s="4">
        <v>0.08</v>
      </c>
      <c r="L133" s="5">
        <f t="shared" si="25"/>
        <v>292526.98111999995</v>
      </c>
      <c r="M133" s="5">
        <f t="shared" si="26"/>
        <v>3949114.2451199996</v>
      </c>
      <c r="N133" s="5">
        <f t="shared" si="27"/>
        <v>394911.424512</v>
      </c>
      <c r="O133" s="5">
        <f t="shared" si="28"/>
        <v>75033.170657280003</v>
      </c>
      <c r="P133" s="5">
        <f t="shared" si="29"/>
        <v>4024147.4157772795</v>
      </c>
    </row>
    <row r="134" spans="2:18" x14ac:dyDescent="0.25">
      <c r="B134" s="401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6">
        <f>+(((((1160000*8.8+0)*55.97%)/15*12)/30)*I134)*E134</f>
        <v>3047156.0533333332</v>
      </c>
      <c r="K134" s="4">
        <v>0.08</v>
      </c>
      <c r="L134" s="5">
        <f t="shared" si="25"/>
        <v>243772.48426666667</v>
      </c>
      <c r="M134" s="5">
        <f t="shared" si="26"/>
        <v>3290928.5375999999</v>
      </c>
      <c r="N134" s="5">
        <f t="shared" si="27"/>
        <v>329092.85376000003</v>
      </c>
      <c r="O134" s="5">
        <f t="shared" si="28"/>
        <v>62527.642214400003</v>
      </c>
      <c r="P134" s="5">
        <f t="shared" si="29"/>
        <v>3353456.1798144002</v>
      </c>
      <c r="Q134" s="15">
        <f>+M134-N134</f>
        <v>2961835.6838400001</v>
      </c>
      <c r="R134" s="15"/>
    </row>
    <row r="135" spans="2:18" x14ac:dyDescent="0.25">
      <c r="B135" s="401"/>
      <c r="C135" s="403" t="s">
        <v>14</v>
      </c>
      <c r="D135" s="394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30">
        <f>+(((1160000*8.8+0)/30)*I135)*E135</f>
        <v>10208000</v>
      </c>
      <c r="K135" s="26">
        <v>0.08</v>
      </c>
      <c r="L135" s="27">
        <f t="shared" si="25"/>
        <v>816640</v>
      </c>
      <c r="M135" s="27">
        <f t="shared" si="26"/>
        <v>11024640</v>
      </c>
      <c r="N135" s="27">
        <f t="shared" si="27"/>
        <v>1102464</v>
      </c>
      <c r="O135" s="27">
        <f t="shared" si="28"/>
        <v>209468.16</v>
      </c>
      <c r="P135" s="27">
        <f t="shared" si="29"/>
        <v>11234108.16</v>
      </c>
    </row>
    <row r="136" spans="2:18" x14ac:dyDescent="0.25">
      <c r="B136" s="401"/>
      <c r="C136" s="403"/>
      <c r="D136" s="395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5">
        <f>+(((((1160000*8.8+0)*55.97%)/15*12)/30)*I136)*E136</f>
        <v>3047156.0533333332</v>
      </c>
      <c r="K136" s="26">
        <v>0.08</v>
      </c>
      <c r="L136" s="27">
        <f t="shared" si="25"/>
        <v>243772.48426666667</v>
      </c>
      <c r="M136" s="27">
        <f t="shared" si="26"/>
        <v>3290928.5375999999</v>
      </c>
      <c r="N136" s="27">
        <f t="shared" si="27"/>
        <v>329092.85376000003</v>
      </c>
      <c r="O136" s="27">
        <f t="shared" si="28"/>
        <v>62527.642214400003</v>
      </c>
      <c r="P136" s="27">
        <f t="shared" si="29"/>
        <v>3353456.1798144002</v>
      </c>
    </row>
    <row r="137" spans="2:18" x14ac:dyDescent="0.25">
      <c r="B137" s="401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30">
        <f>+(((1160000*8.8+0)/30)*I137)*E137</f>
        <v>10208000</v>
      </c>
      <c r="K137" s="26">
        <v>0.08</v>
      </c>
      <c r="L137" s="27">
        <f t="shared" si="25"/>
        <v>816640</v>
      </c>
      <c r="M137" s="27">
        <f t="shared" si="26"/>
        <v>11024640</v>
      </c>
      <c r="N137" s="27">
        <f t="shared" si="27"/>
        <v>1102464</v>
      </c>
      <c r="O137" s="27">
        <f t="shared" si="28"/>
        <v>209468.16</v>
      </c>
      <c r="P137" s="27">
        <f t="shared" si="29"/>
        <v>11234108.16</v>
      </c>
      <c r="Q137" s="15"/>
      <c r="R137" s="15"/>
    </row>
    <row r="138" spans="2:18" x14ac:dyDescent="0.25">
      <c r="B138" s="401"/>
      <c r="C138" s="68" t="s">
        <v>14</v>
      </c>
      <c r="D138" s="394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30">
        <f>+(((1160000*8.8+0)/30)*I138)*E138</f>
        <v>10208000</v>
      </c>
      <c r="K138" s="26">
        <v>0.08</v>
      </c>
      <c r="L138" s="27">
        <f t="shared" si="25"/>
        <v>816640</v>
      </c>
      <c r="M138" s="27">
        <f t="shared" si="26"/>
        <v>11024640</v>
      </c>
      <c r="N138" s="27">
        <f t="shared" si="27"/>
        <v>1102464</v>
      </c>
      <c r="O138" s="27">
        <f t="shared" si="28"/>
        <v>209468.16</v>
      </c>
      <c r="P138" s="27">
        <f t="shared" si="29"/>
        <v>11234108.16</v>
      </c>
    </row>
    <row r="139" spans="2:18" x14ac:dyDescent="0.25">
      <c r="B139" s="401"/>
      <c r="C139" s="68" t="s">
        <v>14</v>
      </c>
      <c r="D139" s="395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5">
        <f>+(((((1160000*8.8+0)*55.97%)/15*12)/30)*I139)*E139</f>
        <v>3047156.0533333332</v>
      </c>
      <c r="K139" s="26">
        <v>0.08</v>
      </c>
      <c r="L139" s="27">
        <f t="shared" si="25"/>
        <v>243772.48426666667</v>
      </c>
      <c r="M139" s="27">
        <f t="shared" si="26"/>
        <v>3290928.5375999999</v>
      </c>
      <c r="N139" s="27">
        <f t="shared" si="27"/>
        <v>329092.85376000003</v>
      </c>
      <c r="O139" s="27">
        <f t="shared" si="28"/>
        <v>62527.642214400003</v>
      </c>
      <c r="P139" s="27">
        <f t="shared" si="29"/>
        <v>3353456.1798144002</v>
      </c>
    </row>
    <row r="140" spans="2:18" x14ac:dyDescent="0.25">
      <c r="B140" s="401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30">
        <f>+(((1160000*8.8+0)/30)*I140)*E140</f>
        <v>10208000</v>
      </c>
      <c r="K140" s="26">
        <v>0.08</v>
      </c>
      <c r="L140" s="27">
        <f t="shared" si="25"/>
        <v>816640</v>
      </c>
      <c r="M140" s="27">
        <f t="shared" si="26"/>
        <v>11024640</v>
      </c>
      <c r="N140" s="27">
        <f t="shared" si="27"/>
        <v>1102464</v>
      </c>
      <c r="O140" s="27">
        <f t="shared" si="28"/>
        <v>209468.16</v>
      </c>
      <c r="P140" s="27">
        <f t="shared" si="29"/>
        <v>11234108.16</v>
      </c>
      <c r="Q140" s="15">
        <f>+M140-N140</f>
        <v>9922176</v>
      </c>
      <c r="R140" s="15"/>
    </row>
    <row r="141" spans="2:18" x14ac:dyDescent="0.25">
      <c r="B141" s="401"/>
      <c r="C141" s="68" t="s">
        <v>14</v>
      </c>
      <c r="D141" s="394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3">
        <f>+(((1160000*8.8+0)/30)*I141)*E141</f>
        <v>10208000</v>
      </c>
      <c r="K141" s="4">
        <v>0.08</v>
      </c>
      <c r="L141" s="5">
        <f t="shared" si="25"/>
        <v>816640</v>
      </c>
      <c r="M141" s="5">
        <f t="shared" si="26"/>
        <v>11024640</v>
      </c>
      <c r="N141" s="5">
        <f t="shared" si="27"/>
        <v>1102464</v>
      </c>
      <c r="O141" s="5">
        <f t="shared" si="28"/>
        <v>209468.16</v>
      </c>
      <c r="P141" s="5">
        <f t="shared" si="29"/>
        <v>11234108.16</v>
      </c>
    </row>
    <row r="142" spans="2:18" x14ac:dyDescent="0.25">
      <c r="B142" s="401"/>
      <c r="C142" s="68" t="s">
        <v>14</v>
      </c>
      <c r="D142" s="395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6">
        <f>+(((((1160000*8.8+0)*55.97%)/15*12)/30)*I142)*E142</f>
        <v>3656587.2639999995</v>
      </c>
      <c r="K142" s="4">
        <v>0.08</v>
      </c>
      <c r="L142" s="5">
        <f t="shared" si="25"/>
        <v>292526.98111999995</v>
      </c>
      <c r="M142" s="5">
        <f t="shared" si="26"/>
        <v>3949114.2451199996</v>
      </c>
      <c r="N142" s="5">
        <f t="shared" si="27"/>
        <v>394911.424512</v>
      </c>
      <c r="O142" s="5">
        <f t="shared" si="28"/>
        <v>75033.170657280003</v>
      </c>
      <c r="P142" s="5">
        <f t="shared" si="29"/>
        <v>4024147.4157772795</v>
      </c>
    </row>
    <row r="143" spans="2:18" x14ac:dyDescent="0.25">
      <c r="B143" s="401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3">
        <f>+(((1160000*8.8+0)/30)*I143)*E143</f>
        <v>10208000</v>
      </c>
      <c r="K143" s="4">
        <v>0.1</v>
      </c>
      <c r="L143" s="5">
        <f t="shared" si="25"/>
        <v>1020800</v>
      </c>
      <c r="M143" s="5">
        <f t="shared" si="26"/>
        <v>11228800</v>
      </c>
      <c r="N143" s="5">
        <f>M143*10%</f>
        <v>1122880</v>
      </c>
      <c r="O143" s="5">
        <f>+N143*19%</f>
        <v>213347.20000000001</v>
      </c>
      <c r="P143" s="5">
        <f>M143+O143</f>
        <v>11442147.199999999</v>
      </c>
      <c r="Q143" s="15">
        <f>+M143-N143</f>
        <v>10105920</v>
      </c>
      <c r="R143" s="15"/>
    </row>
    <row r="144" spans="2:18" x14ac:dyDescent="0.25">
      <c r="B144" s="402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2">
        <f>+(((((1160000*8.8+0)*55.97%)/15*12)/30)*I144)*E144</f>
        <v>3047156.0533333332</v>
      </c>
      <c r="K144" s="23">
        <v>0.08</v>
      </c>
      <c r="L144" s="24">
        <f t="shared" si="25"/>
        <v>243772.48426666667</v>
      </c>
      <c r="M144" s="24">
        <f t="shared" si="26"/>
        <v>3290928.5375999999</v>
      </c>
      <c r="N144" s="24">
        <f>M144*10%</f>
        <v>329092.85376000003</v>
      </c>
      <c r="O144" s="24">
        <f>+N144*19%</f>
        <v>62527.642214400003</v>
      </c>
      <c r="P144" s="24">
        <f>M144+O144</f>
        <v>3353456.1798144002</v>
      </c>
      <c r="Q144" s="15">
        <f>+M144-N144</f>
        <v>2961835.6838400001</v>
      </c>
    </row>
    <row r="145" spans="2:17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1">
        <f>SUM(J130:J144)</f>
        <v>104822386.00533332</v>
      </c>
      <c r="K145" s="103"/>
      <c r="L145" s="101">
        <f>SUM(L130:L144)</f>
        <v>8589950.8804266658</v>
      </c>
      <c r="M145" s="101">
        <f>SUM(M130:M144)</f>
        <v>113412336.88575999</v>
      </c>
      <c r="N145" s="101">
        <f>SUM(N130:N144)</f>
        <v>11341233.688576002</v>
      </c>
      <c r="O145" s="101">
        <f>SUM(O130:O144)</f>
        <v>2154834.4008294395</v>
      </c>
      <c r="P145" s="101">
        <f>SUM(P130:P144)</f>
        <v>115567171.28658943</v>
      </c>
    </row>
    <row r="146" spans="2:17" x14ac:dyDescent="0.25">
      <c r="B146" s="392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0">+((((((1160000*8.8+0)*55.97%)/15*3)/30)*I146))+((((((1160000*8.8+0)*44.03%)/9*9)/30*I146)))</f>
        <v>1315362.0480000002</v>
      </c>
      <c r="K146" s="26">
        <v>0.08</v>
      </c>
      <c r="L146" s="27">
        <f t="shared" ref="L146:L152" si="31">J146*K146</f>
        <v>105228.96384000001</v>
      </c>
      <c r="M146" s="27">
        <f t="shared" ref="M146:M152" si="32">J146+L146</f>
        <v>1420591.0118400003</v>
      </c>
      <c r="N146" s="27">
        <f>M146*10%</f>
        <v>142059.10118400003</v>
      </c>
      <c r="O146" s="27">
        <f>+N146*19%</f>
        <v>26991.229224960007</v>
      </c>
      <c r="P146" s="27">
        <f>M146+O146</f>
        <v>1447582.2410649604</v>
      </c>
      <c r="Q146" s="15">
        <f>+M146-N146</f>
        <v>1278531.9106560003</v>
      </c>
    </row>
    <row r="147" spans="2:17" x14ac:dyDescent="0.25">
      <c r="B147" s="392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0"/>
        <v>2818632.96</v>
      </c>
      <c r="K147" s="26">
        <v>0.08</v>
      </c>
      <c r="L147" s="27">
        <f t="shared" si="31"/>
        <v>225490.63680000001</v>
      </c>
      <c r="M147" s="27">
        <f t="shared" si="32"/>
        <v>3044123.5967999999</v>
      </c>
      <c r="N147" s="27">
        <f t="shared" ref="N147:N152" si="33">M147*10%</f>
        <v>304412.35967999999</v>
      </c>
      <c r="O147" s="27">
        <f t="shared" ref="O147:O152" si="34">+N147*19%</f>
        <v>57838.348339199998</v>
      </c>
      <c r="P147" s="27">
        <f t="shared" ref="P147:P152" si="35">M147+O147</f>
        <v>3101961.9451392</v>
      </c>
    </row>
    <row r="148" spans="2:17" x14ac:dyDescent="0.25">
      <c r="B148" s="392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0"/>
        <v>3946086.1440000003</v>
      </c>
      <c r="K148" s="26">
        <v>0.08</v>
      </c>
      <c r="L148" s="27">
        <f t="shared" si="31"/>
        <v>315686.89152</v>
      </c>
      <c r="M148" s="27">
        <f t="shared" si="32"/>
        <v>4261773.0355200004</v>
      </c>
      <c r="N148" s="27">
        <f t="shared" si="33"/>
        <v>426177.30355200008</v>
      </c>
      <c r="O148" s="27">
        <f t="shared" si="34"/>
        <v>80973.687674880013</v>
      </c>
      <c r="P148" s="27">
        <f t="shared" si="35"/>
        <v>4342746.7231948804</v>
      </c>
    </row>
    <row r="149" spans="2:17" x14ac:dyDescent="0.25">
      <c r="B149" s="392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0"/>
        <v>3946086.1440000003</v>
      </c>
      <c r="K149" s="26">
        <v>0.08</v>
      </c>
      <c r="L149" s="27">
        <f t="shared" si="31"/>
        <v>315686.89152</v>
      </c>
      <c r="M149" s="27">
        <f t="shared" si="32"/>
        <v>4261773.0355200004</v>
      </c>
      <c r="N149" s="27">
        <f t="shared" si="33"/>
        <v>426177.30355200008</v>
      </c>
      <c r="O149" s="27">
        <f t="shared" si="34"/>
        <v>80973.687674880013</v>
      </c>
      <c r="P149" s="27">
        <f t="shared" si="35"/>
        <v>4342746.7231948804</v>
      </c>
    </row>
    <row r="150" spans="2:17" x14ac:dyDescent="0.25">
      <c r="B150" s="392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0"/>
        <v>187908.86400000003</v>
      </c>
      <c r="K150" s="26">
        <v>0.08</v>
      </c>
      <c r="L150" s="27">
        <f t="shared" si="31"/>
        <v>15032.709120000003</v>
      </c>
      <c r="M150" s="27">
        <f t="shared" si="32"/>
        <v>202941.57312000004</v>
      </c>
      <c r="N150" s="27">
        <f t="shared" si="33"/>
        <v>20294.157312000007</v>
      </c>
      <c r="O150" s="27">
        <f t="shared" si="34"/>
        <v>3855.8898892800012</v>
      </c>
      <c r="P150" s="27">
        <f t="shared" si="35"/>
        <v>206797.46300928004</v>
      </c>
    </row>
    <row r="151" spans="2:17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0"/>
        <v>187908.86400000003</v>
      </c>
      <c r="K151" s="26">
        <v>0.08</v>
      </c>
      <c r="L151" s="27">
        <f t="shared" si="31"/>
        <v>15032.709120000003</v>
      </c>
      <c r="M151" s="27">
        <f t="shared" si="32"/>
        <v>202941.57312000004</v>
      </c>
      <c r="N151" s="27">
        <f t="shared" si="33"/>
        <v>20294.157312000007</v>
      </c>
      <c r="O151" s="27">
        <f t="shared" si="34"/>
        <v>3855.8898892800012</v>
      </c>
      <c r="P151" s="27">
        <f t="shared" si="35"/>
        <v>206797.46300928004</v>
      </c>
    </row>
    <row r="152" spans="2:17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30">
        <f>+(((1160000*8.8+0)/30)*I152)*E152</f>
        <v>340266.66666666669</v>
      </c>
      <c r="K152" s="26">
        <v>0.08</v>
      </c>
      <c r="L152" s="27">
        <f t="shared" si="31"/>
        <v>27221.333333333336</v>
      </c>
      <c r="M152" s="27">
        <f t="shared" si="32"/>
        <v>367488</v>
      </c>
      <c r="N152" s="27">
        <f t="shared" si="33"/>
        <v>36748.800000000003</v>
      </c>
      <c r="O152" s="27">
        <f t="shared" si="34"/>
        <v>6982.2720000000008</v>
      </c>
      <c r="P152" s="27">
        <f t="shared" si="35"/>
        <v>374470.272</v>
      </c>
    </row>
    <row r="153" spans="2:17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1">
        <f>SUM(J146:J152)</f>
        <v>12742251.690666666</v>
      </c>
      <c r="K153" s="101"/>
      <c r="L153" s="101">
        <f t="shared" ref="L153:P153" si="36">SUM(L146:L152)</f>
        <v>1019380.1352533334</v>
      </c>
      <c r="M153" s="101">
        <f t="shared" si="36"/>
        <v>13761631.825920001</v>
      </c>
      <c r="N153" s="101">
        <f t="shared" si="36"/>
        <v>1376163.1825920001</v>
      </c>
      <c r="O153" s="101">
        <f t="shared" si="36"/>
        <v>261471.00469248003</v>
      </c>
      <c r="P153" s="101">
        <f t="shared" si="36"/>
        <v>14023102.830612479</v>
      </c>
      <c r="Q153" s="15"/>
    </row>
    <row r="154" spans="2:17" x14ac:dyDescent="0.25">
      <c r="J154" s="15"/>
      <c r="K154" s="15"/>
      <c r="L154" s="15"/>
      <c r="M154" s="15"/>
      <c r="N154" s="15"/>
      <c r="O154" s="15"/>
      <c r="P154" s="15"/>
      <c r="Q154" s="81"/>
    </row>
    <row r="155" spans="2:17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1">
        <f>+J153+J145+J129+J107+J42</f>
        <v>993847177.89866662</v>
      </c>
      <c r="K155" s="101"/>
      <c r="L155" s="101">
        <f>+L153+L145+L129+L107+L42</f>
        <v>79711934.231893316</v>
      </c>
      <c r="M155" s="101">
        <f>+M153+M145+M129+M107+M42</f>
        <v>1073559112.1305598</v>
      </c>
      <c r="N155" s="101">
        <f>+N153+N145+N129+N107+N42</f>
        <v>107355911.21305597</v>
      </c>
      <c r="O155" s="101">
        <f>+O153+O145+O129+O107+O42</f>
        <v>20397623.130480647</v>
      </c>
      <c r="P155" s="101">
        <f>+P153+P145+P129+P107+P42</f>
        <v>1093956735.2610412</v>
      </c>
    </row>
    <row r="156" spans="2:17" ht="15" hidden="1" customHeight="1" x14ac:dyDescent="0.25">
      <c r="M156">
        <v>943022255</v>
      </c>
      <c r="P156" s="15"/>
    </row>
    <row r="157" spans="2:17" ht="15" hidden="1" customHeight="1" x14ac:dyDescent="0.25">
      <c r="J157" s="16"/>
      <c r="L157" s="16"/>
      <c r="M157" s="16">
        <f>+M155-M156</f>
        <v>130536857.1305598</v>
      </c>
      <c r="N157" s="16">
        <f>+M155-N155</f>
        <v>966203200.91750383</v>
      </c>
      <c r="O157" s="16"/>
      <c r="P157" s="16"/>
      <c r="Q157" s="17"/>
    </row>
    <row r="158" spans="2:17" ht="11.25" hidden="1" customHeight="1" x14ac:dyDescent="0.25">
      <c r="J158" s="16"/>
      <c r="L158" s="16"/>
      <c r="M158" s="16"/>
      <c r="N158" s="16"/>
      <c r="O158" s="16"/>
      <c r="P158" s="16"/>
      <c r="Q158" s="17"/>
    </row>
    <row r="159" spans="2:17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L159" s="16"/>
      <c r="M159" s="16">
        <f>SUMIF($F$8:$F$142,$F$159,M8:M142)</f>
        <v>71084056.412159979</v>
      </c>
      <c r="N159" s="16">
        <f>SUMIF($F$8:$F$142,$F$159,N8:N142)</f>
        <v>7108405.6412159977</v>
      </c>
      <c r="O159" s="16">
        <f>SUMIF($F$8:$F$142,$F$159,O8:O142)</f>
        <v>1350597.0718310396</v>
      </c>
      <c r="P159" s="16">
        <f>SUMIF($F$8:$F$142,$F$159,P8:P142)</f>
        <v>72434653.483991042</v>
      </c>
      <c r="Q159" s="28"/>
    </row>
    <row r="160" spans="2:17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L160" s="16"/>
      <c r="M160" s="16">
        <f>SUMIF($F$8:$F$142,$F$160,M8:M142)</f>
        <v>22871953.336319998</v>
      </c>
      <c r="N160" s="16">
        <f>SUMIF($F$8:$F$142,$F$160,N8:N142)</f>
        <v>2287195.3336320003</v>
      </c>
      <c r="O160" s="16">
        <f>SUMIF($F$8:$F$142,$F$160,O8:O142)</f>
        <v>434567.11339007999</v>
      </c>
      <c r="P160" s="16">
        <f>SUMIF($F$8:$F$142,$F$160,P8:P142)</f>
        <v>23306520.449710079</v>
      </c>
      <c r="Q160" s="28"/>
    </row>
    <row r="161" spans="6:17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L161" s="16"/>
      <c r="M161" s="16">
        <f>SUMIF($F$8:$F$142,$F$161,M8:M142)</f>
        <v>771724800</v>
      </c>
      <c r="N161" s="16">
        <f>SUMIF($F$8:$F$142,$F$161,N8:N142)</f>
        <v>77172480</v>
      </c>
      <c r="O161" s="16">
        <f>SUMIF($F$8:$F$142,$F$161,O8:O142)</f>
        <v>14662771.200000009</v>
      </c>
      <c r="P161" s="16">
        <f>SUMIF($F$8:$F$142,$F$161,P8:P142)</f>
        <v>786387571.19999993</v>
      </c>
      <c r="Q161" s="28"/>
    </row>
    <row r="162" spans="6:17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L162" s="16"/>
      <c r="M162" s="16">
        <f>SUMIF($F$8:$F$142,$F$162,M8:M142)</f>
        <v>0</v>
      </c>
      <c r="N162" s="16">
        <f>SUMIF($F$8:$F$142,$F$162,N8:N142)</f>
        <v>0</v>
      </c>
      <c r="O162" s="16">
        <f>SUMIF($F$8:$F$142,$F$162,O8:O142)</f>
        <v>0</v>
      </c>
      <c r="P162" s="16">
        <f>SUMIF($F$8:$F$142,$F$162,P8:P142)</f>
        <v>0</v>
      </c>
      <c r="Q162" s="28"/>
    </row>
    <row r="163" spans="6:17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L163" s="16"/>
      <c r="M163" s="16">
        <f>SUMIF($F$8:$F$142,$F$163,M8:M142)</f>
        <v>0</v>
      </c>
      <c r="N163" s="16">
        <f>SUMIF($F$8:$F$142,$F$163,N8:N142)</f>
        <v>0</v>
      </c>
      <c r="O163" s="16">
        <f>SUMIF($F$8:$F$142,$F$163,O8:O142)</f>
        <v>0</v>
      </c>
      <c r="P163" s="16">
        <f>SUMIF($F$8:$F$142,$F$163,P8:P142)</f>
        <v>0</v>
      </c>
      <c r="Q163" s="28"/>
    </row>
    <row r="164" spans="6:17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L164" s="16"/>
      <c r="M164" s="16">
        <f>SUMIF($F$8:$F$142,$F$164,M8:M142)</f>
        <v>123409820.16000001</v>
      </c>
      <c r="N164" s="16">
        <f>SUMIF($F$8:$F$142,$F$164,N8:N142)</f>
        <v>12340982.016000008</v>
      </c>
      <c r="O164" s="16">
        <f>SUMIF($F$8:$F$142,$F$164,O8:O142)</f>
        <v>2344786.5830400013</v>
      </c>
      <c r="P164" s="16">
        <f>SUMIF($F$8:$F$142,$F$164,P8:P142)</f>
        <v>125754606.74303997</v>
      </c>
      <c r="Q164" s="28"/>
    </row>
    <row r="165" spans="6:17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L165" s="16"/>
      <c r="M165" s="16">
        <f>SUMIF($F$8:$F$142,$F$165,M8:M142)</f>
        <v>17277374.822399996</v>
      </c>
      <c r="N165" s="16">
        <f>SUMIF($F$8:$F$142,$F$165,N8:N142)</f>
        <v>1727737.4822399998</v>
      </c>
      <c r="O165" s="16">
        <f>SUMIF($F$8:$F$142,$F$165,O8:O142)</f>
        <v>328270.12162559998</v>
      </c>
      <c r="P165" s="16">
        <f>SUMIF($F$8:$F$142,$F$165,P8:P142)</f>
        <v>17605644.944025598</v>
      </c>
      <c r="Q165" s="28"/>
    </row>
    <row r="166" spans="6:17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L166" s="16"/>
      <c r="M166" s="16">
        <f>SUMIF($F$8:$F$142,$F$166,M8:M142)</f>
        <v>23036499.7632</v>
      </c>
      <c r="N166" s="16">
        <f>SUMIF($F$8:$F$142,$F$166,N8:N142)</f>
        <v>2303649.9763200004</v>
      </c>
      <c r="O166" s="16">
        <f>SUMIF($F$8:$F$142,$F$166,O8:O142)</f>
        <v>437693.49550080008</v>
      </c>
      <c r="P166" s="16">
        <f>SUMIF($F$8:$F$142,$F$166,P8:P142)</f>
        <v>23474193.258700799</v>
      </c>
      <c r="Q166" s="28"/>
    </row>
    <row r="167" spans="6:17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57"/>
      <c r="L167" s="16"/>
      <c r="M167" s="16">
        <f>SUMIF($F$8:$F$142,$F$167,M8:M142)</f>
        <v>4278207.0988799985</v>
      </c>
      <c r="N167" s="16">
        <f>SUMIF($F$8:$F$142,$F$167,N8:N142)</f>
        <v>427820.70988799987</v>
      </c>
      <c r="O167" s="16">
        <f>SUMIF($F$8:$F$142,$F$167,O8:O142)</f>
        <v>81285.934878719971</v>
      </c>
      <c r="P167" s="16">
        <f>SUMIF($F$8:$F$142,$F$167,P8:P142)</f>
        <v>4359493.0337587185</v>
      </c>
      <c r="Q167" s="28"/>
    </row>
    <row r="168" spans="6:17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7"/>
      <c r="L168" s="16"/>
      <c r="M168" s="16">
        <f>SUMIF($F$8:$F$142,$F$168,M8:M142)</f>
        <v>7898228.4902399993</v>
      </c>
      <c r="N168" s="16">
        <f>SUMIF($F$8:$F$142,$F$168,N8:N142)</f>
        <v>789822.849024</v>
      </c>
      <c r="O168" s="16">
        <f>SUMIF($F$8:$F$142,$F$168,O8:O142)</f>
        <v>150066.34131456001</v>
      </c>
      <c r="P168" s="16">
        <f>SUMIF($F$8:$F$142,$F$168,P8:P142)</f>
        <v>8048294.83155456</v>
      </c>
      <c r="Q168" s="28"/>
    </row>
    <row r="169" spans="6:17" ht="15" hidden="1" customHeight="1" x14ac:dyDescent="0.25">
      <c r="F169" t="s">
        <v>78</v>
      </c>
      <c r="I169" s="16" t="e">
        <f>SUMIF($F$8:$F$142,$F$169,#REF!)</f>
        <v>#REF!</v>
      </c>
      <c r="J169" s="16"/>
      <c r="L169" s="16"/>
      <c r="M169" s="16">
        <f>SUMIF($F$8:$F$142,$F$169,M8:M142)</f>
        <v>0</v>
      </c>
      <c r="N169" s="16">
        <f>SUMIF($F$8:$F$142,$F$169,N8:N142)</f>
        <v>0</v>
      </c>
      <c r="O169" s="16">
        <f>SUMIF($F$8:$F$142,$F$169,O8:O142)</f>
        <v>0</v>
      </c>
      <c r="P169" s="16">
        <f>SUMIF($F$8:$F$142,$F$169,P8:P142)</f>
        <v>0</v>
      </c>
      <c r="Q169" s="28"/>
    </row>
    <row r="170" spans="6:17" ht="18.75" hidden="1" customHeight="1" x14ac:dyDescent="0.25">
      <c r="I170" s="17" t="e">
        <f>SUM(I159:I169)</f>
        <v>#REF!</v>
      </c>
      <c r="J170" s="17"/>
      <c r="L170" s="17"/>
      <c r="M170" s="17">
        <f t="shared" ref="M170:P170" si="37">SUM(M157:M169)</f>
        <v>1172117797.2137601</v>
      </c>
      <c r="N170" s="17">
        <f t="shared" si="37"/>
        <v>1070361294.9258239</v>
      </c>
      <c r="O170" s="17">
        <f t="shared" si="37"/>
        <v>19790037.861580811</v>
      </c>
      <c r="P170" s="17">
        <f t="shared" si="37"/>
        <v>1061370977.9447808</v>
      </c>
    </row>
    <row r="171" spans="6:17" ht="15" hidden="1" customHeight="1" x14ac:dyDescent="0.25">
      <c r="J171" s="17"/>
      <c r="K171" s="19"/>
      <c r="L171" s="17"/>
      <c r="M171" s="17"/>
      <c r="N171" s="17"/>
      <c r="O171" s="17"/>
      <c r="P171" s="17"/>
    </row>
    <row r="172" spans="6:17" ht="15" hidden="1" customHeight="1" x14ac:dyDescent="0.25"/>
    <row r="173" spans="6:17" ht="15" hidden="1" customHeight="1" x14ac:dyDescent="0.25">
      <c r="F173" t="e">
        <f>+#REF!</f>
        <v>#REF!</v>
      </c>
      <c r="I173">
        <v>3</v>
      </c>
      <c r="J173" s="58"/>
      <c r="L173" s="58"/>
      <c r="M173" s="58" t="e">
        <f>+#REF!+#REF!</f>
        <v>#REF!</v>
      </c>
      <c r="N173" s="58" t="e">
        <f>+#REF!+#REF!</f>
        <v>#REF!</v>
      </c>
      <c r="O173" s="58" t="e">
        <f>+#REF!+#REF!</f>
        <v>#REF!</v>
      </c>
      <c r="P173" s="58" t="e">
        <f>+#REF!+#REF!</f>
        <v>#REF!</v>
      </c>
    </row>
    <row r="174" spans="6:17" ht="15" hidden="1" customHeight="1" x14ac:dyDescent="0.25">
      <c r="F174" t="str">
        <f>+F128</f>
        <v>SERVICIO 14 HORAS LUNES A VIERNES Y SABADO DE 8:00 A 4:00 PM SIN ARMA</v>
      </c>
      <c r="I174">
        <v>1</v>
      </c>
      <c r="J174" s="28"/>
      <c r="L174" s="28"/>
      <c r="M174" s="28">
        <f>+M128</f>
        <v>4278207.0988799985</v>
      </c>
      <c r="N174" s="28">
        <f>+N128</f>
        <v>427820.70988799987</v>
      </c>
      <c r="O174" s="28">
        <f>+O128</f>
        <v>81285.934878719971</v>
      </c>
      <c r="P174" s="28">
        <f>+P128</f>
        <v>4359493.0337587185</v>
      </c>
    </row>
    <row r="175" spans="6:17" ht="15" hidden="1" customHeight="1" x14ac:dyDescent="0.25">
      <c r="F175" t="e">
        <f>+#REF!</f>
        <v>#REF!</v>
      </c>
    </row>
    <row r="176" spans="6:17" x14ac:dyDescent="0.25">
      <c r="N176" s="16"/>
    </row>
    <row r="177" spans="5:22" ht="15" hidden="1" customHeight="1" x14ac:dyDescent="0.25">
      <c r="E177" s="67" t="s">
        <v>87</v>
      </c>
      <c r="F177" s="67"/>
      <c r="G177" s="67"/>
      <c r="H177" s="67"/>
      <c r="I177" s="67"/>
      <c r="K177" s="16"/>
      <c r="M177" s="16"/>
      <c r="N177" s="16"/>
      <c r="O177" s="16"/>
      <c r="P177" s="16"/>
      <c r="Q177" s="16"/>
    </row>
    <row r="178" spans="5:22" ht="15" hidden="1" customHeight="1" x14ac:dyDescent="0.25">
      <c r="E178" t="s">
        <v>15</v>
      </c>
      <c r="F178" s="67"/>
      <c r="G178" s="67"/>
      <c r="H178" s="67"/>
      <c r="I178" s="67"/>
      <c r="J178" s="77">
        <v>73</v>
      </c>
      <c r="L178" s="16"/>
      <c r="M178" s="77">
        <f>SUMIF($F$8:$F$155,$E178,L$8:L$155)-L105</f>
        <v>56375381.333333336</v>
      </c>
      <c r="N178" s="77">
        <f>SUMIF($F$8:$F$155,$E178,M$8:M$155)-M105</f>
        <v>761067648</v>
      </c>
      <c r="O178" s="77">
        <f>SUMIF($F$8:$F$155,$E178,N$8:N$155)-N105</f>
        <v>76106764.799999997</v>
      </c>
      <c r="P178" s="77">
        <f>SUMIF($F$8:$F$155,$E178,O$8:O$155)-O105</f>
        <v>14460285.312000008</v>
      </c>
      <c r="Q178" s="85">
        <f>SUMIF($F$8:$F$155,$E178,P$8:P$155)-P105</f>
        <v>775527933.31199992</v>
      </c>
      <c r="R178">
        <f>+N178-O178</f>
        <v>684960883.20000005</v>
      </c>
      <c r="S178">
        <f t="shared" ref="S178:S187" si="38">+R178/J178</f>
        <v>9383025.7972602751</v>
      </c>
      <c r="T178">
        <f t="shared" ref="T178:T187" si="39">+S178*J178</f>
        <v>684960883.20000005</v>
      </c>
      <c r="U178" s="80">
        <f>+T178*8%</f>
        <v>54796870.656000003</v>
      </c>
      <c r="V178" s="58">
        <f>+T178+U178</f>
        <v>739757753.85600007</v>
      </c>
    </row>
    <row r="179" spans="5:22" ht="15" hidden="1" customHeight="1" x14ac:dyDescent="0.25">
      <c r="E179" t="s">
        <v>26</v>
      </c>
      <c r="F179" s="67"/>
      <c r="G179" s="67"/>
      <c r="H179" s="67"/>
      <c r="I179" s="67"/>
      <c r="J179" s="77">
        <f>SUMIF($F$8:$F$155,$E179,G$8:G$155)</f>
        <v>1</v>
      </c>
      <c r="L179" s="16"/>
      <c r="M179" s="16">
        <f t="shared" ref="M179:Q181" si="40">SUMIF($F$8:$F$155,$E179,L$8:L$155)</f>
        <v>1020800</v>
      </c>
      <c r="N179" s="16">
        <f t="shared" si="40"/>
        <v>11228800</v>
      </c>
      <c r="O179" s="16">
        <f t="shared" si="40"/>
        <v>1122880</v>
      </c>
      <c r="P179" s="16">
        <f t="shared" si="40"/>
        <v>213347.20000000001</v>
      </c>
      <c r="Q179" s="84">
        <f t="shared" si="40"/>
        <v>11442147.199999999</v>
      </c>
      <c r="R179">
        <f t="shared" ref="R179:R187" si="41">+N179-O179</f>
        <v>10105920</v>
      </c>
      <c r="S179">
        <f t="shared" si="38"/>
        <v>10105920</v>
      </c>
      <c r="T179">
        <f t="shared" si="39"/>
        <v>10105920</v>
      </c>
      <c r="U179" s="80">
        <f>+T179*10%</f>
        <v>1010592</v>
      </c>
      <c r="V179" s="58">
        <f t="shared" ref="V179:V187" si="42">+T179+U179</f>
        <v>11116512</v>
      </c>
    </row>
    <row r="180" spans="5:22" ht="15" hidden="1" customHeight="1" x14ac:dyDescent="0.25">
      <c r="E180" t="s">
        <v>57</v>
      </c>
      <c r="F180" s="67"/>
      <c r="G180" s="67"/>
      <c r="H180" s="67"/>
      <c r="I180" s="67"/>
      <c r="J180" s="77">
        <f>SUMIF($F$8:$F$155,$E180,G$8:G$155)</f>
        <v>8</v>
      </c>
      <c r="L180" s="16"/>
      <c r="M180" s="16">
        <f t="shared" si="40"/>
        <v>1937991.2499200001</v>
      </c>
      <c r="N180" s="16">
        <f t="shared" si="40"/>
        <v>26162881.873919997</v>
      </c>
      <c r="O180" s="16">
        <f t="shared" si="40"/>
        <v>2616288.1873920001</v>
      </c>
      <c r="P180" s="16">
        <f t="shared" si="40"/>
        <v>497094.75560447999</v>
      </c>
      <c r="Q180" s="84">
        <f t="shared" si="40"/>
        <v>26659976.629524477</v>
      </c>
      <c r="R180">
        <f>+N180-O180</f>
        <v>23546593.686527997</v>
      </c>
      <c r="S180">
        <f t="shared" si="38"/>
        <v>2943324.2108159997</v>
      </c>
      <c r="T180">
        <f t="shared" si="39"/>
        <v>23546593.686527997</v>
      </c>
      <c r="U180" s="80">
        <f t="shared" ref="U180:U187" si="43">+T180*8%</f>
        <v>1883727.4949222398</v>
      </c>
      <c r="V180" s="58">
        <f t="shared" si="42"/>
        <v>25430321.181450237</v>
      </c>
    </row>
    <row r="181" spans="5:22" ht="15" hidden="1" customHeight="1" x14ac:dyDescent="0.25">
      <c r="E181" t="s">
        <v>17</v>
      </c>
      <c r="F181" s="67"/>
      <c r="G181" s="67"/>
      <c r="H181" s="67"/>
      <c r="I181" s="67"/>
      <c r="J181" s="77">
        <v>18</v>
      </c>
      <c r="L181" s="16"/>
      <c r="M181" s="16">
        <f t="shared" si="40"/>
        <v>5265485.6601599995</v>
      </c>
      <c r="N181" s="16">
        <f t="shared" si="40"/>
        <v>71084056.412159979</v>
      </c>
      <c r="O181" s="16">
        <f t="shared" si="40"/>
        <v>7108405.6412159977</v>
      </c>
      <c r="P181" s="16">
        <f t="shared" si="40"/>
        <v>1350597.0718310396</v>
      </c>
      <c r="Q181" s="84">
        <f t="shared" si="40"/>
        <v>72434653.483991042</v>
      </c>
      <c r="R181">
        <f>+N181-O181</f>
        <v>63975650.770943984</v>
      </c>
      <c r="S181">
        <f t="shared" si="38"/>
        <v>3554202.8206079993</v>
      </c>
      <c r="T181">
        <f t="shared" si="39"/>
        <v>63975650.770943984</v>
      </c>
      <c r="U181" s="80">
        <f t="shared" si="43"/>
        <v>5118052.0616755188</v>
      </c>
      <c r="V181" s="58">
        <f t="shared" si="42"/>
        <v>69093702.832619503</v>
      </c>
    </row>
    <row r="182" spans="5:22" ht="15" hidden="1" customHeight="1" x14ac:dyDescent="0.25">
      <c r="E182" s="14" t="s">
        <v>16</v>
      </c>
      <c r="F182" s="66"/>
      <c r="G182" s="66"/>
      <c r="H182" s="66"/>
      <c r="I182" s="66"/>
      <c r="J182" s="77">
        <v>27</v>
      </c>
      <c r="L182" s="16"/>
      <c r="M182" s="94" t="e">
        <f>SUMIF($F$8:$F$144,$E182,L$8:L$144)-#REF!</f>
        <v>#REF!</v>
      </c>
      <c r="N182" s="94" t="e">
        <f>SUMIF($F$8:$F$144,$E182,M$8:M$144)-#REF!</f>
        <v>#REF!</v>
      </c>
      <c r="O182" s="94" t="e">
        <f>SUMIF($F$8:$F$144,$E182,N$8:N$144)-#REF!</f>
        <v>#REF!</v>
      </c>
      <c r="P182" s="94" t="e">
        <f>SUMIF($F$8:$F$144,$E182,O$8:O$144)-#REF!</f>
        <v>#REF!</v>
      </c>
      <c r="Q182" s="84" t="e">
        <f>SUMIF($F$8:$F$144,$E182,P$8:P$144)-#REF!</f>
        <v>#REF!</v>
      </c>
      <c r="R182" t="e">
        <f t="shared" si="41"/>
        <v>#REF!</v>
      </c>
      <c r="S182" t="e">
        <f t="shared" si="38"/>
        <v>#REF!</v>
      </c>
      <c r="T182" t="e">
        <f t="shared" si="39"/>
        <v>#REF!</v>
      </c>
      <c r="U182" s="80" t="e">
        <f t="shared" si="43"/>
        <v>#REF!</v>
      </c>
      <c r="V182" s="58" t="e">
        <f t="shared" si="42"/>
        <v>#REF!</v>
      </c>
    </row>
    <row r="183" spans="5:22" ht="15" hidden="1" customHeight="1" x14ac:dyDescent="0.25">
      <c r="E183" t="s">
        <v>19</v>
      </c>
      <c r="F183" s="67"/>
      <c r="G183" s="67"/>
      <c r="H183" s="67"/>
      <c r="I183" s="67"/>
      <c r="J183" s="77">
        <f>SUMIF($F$8:$F$155,$E183,G$8:G$155)</f>
        <v>5</v>
      </c>
      <c r="L183" s="16"/>
      <c r="M183" s="16">
        <f t="shared" ref="M183:Q187" si="44">SUMIF($F$8:$F$155,$E183,L$8:L$155)</f>
        <v>1706407.3898666666</v>
      </c>
      <c r="N183" s="16">
        <f t="shared" si="44"/>
        <v>23036499.7632</v>
      </c>
      <c r="O183" s="16">
        <f t="shared" si="44"/>
        <v>2303649.9763200004</v>
      </c>
      <c r="P183" s="16">
        <f t="shared" si="44"/>
        <v>437693.49550080008</v>
      </c>
      <c r="Q183" s="84">
        <f t="shared" si="44"/>
        <v>23474193.258700799</v>
      </c>
      <c r="R183">
        <f t="shared" si="41"/>
        <v>20732849.786880001</v>
      </c>
      <c r="S183">
        <f t="shared" si="38"/>
        <v>4146569.9573760005</v>
      </c>
      <c r="T183">
        <f t="shared" si="39"/>
        <v>20732849.786880001</v>
      </c>
      <c r="U183" s="80">
        <f t="shared" si="43"/>
        <v>1658627.9829504001</v>
      </c>
      <c r="V183" s="58">
        <f t="shared" si="42"/>
        <v>22391477.769830402</v>
      </c>
    </row>
    <row r="184" spans="5:22" ht="15" hidden="1" customHeight="1" x14ac:dyDescent="0.25">
      <c r="E184" t="s">
        <v>20</v>
      </c>
      <c r="F184" s="67"/>
      <c r="G184" s="67"/>
      <c r="H184" s="67"/>
      <c r="I184" s="67"/>
      <c r="J184" s="77">
        <f>SUMIF($F$8:$F$155,$E184,G$8:G$155)</f>
        <v>3</v>
      </c>
      <c r="L184" s="16"/>
      <c r="M184" s="16">
        <f t="shared" si="44"/>
        <v>1279805.5423999999</v>
      </c>
      <c r="N184" s="16">
        <f t="shared" si="44"/>
        <v>17277374.822399996</v>
      </c>
      <c r="O184" s="16">
        <f t="shared" si="44"/>
        <v>1727737.4822399998</v>
      </c>
      <c r="P184" s="16">
        <f t="shared" si="44"/>
        <v>328270.12162559998</v>
      </c>
      <c r="Q184" s="84">
        <f t="shared" si="44"/>
        <v>17605644.944025598</v>
      </c>
      <c r="R184">
        <f t="shared" si="41"/>
        <v>15549637.340159997</v>
      </c>
      <c r="S184">
        <f t="shared" si="38"/>
        <v>5183212.4467199994</v>
      </c>
      <c r="T184">
        <f t="shared" si="39"/>
        <v>15549637.340159997</v>
      </c>
      <c r="U184" s="80">
        <f t="shared" si="43"/>
        <v>1243970.9872127997</v>
      </c>
      <c r="V184" s="58">
        <f t="shared" si="42"/>
        <v>16793608.327372797</v>
      </c>
    </row>
    <row r="185" spans="5:22" ht="15" hidden="1" customHeight="1" x14ac:dyDescent="0.25">
      <c r="E185" t="s">
        <v>79</v>
      </c>
      <c r="F185" s="67"/>
      <c r="G185" s="67"/>
      <c r="H185" s="67"/>
      <c r="I185" s="67"/>
      <c r="J185" s="77">
        <f>SUMIF($F$8:$F$155,$E185,G$8:G$155)</f>
        <v>1</v>
      </c>
      <c r="L185" s="16"/>
      <c r="M185" s="16">
        <f t="shared" si="44"/>
        <v>316904.22954666661</v>
      </c>
      <c r="N185" s="16">
        <f t="shared" si="44"/>
        <v>4278207.0988799985</v>
      </c>
      <c r="O185" s="16">
        <f t="shared" si="44"/>
        <v>427820.70988799987</v>
      </c>
      <c r="P185" s="16">
        <f t="shared" si="44"/>
        <v>81285.934878719971</v>
      </c>
      <c r="Q185" s="84">
        <f t="shared" si="44"/>
        <v>4359493.0337587185</v>
      </c>
      <c r="R185">
        <f t="shared" si="41"/>
        <v>3850386.3889919985</v>
      </c>
      <c r="S185">
        <f t="shared" si="38"/>
        <v>3850386.3889919985</v>
      </c>
      <c r="T185">
        <f t="shared" si="39"/>
        <v>3850386.3889919985</v>
      </c>
      <c r="U185" s="80">
        <f t="shared" si="43"/>
        <v>308030.91111935989</v>
      </c>
      <c r="V185" s="58">
        <f t="shared" si="42"/>
        <v>4158417.3001113585</v>
      </c>
    </row>
    <row r="186" spans="5:22" ht="15" hidden="1" customHeight="1" x14ac:dyDescent="0.25">
      <c r="E186" t="s">
        <v>21</v>
      </c>
      <c r="F186" s="67"/>
      <c r="G186" s="67"/>
      <c r="H186" s="67"/>
      <c r="I186" s="67"/>
      <c r="J186" s="77">
        <f>SUMIF($F$8:$F$155,$E186,G$8:G$155)</f>
        <v>3</v>
      </c>
      <c r="L186" s="16"/>
      <c r="M186" s="16">
        <f t="shared" si="44"/>
        <v>585053.96224000002</v>
      </c>
      <c r="N186" s="16">
        <f t="shared" si="44"/>
        <v>7898228.4902399993</v>
      </c>
      <c r="O186" s="16">
        <f t="shared" si="44"/>
        <v>789822.849024</v>
      </c>
      <c r="P186" s="16">
        <f t="shared" si="44"/>
        <v>150066.34131456001</v>
      </c>
      <c r="Q186" s="84">
        <f t="shared" si="44"/>
        <v>8048294.83155456</v>
      </c>
      <c r="R186">
        <f t="shared" si="41"/>
        <v>7108405.6412159996</v>
      </c>
      <c r="S186">
        <f t="shared" si="38"/>
        <v>2369468.5470719999</v>
      </c>
      <c r="T186">
        <f t="shared" si="39"/>
        <v>7108405.6412159996</v>
      </c>
      <c r="U186" s="80">
        <f t="shared" si="43"/>
        <v>568672.45129728003</v>
      </c>
      <c r="V186" s="58">
        <f t="shared" si="42"/>
        <v>7677078.09251328</v>
      </c>
    </row>
    <row r="187" spans="5:22" ht="15" hidden="1" customHeight="1" x14ac:dyDescent="0.25">
      <c r="E187" t="s">
        <v>78</v>
      </c>
      <c r="F187" s="67"/>
      <c r="G187" s="67"/>
      <c r="H187" s="67"/>
      <c r="I187" s="67"/>
      <c r="J187" s="77">
        <f>SUMIF($F$8:$F$155,$E187,G$8:G$155)</f>
        <v>0</v>
      </c>
      <c r="L187" s="16"/>
      <c r="M187" s="16">
        <f t="shared" si="44"/>
        <v>0</v>
      </c>
      <c r="N187" s="16">
        <f t="shared" si="44"/>
        <v>0</v>
      </c>
      <c r="O187" s="16">
        <f t="shared" si="44"/>
        <v>0</v>
      </c>
      <c r="P187" s="16">
        <f t="shared" si="44"/>
        <v>0</v>
      </c>
      <c r="Q187" s="84">
        <f t="shared" si="44"/>
        <v>0</v>
      </c>
      <c r="R187">
        <f t="shared" si="41"/>
        <v>0</v>
      </c>
      <c r="S187" t="e">
        <f t="shared" si="38"/>
        <v>#DIV/0!</v>
      </c>
      <c r="T187" t="e">
        <f t="shared" si="39"/>
        <v>#DIV/0!</v>
      </c>
      <c r="U187" s="80" t="e">
        <f t="shared" si="43"/>
        <v>#DIV/0!</v>
      </c>
      <c r="V187" s="58" t="e">
        <f t="shared" si="42"/>
        <v>#DIV/0!</v>
      </c>
    </row>
    <row r="188" spans="5:22" ht="15" hidden="1" customHeight="1" x14ac:dyDescent="0.25">
      <c r="F188" s="67"/>
      <c r="G188" s="67"/>
      <c r="H188" s="67"/>
      <c r="I188" s="67"/>
      <c r="J188" s="17"/>
      <c r="L188" s="17"/>
      <c r="M188" s="17" t="e">
        <f t="shared" ref="M188:P188" si="45">SUM(M178:M187)</f>
        <v>#REF!</v>
      </c>
      <c r="N188" s="17" t="e">
        <f t="shared" si="45"/>
        <v>#REF!</v>
      </c>
      <c r="O188" s="17" t="e">
        <f t="shared" si="45"/>
        <v>#REF!</v>
      </c>
      <c r="P188" s="17" t="e">
        <f t="shared" si="45"/>
        <v>#REF!</v>
      </c>
      <c r="Q188" s="17" t="e">
        <f>SUM(Q178:Q187)</f>
        <v>#REF!</v>
      </c>
      <c r="R188" t="e">
        <f>SUM(R178:R187)</f>
        <v>#REF!</v>
      </c>
      <c r="T188" t="e">
        <f>SUM(T178:T187)+R191+R192+R193+R194</f>
        <v>#REF!</v>
      </c>
    </row>
    <row r="189" spans="5:22" ht="15" hidden="1" customHeight="1" x14ac:dyDescent="0.25">
      <c r="F189" s="67"/>
      <c r="G189" s="67"/>
      <c r="H189" s="67"/>
      <c r="I189" s="67"/>
      <c r="P189" s="17"/>
      <c r="T189">
        <f>+N155</f>
        <v>107355911.21305597</v>
      </c>
    </row>
    <row r="190" spans="5:22" ht="15" hidden="1" customHeight="1" x14ac:dyDescent="0.25">
      <c r="E190" s="67" t="s">
        <v>88</v>
      </c>
      <c r="F190" s="67"/>
      <c r="G190" s="67"/>
      <c r="H190" s="67"/>
      <c r="I190" s="67"/>
      <c r="K190" s="58"/>
      <c r="M190" s="58"/>
      <c r="N190" s="58"/>
      <c r="O190" s="58"/>
      <c r="P190" s="58"/>
      <c r="Q190" s="58"/>
      <c r="T190" t="e">
        <f>+T188+T189</f>
        <v>#REF!</v>
      </c>
    </row>
    <row r="191" spans="5:22" ht="15" hidden="1" customHeight="1" x14ac:dyDescent="0.25">
      <c r="E191" s="76" t="s">
        <v>74</v>
      </c>
      <c r="F191" s="70"/>
      <c r="G191" s="70"/>
      <c r="H191" s="70"/>
      <c r="I191" s="70"/>
      <c r="J191" s="16"/>
      <c r="K191" s="16"/>
      <c r="L191" s="58"/>
      <c r="M191" s="58">
        <f>+L146+L147+L148+L149</f>
        <v>962093.38367999997</v>
      </c>
      <c r="N191" s="58">
        <f>+M146+M147+M148+M149</f>
        <v>12988260.679680001</v>
      </c>
      <c r="O191" s="58">
        <f>+N146+N147+N148+N149</f>
        <v>1298826.0679680002</v>
      </c>
      <c r="P191" s="58">
        <f>+O146+O147+O148+O149</f>
        <v>246776.95291392005</v>
      </c>
      <c r="Q191" s="87">
        <f>+P146+P147+P148+P149</f>
        <v>13235037.63259392</v>
      </c>
      <c r="R191">
        <f>+N191-O191</f>
        <v>11689434.611712001</v>
      </c>
      <c r="T191">
        <f>+O155</f>
        <v>20397623.130480647</v>
      </c>
    </row>
    <row r="192" spans="5:22" ht="15" hidden="1" customHeight="1" x14ac:dyDescent="0.25">
      <c r="E192" s="11" t="s">
        <v>163</v>
      </c>
      <c r="K192" s="16"/>
      <c r="L192" s="28"/>
      <c r="M192" s="28" t="e">
        <f>+#REF!</f>
        <v>#REF!</v>
      </c>
      <c r="N192" s="28" t="e">
        <f>+#REF!</f>
        <v>#REF!</v>
      </c>
      <c r="O192" s="28" t="e">
        <f>+#REF!</f>
        <v>#REF!</v>
      </c>
      <c r="P192" s="28" t="e">
        <f>+#REF!</f>
        <v>#REF!</v>
      </c>
      <c r="Q192" s="86" t="e">
        <f>+#REF!</f>
        <v>#REF!</v>
      </c>
      <c r="R192" t="e">
        <f t="shared" ref="R192:R193" si="46">+N192-O192</f>
        <v>#REF!</v>
      </c>
      <c r="T192" t="e">
        <f>+T190+T191</f>
        <v>#REF!</v>
      </c>
    </row>
    <row r="193" spans="5:20" ht="15" hidden="1" customHeight="1" x14ac:dyDescent="0.25">
      <c r="E193" s="79" t="s">
        <v>15</v>
      </c>
      <c r="K193" s="16"/>
      <c r="L193" s="28"/>
      <c r="M193" s="28">
        <f>+L105</f>
        <v>816640</v>
      </c>
      <c r="N193" s="28">
        <f>+M105</f>
        <v>11024640</v>
      </c>
      <c r="O193" s="28">
        <f>+N105</f>
        <v>1102464</v>
      </c>
      <c r="P193" s="28">
        <f>+O105</f>
        <v>209468.16</v>
      </c>
      <c r="Q193" s="86">
        <f>+P105</f>
        <v>11234108.16</v>
      </c>
      <c r="R193">
        <f t="shared" si="46"/>
        <v>9922176</v>
      </c>
    </row>
    <row r="194" spans="5:20" ht="15" hidden="1" customHeight="1" x14ac:dyDescent="0.25">
      <c r="M194" s="28" t="e">
        <f>+M191+M192+M193</f>
        <v>#REF!</v>
      </c>
      <c r="N194" s="28" t="e">
        <f>+N191+N192+N193</f>
        <v>#REF!</v>
      </c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t="e">
        <f>+N194-O194</f>
        <v>#REF!</v>
      </c>
    </row>
    <row r="195" spans="5:20" ht="15.75" hidden="1" customHeight="1" x14ac:dyDescent="0.25">
      <c r="P195" s="58"/>
      <c r="Q195" s="58" t="e">
        <f>+Q188+Q191+Q192+Q193</f>
        <v>#REF!</v>
      </c>
    </row>
    <row r="196" spans="5:20" ht="15.75" hidden="1" customHeight="1" x14ac:dyDescent="0.25">
      <c r="Q196" s="15" t="e">
        <f>+Q195-P155</f>
        <v>#REF!</v>
      </c>
      <c r="R196" t="s">
        <v>168</v>
      </c>
    </row>
    <row r="197" spans="5:20" ht="15" hidden="1" customHeight="1" x14ac:dyDescent="0.25">
      <c r="O197" t="s">
        <v>15</v>
      </c>
      <c r="R197">
        <v>73</v>
      </c>
      <c r="S197">
        <v>8553600</v>
      </c>
      <c r="T197">
        <f>+S197*R197</f>
        <v>624412800</v>
      </c>
    </row>
    <row r="198" spans="5:20" ht="15" hidden="1" customHeight="1" x14ac:dyDescent="0.25">
      <c r="O198" t="s">
        <v>26</v>
      </c>
      <c r="P198" s="67"/>
      <c r="R198">
        <v>1</v>
      </c>
      <c r="S198">
        <v>8712000</v>
      </c>
      <c r="T198">
        <f t="shared" ref="T198:T210" si="47">+S198*R198</f>
        <v>8712000</v>
      </c>
    </row>
    <row r="199" spans="5:20" ht="15" hidden="1" customHeight="1" x14ac:dyDescent="0.25">
      <c r="O199" t="s">
        <v>57</v>
      </c>
      <c r="P199" s="67"/>
      <c r="R199">
        <v>8</v>
      </c>
      <c r="S199">
        <v>2553306.62</v>
      </c>
      <c r="T199">
        <f t="shared" si="47"/>
        <v>20426452.960000001</v>
      </c>
    </row>
    <row r="200" spans="5:20" ht="15" hidden="1" customHeight="1" x14ac:dyDescent="0.25">
      <c r="O200" t="s">
        <v>17</v>
      </c>
      <c r="P200" s="67"/>
      <c r="R200">
        <v>18</v>
      </c>
      <c r="S200">
        <v>3063967.95</v>
      </c>
      <c r="T200">
        <f t="shared" si="47"/>
        <v>55151423.100000001</v>
      </c>
    </row>
    <row r="201" spans="5:20" ht="15" hidden="1" customHeight="1" x14ac:dyDescent="0.25">
      <c r="O201" s="14" t="s">
        <v>16</v>
      </c>
      <c r="P201" s="67"/>
      <c r="R201">
        <v>27</v>
      </c>
      <c r="S201">
        <v>3829959.94</v>
      </c>
      <c r="T201">
        <f t="shared" si="47"/>
        <v>103408918.38</v>
      </c>
    </row>
    <row r="202" spans="5:20" ht="15" hidden="1" customHeight="1" x14ac:dyDescent="0.25">
      <c r="F202" s="67"/>
      <c r="G202" s="83"/>
      <c r="H202" s="83"/>
      <c r="O202" t="s">
        <v>19</v>
      </c>
      <c r="P202" s="66"/>
      <c r="R202">
        <v>5</v>
      </c>
      <c r="S202">
        <v>3574629.27</v>
      </c>
      <c r="T202">
        <f t="shared" si="47"/>
        <v>17873146.350000001</v>
      </c>
    </row>
    <row r="203" spans="5:20" ht="15" hidden="1" customHeight="1" x14ac:dyDescent="0.25">
      <c r="F203" s="67"/>
      <c r="G203" s="83"/>
      <c r="H203" s="83"/>
      <c r="O203" t="s">
        <v>20</v>
      </c>
      <c r="P203" s="67"/>
      <c r="R203">
        <v>3</v>
      </c>
      <c r="S203">
        <v>4468286.59</v>
      </c>
      <c r="T203">
        <f t="shared" si="47"/>
        <v>13404859.77</v>
      </c>
    </row>
    <row r="204" spans="5:20" ht="15" hidden="1" customHeight="1" x14ac:dyDescent="0.25">
      <c r="F204" s="67"/>
      <c r="G204" s="83"/>
      <c r="H204" s="83"/>
      <c r="O204" t="s">
        <v>79</v>
      </c>
      <c r="P204" s="67"/>
      <c r="R204">
        <v>1</v>
      </c>
      <c r="S204">
        <v>3319298.61</v>
      </c>
      <c r="T204">
        <f t="shared" si="47"/>
        <v>3319298.61</v>
      </c>
    </row>
    <row r="205" spans="5:20" ht="15" hidden="1" customHeight="1" x14ac:dyDescent="0.25">
      <c r="F205" s="67"/>
      <c r="G205" s="83"/>
      <c r="H205" s="83"/>
      <c r="O205" t="s">
        <v>21</v>
      </c>
      <c r="P205" s="67"/>
      <c r="R205">
        <v>3</v>
      </c>
      <c r="S205">
        <v>2042645.3</v>
      </c>
      <c r="T205">
        <f t="shared" si="47"/>
        <v>6127935.9000000004</v>
      </c>
    </row>
    <row r="206" spans="5:20" ht="15" hidden="1" customHeight="1" x14ac:dyDescent="0.25">
      <c r="E206" s="82"/>
      <c r="F206" s="66"/>
      <c r="G206" s="83"/>
      <c r="H206" s="83"/>
      <c r="O206" t="s">
        <v>78</v>
      </c>
      <c r="P206" s="67"/>
      <c r="R206">
        <v>1</v>
      </c>
      <c r="S206">
        <v>2212865.2400000002</v>
      </c>
      <c r="T206">
        <f t="shared" si="47"/>
        <v>2212865.2400000002</v>
      </c>
    </row>
    <row r="207" spans="5:20" ht="15" hidden="1" customHeight="1" x14ac:dyDescent="0.25">
      <c r="F207" s="67"/>
      <c r="G207" s="83"/>
      <c r="H207" s="83"/>
      <c r="O207" s="76" t="s">
        <v>74</v>
      </c>
      <c r="P207" s="67"/>
      <c r="R207">
        <v>1</v>
      </c>
      <c r="S207">
        <v>12281464.17</v>
      </c>
      <c r="T207">
        <f t="shared" si="47"/>
        <v>12281464.17</v>
      </c>
    </row>
    <row r="208" spans="5:20" ht="15" hidden="1" customHeight="1" x14ac:dyDescent="0.25">
      <c r="F208" s="67"/>
      <c r="G208" s="83"/>
      <c r="H208" s="83"/>
      <c r="O208" s="11" t="s">
        <v>163</v>
      </c>
      <c r="R208">
        <v>1</v>
      </c>
      <c r="S208">
        <v>3574629.27</v>
      </c>
      <c r="T208">
        <f t="shared" si="47"/>
        <v>3574629.27</v>
      </c>
    </row>
    <row r="209" spans="5:20" ht="15" hidden="1" customHeight="1" x14ac:dyDescent="0.25">
      <c r="F209" s="67"/>
      <c r="G209" s="83"/>
      <c r="H209" s="83"/>
      <c r="O209" s="79" t="s">
        <v>15</v>
      </c>
      <c r="R209">
        <v>1</v>
      </c>
      <c r="S209">
        <v>5417280</v>
      </c>
      <c r="T209">
        <f t="shared" si="47"/>
        <v>5417280</v>
      </c>
    </row>
    <row r="210" spans="5:20" ht="15" hidden="1" customHeight="1" x14ac:dyDescent="0.25">
      <c r="F210" s="67"/>
      <c r="G210" s="83"/>
      <c r="H210" s="83"/>
      <c r="R210">
        <v>1</v>
      </c>
      <c r="S210">
        <v>97369230.459999993</v>
      </c>
      <c r="T210">
        <f t="shared" si="47"/>
        <v>97369230.459999993</v>
      </c>
    </row>
    <row r="211" spans="5:20" ht="15" hidden="1" customHeight="1" x14ac:dyDescent="0.25">
      <c r="F211" s="67"/>
      <c r="G211" s="83"/>
      <c r="H211" s="83"/>
      <c r="T211">
        <f>+T210*19%</f>
        <v>18500153.7874</v>
      </c>
    </row>
    <row r="212" spans="5:20" ht="15.75" hidden="1" customHeight="1" x14ac:dyDescent="0.25">
      <c r="F212" s="67"/>
      <c r="T212">
        <f>SUM(T197:T211)</f>
        <v>992192457.99740005</v>
      </c>
    </row>
    <row r="213" spans="5:20" ht="15" hidden="1" customHeight="1" x14ac:dyDescent="0.25">
      <c r="F213" s="67"/>
    </row>
    <row r="214" spans="5:20" ht="15" hidden="1" customHeight="1" x14ac:dyDescent="0.25">
      <c r="E214" s="67"/>
      <c r="F214" s="67"/>
    </row>
    <row r="215" spans="5:20" ht="15" hidden="1" customHeight="1" x14ac:dyDescent="0.25">
      <c r="E215" s="76"/>
      <c r="F215" s="70"/>
    </row>
    <row r="216" spans="5:20" x14ac:dyDescent="0.25">
      <c r="E216" s="82"/>
      <c r="J216" s="80"/>
      <c r="P216" s="15" t="e">
        <f>+P155-#REF!</f>
        <v>#REF!</v>
      </c>
    </row>
    <row r="217" spans="5:20" x14ac:dyDescent="0.25">
      <c r="E217" s="82"/>
      <c r="J217" s="58"/>
    </row>
    <row r="218" spans="5:20" x14ac:dyDescent="0.25">
      <c r="E218" s="82"/>
    </row>
    <row r="219" spans="5:20" x14ac:dyDescent="0.25">
      <c r="K219" s="114"/>
    </row>
    <row r="220" spans="5:20" x14ac:dyDescent="0.25">
      <c r="I220">
        <v>15</v>
      </c>
      <c r="J220" s="115"/>
    </row>
  </sheetData>
  <autoFilter ref="B7:V153">
    <filterColumn colId="9" showButton="0"/>
  </autoFilter>
  <mergeCells count="26">
    <mergeCell ref="B3:P3"/>
    <mergeCell ref="B4:P4"/>
    <mergeCell ref="B5:P5"/>
    <mergeCell ref="K7:L7"/>
    <mergeCell ref="B8:B41"/>
    <mergeCell ref="D8:D9"/>
    <mergeCell ref="D16:D17"/>
    <mergeCell ref="D18:D19"/>
    <mergeCell ref="D22:D23"/>
    <mergeCell ref="D25:D26"/>
    <mergeCell ref="B146:B150"/>
    <mergeCell ref="Q82:Q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8"/>
  <sheetViews>
    <sheetView workbookViewId="0">
      <selection activeCell="P155" sqref="P155"/>
    </sheetView>
  </sheetViews>
  <sheetFormatPr baseColWidth="10" defaultRowHeight="15" x14ac:dyDescent="0.25"/>
  <cols>
    <col min="5" max="5" width="16.140625" customWidth="1"/>
    <col min="6" max="6" width="18.85546875" customWidth="1"/>
    <col min="7" max="7" width="19.85546875" customWidth="1"/>
  </cols>
  <sheetData>
    <row r="4" spans="5:7" x14ac:dyDescent="0.25">
      <c r="E4" s="414" t="s">
        <v>196</v>
      </c>
      <c r="F4" s="414"/>
      <c r="G4" s="414"/>
    </row>
    <row r="5" spans="5:7" x14ac:dyDescent="0.25">
      <c r="E5" s="117" t="s">
        <v>191</v>
      </c>
      <c r="F5" s="117" t="s">
        <v>192</v>
      </c>
      <c r="G5" s="117" t="s">
        <v>193</v>
      </c>
    </row>
    <row r="6" spans="5:7" x14ac:dyDescent="0.25">
      <c r="E6" s="67" t="s">
        <v>195</v>
      </c>
      <c r="F6" s="116" t="s">
        <v>194</v>
      </c>
      <c r="G6" s="119">
        <v>1093956735.2610412</v>
      </c>
    </row>
    <row r="7" spans="5:7" x14ac:dyDescent="0.25">
      <c r="E7" s="67" t="s">
        <v>195</v>
      </c>
      <c r="F7" s="116" t="s">
        <v>197</v>
      </c>
      <c r="G7" s="119">
        <v>1093956735.2610412</v>
      </c>
    </row>
    <row r="8" spans="5:7" x14ac:dyDescent="0.25">
      <c r="E8" s="118"/>
      <c r="F8" s="118"/>
      <c r="G8" s="120">
        <f>SUM(G6:G7)</f>
        <v>2187913470.5220823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X220"/>
  <sheetViews>
    <sheetView showGridLines="0" topLeftCell="D1" zoomScale="80" zoomScaleNormal="80" workbookViewId="0">
      <selection activeCell="L8" sqref="L8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7" width="6.85546875" customWidth="1"/>
    <col min="8" max="8" width="9.7109375" customWidth="1"/>
    <col min="9" max="9" width="12.28515625" customWidth="1"/>
    <col min="10" max="10" width="21.140625" customWidth="1"/>
    <col min="11" max="11" width="24" customWidth="1"/>
    <col min="12" max="12" width="20.7109375" customWidth="1"/>
    <col min="13" max="13" width="5.5703125" customWidth="1"/>
    <col min="14" max="14" width="17.28515625" customWidth="1"/>
    <col min="15" max="15" width="18" customWidth="1"/>
    <col min="16" max="16" width="16.7109375" customWidth="1"/>
    <col min="17" max="17" width="16.28515625" customWidth="1"/>
    <col min="18" max="18" width="20.85546875" customWidth="1"/>
    <col min="19" max="19" width="21.5703125" hidden="1" customWidth="1"/>
    <col min="20" max="20" width="17.85546875" customWidth="1"/>
    <col min="21" max="21" width="15.140625" customWidth="1"/>
    <col min="22" max="22" width="16.140625" customWidth="1"/>
    <col min="23" max="23" width="15" bestFit="1" customWidth="1"/>
    <col min="24" max="24" width="16" bestFit="1" customWidth="1"/>
  </cols>
  <sheetData>
    <row r="3" spans="2:23" x14ac:dyDescent="0.25">
      <c r="B3" s="408" t="s">
        <v>0</v>
      </c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</row>
    <row r="4" spans="2:23" ht="27" customHeight="1" x14ac:dyDescent="0.25">
      <c r="B4" s="408" t="s">
        <v>1</v>
      </c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</row>
    <row r="5" spans="2:23" x14ac:dyDescent="0.25">
      <c r="B5" s="408" t="s">
        <v>169</v>
      </c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08"/>
      <c r="P5" s="408"/>
      <c r="Q5" s="408"/>
      <c r="R5" s="408"/>
    </row>
    <row r="6" spans="2:23" x14ac:dyDescent="0.25">
      <c r="B6" s="97"/>
      <c r="C6" s="97"/>
      <c r="D6" s="97"/>
      <c r="E6" s="97"/>
      <c r="F6" s="97"/>
      <c r="G6" s="97"/>
      <c r="H6" s="97"/>
      <c r="I6" s="97"/>
      <c r="J6" s="415" t="s">
        <v>188</v>
      </c>
      <c r="K6" s="416"/>
      <c r="L6" s="97"/>
      <c r="M6" s="97"/>
      <c r="N6" s="97"/>
      <c r="O6" s="97"/>
      <c r="P6" s="97"/>
      <c r="Q6" s="97"/>
      <c r="R6" s="97"/>
    </row>
    <row r="7" spans="2:23" ht="27" customHeight="1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189</v>
      </c>
      <c r="I7" s="97" t="s">
        <v>185</v>
      </c>
      <c r="J7" s="113" t="s">
        <v>190</v>
      </c>
      <c r="K7" s="113" t="s">
        <v>184</v>
      </c>
      <c r="L7" s="98" t="s">
        <v>8</v>
      </c>
      <c r="M7" s="409" t="s">
        <v>9</v>
      </c>
      <c r="N7" s="409"/>
      <c r="O7" s="97" t="s">
        <v>10</v>
      </c>
      <c r="P7" s="97" t="s">
        <v>11</v>
      </c>
      <c r="Q7" s="97" t="s">
        <v>12</v>
      </c>
      <c r="R7" s="97" t="s">
        <v>13</v>
      </c>
    </row>
    <row r="8" spans="2:23" ht="15" customHeight="1" x14ac:dyDescent="0.25">
      <c r="B8" s="410" t="s">
        <v>80</v>
      </c>
      <c r="C8" s="18" t="s">
        <v>14</v>
      </c>
      <c r="D8" s="413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+(((1160000*8.8+5400)/30)*I8)*E8</f>
        <v>10213400</v>
      </c>
      <c r="K8" s="1"/>
      <c r="L8" s="3">
        <f>+(((1160000*8.8+5400)/30)*I8)*E8</f>
        <v>10213400</v>
      </c>
      <c r="M8" s="4">
        <v>0.08</v>
      </c>
      <c r="N8" s="5">
        <f t="shared" ref="N8:N41" si="0">L8*M8</f>
        <v>817072</v>
      </c>
      <c r="O8" s="5">
        <f t="shared" ref="O8:O41" si="1">L8+N8</f>
        <v>11030472</v>
      </c>
      <c r="P8" s="5">
        <f t="shared" ref="P8:P41" si="2">O8*10%</f>
        <v>1103047.2</v>
      </c>
      <c r="Q8" s="5">
        <f t="shared" ref="Q8:Q41" si="3">+P8*19%</f>
        <v>209578.96799999999</v>
      </c>
      <c r="R8" s="5">
        <f t="shared" ref="R8:R41" si="4">O8+Q8</f>
        <v>11240050.968</v>
      </c>
      <c r="V8" s="112"/>
      <c r="W8" s="80"/>
    </row>
    <row r="9" spans="2:23" x14ac:dyDescent="0.25">
      <c r="B9" s="411"/>
      <c r="C9" s="18" t="s">
        <v>14</v>
      </c>
      <c r="D9" s="413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1"/>
      <c r="K9" s="1"/>
      <c r="L9" s="6">
        <f>+(((((1160000*8.8+5400)*55.97%)/15*12)/30)*I9)*E9</f>
        <v>4573151.9839999992</v>
      </c>
      <c r="M9" s="4">
        <v>0.08</v>
      </c>
      <c r="N9" s="5">
        <f t="shared" si="0"/>
        <v>365852.15871999995</v>
      </c>
      <c r="O9" s="5">
        <f t="shared" si="1"/>
        <v>4939004.142719999</v>
      </c>
      <c r="P9" s="5">
        <f t="shared" si="2"/>
        <v>493900.41427199991</v>
      </c>
      <c r="Q9" s="5">
        <f t="shared" si="3"/>
        <v>93841.078711679977</v>
      </c>
      <c r="R9" s="5">
        <f t="shared" si="4"/>
        <v>5032845.2214316791</v>
      </c>
      <c r="V9" s="80"/>
      <c r="W9" s="80"/>
    </row>
    <row r="10" spans="2:23" x14ac:dyDescent="0.25">
      <c r="B10" s="411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1"/>
      <c r="K10" s="1"/>
      <c r="L10" s="3">
        <f>+(((1160000*8.8+5400)/30)*I10)*E10</f>
        <v>10213400</v>
      </c>
      <c r="M10" s="4">
        <v>0.08</v>
      </c>
      <c r="N10" s="5">
        <f t="shared" si="0"/>
        <v>817072</v>
      </c>
      <c r="O10" s="5">
        <f t="shared" si="1"/>
        <v>11030472</v>
      </c>
      <c r="P10" s="5">
        <f t="shared" si="2"/>
        <v>1103047.2</v>
      </c>
      <c r="Q10" s="5">
        <f t="shared" si="3"/>
        <v>209578.96799999999</v>
      </c>
      <c r="R10" s="5">
        <f t="shared" si="4"/>
        <v>11240050.968</v>
      </c>
      <c r="V10" s="80"/>
      <c r="W10" s="80"/>
    </row>
    <row r="11" spans="2:23" x14ac:dyDescent="0.25">
      <c r="B11" s="411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1"/>
      <c r="K11" s="1"/>
      <c r="L11" s="6">
        <f>+(((((1160000*8.8+5400)*55.97%)/15*12)/30)*I11)*E11</f>
        <v>4573151.9839999992</v>
      </c>
      <c r="M11" s="4">
        <v>0.08</v>
      </c>
      <c r="N11" s="5">
        <f t="shared" si="0"/>
        <v>365852.15871999995</v>
      </c>
      <c r="O11" s="5">
        <f t="shared" si="1"/>
        <v>4939004.142719999</v>
      </c>
      <c r="P11" s="5">
        <f t="shared" si="2"/>
        <v>493900.41427199991</v>
      </c>
      <c r="Q11" s="5">
        <f t="shared" si="3"/>
        <v>93841.078711679977</v>
      </c>
      <c r="R11" s="5">
        <f t="shared" si="4"/>
        <v>5032845.2214316791</v>
      </c>
      <c r="V11" s="80"/>
    </row>
    <row r="12" spans="2:23" x14ac:dyDescent="0.25">
      <c r="B12" s="411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1"/>
      <c r="K12" s="1"/>
      <c r="L12" s="6">
        <f>+(((((1160000*8.8+5400)*55.97%)/15*12)/30)*I12)*E12</f>
        <v>4573151.9839999992</v>
      </c>
      <c r="M12" s="4">
        <v>0.08</v>
      </c>
      <c r="N12" s="5">
        <f t="shared" si="0"/>
        <v>365852.15871999995</v>
      </c>
      <c r="O12" s="5">
        <f t="shared" si="1"/>
        <v>4939004.142719999</v>
      </c>
      <c r="P12" s="5">
        <f t="shared" si="2"/>
        <v>493900.41427199991</v>
      </c>
      <c r="Q12" s="5">
        <f t="shared" si="3"/>
        <v>93841.078711679977</v>
      </c>
      <c r="R12" s="5">
        <f t="shared" si="4"/>
        <v>5032845.2214316791</v>
      </c>
      <c r="V12" s="80"/>
    </row>
    <row r="13" spans="2:23" x14ac:dyDescent="0.25">
      <c r="B13" s="411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+(((((1160000*8.8+5400)*55.97%)/15*12)/30)*I13)*E13</f>
        <v>3658521.5872</v>
      </c>
      <c r="K13" s="1"/>
      <c r="L13" s="6">
        <f>+(((((1160000*8.8+5400)*55.97%)/15*12)/30)*I13)*E13</f>
        <v>3658521.5872</v>
      </c>
      <c r="M13" s="4">
        <v>0.08</v>
      </c>
      <c r="N13" s="5">
        <f t="shared" si="0"/>
        <v>292681.72697600001</v>
      </c>
      <c r="O13" s="5">
        <f t="shared" si="1"/>
        <v>3951203.3141759997</v>
      </c>
      <c r="P13" s="5">
        <f t="shared" si="2"/>
        <v>395120.33141759998</v>
      </c>
      <c r="Q13" s="5">
        <f t="shared" si="3"/>
        <v>75072.862969344002</v>
      </c>
      <c r="R13" s="5">
        <f t="shared" si="4"/>
        <v>4026276.1771453437</v>
      </c>
      <c r="V13" s="80"/>
    </row>
    <row r="14" spans="2:23" x14ac:dyDescent="0.25">
      <c r="B14" s="411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1"/>
      <c r="K14" s="1"/>
      <c r="L14" s="3">
        <f>+(((1160000*8.8+5400)/30)*I14)*E14</f>
        <v>10213400</v>
      </c>
      <c r="M14" s="4">
        <v>0.08</v>
      </c>
      <c r="N14" s="5">
        <f t="shared" si="0"/>
        <v>817072</v>
      </c>
      <c r="O14" s="5">
        <f t="shared" si="1"/>
        <v>11030472</v>
      </c>
      <c r="P14" s="5">
        <f t="shared" si="2"/>
        <v>1103047.2</v>
      </c>
      <c r="Q14" s="5">
        <f t="shared" si="3"/>
        <v>209578.96799999999</v>
      </c>
      <c r="R14" s="5">
        <f t="shared" si="4"/>
        <v>11240050.968</v>
      </c>
      <c r="V14" s="80"/>
    </row>
    <row r="15" spans="2:23" x14ac:dyDescent="0.25">
      <c r="B15" s="411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1"/>
      <c r="K15" s="1"/>
      <c r="L15" s="6">
        <f>+(((((1160000*8.8+5400)*55.97%)/15*12)/30)*I15)*E15</f>
        <v>3658521.5872</v>
      </c>
      <c r="M15" s="4">
        <v>0.08</v>
      </c>
      <c r="N15" s="5">
        <f t="shared" si="0"/>
        <v>292681.72697600001</v>
      </c>
      <c r="O15" s="5">
        <f t="shared" si="1"/>
        <v>3951203.3141759997</v>
      </c>
      <c r="P15" s="5">
        <f t="shared" si="2"/>
        <v>395120.33141759998</v>
      </c>
      <c r="Q15" s="5">
        <f t="shared" si="3"/>
        <v>75072.862969344002</v>
      </c>
      <c r="R15" s="5">
        <f t="shared" si="4"/>
        <v>4026276.1771453437</v>
      </c>
    </row>
    <row r="16" spans="2:23" x14ac:dyDescent="0.25">
      <c r="B16" s="411"/>
      <c r="C16" s="18" t="s">
        <v>14</v>
      </c>
      <c r="D16" s="413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1"/>
      <c r="K16" s="1"/>
      <c r="L16" s="6">
        <f>+(((((1160000*8.8+5400)*55.97%)/15*12)/30)*I16)*E16</f>
        <v>4573151.9839999992</v>
      </c>
      <c r="M16" s="4">
        <v>0.08</v>
      </c>
      <c r="N16" s="5">
        <f t="shared" si="0"/>
        <v>365852.15871999995</v>
      </c>
      <c r="O16" s="5">
        <f t="shared" si="1"/>
        <v>4939004.142719999</v>
      </c>
      <c r="P16" s="5">
        <f t="shared" si="2"/>
        <v>493900.41427199991</v>
      </c>
      <c r="Q16" s="5">
        <f t="shared" si="3"/>
        <v>93841.078711679977</v>
      </c>
      <c r="R16" s="5">
        <f t="shared" si="4"/>
        <v>5032845.2214316791</v>
      </c>
    </row>
    <row r="17" spans="2:20" x14ac:dyDescent="0.25">
      <c r="B17" s="411"/>
      <c r="C17" s="18" t="s">
        <v>14</v>
      </c>
      <c r="D17" s="413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1"/>
      <c r="K17" s="1"/>
      <c r="L17" s="6">
        <f>+(((((1160000*8.8+5400)*55.97%)/15*12)/30)*I17)*E17</f>
        <v>3658521.5872</v>
      </c>
      <c r="M17" s="4">
        <v>0.08</v>
      </c>
      <c r="N17" s="5">
        <f t="shared" si="0"/>
        <v>292681.72697600001</v>
      </c>
      <c r="O17" s="5">
        <f t="shared" si="1"/>
        <v>3951203.3141759997</v>
      </c>
      <c r="P17" s="5">
        <f t="shared" si="2"/>
        <v>395120.33141759998</v>
      </c>
      <c r="Q17" s="5">
        <f t="shared" si="3"/>
        <v>75072.862969344002</v>
      </c>
      <c r="R17" s="5">
        <f t="shared" si="4"/>
        <v>4026276.1771453437</v>
      </c>
    </row>
    <row r="18" spans="2:20" x14ac:dyDescent="0.25">
      <c r="B18" s="411"/>
      <c r="C18" s="18" t="s">
        <v>14</v>
      </c>
      <c r="D18" s="413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1"/>
      <c r="K18" s="1"/>
      <c r="L18" s="6">
        <f>+(((((1160000*8.8+5400)*55.97%)/15*12)/30)*I18)*E18</f>
        <v>4573151.9839999992</v>
      </c>
      <c r="M18" s="4">
        <v>0.08</v>
      </c>
      <c r="N18" s="5">
        <f t="shared" si="0"/>
        <v>365852.15871999995</v>
      </c>
      <c r="O18" s="5">
        <f t="shared" si="1"/>
        <v>4939004.142719999</v>
      </c>
      <c r="P18" s="5">
        <f t="shared" si="2"/>
        <v>493900.41427199991</v>
      </c>
      <c r="Q18" s="5">
        <f t="shared" si="3"/>
        <v>93841.078711679977</v>
      </c>
      <c r="R18" s="5">
        <f t="shared" si="4"/>
        <v>5032845.2214316791</v>
      </c>
    </row>
    <row r="19" spans="2:20" x14ac:dyDescent="0.25">
      <c r="B19" s="411"/>
      <c r="C19" s="18" t="s">
        <v>14</v>
      </c>
      <c r="D19" s="413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1"/>
      <c r="K19" s="1"/>
      <c r="L19" s="6">
        <f>+(((((1160000*8.8+5400)*55.97%)/15*14)/30)*I19)*E19</f>
        <v>4268275.1850666665</v>
      </c>
      <c r="M19" s="4">
        <v>0.08</v>
      </c>
      <c r="N19" s="5">
        <f t="shared" si="0"/>
        <v>341462.01480533334</v>
      </c>
      <c r="O19" s="5">
        <f t="shared" si="1"/>
        <v>4609737.1998720001</v>
      </c>
      <c r="P19" s="5">
        <f t="shared" si="2"/>
        <v>460973.71998720005</v>
      </c>
      <c r="Q19" s="5">
        <f t="shared" si="3"/>
        <v>87585.006797568014</v>
      </c>
      <c r="R19" s="5">
        <f t="shared" si="4"/>
        <v>4697322.2066695681</v>
      </c>
    </row>
    <row r="20" spans="2:20" x14ac:dyDescent="0.25">
      <c r="B20" s="411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1"/>
      <c r="K20" s="1"/>
      <c r="L20" s="3">
        <f>+(((1160000*8.8+5400)/30)*I20)*E20</f>
        <v>10213400</v>
      </c>
      <c r="M20" s="4">
        <v>0.08</v>
      </c>
      <c r="N20" s="5">
        <f t="shared" si="0"/>
        <v>817072</v>
      </c>
      <c r="O20" s="5">
        <f t="shared" si="1"/>
        <v>11030472</v>
      </c>
      <c r="P20" s="5">
        <f t="shared" si="2"/>
        <v>1103047.2</v>
      </c>
      <c r="Q20" s="5">
        <f t="shared" si="3"/>
        <v>209578.96799999999</v>
      </c>
      <c r="R20" s="5">
        <f t="shared" si="4"/>
        <v>11240050.968</v>
      </c>
    </row>
    <row r="21" spans="2:20" x14ac:dyDescent="0.25">
      <c r="B21" s="411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1"/>
      <c r="K21" s="1"/>
      <c r="L21" s="6">
        <f>+(((((1160000*8.8+5400)*55.97%)/15*14)/30)*I21)*E21</f>
        <v>5335343.9813333331</v>
      </c>
      <c r="M21" s="4">
        <v>0.08</v>
      </c>
      <c r="N21" s="5">
        <f t="shared" si="0"/>
        <v>426827.51850666665</v>
      </c>
      <c r="O21" s="5">
        <f t="shared" si="1"/>
        <v>5762171.4998399997</v>
      </c>
      <c r="P21" s="5">
        <f t="shared" si="2"/>
        <v>576217.14998400002</v>
      </c>
      <c r="Q21" s="5">
        <f t="shared" si="3"/>
        <v>109481.25849696</v>
      </c>
      <c r="R21" s="5">
        <f t="shared" si="4"/>
        <v>5871652.7583369594</v>
      </c>
      <c r="S21" s="15"/>
    </row>
    <row r="22" spans="2:20" x14ac:dyDescent="0.25">
      <c r="B22" s="411"/>
      <c r="C22" s="18" t="s">
        <v>14</v>
      </c>
      <c r="D22" s="413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1"/>
      <c r="K22" s="1"/>
      <c r="L22" s="6">
        <f>+(((((1160000*8.8+5400)*55.97%)/15*12)/30)*I22)*E22</f>
        <v>4573151.9839999992</v>
      </c>
      <c r="M22" s="4">
        <v>0.08</v>
      </c>
      <c r="N22" s="5">
        <f t="shared" si="0"/>
        <v>365852.15871999995</v>
      </c>
      <c r="O22" s="5">
        <f t="shared" si="1"/>
        <v>4939004.142719999</v>
      </c>
      <c r="P22" s="5">
        <f t="shared" si="2"/>
        <v>493900.41427199991</v>
      </c>
      <c r="Q22" s="5">
        <f t="shared" si="3"/>
        <v>93841.078711679977</v>
      </c>
      <c r="R22" s="5">
        <f t="shared" si="4"/>
        <v>5032845.2214316791</v>
      </c>
    </row>
    <row r="23" spans="2:20" x14ac:dyDescent="0.25">
      <c r="B23" s="411"/>
      <c r="C23" s="18" t="s">
        <v>14</v>
      </c>
      <c r="D23" s="413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1"/>
      <c r="K23" s="1"/>
      <c r="L23" s="6">
        <f>+(((((1160000*8.8+5400)*55.97%)/15*14)/30)*I23)*E23</f>
        <v>4268275.1850666665</v>
      </c>
      <c r="M23" s="4">
        <v>0.08</v>
      </c>
      <c r="N23" s="5">
        <f t="shared" si="0"/>
        <v>341462.01480533334</v>
      </c>
      <c r="O23" s="5">
        <f t="shared" si="1"/>
        <v>4609737.1998720001</v>
      </c>
      <c r="P23" s="5">
        <f t="shared" si="2"/>
        <v>460973.71998720005</v>
      </c>
      <c r="Q23" s="5">
        <f t="shared" si="3"/>
        <v>87585.006797568014</v>
      </c>
      <c r="R23" s="5">
        <f t="shared" si="4"/>
        <v>4697322.2066695681</v>
      </c>
    </row>
    <row r="24" spans="2:20" x14ac:dyDescent="0.25">
      <c r="B24" s="411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1"/>
      <c r="K24" s="1"/>
      <c r="L24" s="6">
        <f>+(((((1160000*8.8+5400)*55.97%)/15*8)/30)*I24)*E24</f>
        <v>2439014.3914666665</v>
      </c>
      <c r="M24" s="4">
        <v>0.08</v>
      </c>
      <c r="N24" s="5">
        <f t="shared" si="0"/>
        <v>195121.15131733331</v>
      </c>
      <c r="O24" s="5">
        <f t="shared" si="1"/>
        <v>2634135.5427839998</v>
      </c>
      <c r="P24" s="5">
        <f t="shared" si="2"/>
        <v>263413.55427839997</v>
      </c>
      <c r="Q24" s="5">
        <f t="shared" si="3"/>
        <v>50048.575312895991</v>
      </c>
      <c r="R24" s="5">
        <f t="shared" si="4"/>
        <v>2684184.118096896</v>
      </c>
    </row>
    <row r="25" spans="2:20" x14ac:dyDescent="0.25">
      <c r="B25" s="411"/>
      <c r="C25" s="18" t="s">
        <v>14</v>
      </c>
      <c r="D25" s="413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1"/>
      <c r="K25" s="1"/>
      <c r="L25" s="3">
        <f>+(((1160000*8.8+5400)/30)*I25)*E25</f>
        <v>10213400</v>
      </c>
      <c r="M25" s="4">
        <v>0.08</v>
      </c>
      <c r="N25" s="5">
        <f t="shared" si="0"/>
        <v>817072</v>
      </c>
      <c r="O25" s="5">
        <f t="shared" si="1"/>
        <v>11030472</v>
      </c>
      <c r="P25" s="5">
        <f t="shared" si="2"/>
        <v>1103047.2</v>
      </c>
      <c r="Q25" s="5">
        <f t="shared" si="3"/>
        <v>209578.96799999999</v>
      </c>
      <c r="R25" s="5">
        <f t="shared" si="4"/>
        <v>11240050.968</v>
      </c>
    </row>
    <row r="26" spans="2:20" x14ac:dyDescent="0.25">
      <c r="B26" s="411"/>
      <c r="C26" s="18" t="s">
        <v>14</v>
      </c>
      <c r="D26" s="413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1"/>
      <c r="K26" s="1"/>
      <c r="L26" s="6">
        <f>+(((((1160000*8.8+5400)*55.97%)/15*12)/30)*I26)*E26</f>
        <v>3658521.5872</v>
      </c>
      <c r="M26" s="4">
        <v>0.08</v>
      </c>
      <c r="N26" s="5">
        <f t="shared" si="0"/>
        <v>292681.72697600001</v>
      </c>
      <c r="O26" s="5">
        <f t="shared" si="1"/>
        <v>3951203.3141759997</v>
      </c>
      <c r="P26" s="5">
        <f t="shared" si="2"/>
        <v>395120.33141759998</v>
      </c>
      <c r="Q26" s="5">
        <f t="shared" si="3"/>
        <v>75072.862969344002</v>
      </c>
      <c r="R26" s="5">
        <f t="shared" si="4"/>
        <v>4026276.1771453437</v>
      </c>
    </row>
    <row r="27" spans="2:20" x14ac:dyDescent="0.25">
      <c r="B27" s="411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1"/>
      <c r="K27" s="1"/>
      <c r="L27" s="6">
        <f>+(((((1160000*8.8+5400)*55.97%)/15*14)/30)*I27)*E27</f>
        <v>4268275.1850666665</v>
      </c>
      <c r="M27" s="4">
        <v>0.08</v>
      </c>
      <c r="N27" s="5">
        <f t="shared" si="0"/>
        <v>341462.01480533334</v>
      </c>
      <c r="O27" s="5">
        <f t="shared" si="1"/>
        <v>4609737.1998720001</v>
      </c>
      <c r="P27" s="5">
        <f t="shared" si="2"/>
        <v>460973.71998720005</v>
      </c>
      <c r="Q27" s="5">
        <f t="shared" si="3"/>
        <v>87585.006797568014</v>
      </c>
      <c r="R27" s="5">
        <f t="shared" si="4"/>
        <v>4697322.2066695681</v>
      </c>
      <c r="S27" s="15">
        <f>+O27-P27</f>
        <v>4148763.4798848</v>
      </c>
    </row>
    <row r="28" spans="2:20" x14ac:dyDescent="0.25">
      <c r="B28" s="411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1"/>
      <c r="K28" s="1"/>
      <c r="L28" s="6">
        <f>+(((((1160000*8.8+5400)*55.97%)/15*12)/30)*I28)*E28</f>
        <v>3658521.5872</v>
      </c>
      <c r="M28" s="4">
        <v>0.08</v>
      </c>
      <c r="N28" s="5">
        <f t="shared" si="0"/>
        <v>292681.72697600001</v>
      </c>
      <c r="O28" s="5">
        <f t="shared" si="1"/>
        <v>3951203.3141759997</v>
      </c>
      <c r="P28" s="5">
        <f t="shared" si="2"/>
        <v>395120.33141759998</v>
      </c>
      <c r="Q28" s="5">
        <f t="shared" si="3"/>
        <v>75072.862969344002</v>
      </c>
      <c r="R28" s="5">
        <f t="shared" si="4"/>
        <v>4026276.1771453437</v>
      </c>
      <c r="T28" s="15"/>
    </row>
    <row r="29" spans="2:20" x14ac:dyDescent="0.25">
      <c r="B29" s="411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1"/>
      <c r="K29" s="1"/>
      <c r="L29" s="3">
        <f>+(((1160000*8.8+5400)/30)*I29)*E29</f>
        <v>10213400</v>
      </c>
      <c r="M29" s="4">
        <v>0.08</v>
      </c>
      <c r="N29" s="5">
        <f t="shared" si="0"/>
        <v>817072</v>
      </c>
      <c r="O29" s="5">
        <f t="shared" si="1"/>
        <v>11030472</v>
      </c>
      <c r="P29" s="5">
        <f t="shared" si="2"/>
        <v>1103047.2</v>
      </c>
      <c r="Q29" s="5">
        <f t="shared" si="3"/>
        <v>209578.96799999999</v>
      </c>
      <c r="R29" s="5">
        <f t="shared" si="4"/>
        <v>11240050.968</v>
      </c>
    </row>
    <row r="30" spans="2:20" x14ac:dyDescent="0.25">
      <c r="B30" s="411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1"/>
      <c r="K30" s="1"/>
      <c r="L30" s="30">
        <f>+(((1160000*8.8+5400)/30)*I30)*E30</f>
        <v>10213400</v>
      </c>
      <c r="M30" s="26">
        <v>0.08</v>
      </c>
      <c r="N30" s="27">
        <f t="shared" si="0"/>
        <v>817072</v>
      </c>
      <c r="O30" s="27">
        <f t="shared" si="1"/>
        <v>11030472</v>
      </c>
      <c r="P30" s="27">
        <f t="shared" si="2"/>
        <v>1103047.2</v>
      </c>
      <c r="Q30" s="27">
        <f t="shared" si="3"/>
        <v>209578.96799999999</v>
      </c>
      <c r="R30" s="27">
        <f t="shared" si="4"/>
        <v>11240050.968</v>
      </c>
    </row>
    <row r="31" spans="2:20" x14ac:dyDescent="0.25">
      <c r="B31" s="411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1"/>
      <c r="K31" s="1"/>
      <c r="L31" s="30">
        <f>+(((1160000*8.8+5400)/30)*I31)*E31</f>
        <v>10213400</v>
      </c>
      <c r="M31" s="26">
        <v>0.08</v>
      </c>
      <c r="N31" s="27">
        <f t="shared" si="0"/>
        <v>817072</v>
      </c>
      <c r="O31" s="27">
        <f t="shared" si="1"/>
        <v>11030472</v>
      </c>
      <c r="P31" s="27">
        <f t="shared" si="2"/>
        <v>1103047.2</v>
      </c>
      <c r="Q31" s="27">
        <f t="shared" si="3"/>
        <v>209578.96799999999</v>
      </c>
      <c r="R31" s="27">
        <f t="shared" si="4"/>
        <v>11240050.968</v>
      </c>
    </row>
    <row r="32" spans="2:20" x14ac:dyDescent="0.25">
      <c r="B32" s="411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1"/>
      <c r="K32" s="1"/>
      <c r="L32" s="30">
        <f>+(((1160000*8.8+5400)/30)*I32)*E32</f>
        <v>10213400</v>
      </c>
      <c r="M32" s="26">
        <v>0.08</v>
      </c>
      <c r="N32" s="27">
        <f t="shared" si="0"/>
        <v>817072</v>
      </c>
      <c r="O32" s="27">
        <f t="shared" si="1"/>
        <v>11030472</v>
      </c>
      <c r="P32" s="27">
        <f t="shared" si="2"/>
        <v>1103047.2</v>
      </c>
      <c r="Q32" s="27">
        <f t="shared" si="3"/>
        <v>209578.96799999999</v>
      </c>
      <c r="R32" s="27">
        <f t="shared" si="4"/>
        <v>11240050.968</v>
      </c>
    </row>
    <row r="33" spans="2:18" x14ac:dyDescent="0.25">
      <c r="B33" s="411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1"/>
      <c r="K33" s="1"/>
      <c r="L33" s="25">
        <f>+(((((1160000*8.8+5400)*55.97%)/15*12)/30)*I33)*E33</f>
        <v>3658521.5872</v>
      </c>
      <c r="M33" s="26">
        <v>0.08</v>
      </c>
      <c r="N33" s="27">
        <f t="shared" si="0"/>
        <v>292681.72697600001</v>
      </c>
      <c r="O33" s="27">
        <f t="shared" si="1"/>
        <v>3951203.3141759997</v>
      </c>
      <c r="P33" s="27">
        <f t="shared" si="2"/>
        <v>395120.33141759998</v>
      </c>
      <c r="Q33" s="27">
        <f t="shared" si="3"/>
        <v>75072.862969344002</v>
      </c>
      <c r="R33" s="27">
        <f t="shared" si="4"/>
        <v>4026276.1771453437</v>
      </c>
    </row>
    <row r="34" spans="2:18" x14ac:dyDescent="0.25">
      <c r="B34" s="411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1"/>
      <c r="K34" s="1"/>
      <c r="L34" s="25">
        <f>+(((((1160000*8.8+5400)*55.97%)/15*12)/30)*I34)*E34</f>
        <v>3658521.5872</v>
      </c>
      <c r="M34" s="26">
        <v>0.08</v>
      </c>
      <c r="N34" s="27">
        <f t="shared" si="0"/>
        <v>292681.72697600001</v>
      </c>
      <c r="O34" s="27">
        <f t="shared" si="1"/>
        <v>3951203.3141759997</v>
      </c>
      <c r="P34" s="27">
        <f t="shared" si="2"/>
        <v>395120.33141759998</v>
      </c>
      <c r="Q34" s="27">
        <f t="shared" si="3"/>
        <v>75072.862969344002</v>
      </c>
      <c r="R34" s="27">
        <f t="shared" si="4"/>
        <v>4026276.1771453437</v>
      </c>
    </row>
    <row r="35" spans="2:18" x14ac:dyDescent="0.25">
      <c r="B35" s="411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1"/>
      <c r="K35" s="1"/>
      <c r="L35" s="3">
        <f>+(((1160000*8.8+5400)/30)*I35)*E35</f>
        <v>10213400</v>
      </c>
      <c r="M35" s="4">
        <v>0.08</v>
      </c>
      <c r="N35" s="5">
        <f t="shared" si="0"/>
        <v>817072</v>
      </c>
      <c r="O35" s="5">
        <f t="shared" si="1"/>
        <v>11030472</v>
      </c>
      <c r="P35" s="5">
        <f t="shared" si="2"/>
        <v>1103047.2</v>
      </c>
      <c r="Q35" s="5">
        <f t="shared" si="3"/>
        <v>209578.96799999999</v>
      </c>
      <c r="R35" s="5">
        <f t="shared" si="4"/>
        <v>11240050.968</v>
      </c>
    </row>
    <row r="36" spans="2:18" x14ac:dyDescent="0.25">
      <c r="B36" s="411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1"/>
      <c r="K36" s="1"/>
      <c r="L36" s="3">
        <f>+(((1160000*8.8+5400)/30)*I36)*E36</f>
        <v>10213400</v>
      </c>
      <c r="M36" s="4">
        <v>0.08</v>
      </c>
      <c r="N36" s="5">
        <f t="shared" si="0"/>
        <v>817072</v>
      </c>
      <c r="O36" s="5">
        <f t="shared" si="1"/>
        <v>11030472</v>
      </c>
      <c r="P36" s="5">
        <f t="shared" si="2"/>
        <v>1103047.2</v>
      </c>
      <c r="Q36" s="5">
        <f t="shared" si="3"/>
        <v>209578.96799999999</v>
      </c>
      <c r="R36" s="5">
        <f t="shared" si="4"/>
        <v>11240050.968</v>
      </c>
    </row>
    <row r="37" spans="2:18" x14ac:dyDescent="0.25">
      <c r="B37" s="411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1"/>
      <c r="K37" s="1"/>
      <c r="L37" s="3">
        <f>+(((1160000*8.8+5400)/30)*I37)*E37</f>
        <v>10213400</v>
      </c>
      <c r="M37" s="4">
        <v>0.08</v>
      </c>
      <c r="N37" s="5">
        <f t="shared" si="0"/>
        <v>817072</v>
      </c>
      <c r="O37" s="5">
        <f t="shared" si="1"/>
        <v>11030472</v>
      </c>
      <c r="P37" s="5">
        <f t="shared" si="2"/>
        <v>1103047.2</v>
      </c>
      <c r="Q37" s="5">
        <f t="shared" si="3"/>
        <v>209578.96799999999</v>
      </c>
      <c r="R37" s="5">
        <f t="shared" si="4"/>
        <v>11240050.968</v>
      </c>
    </row>
    <row r="38" spans="2:18" x14ac:dyDescent="0.25">
      <c r="B38" s="411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1"/>
      <c r="K38" s="1"/>
      <c r="L38" s="6">
        <f>+(((((1160000*8.8+5400)*55.97%)/15*12)/30)*I38)*E38</f>
        <v>4573151.9839999992</v>
      </c>
      <c r="M38" s="4">
        <v>0.08</v>
      </c>
      <c r="N38" s="5">
        <f t="shared" si="0"/>
        <v>365852.15871999995</v>
      </c>
      <c r="O38" s="5">
        <f t="shared" si="1"/>
        <v>4939004.142719999</v>
      </c>
      <c r="P38" s="5">
        <f t="shared" si="2"/>
        <v>493900.41427199991</v>
      </c>
      <c r="Q38" s="5">
        <f t="shared" si="3"/>
        <v>93841.078711679977</v>
      </c>
      <c r="R38" s="5">
        <f t="shared" si="4"/>
        <v>5032845.2214316791</v>
      </c>
    </row>
    <row r="39" spans="2:18" x14ac:dyDescent="0.25">
      <c r="B39" s="411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1"/>
      <c r="K39" s="1"/>
      <c r="L39" s="6">
        <f>+(((((1160000*8.8+5400)*55.97%)/15*12)/30)*I39)*E39</f>
        <v>4573151.9839999992</v>
      </c>
      <c r="M39" s="4">
        <v>0.08</v>
      </c>
      <c r="N39" s="5">
        <f t="shared" si="0"/>
        <v>365852.15871999995</v>
      </c>
      <c r="O39" s="5">
        <f t="shared" si="1"/>
        <v>4939004.142719999</v>
      </c>
      <c r="P39" s="5">
        <f t="shared" si="2"/>
        <v>493900.41427199991</v>
      </c>
      <c r="Q39" s="5">
        <f t="shared" si="3"/>
        <v>93841.078711679977</v>
      </c>
      <c r="R39" s="5">
        <f t="shared" si="4"/>
        <v>5032845.2214316791</v>
      </c>
    </row>
    <row r="40" spans="2:18" x14ac:dyDescent="0.25">
      <c r="B40" s="411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1"/>
      <c r="K40" s="1"/>
      <c r="L40" s="3">
        <f>+(((1160000*8.8+5400)/30)*I40)*E40</f>
        <v>10213400</v>
      </c>
      <c r="M40" s="4">
        <v>0.08</v>
      </c>
      <c r="N40" s="5">
        <f t="shared" si="0"/>
        <v>817072</v>
      </c>
      <c r="O40" s="5">
        <f t="shared" si="1"/>
        <v>11030472</v>
      </c>
      <c r="P40" s="5">
        <f t="shared" si="2"/>
        <v>1103047.2</v>
      </c>
      <c r="Q40" s="5">
        <f t="shared" si="3"/>
        <v>209578.96799999999</v>
      </c>
      <c r="R40" s="5">
        <f t="shared" si="4"/>
        <v>11240050.968</v>
      </c>
    </row>
    <row r="41" spans="2:18" x14ac:dyDescent="0.25">
      <c r="B41" s="412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1"/>
      <c r="K41" s="1"/>
      <c r="L41" s="6">
        <f>+(((((1160000*8.8+5400)*55.97%)/15*12)/30)*I41)*E41</f>
        <v>4573151.9839999992</v>
      </c>
      <c r="M41" s="4">
        <v>0.08</v>
      </c>
      <c r="N41" s="5">
        <f t="shared" si="0"/>
        <v>365852.15871999995</v>
      </c>
      <c r="O41" s="5">
        <f t="shared" si="1"/>
        <v>4939004.142719999</v>
      </c>
      <c r="P41" s="5">
        <f t="shared" si="2"/>
        <v>493900.41427199991</v>
      </c>
      <c r="Q41" s="5">
        <f t="shared" si="3"/>
        <v>93841.078711679977</v>
      </c>
      <c r="R41" s="5">
        <f t="shared" si="4"/>
        <v>5032845.2214316791</v>
      </c>
    </row>
    <row r="42" spans="2:18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2"/>
      <c r="K42" s="102"/>
      <c r="L42" s="101">
        <f>SUM(L8:L23)</f>
        <v>93139971.017066658</v>
      </c>
      <c r="M42" s="103"/>
      <c r="N42" s="101">
        <f>SUM(N8:N41)</f>
        <v>17609712.231551997</v>
      </c>
      <c r="O42" s="101">
        <f>SUM(O8:O41)</f>
        <v>237731115.12595195</v>
      </c>
      <c r="P42" s="101">
        <f>SUM(P8:P41)</f>
        <v>23773111.512595192</v>
      </c>
      <c r="Q42" s="101">
        <f>SUM(Q8:Q41)</f>
        <v>4516891.187393087</v>
      </c>
      <c r="R42" s="101">
        <f>SUM(R8:R41)</f>
        <v>242248006.31334502</v>
      </c>
    </row>
    <row r="43" spans="2:18" ht="15" customHeight="1" x14ac:dyDescent="0.25">
      <c r="B43" s="398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1"/>
      <c r="K43" s="1"/>
      <c r="L43" s="3">
        <f t="shared" ref="L43:L51" si="5">+(((1160000*8.8+5400)/30)*I43)*E43</f>
        <v>10213400</v>
      </c>
      <c r="M43" s="4">
        <v>0.08</v>
      </c>
      <c r="N43" s="5">
        <f t="shared" ref="N43:N74" si="6">L43*M43</f>
        <v>817072</v>
      </c>
      <c r="O43" s="5">
        <f t="shared" ref="O43:O74" si="7">L43+N43</f>
        <v>11030472</v>
      </c>
      <c r="P43" s="5">
        <f t="shared" ref="P43:P84" si="8">O43*10%</f>
        <v>1103047.2</v>
      </c>
      <c r="Q43" s="5">
        <f t="shared" ref="Q43:Q84" si="9">+P43*19%</f>
        <v>209578.96799999999</v>
      </c>
      <c r="R43" s="5">
        <f t="shared" ref="R43:R84" si="10">O43+Q43</f>
        <v>11240050.968</v>
      </c>
    </row>
    <row r="44" spans="2:18" x14ac:dyDescent="0.25">
      <c r="B44" s="399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1"/>
      <c r="K44" s="1"/>
      <c r="L44" s="3">
        <f t="shared" si="5"/>
        <v>10213400</v>
      </c>
      <c r="M44" s="4">
        <v>0.08</v>
      </c>
      <c r="N44" s="5">
        <f t="shared" si="6"/>
        <v>817072</v>
      </c>
      <c r="O44" s="5">
        <f t="shared" si="7"/>
        <v>11030472</v>
      </c>
      <c r="P44" s="5">
        <f t="shared" si="8"/>
        <v>1103047.2</v>
      </c>
      <c r="Q44" s="5">
        <f t="shared" si="9"/>
        <v>209578.96799999999</v>
      </c>
      <c r="R44" s="5">
        <f t="shared" si="10"/>
        <v>11240050.968</v>
      </c>
    </row>
    <row r="45" spans="2:18" x14ac:dyDescent="0.25">
      <c r="B45" s="399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1"/>
      <c r="K45" s="1"/>
      <c r="L45" s="3">
        <f t="shared" si="5"/>
        <v>10213400</v>
      </c>
      <c r="M45" s="4">
        <v>0.08</v>
      </c>
      <c r="N45" s="5">
        <f t="shared" si="6"/>
        <v>817072</v>
      </c>
      <c r="O45" s="5">
        <f t="shared" si="7"/>
        <v>11030472</v>
      </c>
      <c r="P45" s="5">
        <f t="shared" si="8"/>
        <v>1103047.2</v>
      </c>
      <c r="Q45" s="5">
        <f t="shared" si="9"/>
        <v>209578.96799999999</v>
      </c>
      <c r="R45" s="5">
        <f t="shared" si="10"/>
        <v>11240050.968</v>
      </c>
    </row>
    <row r="46" spans="2:18" x14ac:dyDescent="0.25">
      <c r="B46" s="399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1"/>
      <c r="K46" s="1"/>
      <c r="L46" s="3">
        <f t="shared" si="5"/>
        <v>10213400</v>
      </c>
      <c r="M46" s="4">
        <v>0.08</v>
      </c>
      <c r="N46" s="5">
        <f t="shared" si="6"/>
        <v>817072</v>
      </c>
      <c r="O46" s="5">
        <f t="shared" si="7"/>
        <v>11030472</v>
      </c>
      <c r="P46" s="5">
        <f t="shared" si="8"/>
        <v>1103047.2</v>
      </c>
      <c r="Q46" s="5">
        <f t="shared" si="9"/>
        <v>209578.96799999999</v>
      </c>
      <c r="R46" s="5">
        <f t="shared" si="10"/>
        <v>11240050.968</v>
      </c>
    </row>
    <row r="47" spans="2:18" x14ac:dyDescent="0.25">
      <c r="B47" s="399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1"/>
      <c r="K47" s="1"/>
      <c r="L47" s="3">
        <f t="shared" si="5"/>
        <v>10213400</v>
      </c>
      <c r="M47" s="4">
        <v>0.08</v>
      </c>
      <c r="N47" s="5">
        <f t="shared" si="6"/>
        <v>817072</v>
      </c>
      <c r="O47" s="5">
        <f t="shared" si="7"/>
        <v>11030472</v>
      </c>
      <c r="P47" s="5">
        <f t="shared" si="8"/>
        <v>1103047.2</v>
      </c>
      <c r="Q47" s="5">
        <f t="shared" si="9"/>
        <v>209578.96799999999</v>
      </c>
      <c r="R47" s="5">
        <f t="shared" si="10"/>
        <v>11240050.968</v>
      </c>
    </row>
    <row r="48" spans="2:18" x14ac:dyDescent="0.25">
      <c r="B48" s="399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1"/>
      <c r="K48" s="1"/>
      <c r="L48" s="3">
        <f t="shared" si="5"/>
        <v>10213400</v>
      </c>
      <c r="M48" s="4">
        <v>0.08</v>
      </c>
      <c r="N48" s="5">
        <f t="shared" si="6"/>
        <v>817072</v>
      </c>
      <c r="O48" s="5">
        <f t="shared" si="7"/>
        <v>11030472</v>
      </c>
      <c r="P48" s="5">
        <f t="shared" si="8"/>
        <v>1103047.2</v>
      </c>
      <c r="Q48" s="5">
        <f t="shared" si="9"/>
        <v>209578.96799999999</v>
      </c>
      <c r="R48" s="5">
        <f t="shared" si="10"/>
        <v>11240050.968</v>
      </c>
    </row>
    <row r="49" spans="2:19" x14ac:dyDescent="0.25">
      <c r="B49" s="399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1"/>
      <c r="K49" s="1"/>
      <c r="L49" s="3">
        <f t="shared" si="5"/>
        <v>10213400</v>
      </c>
      <c r="M49" s="4">
        <v>0.08</v>
      </c>
      <c r="N49" s="5">
        <f t="shared" si="6"/>
        <v>817072</v>
      </c>
      <c r="O49" s="5">
        <f t="shared" si="7"/>
        <v>11030472</v>
      </c>
      <c r="P49" s="5">
        <f t="shared" si="8"/>
        <v>1103047.2</v>
      </c>
      <c r="Q49" s="5">
        <f t="shared" si="9"/>
        <v>209578.96799999999</v>
      </c>
      <c r="R49" s="5">
        <f t="shared" si="10"/>
        <v>11240050.968</v>
      </c>
    </row>
    <row r="50" spans="2:19" x14ac:dyDescent="0.25">
      <c r="B50" s="399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1"/>
      <c r="K50" s="1"/>
      <c r="L50" s="3">
        <f t="shared" si="5"/>
        <v>10213400</v>
      </c>
      <c r="M50" s="4">
        <v>0.08</v>
      </c>
      <c r="N50" s="5">
        <f t="shared" si="6"/>
        <v>817072</v>
      </c>
      <c r="O50" s="5">
        <f t="shared" si="7"/>
        <v>11030472</v>
      </c>
      <c r="P50" s="5">
        <f t="shared" si="8"/>
        <v>1103047.2</v>
      </c>
      <c r="Q50" s="5">
        <f t="shared" si="9"/>
        <v>209578.96799999999</v>
      </c>
      <c r="R50" s="5">
        <f t="shared" si="10"/>
        <v>11240050.968</v>
      </c>
    </row>
    <row r="51" spans="2:19" x14ac:dyDescent="0.25">
      <c r="B51" s="399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1"/>
      <c r="K51" s="1"/>
      <c r="L51" s="3">
        <f t="shared" si="5"/>
        <v>10213400</v>
      </c>
      <c r="M51" s="4">
        <v>0.08</v>
      </c>
      <c r="N51" s="5">
        <f t="shared" si="6"/>
        <v>817072</v>
      </c>
      <c r="O51" s="5">
        <f t="shared" si="7"/>
        <v>11030472</v>
      </c>
      <c r="P51" s="5">
        <f t="shared" si="8"/>
        <v>1103047.2</v>
      </c>
      <c r="Q51" s="5">
        <f t="shared" si="9"/>
        <v>209578.96799999999</v>
      </c>
      <c r="R51" s="5">
        <f t="shared" si="10"/>
        <v>11240050.968</v>
      </c>
    </row>
    <row r="52" spans="2:19" x14ac:dyDescent="0.25">
      <c r="B52" s="399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1"/>
      <c r="K52" s="1"/>
      <c r="L52" s="6">
        <f>+(((((1160000*8.8+5400)*55.97%)/15*12)/30)*I52)*E52</f>
        <v>3658521.5872</v>
      </c>
      <c r="M52" s="4">
        <v>0.08</v>
      </c>
      <c r="N52" s="5">
        <f t="shared" si="6"/>
        <v>292681.72697600001</v>
      </c>
      <c r="O52" s="5">
        <f t="shared" si="7"/>
        <v>3951203.3141759997</v>
      </c>
      <c r="P52" s="5">
        <f t="shared" si="8"/>
        <v>395120.33141759998</v>
      </c>
      <c r="Q52" s="5">
        <f t="shared" si="9"/>
        <v>75072.862969344002</v>
      </c>
      <c r="R52" s="5">
        <f t="shared" si="10"/>
        <v>4026276.1771453437</v>
      </c>
    </row>
    <row r="53" spans="2:19" x14ac:dyDescent="0.25">
      <c r="B53" s="399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10"/>
      <c r="K53" s="10"/>
      <c r="L53" s="6">
        <f>+(((((1160000*8.8+5400)*55.97%)/15*12)/30)*I53)*E53</f>
        <v>3658521.5872</v>
      </c>
      <c r="M53" s="4">
        <v>0.08</v>
      </c>
      <c r="N53" s="5">
        <f t="shared" si="6"/>
        <v>292681.72697600001</v>
      </c>
      <c r="O53" s="5">
        <f t="shared" si="7"/>
        <v>3951203.3141759997</v>
      </c>
      <c r="P53" s="5">
        <f t="shared" si="8"/>
        <v>395120.33141759998</v>
      </c>
      <c r="Q53" s="5">
        <f t="shared" si="9"/>
        <v>75072.862969344002</v>
      </c>
      <c r="R53" s="5">
        <f t="shared" si="10"/>
        <v>4026276.1771453437</v>
      </c>
    </row>
    <row r="54" spans="2:19" ht="15" customHeight="1" x14ac:dyDescent="0.25">
      <c r="B54" s="399"/>
      <c r="C54" s="18" t="s">
        <v>14</v>
      </c>
      <c r="D54" s="405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1"/>
      <c r="K54" s="1"/>
      <c r="L54" s="3">
        <f>+(((1160000*8.8+5400)/30)*I54)*E54</f>
        <v>10213400</v>
      </c>
      <c r="M54" s="4">
        <v>0.08</v>
      </c>
      <c r="N54" s="5">
        <f t="shared" si="6"/>
        <v>817072</v>
      </c>
      <c r="O54" s="5">
        <f t="shared" si="7"/>
        <v>11030472</v>
      </c>
      <c r="P54" s="5">
        <f t="shared" si="8"/>
        <v>1103047.2</v>
      </c>
      <c r="Q54" s="5">
        <f t="shared" si="9"/>
        <v>209578.96799999999</v>
      </c>
      <c r="R54" s="5">
        <f t="shared" si="10"/>
        <v>11240050.968</v>
      </c>
    </row>
    <row r="55" spans="2:19" x14ac:dyDescent="0.25">
      <c r="B55" s="399"/>
      <c r="C55" s="18" t="s">
        <v>14</v>
      </c>
      <c r="D55" s="406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1"/>
      <c r="K55" s="1"/>
      <c r="L55" s="6">
        <f>+(((((1160000*8.8+5400)*55.97%)/15*12)/30)*I55)*E55</f>
        <v>4573151.9839999992</v>
      </c>
      <c r="M55" s="4">
        <v>0.08</v>
      </c>
      <c r="N55" s="5">
        <f t="shared" si="6"/>
        <v>365852.15871999995</v>
      </c>
      <c r="O55" s="5">
        <f t="shared" si="7"/>
        <v>4939004.142719999</v>
      </c>
      <c r="P55" s="5">
        <f t="shared" si="8"/>
        <v>493900.41427199991</v>
      </c>
      <c r="Q55" s="5">
        <f t="shared" si="9"/>
        <v>93841.078711679977</v>
      </c>
      <c r="R55" s="5">
        <f t="shared" si="10"/>
        <v>5032845.2214316791</v>
      </c>
    </row>
    <row r="56" spans="2:19" x14ac:dyDescent="0.25">
      <c r="B56" s="399"/>
      <c r="C56" s="18" t="s">
        <v>14</v>
      </c>
      <c r="D56" s="405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1"/>
      <c r="K56" s="1"/>
      <c r="L56" s="3">
        <f>+(((1160000*8.8+5400)/30)*I56)*E56</f>
        <v>10213400</v>
      </c>
      <c r="M56" s="4">
        <v>0.08</v>
      </c>
      <c r="N56" s="5">
        <f t="shared" si="6"/>
        <v>817072</v>
      </c>
      <c r="O56" s="5">
        <f t="shared" si="7"/>
        <v>11030472</v>
      </c>
      <c r="P56" s="5">
        <f t="shared" si="8"/>
        <v>1103047.2</v>
      </c>
      <c r="Q56" s="5">
        <f t="shared" si="9"/>
        <v>209578.96799999999</v>
      </c>
      <c r="R56" s="5">
        <f t="shared" si="10"/>
        <v>11240050.968</v>
      </c>
    </row>
    <row r="57" spans="2:19" x14ac:dyDescent="0.25">
      <c r="B57" s="399"/>
      <c r="C57" s="18" t="s">
        <v>14</v>
      </c>
      <c r="D57" s="406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1"/>
      <c r="K57" s="1"/>
      <c r="L57" s="6">
        <f>+(((((1160000*8.8+5400)*55.97%)/15*12)/30)*I57)*E57</f>
        <v>4573151.9839999992</v>
      </c>
      <c r="M57" s="4">
        <v>0.08</v>
      </c>
      <c r="N57" s="5">
        <f t="shared" si="6"/>
        <v>365852.15871999995</v>
      </c>
      <c r="O57" s="5">
        <f t="shared" si="7"/>
        <v>4939004.142719999</v>
      </c>
      <c r="P57" s="5">
        <f t="shared" si="8"/>
        <v>493900.41427199991</v>
      </c>
      <c r="Q57" s="5">
        <f t="shared" si="9"/>
        <v>93841.078711679977</v>
      </c>
      <c r="R57" s="5">
        <f t="shared" si="10"/>
        <v>5032845.2214316791</v>
      </c>
    </row>
    <row r="58" spans="2:19" x14ac:dyDescent="0.25">
      <c r="B58" s="399"/>
      <c r="C58" s="18" t="s">
        <v>14</v>
      </c>
      <c r="D58" s="405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1"/>
      <c r="K58" s="1"/>
      <c r="L58" s="3">
        <f>+(((1160000*8.8+5400)/30)*I58)*E58</f>
        <v>10213400</v>
      </c>
      <c r="M58" s="4">
        <v>0.08</v>
      </c>
      <c r="N58" s="5">
        <f t="shared" si="6"/>
        <v>817072</v>
      </c>
      <c r="O58" s="5">
        <f t="shared" si="7"/>
        <v>11030472</v>
      </c>
      <c r="P58" s="5">
        <f t="shared" si="8"/>
        <v>1103047.2</v>
      </c>
      <c r="Q58" s="5">
        <f t="shared" si="9"/>
        <v>209578.96799999999</v>
      </c>
      <c r="R58" s="5">
        <f t="shared" si="10"/>
        <v>11240050.968</v>
      </c>
    </row>
    <row r="59" spans="2:19" x14ac:dyDescent="0.25">
      <c r="B59" s="399"/>
      <c r="C59" s="18" t="s">
        <v>14</v>
      </c>
      <c r="D59" s="406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1"/>
      <c r="K59" s="1"/>
      <c r="L59" s="6">
        <f>+(((((1160000*8.8+5400)*55.97%)/15*12)/30)*I59)*E59</f>
        <v>4573151.9839999992</v>
      </c>
      <c r="M59" s="4">
        <v>0.08</v>
      </c>
      <c r="N59" s="5">
        <f t="shared" si="6"/>
        <v>365852.15871999995</v>
      </c>
      <c r="O59" s="5">
        <f t="shared" si="7"/>
        <v>4939004.142719999</v>
      </c>
      <c r="P59" s="5">
        <f t="shared" si="8"/>
        <v>493900.41427199991</v>
      </c>
      <c r="Q59" s="5">
        <f t="shared" si="9"/>
        <v>93841.078711679977</v>
      </c>
      <c r="R59" s="5">
        <f t="shared" si="10"/>
        <v>5032845.2214316791</v>
      </c>
    </row>
    <row r="60" spans="2:19" x14ac:dyDescent="0.25">
      <c r="B60" s="399"/>
      <c r="C60" s="18" t="s">
        <v>14</v>
      </c>
      <c r="D60" s="405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1"/>
      <c r="K60" s="1"/>
      <c r="L60" s="3">
        <f>+(((1160000*8.8+5400)/30)*I60)*E60</f>
        <v>10213400</v>
      </c>
      <c r="M60" s="4">
        <v>0.08</v>
      </c>
      <c r="N60" s="5">
        <f t="shared" si="6"/>
        <v>817072</v>
      </c>
      <c r="O60" s="5">
        <f t="shared" si="7"/>
        <v>11030472</v>
      </c>
      <c r="P60" s="5">
        <f t="shared" si="8"/>
        <v>1103047.2</v>
      </c>
      <c r="Q60" s="5">
        <f t="shared" si="9"/>
        <v>209578.96799999999</v>
      </c>
      <c r="R60" s="5">
        <f t="shared" si="10"/>
        <v>11240050.968</v>
      </c>
    </row>
    <row r="61" spans="2:19" x14ac:dyDescent="0.25">
      <c r="B61" s="399"/>
      <c r="C61" s="18" t="s">
        <v>14</v>
      </c>
      <c r="D61" s="406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1"/>
      <c r="K61" s="1"/>
      <c r="L61" s="6">
        <f>+(((((1160000*8.8+5400)*55.97%)/15*12)/30)*I61)*E61</f>
        <v>4573151.9839999992</v>
      </c>
      <c r="M61" s="4">
        <v>0.08</v>
      </c>
      <c r="N61" s="5">
        <f t="shared" si="6"/>
        <v>365852.15871999995</v>
      </c>
      <c r="O61" s="5">
        <f t="shared" si="7"/>
        <v>4939004.142719999</v>
      </c>
      <c r="P61" s="5">
        <f t="shared" si="8"/>
        <v>493900.41427199991</v>
      </c>
      <c r="Q61" s="5">
        <f t="shared" si="9"/>
        <v>93841.078711679977</v>
      </c>
      <c r="R61" s="5">
        <f t="shared" si="10"/>
        <v>5032845.2214316791</v>
      </c>
      <c r="S61" s="15"/>
    </row>
    <row r="62" spans="2:19" x14ac:dyDescent="0.25">
      <c r="B62" s="399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1"/>
      <c r="K62" s="1"/>
      <c r="L62" s="3">
        <f>+(((1160000*8.8+5400)/30)*I62)*E62</f>
        <v>10213400</v>
      </c>
      <c r="M62" s="4">
        <v>0.08</v>
      </c>
      <c r="N62" s="5">
        <f t="shared" si="6"/>
        <v>817072</v>
      </c>
      <c r="O62" s="5">
        <f t="shared" si="7"/>
        <v>11030472</v>
      </c>
      <c r="P62" s="5">
        <f t="shared" si="8"/>
        <v>1103047.2</v>
      </c>
      <c r="Q62" s="5">
        <f t="shared" si="9"/>
        <v>209578.96799999999</v>
      </c>
      <c r="R62" s="5">
        <f t="shared" si="10"/>
        <v>11240050.968</v>
      </c>
    </row>
    <row r="63" spans="2:19" x14ac:dyDescent="0.25">
      <c r="B63" s="399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1"/>
      <c r="K63" s="1"/>
      <c r="L63" s="6">
        <f>+(((((1160000*8.8+5400)*55.97%)/15*12)/30)*I63)*E63</f>
        <v>4573151.9839999992</v>
      </c>
      <c r="M63" s="4">
        <v>0.08</v>
      </c>
      <c r="N63" s="5">
        <f t="shared" si="6"/>
        <v>365852.15871999995</v>
      </c>
      <c r="O63" s="5">
        <f t="shared" si="7"/>
        <v>4939004.142719999</v>
      </c>
      <c r="P63" s="5">
        <f t="shared" si="8"/>
        <v>493900.41427199991</v>
      </c>
      <c r="Q63" s="5">
        <f t="shared" si="9"/>
        <v>93841.078711679977</v>
      </c>
      <c r="R63" s="5">
        <f t="shared" si="10"/>
        <v>5032845.2214316791</v>
      </c>
    </row>
    <row r="64" spans="2:19" x14ac:dyDescent="0.25">
      <c r="B64" s="399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1"/>
      <c r="K64" s="1"/>
      <c r="L64" s="3">
        <f t="shared" ref="L64:L69" si="11">+(((1160000*8.8+5400)/30)*I64)*E64</f>
        <v>10213400</v>
      </c>
      <c r="M64" s="4">
        <v>0.08</v>
      </c>
      <c r="N64" s="5">
        <f t="shared" si="6"/>
        <v>817072</v>
      </c>
      <c r="O64" s="5">
        <f t="shared" si="7"/>
        <v>11030472</v>
      </c>
      <c r="P64" s="5">
        <f t="shared" si="8"/>
        <v>1103047.2</v>
      </c>
      <c r="Q64" s="5">
        <f t="shared" si="9"/>
        <v>209578.96799999999</v>
      </c>
      <c r="R64" s="5">
        <f t="shared" si="10"/>
        <v>11240050.968</v>
      </c>
    </row>
    <row r="65" spans="2:19" x14ac:dyDescent="0.25">
      <c r="B65" s="399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1"/>
      <c r="K65" s="1"/>
      <c r="L65" s="3">
        <f t="shared" si="11"/>
        <v>20426800</v>
      </c>
      <c r="M65" s="4">
        <v>0.08</v>
      </c>
      <c r="N65" s="5">
        <f t="shared" si="6"/>
        <v>1634144</v>
      </c>
      <c r="O65" s="5">
        <f t="shared" si="7"/>
        <v>22060944</v>
      </c>
      <c r="P65" s="5">
        <f t="shared" si="8"/>
        <v>2206094.4</v>
      </c>
      <c r="Q65" s="5">
        <f t="shared" si="9"/>
        <v>419157.93599999999</v>
      </c>
      <c r="R65" s="5">
        <f t="shared" si="10"/>
        <v>22480101.936000001</v>
      </c>
    </row>
    <row r="66" spans="2:19" x14ac:dyDescent="0.25">
      <c r="B66" s="399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1"/>
      <c r="K66" s="1"/>
      <c r="L66" s="3">
        <f t="shared" si="11"/>
        <v>10213400</v>
      </c>
      <c r="M66" s="4">
        <v>0.08</v>
      </c>
      <c r="N66" s="5">
        <f t="shared" si="6"/>
        <v>817072</v>
      </c>
      <c r="O66" s="5">
        <f t="shared" si="7"/>
        <v>11030472</v>
      </c>
      <c r="P66" s="5">
        <f t="shared" si="8"/>
        <v>1103047.2</v>
      </c>
      <c r="Q66" s="5">
        <f t="shared" si="9"/>
        <v>209578.96799999999</v>
      </c>
      <c r="R66" s="5">
        <f t="shared" si="10"/>
        <v>11240050.968</v>
      </c>
    </row>
    <row r="67" spans="2:19" x14ac:dyDescent="0.25">
      <c r="B67" s="399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1"/>
      <c r="K67" s="1"/>
      <c r="L67" s="3">
        <f t="shared" si="11"/>
        <v>10213400</v>
      </c>
      <c r="M67" s="4">
        <v>0.08</v>
      </c>
      <c r="N67" s="5">
        <f t="shared" si="6"/>
        <v>817072</v>
      </c>
      <c r="O67" s="5">
        <f t="shared" si="7"/>
        <v>11030472</v>
      </c>
      <c r="P67" s="5">
        <f t="shared" si="8"/>
        <v>1103047.2</v>
      </c>
      <c r="Q67" s="5">
        <f t="shared" si="9"/>
        <v>209578.96799999999</v>
      </c>
      <c r="R67" s="5">
        <f t="shared" si="10"/>
        <v>11240050.968</v>
      </c>
    </row>
    <row r="68" spans="2:19" x14ac:dyDescent="0.25">
      <c r="B68" s="399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1"/>
      <c r="K68" s="1"/>
      <c r="L68" s="3">
        <f t="shared" si="11"/>
        <v>10213400</v>
      </c>
      <c r="M68" s="4">
        <v>0.08</v>
      </c>
      <c r="N68" s="5">
        <f t="shared" si="6"/>
        <v>817072</v>
      </c>
      <c r="O68" s="5">
        <f t="shared" si="7"/>
        <v>11030472</v>
      </c>
      <c r="P68" s="5">
        <f t="shared" si="8"/>
        <v>1103047.2</v>
      </c>
      <c r="Q68" s="5">
        <f t="shared" si="9"/>
        <v>209578.96799999999</v>
      </c>
      <c r="R68" s="5">
        <f t="shared" si="10"/>
        <v>11240050.968</v>
      </c>
    </row>
    <row r="69" spans="2:19" x14ac:dyDescent="0.25">
      <c r="B69" s="399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1"/>
      <c r="K69" s="1"/>
      <c r="L69" s="3">
        <f t="shared" si="11"/>
        <v>10213400</v>
      </c>
      <c r="M69" s="4">
        <v>0.08</v>
      </c>
      <c r="N69" s="5">
        <f t="shared" si="6"/>
        <v>817072</v>
      </c>
      <c r="O69" s="5">
        <f t="shared" si="7"/>
        <v>11030472</v>
      </c>
      <c r="P69" s="5">
        <f t="shared" si="8"/>
        <v>1103047.2</v>
      </c>
      <c r="Q69" s="5">
        <f t="shared" si="9"/>
        <v>209578.96799999999</v>
      </c>
      <c r="R69" s="5">
        <f t="shared" si="10"/>
        <v>11240050.968</v>
      </c>
    </row>
    <row r="70" spans="2:19" x14ac:dyDescent="0.25">
      <c r="B70" s="399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1"/>
      <c r="K70" s="1"/>
      <c r="L70" s="6">
        <f>+(((((1160000*8.8+5400)*55.97%)/15*12)/30)*I70)*E70</f>
        <v>4573151.9839999992</v>
      </c>
      <c r="M70" s="4">
        <v>0.08</v>
      </c>
      <c r="N70" s="5">
        <f t="shared" si="6"/>
        <v>365852.15871999995</v>
      </c>
      <c r="O70" s="5">
        <f t="shared" si="7"/>
        <v>4939004.142719999</v>
      </c>
      <c r="P70" s="5">
        <f t="shared" si="8"/>
        <v>493900.41427199991</v>
      </c>
      <c r="Q70" s="5">
        <f t="shared" si="9"/>
        <v>93841.078711679977</v>
      </c>
      <c r="R70" s="5">
        <f t="shared" si="10"/>
        <v>5032845.2214316791</v>
      </c>
    </row>
    <row r="71" spans="2:19" x14ac:dyDescent="0.25">
      <c r="B71" s="399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1"/>
      <c r="K71" s="1"/>
      <c r="L71" s="6">
        <f>+(((((1160000*8.8+5400)*55.97%)/15*12)/30)*I71)*E71</f>
        <v>4573151.9839999992</v>
      </c>
      <c r="M71" s="4">
        <v>0.08</v>
      </c>
      <c r="N71" s="5">
        <f t="shared" si="6"/>
        <v>365852.15871999995</v>
      </c>
      <c r="O71" s="5">
        <f t="shared" si="7"/>
        <v>4939004.142719999</v>
      </c>
      <c r="P71" s="5">
        <f t="shared" si="8"/>
        <v>493900.41427199991</v>
      </c>
      <c r="Q71" s="5">
        <f t="shared" si="9"/>
        <v>93841.078711679977</v>
      </c>
      <c r="R71" s="5">
        <f t="shared" si="10"/>
        <v>5032845.2214316791</v>
      </c>
    </row>
    <row r="72" spans="2:19" x14ac:dyDescent="0.25">
      <c r="B72" s="399"/>
      <c r="C72" s="18" t="s">
        <v>14</v>
      </c>
      <c r="D72" s="405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1"/>
      <c r="K72" s="1"/>
      <c r="L72" s="3">
        <f>+(((1160000*8.8+5400)/30)*I72)*E72</f>
        <v>10213400</v>
      </c>
      <c r="M72" s="4">
        <v>0.08</v>
      </c>
      <c r="N72" s="5">
        <f t="shared" si="6"/>
        <v>817072</v>
      </c>
      <c r="O72" s="5">
        <f t="shared" si="7"/>
        <v>11030472</v>
      </c>
      <c r="P72" s="5">
        <f t="shared" si="8"/>
        <v>1103047.2</v>
      </c>
      <c r="Q72" s="5">
        <f t="shared" si="9"/>
        <v>209578.96799999999</v>
      </c>
      <c r="R72" s="5">
        <f t="shared" si="10"/>
        <v>11240050.968</v>
      </c>
    </row>
    <row r="73" spans="2:19" x14ac:dyDescent="0.25">
      <c r="B73" s="399"/>
      <c r="C73" s="18" t="s">
        <v>14</v>
      </c>
      <c r="D73" s="407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1"/>
      <c r="K73" s="1"/>
      <c r="L73" s="6">
        <f>+(((((1160000*8.8+5400)*55.97%)/15*12)/30)*I73)*E73</f>
        <v>4573151.9839999992</v>
      </c>
      <c r="M73" s="4">
        <v>0.08</v>
      </c>
      <c r="N73" s="5">
        <f t="shared" si="6"/>
        <v>365852.15871999995</v>
      </c>
      <c r="O73" s="5">
        <f t="shared" si="7"/>
        <v>4939004.142719999</v>
      </c>
      <c r="P73" s="5">
        <f t="shared" si="8"/>
        <v>493900.41427199991</v>
      </c>
      <c r="Q73" s="5">
        <f t="shared" si="9"/>
        <v>93841.078711679977</v>
      </c>
      <c r="R73" s="5">
        <f t="shared" si="10"/>
        <v>5032845.2214316791</v>
      </c>
    </row>
    <row r="74" spans="2:19" x14ac:dyDescent="0.25">
      <c r="B74" s="399"/>
      <c r="C74" s="18" t="s">
        <v>14</v>
      </c>
      <c r="D74" s="407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1"/>
      <c r="K74" s="1"/>
      <c r="L74" s="6">
        <f>+(((((1160000*8.8+5400)*55.97%)/15*14)/30)*I74)*E74</f>
        <v>5335343.9813333331</v>
      </c>
      <c r="M74" s="4">
        <v>0.08</v>
      </c>
      <c r="N74" s="5">
        <f t="shared" si="6"/>
        <v>426827.51850666665</v>
      </c>
      <c r="O74" s="5">
        <f t="shared" si="7"/>
        <v>5762171.4998399997</v>
      </c>
      <c r="P74" s="5">
        <f t="shared" si="8"/>
        <v>576217.14998400002</v>
      </c>
      <c r="Q74" s="5">
        <f t="shared" si="9"/>
        <v>109481.25849696</v>
      </c>
      <c r="R74" s="5">
        <f t="shared" si="10"/>
        <v>5871652.7583369594</v>
      </c>
      <c r="S74" s="15">
        <f>+O74-P74</f>
        <v>5185954.3498559995</v>
      </c>
    </row>
    <row r="75" spans="2:19" x14ac:dyDescent="0.25">
      <c r="B75" s="399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21"/>
      <c r="K75" s="21"/>
      <c r="L75" s="30">
        <f>+(((1160000*8.8+5400)/30)*I75)*E75</f>
        <v>10213400</v>
      </c>
      <c r="M75" s="26">
        <v>0.08</v>
      </c>
      <c r="N75" s="27">
        <f t="shared" ref="N75:N106" si="12">L75*M75</f>
        <v>817072</v>
      </c>
      <c r="O75" s="27">
        <f t="shared" ref="O75:O106" si="13">L75+N75</f>
        <v>11030472</v>
      </c>
      <c r="P75" s="27">
        <f>O75*10%</f>
        <v>1103047.2</v>
      </c>
      <c r="Q75" s="27">
        <f>+P75*19%</f>
        <v>209578.96799999999</v>
      </c>
      <c r="R75" s="27">
        <f>O75+Q75</f>
        <v>11240050.968</v>
      </c>
    </row>
    <row r="76" spans="2:19" x14ac:dyDescent="0.25">
      <c r="B76" s="399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21"/>
      <c r="K76" s="21"/>
      <c r="L76" s="30">
        <f>+(((1160000*8.8+5400)/30)*I76)*E76</f>
        <v>10213400</v>
      </c>
      <c r="M76" s="26">
        <v>0.08</v>
      </c>
      <c r="N76" s="27">
        <f t="shared" si="12"/>
        <v>817072</v>
      </c>
      <c r="O76" s="27">
        <f t="shared" si="13"/>
        <v>11030472</v>
      </c>
      <c r="P76" s="27">
        <f>O76*10%</f>
        <v>1103047.2</v>
      </c>
      <c r="Q76" s="27">
        <f>+P76*19%</f>
        <v>209578.96799999999</v>
      </c>
      <c r="R76" s="27">
        <f>O76+Q76</f>
        <v>11240050.968</v>
      </c>
    </row>
    <row r="77" spans="2:19" x14ac:dyDescent="0.25">
      <c r="B77" s="399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1"/>
      <c r="K77" s="1"/>
      <c r="L77" s="6">
        <f>+(((((1160000*8.8+5400)*55.97%)/15*14)/30)*I77)*E77</f>
        <v>5335343.9813333331</v>
      </c>
      <c r="M77" s="4">
        <v>0.08</v>
      </c>
      <c r="N77" s="5">
        <f t="shared" si="12"/>
        <v>426827.51850666665</v>
      </c>
      <c r="O77" s="5">
        <f t="shared" si="13"/>
        <v>5762171.4998399997</v>
      </c>
      <c r="P77" s="5">
        <f t="shared" si="8"/>
        <v>576217.14998400002</v>
      </c>
      <c r="Q77" s="5">
        <f t="shared" si="9"/>
        <v>109481.25849696</v>
      </c>
      <c r="R77" s="5">
        <f t="shared" si="10"/>
        <v>5871652.7583369594</v>
      </c>
    </row>
    <row r="78" spans="2:19" x14ac:dyDescent="0.25">
      <c r="B78" s="399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1"/>
      <c r="K78" s="1"/>
      <c r="L78" s="3">
        <f>+(((1160000*8.8+5400)/30)*I78)*E78</f>
        <v>10213400</v>
      </c>
      <c r="M78" s="4">
        <v>0.08</v>
      </c>
      <c r="N78" s="5">
        <f t="shared" si="12"/>
        <v>817072</v>
      </c>
      <c r="O78" s="5">
        <f t="shared" si="13"/>
        <v>11030472</v>
      </c>
      <c r="P78" s="5">
        <f>O78*10%</f>
        <v>1103047.2</v>
      </c>
      <c r="Q78" s="5">
        <f>+P78*19%</f>
        <v>209578.96799999999</v>
      </c>
      <c r="R78" s="5">
        <f>O78+Q78</f>
        <v>11240050.968</v>
      </c>
    </row>
    <row r="79" spans="2:19" x14ac:dyDescent="0.25">
      <c r="B79" s="399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1"/>
      <c r="K79" s="1"/>
      <c r="L79" s="3">
        <f>+(((1160000*8.8+5400)/30)*I79)*E79</f>
        <v>10213400</v>
      </c>
      <c r="M79" s="4">
        <v>0.08</v>
      </c>
      <c r="N79" s="5">
        <f t="shared" si="12"/>
        <v>817072</v>
      </c>
      <c r="O79" s="5">
        <f t="shared" si="13"/>
        <v>11030472</v>
      </c>
      <c r="P79" s="5">
        <f t="shared" si="8"/>
        <v>1103047.2</v>
      </c>
      <c r="Q79" s="5">
        <f t="shared" si="9"/>
        <v>209578.96799999999</v>
      </c>
      <c r="R79" s="5">
        <f t="shared" si="10"/>
        <v>11240050.968</v>
      </c>
    </row>
    <row r="80" spans="2:19" x14ac:dyDescent="0.25">
      <c r="B80" s="399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1"/>
      <c r="K80" s="1"/>
      <c r="L80" s="3">
        <f>+(((1160000*8.8+5400)/30)*I80)*E80</f>
        <v>10213400</v>
      </c>
      <c r="M80" s="4">
        <v>0.08</v>
      </c>
      <c r="N80" s="5">
        <f t="shared" si="12"/>
        <v>817072</v>
      </c>
      <c r="O80" s="5">
        <f t="shared" si="13"/>
        <v>11030472</v>
      </c>
      <c r="P80" s="5">
        <f t="shared" si="8"/>
        <v>1103047.2</v>
      </c>
      <c r="Q80" s="5">
        <f t="shared" si="9"/>
        <v>209578.96799999999</v>
      </c>
      <c r="R80" s="5">
        <f t="shared" si="10"/>
        <v>11240050.968</v>
      </c>
    </row>
    <row r="81" spans="2:19" x14ac:dyDescent="0.25">
      <c r="B81" s="399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1"/>
      <c r="K81" s="1"/>
      <c r="L81" s="3">
        <f>+(((1160000*8.8+5400)/30)*I81)*E81</f>
        <v>10213400</v>
      </c>
      <c r="M81" s="4">
        <v>0.08</v>
      </c>
      <c r="N81" s="5">
        <f t="shared" si="12"/>
        <v>817072</v>
      </c>
      <c r="O81" s="5">
        <f t="shared" si="13"/>
        <v>11030472</v>
      </c>
      <c r="P81" s="5">
        <f t="shared" si="8"/>
        <v>1103047.2</v>
      </c>
      <c r="Q81" s="5">
        <f t="shared" si="9"/>
        <v>209578.96799999999</v>
      </c>
      <c r="R81" s="5">
        <f t="shared" si="10"/>
        <v>11240050.968</v>
      </c>
    </row>
    <row r="82" spans="2:19" x14ac:dyDescent="0.25">
      <c r="B82" s="399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1"/>
      <c r="K82" s="1"/>
      <c r="L82" s="3">
        <f>+(((1160000*8.8+5400)/30)*I82)*E82</f>
        <v>10213400</v>
      </c>
      <c r="M82" s="4">
        <v>0.08</v>
      </c>
      <c r="N82" s="5">
        <f t="shared" si="12"/>
        <v>817072</v>
      </c>
      <c r="O82" s="5">
        <f t="shared" si="13"/>
        <v>11030472</v>
      </c>
      <c r="P82" s="5">
        <f t="shared" si="8"/>
        <v>1103047.2</v>
      </c>
      <c r="Q82" s="5">
        <f t="shared" si="9"/>
        <v>209578.96799999999</v>
      </c>
      <c r="R82" s="5">
        <f t="shared" si="10"/>
        <v>11240050.968</v>
      </c>
      <c r="S82" s="393"/>
    </row>
    <row r="83" spans="2:19" x14ac:dyDescent="0.25">
      <c r="B83" s="399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1"/>
      <c r="K83" s="1"/>
      <c r="L83" s="6">
        <f>+(((((1160000*8.8+5400)*55.97%)/15*12)/30)*I83)*E83</f>
        <v>4573151.9839999992</v>
      </c>
      <c r="M83" s="4">
        <v>0.08</v>
      </c>
      <c r="N83" s="5">
        <f t="shared" si="12"/>
        <v>365852.15871999995</v>
      </c>
      <c r="O83" s="5">
        <f t="shared" si="13"/>
        <v>4939004.142719999</v>
      </c>
      <c r="P83" s="5">
        <f t="shared" si="8"/>
        <v>493900.41427199991</v>
      </c>
      <c r="Q83" s="5">
        <f t="shared" si="9"/>
        <v>93841.078711679977</v>
      </c>
      <c r="R83" s="5">
        <f t="shared" si="10"/>
        <v>5032845.2214316791</v>
      </c>
      <c r="S83" s="393"/>
    </row>
    <row r="84" spans="2:19" x14ac:dyDescent="0.25">
      <c r="B84" s="399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1"/>
      <c r="K84" s="21"/>
      <c r="L84" s="25">
        <f>+(((((1160000*8.8+5400)*55.97%)/15*8)/30)*I84)*E84</f>
        <v>3048767.989333333</v>
      </c>
      <c r="M84" s="26">
        <v>0.08</v>
      </c>
      <c r="N84" s="27">
        <f t="shared" si="12"/>
        <v>243901.43914666664</v>
      </c>
      <c r="O84" s="27">
        <f t="shared" si="13"/>
        <v>3292669.4284799998</v>
      </c>
      <c r="P84" s="27">
        <f t="shared" si="8"/>
        <v>329266.94284799998</v>
      </c>
      <c r="Q84" s="27">
        <f t="shared" si="9"/>
        <v>62560.719141119996</v>
      </c>
      <c r="R84" s="27">
        <f t="shared" si="10"/>
        <v>3355230.1476211199</v>
      </c>
      <c r="S84" s="15">
        <f>+O84-P84</f>
        <v>2963402.4856319996</v>
      </c>
    </row>
    <row r="85" spans="2:19" x14ac:dyDescent="0.25">
      <c r="B85" s="399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1"/>
      <c r="K85" s="1"/>
      <c r="L85" s="3">
        <f>+(((1160000*8.8+5400)/30)*I85)*E85</f>
        <v>10213400</v>
      </c>
      <c r="M85" s="4">
        <v>0.08</v>
      </c>
      <c r="N85" s="5">
        <f t="shared" si="12"/>
        <v>817072</v>
      </c>
      <c r="O85" s="5">
        <f t="shared" si="13"/>
        <v>11030472</v>
      </c>
      <c r="P85" s="5">
        <f>O85*10%</f>
        <v>1103047.2</v>
      </c>
      <c r="Q85" s="5">
        <f>+P85*19%</f>
        <v>209578.96799999999</v>
      </c>
      <c r="R85" s="5">
        <f>O85+Q85</f>
        <v>11240050.968</v>
      </c>
      <c r="S85" s="41"/>
    </row>
    <row r="86" spans="2:19" ht="17.25" customHeight="1" x14ac:dyDescent="0.25">
      <c r="B86" s="399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1"/>
      <c r="K86" s="1"/>
      <c r="L86" s="3">
        <f>+(((1160000*8.8+5400)/30)*I86)*E86</f>
        <v>10213400</v>
      </c>
      <c r="M86" s="4">
        <v>0.08</v>
      </c>
      <c r="N86" s="5">
        <f t="shared" si="12"/>
        <v>817072</v>
      </c>
      <c r="O86" s="5">
        <f t="shared" si="13"/>
        <v>11030472</v>
      </c>
      <c r="P86" s="5">
        <f>O86*10%</f>
        <v>1103047.2</v>
      </c>
      <c r="Q86" s="5">
        <f>+P86*19%</f>
        <v>209578.96799999999</v>
      </c>
      <c r="R86" s="5">
        <f>O86+Q86</f>
        <v>11240050.968</v>
      </c>
    </row>
    <row r="87" spans="2:19" ht="17.25" customHeight="1" x14ac:dyDescent="0.25">
      <c r="B87" s="399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1"/>
      <c r="K87" s="1"/>
      <c r="L87" s="3">
        <f>+(((1160000*8.8+5400)/30)*I87)*E87</f>
        <v>10213400</v>
      </c>
      <c r="M87" s="4">
        <v>0.08</v>
      </c>
      <c r="N87" s="5">
        <f t="shared" si="12"/>
        <v>817072</v>
      </c>
      <c r="O87" s="5">
        <f t="shared" si="13"/>
        <v>11030472</v>
      </c>
      <c r="P87" s="5">
        <f>O87*10%</f>
        <v>1103047.2</v>
      </c>
      <c r="Q87" s="5">
        <f>+P87*19%</f>
        <v>209578.96799999999</v>
      </c>
      <c r="R87" s="5">
        <f>O87+Q87</f>
        <v>11240050.968</v>
      </c>
    </row>
    <row r="88" spans="2:19" ht="17.25" customHeight="1" x14ac:dyDescent="0.25">
      <c r="B88" s="399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1"/>
      <c r="K88" s="21"/>
      <c r="L88" s="25">
        <f>+(((((1160000*8.8+5400)*55.97%)/15*12)/30)*I88)*E88</f>
        <v>4573151.9839999992</v>
      </c>
      <c r="M88" s="26">
        <v>0.08</v>
      </c>
      <c r="N88" s="27">
        <f t="shared" si="12"/>
        <v>365852.15871999995</v>
      </c>
      <c r="O88" s="27">
        <f t="shared" si="13"/>
        <v>4939004.142719999</v>
      </c>
      <c r="P88" s="27">
        <f t="shared" ref="P88" si="14">O88*10%</f>
        <v>493900.41427199991</v>
      </c>
      <c r="Q88" s="27">
        <f t="shared" ref="Q88" si="15">+P88*19%</f>
        <v>93841.078711679977</v>
      </c>
      <c r="R88" s="27">
        <f t="shared" ref="R88" si="16">O88+Q88</f>
        <v>5032845.2214316791</v>
      </c>
    </row>
    <row r="89" spans="2:19" ht="17.25" customHeight="1" x14ac:dyDescent="0.25">
      <c r="B89" s="399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+(((((1160000*8.8+5400)*55.97%)/15*12)/30)*I89)*E89</f>
        <v>2896329.5898666666</v>
      </c>
      <c r="K89" s="90"/>
      <c r="L89" s="91">
        <f>+(((((1160000*8.8+5400)*55.97%)/15*12)/30)*I89)*E89</f>
        <v>2896329.5898666666</v>
      </c>
      <c r="M89" s="92">
        <v>0.08</v>
      </c>
      <c r="N89" s="93">
        <f t="shared" si="12"/>
        <v>231706.36718933334</v>
      </c>
      <c r="O89" s="93">
        <f t="shared" si="13"/>
        <v>3128035.9570559999</v>
      </c>
      <c r="P89" s="93">
        <f>O89*10%</f>
        <v>312803.59570559999</v>
      </c>
      <c r="Q89" s="93">
        <f>+P89*19%</f>
        <v>59432.683184064001</v>
      </c>
      <c r="R89" s="93">
        <f>O89+Q89</f>
        <v>3187468.6402400639</v>
      </c>
    </row>
    <row r="90" spans="2:19" ht="17.25" customHeight="1" x14ac:dyDescent="0.25">
      <c r="B90" s="399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+(((((1160000*8.8+5400)*55.97%)/15*12)/30)*I90)*E90</f>
        <v>3048767.989333333</v>
      </c>
      <c r="K90" s="1"/>
      <c r="L90" s="6">
        <f>+(((((1160000*8.8+5400)*55.97%)/15*12)/30)*I90)*E90</f>
        <v>3048767.989333333</v>
      </c>
      <c r="M90" s="4">
        <v>0.08</v>
      </c>
      <c r="N90" s="5">
        <f t="shared" si="12"/>
        <v>243901.43914666664</v>
      </c>
      <c r="O90" s="5">
        <f t="shared" si="13"/>
        <v>3292669.4284799998</v>
      </c>
      <c r="P90" s="5">
        <f>O90*10%</f>
        <v>329266.94284799998</v>
      </c>
      <c r="Q90" s="5">
        <f>+P90*19%</f>
        <v>62560.719141119996</v>
      </c>
      <c r="R90" s="5">
        <f>O90+Q90</f>
        <v>3355230.1476211199</v>
      </c>
    </row>
    <row r="91" spans="2:19" ht="17.25" customHeight="1" x14ac:dyDescent="0.25">
      <c r="B91" s="399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1"/>
      <c r="K91" s="21"/>
      <c r="L91" s="25">
        <f>+(((((1160000*8.8+5400)*55.97%)/15*12)/30)*I91)*E91</f>
        <v>3658521.5872</v>
      </c>
      <c r="M91" s="26">
        <v>0.08</v>
      </c>
      <c r="N91" s="27">
        <f t="shared" si="12"/>
        <v>292681.72697600001</v>
      </c>
      <c r="O91" s="27">
        <f t="shared" si="13"/>
        <v>3951203.3141759997</v>
      </c>
      <c r="P91" s="27">
        <f t="shared" ref="P91:P105" si="17">O91*10%</f>
        <v>395120.33141759998</v>
      </c>
      <c r="Q91" s="27">
        <f t="shared" ref="Q91:Q105" si="18">+P91*19%</f>
        <v>75072.862969344002</v>
      </c>
      <c r="R91" s="27">
        <f t="shared" ref="R91:R105" si="19">O91+Q91</f>
        <v>4026276.1771453437</v>
      </c>
      <c r="S91" s="15"/>
    </row>
    <row r="92" spans="2:19" ht="17.25" customHeight="1" x14ac:dyDescent="0.25">
      <c r="B92" s="399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1"/>
      <c r="K92" s="1"/>
      <c r="L92" s="6">
        <f>+(((((1160000*8.8+5400)*55.97%)/15*12)/30)*I92)*E92</f>
        <v>3048767.989333333</v>
      </c>
      <c r="M92" s="4">
        <v>0.08</v>
      </c>
      <c r="N92" s="5">
        <f t="shared" si="12"/>
        <v>243901.43914666664</v>
      </c>
      <c r="O92" s="5">
        <f t="shared" si="13"/>
        <v>3292669.4284799998</v>
      </c>
      <c r="P92" s="5">
        <f t="shared" si="17"/>
        <v>329266.94284799998</v>
      </c>
      <c r="Q92" s="5">
        <f t="shared" si="18"/>
        <v>62560.719141119996</v>
      </c>
      <c r="R92" s="5">
        <f t="shared" si="19"/>
        <v>3355230.1476211199</v>
      </c>
    </row>
    <row r="93" spans="2:19" ht="17.25" customHeight="1" x14ac:dyDescent="0.25">
      <c r="B93" s="399"/>
      <c r="C93" s="36" t="s">
        <v>14</v>
      </c>
      <c r="D93" s="394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1"/>
      <c r="K93" s="1"/>
      <c r="L93" s="3">
        <f>+(((1160000*8.8+5400)/30)*I93)*E93</f>
        <v>10213400</v>
      </c>
      <c r="M93" s="4">
        <v>0.08</v>
      </c>
      <c r="N93" s="5">
        <f t="shared" si="12"/>
        <v>817072</v>
      </c>
      <c r="O93" s="5">
        <f t="shared" si="13"/>
        <v>11030472</v>
      </c>
      <c r="P93" s="5">
        <f t="shared" si="17"/>
        <v>1103047.2</v>
      </c>
      <c r="Q93" s="5">
        <f t="shared" si="18"/>
        <v>209578.96799999999</v>
      </c>
      <c r="R93" s="5">
        <f t="shared" si="19"/>
        <v>11240050.968</v>
      </c>
    </row>
    <row r="94" spans="2:19" ht="17.25" customHeight="1" x14ac:dyDescent="0.25">
      <c r="B94" s="399"/>
      <c r="C94" s="36" t="s">
        <v>14</v>
      </c>
      <c r="D94" s="395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1"/>
      <c r="K94" s="1"/>
      <c r="L94" s="6">
        <f>+(((((1160000*8.8+5400)*55.97%)/15*8)/30)*I94)*E94</f>
        <v>2439014.3914666665</v>
      </c>
      <c r="M94" s="4">
        <v>0.08</v>
      </c>
      <c r="N94" s="5">
        <f t="shared" si="12"/>
        <v>195121.15131733331</v>
      </c>
      <c r="O94" s="5">
        <f t="shared" si="13"/>
        <v>2634135.5427839998</v>
      </c>
      <c r="P94" s="5">
        <f t="shared" si="17"/>
        <v>263413.55427839997</v>
      </c>
      <c r="Q94" s="5">
        <f t="shared" si="18"/>
        <v>50048.575312895991</v>
      </c>
      <c r="R94" s="5">
        <f t="shared" si="19"/>
        <v>2684184.118096896</v>
      </c>
      <c r="S94" s="15">
        <f>+O94-P94</f>
        <v>2370721.9885056</v>
      </c>
    </row>
    <row r="95" spans="2:19" ht="17.25" customHeight="1" x14ac:dyDescent="0.25">
      <c r="B95" s="399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1"/>
      <c r="K95" s="1"/>
      <c r="L95" s="3">
        <f t="shared" ref="L95:L101" si="20">+(((1160000*8.8+5400)/30)*I95)*E95</f>
        <v>10213400</v>
      </c>
      <c r="M95" s="4">
        <v>0.08</v>
      </c>
      <c r="N95" s="5">
        <f t="shared" si="12"/>
        <v>817072</v>
      </c>
      <c r="O95" s="5">
        <f t="shared" si="13"/>
        <v>11030472</v>
      </c>
      <c r="P95" s="5">
        <f t="shared" si="17"/>
        <v>1103047.2</v>
      </c>
      <c r="Q95" s="5">
        <f t="shared" si="18"/>
        <v>209578.96799999999</v>
      </c>
      <c r="R95" s="5">
        <f t="shared" si="19"/>
        <v>11240050.968</v>
      </c>
    </row>
    <row r="96" spans="2:19" ht="17.25" customHeight="1" x14ac:dyDescent="0.25">
      <c r="B96" s="399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1"/>
      <c r="K96" s="1"/>
      <c r="L96" s="3">
        <f t="shared" si="20"/>
        <v>10213400</v>
      </c>
      <c r="M96" s="4">
        <v>0.08</v>
      </c>
      <c r="N96" s="5">
        <f t="shared" si="12"/>
        <v>817072</v>
      </c>
      <c r="O96" s="5">
        <f t="shared" si="13"/>
        <v>11030472</v>
      </c>
      <c r="P96" s="5">
        <f t="shared" si="17"/>
        <v>1103047.2</v>
      </c>
      <c r="Q96" s="5">
        <f t="shared" si="18"/>
        <v>209578.96799999999</v>
      </c>
      <c r="R96" s="5">
        <f t="shared" si="19"/>
        <v>11240050.968</v>
      </c>
    </row>
    <row r="97" spans="2:20" ht="17.25" customHeight="1" x14ac:dyDescent="0.25">
      <c r="B97" s="399"/>
      <c r="C97" s="36" t="s">
        <v>14</v>
      </c>
      <c r="D97" s="396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1"/>
      <c r="K97" s="1"/>
      <c r="L97" s="3">
        <f t="shared" si="20"/>
        <v>10213400</v>
      </c>
      <c r="M97" s="4">
        <v>0.08</v>
      </c>
      <c r="N97" s="5">
        <f t="shared" si="12"/>
        <v>817072</v>
      </c>
      <c r="O97" s="5">
        <f t="shared" si="13"/>
        <v>11030472</v>
      </c>
      <c r="P97" s="5">
        <f t="shared" si="17"/>
        <v>1103047.2</v>
      </c>
      <c r="Q97" s="5">
        <f t="shared" si="18"/>
        <v>209578.96799999999</v>
      </c>
      <c r="R97" s="5">
        <f t="shared" si="19"/>
        <v>11240050.968</v>
      </c>
    </row>
    <row r="98" spans="2:20" ht="17.25" customHeight="1" x14ac:dyDescent="0.25">
      <c r="B98" s="399"/>
      <c r="C98" s="37" t="s">
        <v>14</v>
      </c>
      <c r="D98" s="397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21"/>
      <c r="K98" s="21"/>
      <c r="L98" s="30">
        <f t="shared" si="20"/>
        <v>10213400</v>
      </c>
      <c r="M98" s="26">
        <v>0.08</v>
      </c>
      <c r="N98" s="27">
        <f t="shared" si="12"/>
        <v>817072</v>
      </c>
      <c r="O98" s="27">
        <f t="shared" si="13"/>
        <v>11030472</v>
      </c>
      <c r="P98" s="27">
        <f t="shared" si="17"/>
        <v>1103047.2</v>
      </c>
      <c r="Q98" s="27">
        <f t="shared" si="18"/>
        <v>209578.96799999999</v>
      </c>
      <c r="R98" s="27">
        <f t="shared" si="19"/>
        <v>11240050.968</v>
      </c>
    </row>
    <row r="99" spans="2:20" ht="17.25" customHeight="1" x14ac:dyDescent="0.25">
      <c r="B99" s="399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1"/>
      <c r="K99" s="1"/>
      <c r="L99" s="3">
        <f t="shared" si="20"/>
        <v>10213400</v>
      </c>
      <c r="M99" s="4">
        <v>0.08</v>
      </c>
      <c r="N99" s="5">
        <f t="shared" si="12"/>
        <v>817072</v>
      </c>
      <c r="O99" s="5">
        <f t="shared" si="13"/>
        <v>11030472</v>
      </c>
      <c r="P99" s="5">
        <f t="shared" si="17"/>
        <v>1103047.2</v>
      </c>
      <c r="Q99" s="5">
        <f t="shared" si="18"/>
        <v>209578.96799999999</v>
      </c>
      <c r="R99" s="5">
        <f t="shared" si="19"/>
        <v>11240050.968</v>
      </c>
    </row>
    <row r="100" spans="2:20" ht="17.25" customHeight="1" x14ac:dyDescent="0.25">
      <c r="B100" s="399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21"/>
      <c r="K100" s="21"/>
      <c r="L100" s="30">
        <f t="shared" si="20"/>
        <v>10213400</v>
      </c>
      <c r="M100" s="26">
        <v>0.08</v>
      </c>
      <c r="N100" s="27">
        <f t="shared" si="12"/>
        <v>817072</v>
      </c>
      <c r="O100" s="27">
        <f t="shared" si="13"/>
        <v>11030472</v>
      </c>
      <c r="P100" s="27">
        <f t="shared" si="17"/>
        <v>1103047.2</v>
      </c>
      <c r="Q100" s="27">
        <f t="shared" si="18"/>
        <v>209578.96799999999</v>
      </c>
      <c r="R100" s="27">
        <f t="shared" si="19"/>
        <v>11240050.968</v>
      </c>
    </row>
    <row r="101" spans="2:20" ht="17.25" customHeight="1" x14ac:dyDescent="0.25">
      <c r="B101" s="399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21"/>
      <c r="K101" s="21"/>
      <c r="L101" s="30">
        <f t="shared" si="20"/>
        <v>10213400</v>
      </c>
      <c r="M101" s="26">
        <v>0.08</v>
      </c>
      <c r="N101" s="27">
        <f t="shared" si="12"/>
        <v>817072</v>
      </c>
      <c r="O101" s="27">
        <f t="shared" si="13"/>
        <v>11030472</v>
      </c>
      <c r="P101" s="27">
        <f t="shared" si="17"/>
        <v>1103047.2</v>
      </c>
      <c r="Q101" s="27">
        <f t="shared" si="18"/>
        <v>209578.96799999999</v>
      </c>
      <c r="R101" s="27">
        <f t="shared" si="19"/>
        <v>11240050.968</v>
      </c>
    </row>
    <row r="102" spans="2:20" ht="17.25" customHeight="1" x14ac:dyDescent="0.25">
      <c r="B102" s="399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1"/>
      <c r="K102" s="21"/>
      <c r="L102" s="25">
        <f>+(((((1160000*8.8+5400)*55.97%)/15*12)/30)*I102)*E102</f>
        <v>4573151.9839999992</v>
      </c>
      <c r="M102" s="26">
        <v>0.08</v>
      </c>
      <c r="N102" s="27">
        <f t="shared" si="12"/>
        <v>365852.15871999995</v>
      </c>
      <c r="O102" s="27">
        <f t="shared" si="13"/>
        <v>4939004.142719999</v>
      </c>
      <c r="P102" s="27">
        <f t="shared" si="17"/>
        <v>493900.41427199991</v>
      </c>
      <c r="Q102" s="27">
        <f t="shared" si="18"/>
        <v>93841.078711679977</v>
      </c>
      <c r="R102" s="27">
        <f t="shared" si="19"/>
        <v>5032845.2214316791</v>
      </c>
    </row>
    <row r="103" spans="2:20" ht="17.25" customHeight="1" x14ac:dyDescent="0.25">
      <c r="B103" s="399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1"/>
      <c r="K103" s="1"/>
      <c r="L103" s="6">
        <f>+(((((1160000*8.8+5400)*55.97%)/15*12)/30)*I103)*E103</f>
        <v>3048767.989333333</v>
      </c>
      <c r="M103" s="4">
        <v>0.08</v>
      </c>
      <c r="N103" s="5">
        <f t="shared" si="12"/>
        <v>243901.43914666664</v>
      </c>
      <c r="O103" s="5">
        <f t="shared" si="13"/>
        <v>3292669.4284799998</v>
      </c>
      <c r="P103" s="5">
        <f t="shared" si="17"/>
        <v>329266.94284799998</v>
      </c>
      <c r="Q103" s="5">
        <f t="shared" si="18"/>
        <v>62560.719141119996</v>
      </c>
      <c r="R103" s="5">
        <f t="shared" si="19"/>
        <v>3355230.1476211199</v>
      </c>
      <c r="T103" s="15"/>
    </row>
    <row r="104" spans="2:20" ht="17.25" customHeight="1" x14ac:dyDescent="0.25">
      <c r="B104" s="399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1"/>
      <c r="K104" s="21"/>
      <c r="L104" s="25">
        <f>+(((1160000*8.8+5400)/30)*I104)*E104</f>
        <v>20426800</v>
      </c>
      <c r="M104" s="26">
        <v>0.08</v>
      </c>
      <c r="N104" s="27">
        <f t="shared" si="12"/>
        <v>1634144</v>
      </c>
      <c r="O104" s="27">
        <f t="shared" si="13"/>
        <v>22060944</v>
      </c>
      <c r="P104" s="27">
        <f t="shared" si="17"/>
        <v>2206094.4</v>
      </c>
      <c r="Q104" s="27">
        <f t="shared" si="18"/>
        <v>419157.93599999999</v>
      </c>
      <c r="R104" s="27">
        <f t="shared" si="19"/>
        <v>22480101.936000001</v>
      </c>
      <c r="T104" s="15"/>
    </row>
    <row r="105" spans="2:20" ht="17.25" customHeight="1" x14ac:dyDescent="0.25">
      <c r="B105" s="399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1"/>
      <c r="K105" s="21"/>
      <c r="L105" s="25">
        <f>+(((1160000*8.8+5400)/30)*I105)*E105</f>
        <v>10213400</v>
      </c>
      <c r="M105" s="26">
        <v>0.08</v>
      </c>
      <c r="N105" s="27">
        <f t="shared" si="12"/>
        <v>817072</v>
      </c>
      <c r="O105" s="27">
        <f t="shared" si="13"/>
        <v>11030472</v>
      </c>
      <c r="P105" s="27">
        <f t="shared" si="17"/>
        <v>1103047.2</v>
      </c>
      <c r="Q105" s="27">
        <f t="shared" si="18"/>
        <v>209578.96799999999</v>
      </c>
      <c r="R105" s="27">
        <f t="shared" si="19"/>
        <v>11240050.968</v>
      </c>
      <c r="T105" s="15"/>
    </row>
    <row r="106" spans="2:20" ht="17.25" customHeight="1" x14ac:dyDescent="0.25">
      <c r="B106" s="404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+((((((1160000*8.8+5400)*55.97%)/15*3)/30)*I106))+((((((1160000*8.8+5400)*44.03%)/9*9)/30*I106)))</f>
        <v>376016.5344</v>
      </c>
      <c r="K106" s="90"/>
      <c r="L106" s="91">
        <f>+((((((1160000*8.8+5400)*55.97%)/15*3)/30)*I106))+((((((1160000*8.8+5400)*44.03%)/9*9)/30*I106)))</f>
        <v>376016.5344</v>
      </c>
      <c r="M106" s="92">
        <v>0.08</v>
      </c>
      <c r="N106" s="93">
        <f t="shared" si="12"/>
        <v>30081.322752</v>
      </c>
      <c r="O106" s="93">
        <f t="shared" si="13"/>
        <v>406097.85715200001</v>
      </c>
      <c r="P106" s="93">
        <f>O106*10%</f>
        <v>40609.785715200007</v>
      </c>
      <c r="Q106" s="93">
        <f>+P106*19%</f>
        <v>7715.8592858880011</v>
      </c>
      <c r="R106" s="93">
        <f>O106+Q106</f>
        <v>413813.71643788804</v>
      </c>
      <c r="T106" s="15"/>
    </row>
    <row r="107" spans="2:20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2"/>
      <c r="K107" s="102"/>
      <c r="L107" s="101">
        <f>SUM(L43:L106)</f>
        <v>529033557.02133334</v>
      </c>
      <c r="M107" s="101"/>
      <c r="N107" s="101">
        <f t="shared" ref="N107:Q107" si="21">SUM(N43:N106)</f>
        <v>42322684.561706677</v>
      </c>
      <c r="O107" s="101">
        <f t="shared" si="21"/>
        <v>571356241.58304</v>
      </c>
      <c r="P107" s="101">
        <f t="shared" si="21"/>
        <v>57135624.158304021</v>
      </c>
      <c r="Q107" s="101">
        <f t="shared" si="21"/>
        <v>10855768.590077767</v>
      </c>
      <c r="R107" s="101">
        <f>SUM(R43:R106)</f>
        <v>582212010.17311764</v>
      </c>
    </row>
    <row r="108" spans="2:20" ht="15" customHeight="1" x14ac:dyDescent="0.25">
      <c r="B108" s="398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1"/>
      <c r="K108" s="1"/>
      <c r="L108" s="6">
        <f>+(((((1160000*8.8+5400)*55.97%)/15*12)/30)*I108)*E108</f>
        <v>3658521.5872</v>
      </c>
      <c r="M108" s="4">
        <v>0.08</v>
      </c>
      <c r="N108" s="5">
        <f t="shared" ref="N108:N128" si="22">L108*M108</f>
        <v>292681.72697600001</v>
      </c>
      <c r="O108" s="5">
        <f t="shared" ref="O108:O128" si="23">L108+N108</f>
        <v>3951203.3141759997</v>
      </c>
      <c r="P108" s="5">
        <f t="shared" ref="P108:P128" si="24">O108*10%</f>
        <v>395120.33141759998</v>
      </c>
      <c r="Q108" s="5">
        <f t="shared" ref="Q108:Q128" si="25">+P108*19%</f>
        <v>75072.862969344002</v>
      </c>
      <c r="R108" s="5">
        <f t="shared" ref="R108:R128" si="26">O108+Q108</f>
        <v>4026276.1771453437</v>
      </c>
    </row>
    <row r="109" spans="2:20" x14ac:dyDescent="0.25">
      <c r="B109" s="399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1"/>
      <c r="K109" s="1"/>
      <c r="L109" s="6">
        <f>+(((((1160000*8.8+5400)*55.97%)/15*12)/30)*I109)*E109</f>
        <v>3658521.5872</v>
      </c>
      <c r="M109" s="4">
        <v>0.08</v>
      </c>
      <c r="N109" s="5">
        <f t="shared" si="22"/>
        <v>292681.72697600001</v>
      </c>
      <c r="O109" s="5">
        <f t="shared" si="23"/>
        <v>3951203.3141759997</v>
      </c>
      <c r="P109" s="5">
        <f t="shared" si="24"/>
        <v>395120.33141759998</v>
      </c>
      <c r="Q109" s="5">
        <f t="shared" si="25"/>
        <v>75072.862969344002</v>
      </c>
      <c r="R109" s="5">
        <f t="shared" si="26"/>
        <v>4026276.1771453437</v>
      </c>
    </row>
    <row r="110" spans="2:20" x14ac:dyDescent="0.25">
      <c r="B110" s="399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1"/>
      <c r="K110" s="1"/>
      <c r="L110" s="6">
        <f>+(((((1160000*8.8+5400)*55.97%)/15*12)/30)*I110)*E110</f>
        <v>3658521.5872</v>
      </c>
      <c r="M110" s="4">
        <v>0.08</v>
      </c>
      <c r="N110" s="5">
        <f t="shared" si="22"/>
        <v>292681.72697600001</v>
      </c>
      <c r="O110" s="5">
        <f t="shared" si="23"/>
        <v>3951203.3141759997</v>
      </c>
      <c r="P110" s="5">
        <f t="shared" si="24"/>
        <v>395120.33141759998</v>
      </c>
      <c r="Q110" s="5">
        <f t="shared" si="25"/>
        <v>75072.862969344002</v>
      </c>
      <c r="R110" s="5">
        <f t="shared" si="26"/>
        <v>4026276.1771453437</v>
      </c>
      <c r="S110" s="15"/>
    </row>
    <row r="111" spans="2:20" x14ac:dyDescent="0.25">
      <c r="B111" s="399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1"/>
      <c r="K111" s="1"/>
      <c r="L111" s="6">
        <f>+(((((1160000*8.8+5400)*55.97%)/15*12)/30)*I111)*E111</f>
        <v>3658521.5872</v>
      </c>
      <c r="M111" s="4">
        <v>0.08</v>
      </c>
      <c r="N111" s="5">
        <f t="shared" si="22"/>
        <v>292681.72697600001</v>
      </c>
      <c r="O111" s="5">
        <f t="shared" si="23"/>
        <v>3951203.3141759997</v>
      </c>
      <c r="P111" s="5">
        <f t="shared" si="24"/>
        <v>395120.33141759998</v>
      </c>
      <c r="Q111" s="5">
        <f t="shared" si="25"/>
        <v>75072.862969344002</v>
      </c>
      <c r="R111" s="5">
        <f t="shared" si="26"/>
        <v>4026276.1771453437</v>
      </c>
    </row>
    <row r="112" spans="2:20" x14ac:dyDescent="0.25">
      <c r="B112" s="399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1"/>
      <c r="K112" s="1"/>
      <c r="L112" s="6">
        <f>+(((((1160000*8.8+5400)*55.97%)/15*14)/30)*I112)*E112</f>
        <v>4268275.1850666665</v>
      </c>
      <c r="M112" s="4">
        <v>0.08</v>
      </c>
      <c r="N112" s="5">
        <f t="shared" si="22"/>
        <v>341462.01480533334</v>
      </c>
      <c r="O112" s="5">
        <f t="shared" si="23"/>
        <v>4609737.1998720001</v>
      </c>
      <c r="P112" s="5">
        <f t="shared" si="24"/>
        <v>460973.71998720005</v>
      </c>
      <c r="Q112" s="5">
        <f t="shared" si="25"/>
        <v>87585.006797568014</v>
      </c>
      <c r="R112" s="5">
        <f t="shared" si="26"/>
        <v>4697322.2066695681</v>
      </c>
      <c r="S112" s="15"/>
    </row>
    <row r="113" spans="2:19" x14ac:dyDescent="0.25">
      <c r="B113" s="399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1"/>
      <c r="K113" s="1"/>
      <c r="L113" s="3">
        <f>+(((1160000*8.8+5400)/30)*I113)*E113</f>
        <v>10213400</v>
      </c>
      <c r="M113" s="4">
        <v>0.08</v>
      </c>
      <c r="N113" s="5">
        <f t="shared" si="22"/>
        <v>817072</v>
      </c>
      <c r="O113" s="5">
        <f t="shared" si="23"/>
        <v>11030472</v>
      </c>
      <c r="P113" s="5">
        <f t="shared" si="24"/>
        <v>1103047.2</v>
      </c>
      <c r="Q113" s="5">
        <f t="shared" si="25"/>
        <v>209578.96799999999</v>
      </c>
      <c r="R113" s="5">
        <f t="shared" si="26"/>
        <v>11240050.968</v>
      </c>
    </row>
    <row r="114" spans="2:19" x14ac:dyDescent="0.25">
      <c r="B114" s="399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1"/>
      <c r="K114" s="1"/>
      <c r="L114" s="6">
        <f>+(((((1160000*8.8+5400)*55.97%)/15*8)/30)*I114)*E114</f>
        <v>2439014.3914666665</v>
      </c>
      <c r="M114" s="4">
        <v>0.08</v>
      </c>
      <c r="N114" s="5">
        <f t="shared" si="22"/>
        <v>195121.15131733331</v>
      </c>
      <c r="O114" s="5">
        <f t="shared" si="23"/>
        <v>2634135.5427839998</v>
      </c>
      <c r="P114" s="5">
        <f t="shared" si="24"/>
        <v>263413.55427839997</v>
      </c>
      <c r="Q114" s="5">
        <f t="shared" si="25"/>
        <v>50048.575312895991</v>
      </c>
      <c r="R114" s="5">
        <f t="shared" si="26"/>
        <v>2684184.118096896</v>
      </c>
    </row>
    <row r="115" spans="2:19" x14ac:dyDescent="0.25">
      <c r="B115" s="399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1"/>
      <c r="K115" s="1"/>
      <c r="L115" s="1">
        <f>+(((1160000*8.8+5400)/30)*I115)*E115</f>
        <v>10213400</v>
      </c>
      <c r="M115" s="4">
        <v>0.08</v>
      </c>
      <c r="N115" s="5">
        <f t="shared" si="22"/>
        <v>817072</v>
      </c>
      <c r="O115" s="5">
        <f t="shared" si="23"/>
        <v>11030472</v>
      </c>
      <c r="P115" s="5">
        <f t="shared" si="24"/>
        <v>1103047.2</v>
      </c>
      <c r="Q115" s="5">
        <f t="shared" si="25"/>
        <v>209578.96799999999</v>
      </c>
      <c r="R115" s="5">
        <f t="shared" si="26"/>
        <v>11240050.968</v>
      </c>
    </row>
    <row r="116" spans="2:19" x14ac:dyDescent="0.25">
      <c r="B116" s="399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1"/>
      <c r="K116" s="1"/>
      <c r="L116" s="6">
        <f>+(((((1160000*8.8+5400)*55.97%)/15*12)/30)*I116)*E116</f>
        <v>3658521.5872</v>
      </c>
      <c r="M116" s="4">
        <v>0.08</v>
      </c>
      <c r="N116" s="5">
        <f t="shared" si="22"/>
        <v>292681.72697600001</v>
      </c>
      <c r="O116" s="5">
        <f t="shared" si="23"/>
        <v>3951203.3141759997</v>
      </c>
      <c r="P116" s="5">
        <f t="shared" si="24"/>
        <v>395120.33141759998</v>
      </c>
      <c r="Q116" s="5">
        <f t="shared" si="25"/>
        <v>75072.862969344002</v>
      </c>
      <c r="R116" s="5">
        <f t="shared" si="26"/>
        <v>4026276.1771453437</v>
      </c>
      <c r="S116" s="15">
        <f>+O116-P116</f>
        <v>3556082.9827583996</v>
      </c>
    </row>
    <row r="117" spans="2:19" x14ac:dyDescent="0.25">
      <c r="B117" s="399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1"/>
      <c r="K117" s="1"/>
      <c r="L117" s="3">
        <f>+(((1160000*8.8+5400)/30)*I117)*E117</f>
        <v>10213400</v>
      </c>
      <c r="M117" s="4">
        <v>0.08</v>
      </c>
      <c r="N117" s="5">
        <f t="shared" si="22"/>
        <v>817072</v>
      </c>
      <c r="O117" s="5">
        <f t="shared" si="23"/>
        <v>11030472</v>
      </c>
      <c r="P117" s="5">
        <f t="shared" si="24"/>
        <v>1103047.2</v>
      </c>
      <c r="Q117" s="5">
        <f t="shared" si="25"/>
        <v>209578.96799999999</v>
      </c>
      <c r="R117" s="5">
        <f t="shared" si="26"/>
        <v>11240050.968</v>
      </c>
    </row>
    <row r="118" spans="2:19" x14ac:dyDescent="0.25">
      <c r="B118" s="399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1"/>
      <c r="K118" s="1"/>
      <c r="L118" s="6">
        <f>+(((((1160000*8.8+5400)*55.97%)/15*12)/30)*I118)*E118</f>
        <v>4573151.9839999992</v>
      </c>
      <c r="M118" s="4">
        <v>0.08</v>
      </c>
      <c r="N118" s="5">
        <f t="shared" si="22"/>
        <v>365852.15871999995</v>
      </c>
      <c r="O118" s="5">
        <f t="shared" si="23"/>
        <v>4939004.142719999</v>
      </c>
      <c r="P118" s="5">
        <f t="shared" si="24"/>
        <v>493900.41427199991</v>
      </c>
      <c r="Q118" s="5">
        <f t="shared" si="25"/>
        <v>93841.078711679977</v>
      </c>
      <c r="R118" s="5">
        <f t="shared" si="26"/>
        <v>5032845.2214316791</v>
      </c>
    </row>
    <row r="119" spans="2:19" x14ac:dyDescent="0.25">
      <c r="B119" s="399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1"/>
      <c r="K119" s="1"/>
      <c r="L119" s="3">
        <f>+(((1160000*8.8+5400)/30)*I119)*E119</f>
        <v>10213400</v>
      </c>
      <c r="M119" s="4">
        <v>0.08</v>
      </c>
      <c r="N119" s="5">
        <f t="shared" si="22"/>
        <v>817072</v>
      </c>
      <c r="O119" s="5">
        <f t="shared" si="23"/>
        <v>11030472</v>
      </c>
      <c r="P119" s="5">
        <f t="shared" si="24"/>
        <v>1103047.2</v>
      </c>
      <c r="Q119" s="5">
        <f t="shared" si="25"/>
        <v>209578.96799999999</v>
      </c>
      <c r="R119" s="5">
        <f t="shared" si="26"/>
        <v>11240050.968</v>
      </c>
    </row>
    <row r="120" spans="2:19" x14ac:dyDescent="0.25">
      <c r="B120" s="399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1"/>
      <c r="K120" s="1"/>
      <c r="L120" s="3">
        <f>+(((1160000*8.8+5400)/30)*I120)*E120</f>
        <v>10213400</v>
      </c>
      <c r="M120" s="4">
        <v>0.08</v>
      </c>
      <c r="N120" s="5">
        <f t="shared" si="22"/>
        <v>817072</v>
      </c>
      <c r="O120" s="5">
        <f t="shared" si="23"/>
        <v>11030472</v>
      </c>
      <c r="P120" s="5">
        <f t="shared" si="24"/>
        <v>1103047.2</v>
      </c>
      <c r="Q120" s="5">
        <f t="shared" si="25"/>
        <v>209578.96799999999</v>
      </c>
      <c r="R120" s="5">
        <f t="shared" si="26"/>
        <v>11240050.968</v>
      </c>
    </row>
    <row r="121" spans="2:19" x14ac:dyDescent="0.25">
      <c r="B121" s="399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1"/>
      <c r="K121" s="1"/>
      <c r="L121" s="3">
        <f>+(((1160000*8.8+5400)/30)*I121)*E121</f>
        <v>10213400</v>
      </c>
      <c r="M121" s="4">
        <v>0.08</v>
      </c>
      <c r="N121" s="5">
        <f t="shared" si="22"/>
        <v>817072</v>
      </c>
      <c r="O121" s="5">
        <f t="shared" si="23"/>
        <v>11030472</v>
      </c>
      <c r="P121" s="5">
        <f t="shared" si="24"/>
        <v>1103047.2</v>
      </c>
      <c r="Q121" s="5">
        <f t="shared" si="25"/>
        <v>209578.96799999999</v>
      </c>
      <c r="R121" s="5">
        <f t="shared" si="26"/>
        <v>11240050.968</v>
      </c>
      <c r="S121" s="15"/>
    </row>
    <row r="122" spans="2:19" x14ac:dyDescent="0.25">
      <c r="B122" s="399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1"/>
      <c r="K122" s="1"/>
      <c r="L122" s="3">
        <f>+(((1160000*8.8+5400)/30)*I122)*E122</f>
        <v>10213400</v>
      </c>
      <c r="M122" s="4">
        <v>0.08</v>
      </c>
      <c r="N122" s="5">
        <f t="shared" si="22"/>
        <v>817072</v>
      </c>
      <c r="O122" s="5">
        <f t="shared" si="23"/>
        <v>11030472</v>
      </c>
      <c r="P122" s="5">
        <f t="shared" si="24"/>
        <v>1103047.2</v>
      </c>
      <c r="Q122" s="5">
        <f t="shared" si="25"/>
        <v>209578.96799999999</v>
      </c>
      <c r="R122" s="5">
        <f t="shared" si="26"/>
        <v>11240050.968</v>
      </c>
    </row>
    <row r="123" spans="2:19" x14ac:dyDescent="0.25">
      <c r="B123" s="399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1"/>
      <c r="K123" s="1"/>
      <c r="L123" s="6">
        <f>+(((((1160000*8.8+5400)*55.97%)/15*12)/30)*I123)*E123</f>
        <v>4573151.9839999992</v>
      </c>
      <c r="M123" s="4">
        <v>0.08</v>
      </c>
      <c r="N123" s="5">
        <f t="shared" si="22"/>
        <v>365852.15871999995</v>
      </c>
      <c r="O123" s="5">
        <f t="shared" si="23"/>
        <v>4939004.142719999</v>
      </c>
      <c r="P123" s="5">
        <f t="shared" si="24"/>
        <v>493900.41427199991</v>
      </c>
      <c r="Q123" s="5">
        <f t="shared" si="25"/>
        <v>93841.078711679977</v>
      </c>
      <c r="R123" s="5">
        <f t="shared" si="26"/>
        <v>5032845.2214316791</v>
      </c>
      <c r="S123" s="15">
        <f>+O123-P123</f>
        <v>4445103.7284479989</v>
      </c>
    </row>
    <row r="124" spans="2:19" x14ac:dyDescent="0.25">
      <c r="B124" s="399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1"/>
      <c r="K124" s="1"/>
      <c r="L124" s="6">
        <f>+(((((1160000*8.8+5400)*55.97%)/15*12)/30)*I124)*E124</f>
        <v>4573151.9839999992</v>
      </c>
      <c r="M124" s="4">
        <v>0.08</v>
      </c>
      <c r="N124" s="5">
        <f t="shared" si="22"/>
        <v>365852.15871999995</v>
      </c>
      <c r="O124" s="5">
        <f t="shared" si="23"/>
        <v>4939004.142719999</v>
      </c>
      <c r="P124" s="5">
        <f t="shared" si="24"/>
        <v>493900.41427199991</v>
      </c>
      <c r="Q124" s="5">
        <f t="shared" si="25"/>
        <v>93841.078711679977</v>
      </c>
      <c r="R124" s="5">
        <f t="shared" si="26"/>
        <v>5032845.2214316791</v>
      </c>
    </row>
    <row r="125" spans="2:19" x14ac:dyDescent="0.25">
      <c r="B125" s="399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1"/>
      <c r="K125" s="1"/>
      <c r="L125" s="6">
        <f>+(((((1160000*8.8+5400)*55.97%)/15*12)/30)*I125)*E125</f>
        <v>4573151.9839999992</v>
      </c>
      <c r="M125" s="4">
        <v>0.08</v>
      </c>
      <c r="N125" s="5">
        <f t="shared" si="22"/>
        <v>365852.15871999995</v>
      </c>
      <c r="O125" s="5">
        <f t="shared" si="23"/>
        <v>4939004.142719999</v>
      </c>
      <c r="P125" s="5">
        <f t="shared" si="24"/>
        <v>493900.41427199991</v>
      </c>
      <c r="Q125" s="5">
        <f t="shared" si="25"/>
        <v>93841.078711679977</v>
      </c>
      <c r="R125" s="5">
        <f t="shared" si="26"/>
        <v>5032845.2214316791</v>
      </c>
    </row>
    <row r="126" spans="2:19" x14ac:dyDescent="0.25">
      <c r="B126" s="399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1"/>
      <c r="K126" s="1"/>
      <c r="L126" s="6">
        <f>+(((((1160000*8.8+5400)*55.97%)/15*12)/30)*I126)*E126</f>
        <v>4573151.9839999992</v>
      </c>
      <c r="M126" s="4">
        <v>0.08</v>
      </c>
      <c r="N126" s="5">
        <f t="shared" si="22"/>
        <v>365852.15871999995</v>
      </c>
      <c r="O126" s="5">
        <f t="shared" si="23"/>
        <v>4939004.142719999</v>
      </c>
      <c r="P126" s="5">
        <f t="shared" si="24"/>
        <v>493900.41427199991</v>
      </c>
      <c r="Q126" s="5">
        <f t="shared" si="25"/>
        <v>93841.078711679977</v>
      </c>
      <c r="R126" s="5">
        <f t="shared" si="26"/>
        <v>5032845.2214316791</v>
      </c>
    </row>
    <row r="127" spans="2:19" ht="14.25" customHeight="1" x14ac:dyDescent="0.25">
      <c r="B127" s="399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1"/>
      <c r="K127" s="1"/>
      <c r="L127" s="6">
        <f>+(((((1160000*8.8+5400)*55.97%)/15*14)/30)*I127)*E127</f>
        <v>4268275.1850666665</v>
      </c>
      <c r="M127" s="4">
        <v>0.08</v>
      </c>
      <c r="N127" s="5">
        <f t="shared" si="22"/>
        <v>341462.01480533334</v>
      </c>
      <c r="O127" s="5">
        <f t="shared" si="23"/>
        <v>4609737.1998720001</v>
      </c>
      <c r="P127" s="5">
        <f t="shared" si="24"/>
        <v>460973.71998720005</v>
      </c>
      <c r="Q127" s="5">
        <f t="shared" si="25"/>
        <v>87585.006797568014</v>
      </c>
      <c r="R127" s="5">
        <f t="shared" si="26"/>
        <v>4697322.2066695681</v>
      </c>
    </row>
    <row r="128" spans="2:19" ht="28.5" customHeight="1" x14ac:dyDescent="0.25">
      <c r="B128" s="399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1"/>
      <c r="K128" s="61"/>
      <c r="L128" s="63">
        <f>+(((((1160000*8.8+5400)*55.97%)/15*14)/30)*20)*E128+(((((1160000*8.8+5400)*55.97%)/15*8)/30)*4)</f>
        <v>3963398.3861333327</v>
      </c>
      <c r="M128" s="64">
        <v>0.08</v>
      </c>
      <c r="N128" s="65">
        <f t="shared" si="22"/>
        <v>317071.87089066661</v>
      </c>
      <c r="O128" s="65">
        <f t="shared" si="23"/>
        <v>4280470.2570239995</v>
      </c>
      <c r="P128" s="65">
        <f t="shared" si="24"/>
        <v>428047.02570239996</v>
      </c>
      <c r="Q128" s="65">
        <f t="shared" si="25"/>
        <v>81328.934883455993</v>
      </c>
      <c r="R128" s="65">
        <f t="shared" si="26"/>
        <v>4361799.1919074552</v>
      </c>
      <c r="S128" s="15">
        <f>+O128-P128</f>
        <v>3852423.2313215993</v>
      </c>
    </row>
    <row r="129" spans="2:20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2"/>
      <c r="K129" s="102"/>
      <c r="L129" s="101">
        <f>SUM(L115:L128)</f>
        <v>96036355.078399986</v>
      </c>
      <c r="M129" s="103"/>
      <c r="N129" s="101">
        <f>SUM(N108:N128)</f>
        <v>10207290.480298664</v>
      </c>
      <c r="O129" s="101">
        <f>SUM(O108:O128)</f>
        <v>137798421.48403201</v>
      </c>
      <c r="P129" s="101">
        <f>SUM(P108:P128)</f>
        <v>13779842.148403196</v>
      </c>
      <c r="Q129" s="101">
        <f>SUM(Q108:Q128)</f>
        <v>2618170.0081966082</v>
      </c>
      <c r="R129" s="101">
        <f>SUM(R108:R128)</f>
        <v>140416591.49222857</v>
      </c>
    </row>
    <row r="130" spans="2:20" ht="15" customHeight="1" x14ac:dyDescent="0.25">
      <c r="B130" s="400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1"/>
      <c r="K130" s="1"/>
      <c r="L130" s="3">
        <f>+(((1160000*8.8+5400)/30)*I130)*E130</f>
        <v>10213400</v>
      </c>
      <c r="M130" s="4">
        <v>0.08</v>
      </c>
      <c r="N130" s="5">
        <f t="shared" ref="N130:N144" si="27">L130*M130</f>
        <v>817072</v>
      </c>
      <c r="O130" s="5">
        <f t="shared" ref="O130:O144" si="28">L130+N130</f>
        <v>11030472</v>
      </c>
      <c r="P130" s="5">
        <f t="shared" ref="P130:P142" si="29">O130*10%</f>
        <v>1103047.2</v>
      </c>
      <c r="Q130" s="5">
        <f t="shared" ref="Q130:Q142" si="30">+P130*19%</f>
        <v>209578.96799999999</v>
      </c>
      <c r="R130" s="5">
        <f t="shared" ref="R130:R142" si="31">O130+Q130</f>
        <v>11240050.968</v>
      </c>
    </row>
    <row r="131" spans="2:20" x14ac:dyDescent="0.25">
      <c r="B131" s="401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1"/>
      <c r="K131" s="1"/>
      <c r="L131" s="3">
        <f>+(((1160000*8.8+5400)/30)*I131)*E131</f>
        <v>10213400</v>
      </c>
      <c r="M131" s="4">
        <v>0.08</v>
      </c>
      <c r="N131" s="5">
        <f t="shared" si="27"/>
        <v>817072</v>
      </c>
      <c r="O131" s="5">
        <f t="shared" si="28"/>
        <v>11030472</v>
      </c>
      <c r="P131" s="5">
        <f t="shared" si="29"/>
        <v>1103047.2</v>
      </c>
      <c r="Q131" s="5">
        <f t="shared" si="30"/>
        <v>209578.96799999999</v>
      </c>
      <c r="R131" s="5">
        <f t="shared" si="31"/>
        <v>11240050.968</v>
      </c>
    </row>
    <row r="132" spans="2:20" x14ac:dyDescent="0.25">
      <c r="B132" s="401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1"/>
      <c r="K132" s="1"/>
      <c r="L132" s="6">
        <f>+(((((1160000*8.8+5400)*55.97%)/15*12)/30)*I132)*E132</f>
        <v>3658521.5872</v>
      </c>
      <c r="M132" s="4">
        <v>0.08</v>
      </c>
      <c r="N132" s="5">
        <f t="shared" si="27"/>
        <v>292681.72697600001</v>
      </c>
      <c r="O132" s="5">
        <f t="shared" si="28"/>
        <v>3951203.3141759997</v>
      </c>
      <c r="P132" s="5">
        <f t="shared" si="29"/>
        <v>395120.33141759998</v>
      </c>
      <c r="Q132" s="5">
        <f t="shared" si="30"/>
        <v>75072.862969344002</v>
      </c>
      <c r="R132" s="5">
        <f t="shared" si="31"/>
        <v>4026276.1771453437</v>
      </c>
    </row>
    <row r="133" spans="2:20" x14ac:dyDescent="0.25">
      <c r="B133" s="401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1"/>
      <c r="K133" s="1"/>
      <c r="L133" s="6">
        <f>+(((((1160000*8.8+5400)*55.97%)/15*12)/30)*I133)*E133</f>
        <v>3658521.5872</v>
      </c>
      <c r="M133" s="4">
        <v>0.08</v>
      </c>
      <c r="N133" s="5">
        <f t="shared" si="27"/>
        <v>292681.72697600001</v>
      </c>
      <c r="O133" s="5">
        <f t="shared" si="28"/>
        <v>3951203.3141759997</v>
      </c>
      <c r="P133" s="5">
        <f t="shared" si="29"/>
        <v>395120.33141759998</v>
      </c>
      <c r="Q133" s="5">
        <f t="shared" si="30"/>
        <v>75072.862969344002</v>
      </c>
      <c r="R133" s="5">
        <f t="shared" si="31"/>
        <v>4026276.1771453437</v>
      </c>
    </row>
    <row r="134" spans="2:20" x14ac:dyDescent="0.25">
      <c r="B134" s="401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1"/>
      <c r="K134" s="1"/>
      <c r="L134" s="6">
        <f>+(((((1160000*8.8+5400)*55.97%)/15*12)/30)*I134)*E134</f>
        <v>3048767.989333333</v>
      </c>
      <c r="M134" s="4">
        <v>0.08</v>
      </c>
      <c r="N134" s="5">
        <f t="shared" si="27"/>
        <v>243901.43914666664</v>
      </c>
      <c r="O134" s="5">
        <f t="shared" si="28"/>
        <v>3292669.4284799998</v>
      </c>
      <c r="P134" s="5">
        <f t="shared" si="29"/>
        <v>329266.94284799998</v>
      </c>
      <c r="Q134" s="5">
        <f t="shared" si="30"/>
        <v>62560.719141119996</v>
      </c>
      <c r="R134" s="5">
        <f t="shared" si="31"/>
        <v>3355230.1476211199</v>
      </c>
      <c r="S134" s="15">
        <f>+O134-P134</f>
        <v>2963402.4856319996</v>
      </c>
      <c r="T134" s="15"/>
    </row>
    <row r="135" spans="2:20" x14ac:dyDescent="0.25">
      <c r="B135" s="401"/>
      <c r="C135" s="403" t="s">
        <v>14</v>
      </c>
      <c r="D135" s="394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21"/>
      <c r="K135" s="21"/>
      <c r="L135" s="30">
        <f>+(((1160000*8.8+5400)/30)*I135)*E135</f>
        <v>10213400</v>
      </c>
      <c r="M135" s="26">
        <v>0.08</v>
      </c>
      <c r="N135" s="27">
        <f t="shared" si="27"/>
        <v>817072</v>
      </c>
      <c r="O135" s="27">
        <f t="shared" si="28"/>
        <v>11030472</v>
      </c>
      <c r="P135" s="27">
        <f t="shared" si="29"/>
        <v>1103047.2</v>
      </c>
      <c r="Q135" s="27">
        <f t="shared" si="30"/>
        <v>209578.96799999999</v>
      </c>
      <c r="R135" s="27">
        <f t="shared" si="31"/>
        <v>11240050.968</v>
      </c>
    </row>
    <row r="136" spans="2:20" x14ac:dyDescent="0.25">
      <c r="B136" s="401"/>
      <c r="C136" s="403"/>
      <c r="D136" s="395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1"/>
      <c r="K136" s="21"/>
      <c r="L136" s="25">
        <f>+(((((1160000*8.8+5400)*55.97%)/15*12)/30)*I136)*E136</f>
        <v>3048767.989333333</v>
      </c>
      <c r="M136" s="26">
        <v>0.08</v>
      </c>
      <c r="N136" s="27">
        <f t="shared" si="27"/>
        <v>243901.43914666664</v>
      </c>
      <c r="O136" s="27">
        <f t="shared" si="28"/>
        <v>3292669.4284799998</v>
      </c>
      <c r="P136" s="27">
        <f t="shared" si="29"/>
        <v>329266.94284799998</v>
      </c>
      <c r="Q136" s="27">
        <f t="shared" si="30"/>
        <v>62560.719141119996</v>
      </c>
      <c r="R136" s="27">
        <f t="shared" si="31"/>
        <v>3355230.1476211199</v>
      </c>
    </row>
    <row r="137" spans="2:20" x14ac:dyDescent="0.25">
      <c r="B137" s="401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21"/>
      <c r="K137" s="21"/>
      <c r="L137" s="30">
        <f>+(((1160000*8.8+5400)/30)*I137)*E137</f>
        <v>10213400</v>
      </c>
      <c r="M137" s="26">
        <v>0.08</v>
      </c>
      <c r="N137" s="27">
        <f t="shared" si="27"/>
        <v>817072</v>
      </c>
      <c r="O137" s="27">
        <f t="shared" si="28"/>
        <v>11030472</v>
      </c>
      <c r="P137" s="27">
        <f t="shared" si="29"/>
        <v>1103047.2</v>
      </c>
      <c r="Q137" s="27">
        <f t="shared" si="30"/>
        <v>209578.96799999999</v>
      </c>
      <c r="R137" s="27">
        <f t="shared" si="31"/>
        <v>11240050.968</v>
      </c>
      <c r="S137" s="15"/>
      <c r="T137" s="15"/>
    </row>
    <row r="138" spans="2:20" x14ac:dyDescent="0.25">
      <c r="B138" s="401"/>
      <c r="C138" s="68" t="s">
        <v>14</v>
      </c>
      <c r="D138" s="394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21"/>
      <c r="K138" s="21"/>
      <c r="L138" s="30">
        <f>+(((1160000*8.8+5400)/30)*I138)*E138</f>
        <v>10213400</v>
      </c>
      <c r="M138" s="26">
        <v>0.08</v>
      </c>
      <c r="N138" s="27">
        <f t="shared" si="27"/>
        <v>817072</v>
      </c>
      <c r="O138" s="27">
        <f t="shared" si="28"/>
        <v>11030472</v>
      </c>
      <c r="P138" s="27">
        <f t="shared" si="29"/>
        <v>1103047.2</v>
      </c>
      <c r="Q138" s="27">
        <f t="shared" si="30"/>
        <v>209578.96799999999</v>
      </c>
      <c r="R138" s="27">
        <f t="shared" si="31"/>
        <v>11240050.968</v>
      </c>
    </row>
    <row r="139" spans="2:20" x14ac:dyDescent="0.25">
      <c r="B139" s="401"/>
      <c r="C139" s="68" t="s">
        <v>14</v>
      </c>
      <c r="D139" s="395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1"/>
      <c r="K139" s="21"/>
      <c r="L139" s="25">
        <f>+(((((1160000*8.8+5400)*55.97%)/15*12)/30)*I139)*E139</f>
        <v>3048767.989333333</v>
      </c>
      <c r="M139" s="26">
        <v>0.08</v>
      </c>
      <c r="N139" s="27">
        <f t="shared" si="27"/>
        <v>243901.43914666664</v>
      </c>
      <c r="O139" s="27">
        <f t="shared" si="28"/>
        <v>3292669.4284799998</v>
      </c>
      <c r="P139" s="27">
        <f t="shared" si="29"/>
        <v>329266.94284799998</v>
      </c>
      <c r="Q139" s="27">
        <f t="shared" si="30"/>
        <v>62560.719141119996</v>
      </c>
      <c r="R139" s="27">
        <f t="shared" si="31"/>
        <v>3355230.1476211199</v>
      </c>
    </row>
    <row r="140" spans="2:20" x14ac:dyDescent="0.25">
      <c r="B140" s="401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21"/>
      <c r="K140" s="21"/>
      <c r="L140" s="30">
        <f>+(((1160000*8.8+5400)/30)*I140)*E140</f>
        <v>10213400</v>
      </c>
      <c r="M140" s="26">
        <v>0.08</v>
      </c>
      <c r="N140" s="27">
        <f t="shared" si="27"/>
        <v>817072</v>
      </c>
      <c r="O140" s="27">
        <f t="shared" si="28"/>
        <v>11030472</v>
      </c>
      <c r="P140" s="27">
        <f t="shared" si="29"/>
        <v>1103047.2</v>
      </c>
      <c r="Q140" s="27">
        <f t="shared" si="30"/>
        <v>209578.96799999999</v>
      </c>
      <c r="R140" s="27">
        <f t="shared" si="31"/>
        <v>11240050.968</v>
      </c>
      <c r="S140" s="15">
        <f>+O140-P140</f>
        <v>9927424.8000000007</v>
      </c>
      <c r="T140" s="15"/>
    </row>
    <row r="141" spans="2:20" x14ac:dyDescent="0.25">
      <c r="B141" s="401"/>
      <c r="C141" s="68" t="s">
        <v>14</v>
      </c>
      <c r="D141" s="394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1"/>
      <c r="K141" s="1"/>
      <c r="L141" s="3">
        <f>+(((1160000*8.8+5400)/30)*I141)*E141</f>
        <v>10213400</v>
      </c>
      <c r="M141" s="4">
        <v>0.08</v>
      </c>
      <c r="N141" s="5">
        <f t="shared" si="27"/>
        <v>817072</v>
      </c>
      <c r="O141" s="5">
        <f t="shared" si="28"/>
        <v>11030472</v>
      </c>
      <c r="P141" s="5">
        <f t="shared" si="29"/>
        <v>1103047.2</v>
      </c>
      <c r="Q141" s="5">
        <f t="shared" si="30"/>
        <v>209578.96799999999</v>
      </c>
      <c r="R141" s="5">
        <f t="shared" si="31"/>
        <v>11240050.968</v>
      </c>
    </row>
    <row r="142" spans="2:20" x14ac:dyDescent="0.25">
      <c r="B142" s="401"/>
      <c r="C142" s="68" t="s">
        <v>14</v>
      </c>
      <c r="D142" s="395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1"/>
      <c r="K142" s="1"/>
      <c r="L142" s="6">
        <f>+(((((1160000*8.8+5400)*55.97%)/15*12)/30)*I142)*E142</f>
        <v>3658521.5872</v>
      </c>
      <c r="M142" s="4">
        <v>0.08</v>
      </c>
      <c r="N142" s="5">
        <f t="shared" si="27"/>
        <v>292681.72697600001</v>
      </c>
      <c r="O142" s="5">
        <f t="shared" si="28"/>
        <v>3951203.3141759997</v>
      </c>
      <c r="P142" s="5">
        <f t="shared" si="29"/>
        <v>395120.33141759998</v>
      </c>
      <c r="Q142" s="5">
        <f t="shared" si="30"/>
        <v>75072.862969344002</v>
      </c>
      <c r="R142" s="5">
        <f t="shared" si="31"/>
        <v>4026276.1771453437</v>
      </c>
    </row>
    <row r="143" spans="2:20" x14ac:dyDescent="0.25">
      <c r="B143" s="401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1"/>
      <c r="K143" s="1"/>
      <c r="L143" s="3">
        <f>+(((1160000*8.8+5400)/30)*I143)*E143</f>
        <v>10213400</v>
      </c>
      <c r="M143" s="4">
        <v>0.1</v>
      </c>
      <c r="N143" s="5">
        <f t="shared" si="27"/>
        <v>1021340</v>
      </c>
      <c r="O143" s="5">
        <f t="shared" si="28"/>
        <v>11234740</v>
      </c>
      <c r="P143" s="5">
        <f>O143*10%</f>
        <v>1123474</v>
      </c>
      <c r="Q143" s="5">
        <f>+P143*19%</f>
        <v>213460.06</v>
      </c>
      <c r="R143" s="5">
        <f>O143+Q143</f>
        <v>11448200.060000001</v>
      </c>
      <c r="S143" s="15">
        <f>+O143-P143</f>
        <v>10111266</v>
      </c>
      <c r="T143" s="15"/>
    </row>
    <row r="144" spans="2:20" x14ac:dyDescent="0.25">
      <c r="B144" s="402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1"/>
      <c r="K144" s="21"/>
      <c r="L144" s="22">
        <f>+(((((1160000*8.8+5400)*55.97%)/15*12)/30)*I144)*E144</f>
        <v>3048767.989333333</v>
      </c>
      <c r="M144" s="23">
        <v>0.08</v>
      </c>
      <c r="N144" s="24">
        <f t="shared" si="27"/>
        <v>243901.43914666664</v>
      </c>
      <c r="O144" s="24">
        <f t="shared" si="28"/>
        <v>3292669.4284799998</v>
      </c>
      <c r="P144" s="24">
        <f>O144*10%</f>
        <v>329266.94284799998</v>
      </c>
      <c r="Q144" s="24">
        <f>+P144*19%</f>
        <v>62560.719141119996</v>
      </c>
      <c r="R144" s="24">
        <f>O144+Q144</f>
        <v>3355230.1476211199</v>
      </c>
      <c r="S144" s="15">
        <f>+O144-P144</f>
        <v>2963402.4856319996</v>
      </c>
    </row>
    <row r="145" spans="2:19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2"/>
      <c r="K145" s="102"/>
      <c r="L145" s="101">
        <f>SUM(L130:L144)</f>
        <v>104877836.71893333</v>
      </c>
      <c r="M145" s="103"/>
      <c r="N145" s="101">
        <f>SUM(N130:N144)</f>
        <v>8594494.9375146665</v>
      </c>
      <c r="O145" s="101">
        <f>SUM(O130:O144)</f>
        <v>113472331.65644799</v>
      </c>
      <c r="P145" s="101">
        <f>SUM(P130:P144)</f>
        <v>11347233.1656448</v>
      </c>
      <c r="Q145" s="101">
        <f>SUM(Q130:Q144)</f>
        <v>2155974.3014725121</v>
      </c>
      <c r="R145" s="101">
        <f>SUM(R130:R144)</f>
        <v>115628305.95792052</v>
      </c>
    </row>
    <row r="146" spans="2:19" x14ac:dyDescent="0.25">
      <c r="B146" s="392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2">+((((((1160000*8.8+5400)*55.97%)/15*3)/30)*I146))+((((((1160000*8.8+5400)*44.03%)/9*9)/30*I146)))</f>
        <v>1316057.8704000001</v>
      </c>
      <c r="K146" s="21"/>
      <c r="L146" s="25">
        <f t="shared" ref="L146:L151" si="33">+((((((1160000*8.8+5400)*55.97%)/15*3)/30)*I146))+((((((1160000*8.8+5400)*44.03%)/9*9)/30*I146)))</f>
        <v>1316057.8704000001</v>
      </c>
      <c r="M146" s="26">
        <v>0.08</v>
      </c>
      <c r="N146" s="27">
        <f t="shared" ref="N146:N152" si="34">L146*M146</f>
        <v>105284.62963200001</v>
      </c>
      <c r="O146" s="27">
        <f t="shared" ref="O146:O152" si="35">L146+N146</f>
        <v>1421342.5000320002</v>
      </c>
      <c r="P146" s="27">
        <f>O146*10%</f>
        <v>142134.25000320002</v>
      </c>
      <c r="Q146" s="27">
        <f>+P146*19%</f>
        <v>27005.507500608004</v>
      </c>
      <c r="R146" s="27">
        <f>O146+Q146</f>
        <v>1448348.0075326082</v>
      </c>
      <c r="S146" s="15">
        <f>+O146-P146</f>
        <v>1279208.2500288002</v>
      </c>
    </row>
    <row r="147" spans="2:19" x14ac:dyDescent="0.25">
      <c r="B147" s="392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2"/>
        <v>2820124.0080000004</v>
      </c>
      <c r="K147" s="21"/>
      <c r="L147" s="25">
        <f t="shared" si="33"/>
        <v>2820124.0080000004</v>
      </c>
      <c r="M147" s="26">
        <v>0.08</v>
      </c>
      <c r="N147" s="27">
        <f t="shared" si="34"/>
        <v>225609.92064000003</v>
      </c>
      <c r="O147" s="27">
        <f t="shared" si="35"/>
        <v>3045733.9286400005</v>
      </c>
      <c r="P147" s="27">
        <f t="shared" ref="P147:P152" si="36">O147*10%</f>
        <v>304573.39286400005</v>
      </c>
      <c r="Q147" s="27">
        <f t="shared" ref="Q147:Q152" si="37">+P147*19%</f>
        <v>57868.944644160008</v>
      </c>
      <c r="R147" s="27">
        <f t="shared" ref="R147:R152" si="38">O147+Q147</f>
        <v>3103602.8732841606</v>
      </c>
    </row>
    <row r="148" spans="2:19" x14ac:dyDescent="0.25">
      <c r="B148" s="392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2"/>
        <v>3948173.6112000002</v>
      </c>
      <c r="K148" s="21"/>
      <c r="L148" s="25">
        <f t="shared" si="33"/>
        <v>3948173.6112000002</v>
      </c>
      <c r="M148" s="26">
        <v>0.08</v>
      </c>
      <c r="N148" s="27">
        <f t="shared" si="34"/>
        <v>315853.88889600005</v>
      </c>
      <c r="O148" s="27">
        <f t="shared" si="35"/>
        <v>4264027.5000959998</v>
      </c>
      <c r="P148" s="27">
        <f t="shared" si="36"/>
        <v>426402.75000960001</v>
      </c>
      <c r="Q148" s="27">
        <f t="shared" si="37"/>
        <v>81016.522501824002</v>
      </c>
      <c r="R148" s="27">
        <f t="shared" si="38"/>
        <v>4345044.0225978242</v>
      </c>
    </row>
    <row r="149" spans="2:19" x14ac:dyDescent="0.25">
      <c r="B149" s="392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2"/>
        <v>3948173.6112000002</v>
      </c>
      <c r="K149" s="21"/>
      <c r="L149" s="25">
        <f t="shared" si="33"/>
        <v>3948173.6112000002</v>
      </c>
      <c r="M149" s="26">
        <v>0.08</v>
      </c>
      <c r="N149" s="27">
        <f t="shared" si="34"/>
        <v>315853.88889600005</v>
      </c>
      <c r="O149" s="27">
        <f t="shared" si="35"/>
        <v>4264027.5000959998</v>
      </c>
      <c r="P149" s="27">
        <f t="shared" si="36"/>
        <v>426402.75000960001</v>
      </c>
      <c r="Q149" s="27">
        <f t="shared" si="37"/>
        <v>81016.522501824002</v>
      </c>
      <c r="R149" s="27">
        <f t="shared" si="38"/>
        <v>4345044.0225978242</v>
      </c>
    </row>
    <row r="150" spans="2:19" x14ac:dyDescent="0.25">
      <c r="B150" s="392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2"/>
        <v>188008.2672</v>
      </c>
      <c r="K150" s="21"/>
      <c r="L150" s="25">
        <f t="shared" si="33"/>
        <v>188008.2672</v>
      </c>
      <c r="M150" s="26">
        <v>0.08</v>
      </c>
      <c r="N150" s="27">
        <f t="shared" si="34"/>
        <v>15040.661376</v>
      </c>
      <c r="O150" s="27">
        <f t="shared" si="35"/>
        <v>203048.92857600001</v>
      </c>
      <c r="P150" s="27">
        <f t="shared" si="36"/>
        <v>20304.892857600003</v>
      </c>
      <c r="Q150" s="27">
        <f t="shared" si="37"/>
        <v>3857.9296429440005</v>
      </c>
      <c r="R150" s="27">
        <f t="shared" si="38"/>
        <v>206906.85821894402</v>
      </c>
    </row>
    <row r="151" spans="2:19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2"/>
        <v>188008.2672</v>
      </c>
      <c r="K151" s="21"/>
      <c r="L151" s="25">
        <f t="shared" si="33"/>
        <v>188008.2672</v>
      </c>
      <c r="M151" s="26">
        <v>0.08</v>
      </c>
      <c r="N151" s="27">
        <f t="shared" si="34"/>
        <v>15040.661376</v>
      </c>
      <c r="O151" s="27">
        <f t="shared" si="35"/>
        <v>203048.92857600001</v>
      </c>
      <c r="P151" s="27">
        <f t="shared" si="36"/>
        <v>20304.892857600003</v>
      </c>
      <c r="Q151" s="27">
        <f t="shared" si="37"/>
        <v>3857.9296429440005</v>
      </c>
      <c r="R151" s="27">
        <f t="shared" si="38"/>
        <v>206906.85821894402</v>
      </c>
    </row>
    <row r="152" spans="2:19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21"/>
      <c r="K152" s="21"/>
      <c r="L152" s="30">
        <f>+(((1160000*8.8+5400)/30)*I152)*E152</f>
        <v>340446.66666666669</v>
      </c>
      <c r="M152" s="26">
        <v>0.08</v>
      </c>
      <c r="N152" s="27">
        <f t="shared" si="34"/>
        <v>27235.733333333337</v>
      </c>
      <c r="O152" s="27">
        <f t="shared" si="35"/>
        <v>367682.4</v>
      </c>
      <c r="P152" s="27">
        <f t="shared" si="36"/>
        <v>36768.240000000005</v>
      </c>
      <c r="Q152" s="27">
        <f t="shared" si="37"/>
        <v>6985.9656000000014</v>
      </c>
      <c r="R152" s="27">
        <f t="shared" si="38"/>
        <v>374668.36560000002</v>
      </c>
    </row>
    <row r="153" spans="2:19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2"/>
      <c r="K153" s="102"/>
      <c r="L153" s="101">
        <f>SUM(L146:L152)</f>
        <v>12748992.301866667</v>
      </c>
      <c r="M153" s="101"/>
      <c r="N153" s="101">
        <f t="shared" ref="N153:R153" si="39">SUM(N146:N152)</f>
        <v>1019919.3841493337</v>
      </c>
      <c r="O153" s="101">
        <f t="shared" si="39"/>
        <v>13768911.686016003</v>
      </c>
      <c r="P153" s="101">
        <f t="shared" si="39"/>
        <v>1376891.1686016002</v>
      </c>
      <c r="Q153" s="101">
        <f t="shared" si="39"/>
        <v>261609.32203430403</v>
      </c>
      <c r="R153" s="101">
        <f t="shared" si="39"/>
        <v>14030521.008050302</v>
      </c>
      <c r="S153" s="15"/>
    </row>
    <row r="154" spans="2:19" x14ac:dyDescent="0.25">
      <c r="L154" s="15"/>
      <c r="M154" s="15"/>
      <c r="N154" s="15"/>
      <c r="O154" s="15"/>
      <c r="P154" s="15"/>
      <c r="Q154" s="15"/>
      <c r="R154" s="15"/>
      <c r="S154" s="81"/>
    </row>
    <row r="155" spans="2:19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2"/>
      <c r="K155" s="102"/>
      <c r="L155" s="101">
        <f>+L153+L145+L129+L107+L42</f>
        <v>835836712.13759995</v>
      </c>
      <c r="M155" s="101"/>
      <c r="N155" s="101">
        <f>+N153+N145+N129+N107+N42</f>
        <v>79754101.595221341</v>
      </c>
      <c r="O155" s="101">
        <f>+O153+O145+O129+O107+O42</f>
        <v>1074127021.5354879</v>
      </c>
      <c r="P155" s="101">
        <f>+P153+P145+P129+P107+P42</f>
        <v>107412702.15354881</v>
      </c>
      <c r="Q155" s="101">
        <f>+Q153+Q145+Q129+Q107+Q42</f>
        <v>20408413.409174278</v>
      </c>
      <c r="R155" s="101">
        <f>+R153+R145+R129+R107+R42</f>
        <v>1094535434.9446621</v>
      </c>
    </row>
    <row r="156" spans="2:19" ht="15" hidden="1" customHeight="1" x14ac:dyDescent="0.25">
      <c r="O156">
        <v>943022255</v>
      </c>
      <c r="R156" s="15"/>
    </row>
    <row r="157" spans="2:19" ht="15" hidden="1" customHeight="1" x14ac:dyDescent="0.25">
      <c r="L157" s="16"/>
      <c r="N157" s="16"/>
      <c r="O157" s="16">
        <f>+O155-O156</f>
        <v>131104766.53548789</v>
      </c>
      <c r="P157" s="16">
        <f>+O155-P155</f>
        <v>966714319.38193905</v>
      </c>
      <c r="Q157" s="16"/>
      <c r="R157" s="16"/>
      <c r="S157" s="17"/>
    </row>
    <row r="158" spans="2:19" ht="11.25" hidden="1" customHeight="1" x14ac:dyDescent="0.25">
      <c r="L158" s="16"/>
      <c r="N158" s="16"/>
      <c r="O158" s="16"/>
      <c r="P158" s="16"/>
      <c r="Q158" s="16"/>
      <c r="R158" s="16"/>
      <c r="S158" s="17"/>
    </row>
    <row r="159" spans="2:19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K159" s="16"/>
      <c r="L159" s="16"/>
      <c r="N159" s="16"/>
      <c r="O159" s="16">
        <f>SUMIF($F$8:$F$142,$F$159,O8:O142)</f>
        <v>71121659.655167997</v>
      </c>
      <c r="P159" s="16">
        <f>SUMIF($F$8:$F$142,$F$159,P8:P142)</f>
        <v>7112165.9655167982</v>
      </c>
      <c r="Q159" s="16">
        <f>SUMIF($F$8:$F$142,$F$159,Q8:Q142)</f>
        <v>1351311.5334481921</v>
      </c>
      <c r="R159" s="16">
        <f>SUMIF($F$8:$F$142,$F$159,R8:R142)</f>
        <v>72472971.188616216</v>
      </c>
      <c r="S159" s="28"/>
    </row>
    <row r="160" spans="2:19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K160" s="16"/>
      <c r="L160" s="16"/>
      <c r="N160" s="16"/>
      <c r="O160" s="16">
        <f>SUMIF($F$8:$F$142,$F$160,O8:O142)</f>
        <v>22884052.527935997</v>
      </c>
      <c r="P160" s="16">
        <f>SUMIF($F$8:$F$142,$F$160,P8:P142)</f>
        <v>2288405.2527935999</v>
      </c>
      <c r="Q160" s="16">
        <f>SUMIF($F$8:$F$142,$F$160,Q8:Q142)</f>
        <v>434796.99803078396</v>
      </c>
      <c r="R160" s="16">
        <f>SUMIF($F$8:$F$142,$F$160,R8:R142)</f>
        <v>23318849.525966782</v>
      </c>
      <c r="S160" s="28"/>
    </row>
    <row r="161" spans="6:19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K161" s="16"/>
      <c r="L161" s="16"/>
      <c r="N161" s="16"/>
      <c r="O161" s="16">
        <f>SUMIF($F$8:$F$142,$F$161,O8:O142)</f>
        <v>772133040</v>
      </c>
      <c r="P161" s="16">
        <f>SUMIF($F$8:$F$142,$F$161,P8:P142)</f>
        <v>77213304.000000089</v>
      </c>
      <c r="Q161" s="16">
        <f>SUMIF($F$8:$F$142,$F$161,Q8:Q142)</f>
        <v>14670527.760000015</v>
      </c>
      <c r="R161" s="16">
        <f>SUMIF($F$8:$F$142,$F$161,R8:R142)</f>
        <v>786803567.76000094</v>
      </c>
      <c r="S161" s="28"/>
    </row>
    <row r="162" spans="6:19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K162" s="16"/>
      <c r="L162" s="16"/>
      <c r="N162" s="16"/>
      <c r="O162" s="16">
        <f>SUMIF($F$8:$F$142,$F$162,O8:O142)</f>
        <v>0</v>
      </c>
      <c r="P162" s="16">
        <f>SUMIF($F$8:$F$142,$F$162,P8:P142)</f>
        <v>0</v>
      </c>
      <c r="Q162" s="16">
        <f>SUMIF($F$8:$F$142,$F$162,Q8:Q142)</f>
        <v>0</v>
      </c>
      <c r="R162" s="16">
        <f>SUMIF($F$8:$F$142,$F$162,R8:R142)</f>
        <v>0</v>
      </c>
      <c r="S162" s="28"/>
    </row>
    <row r="163" spans="6:19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K163" s="16"/>
      <c r="L163" s="16"/>
      <c r="N163" s="16"/>
      <c r="O163" s="16">
        <f>SUMIF($F$8:$F$142,$F$163,O8:O142)</f>
        <v>0</v>
      </c>
      <c r="P163" s="16">
        <f>SUMIF($F$8:$F$142,$F$163,P8:P142)</f>
        <v>0</v>
      </c>
      <c r="Q163" s="16">
        <f>SUMIF($F$8:$F$142,$F$163,Q8:Q142)</f>
        <v>0</v>
      </c>
      <c r="R163" s="16">
        <f>SUMIF($F$8:$F$142,$F$163,R8:R142)</f>
        <v>0</v>
      </c>
      <c r="S163" s="28"/>
    </row>
    <row r="164" spans="6:19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K164" s="16"/>
      <c r="L164" s="16"/>
      <c r="N164" s="16"/>
      <c r="O164" s="16">
        <f>SUMIF($F$8:$F$142,$F$164,O8:O142)</f>
        <v>123475103.56799997</v>
      </c>
      <c r="P164" s="16">
        <f>SUMIF($F$8:$F$142,$F$164,P8:P142)</f>
        <v>12347510.356799994</v>
      </c>
      <c r="Q164" s="16">
        <f>SUMIF($F$8:$F$142,$F$164,Q8:Q142)</f>
        <v>2346026.9677919992</v>
      </c>
      <c r="R164" s="16">
        <f>SUMIF($F$8:$F$142,$F$164,R8:R142)</f>
        <v>125821130.5357919</v>
      </c>
      <c r="S164" s="28"/>
    </row>
    <row r="165" spans="6:19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K165" s="16"/>
      <c r="L165" s="16"/>
      <c r="N165" s="16"/>
      <c r="O165" s="16">
        <f>SUMIF($F$8:$F$142,$F$165,O8:O142)</f>
        <v>17286514.49952</v>
      </c>
      <c r="P165" s="16">
        <f>SUMIF($F$8:$F$142,$F$165,P8:P142)</f>
        <v>1728651.4499520001</v>
      </c>
      <c r="Q165" s="16">
        <f>SUMIF($F$8:$F$142,$F$165,Q8:Q142)</f>
        <v>328443.77549088001</v>
      </c>
      <c r="R165" s="16">
        <f>SUMIF($F$8:$F$142,$F$165,R8:R142)</f>
        <v>17614958.275010876</v>
      </c>
      <c r="S165" s="28"/>
    </row>
    <row r="166" spans="6:19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K166" s="16"/>
      <c r="L166" s="16"/>
      <c r="N166" s="16"/>
      <c r="O166" s="16">
        <f>SUMIF($F$8:$F$142,$F$166,O8:O142)</f>
        <v>23048685.999360003</v>
      </c>
      <c r="P166" s="16">
        <f>SUMIF($F$8:$F$142,$F$166,P8:P142)</f>
        <v>2304868.5999360001</v>
      </c>
      <c r="Q166" s="16">
        <f>SUMIF($F$8:$F$142,$F$166,Q8:Q142)</f>
        <v>437925.03398784006</v>
      </c>
      <c r="R166" s="16">
        <f>SUMIF($F$8:$F$142,$F$166,R8:R142)</f>
        <v>23486611.033347841</v>
      </c>
      <c r="S166" s="28"/>
    </row>
    <row r="167" spans="6:19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16"/>
      <c r="K167" s="16"/>
      <c r="L167" s="57"/>
      <c r="N167" s="16"/>
      <c r="O167" s="16">
        <f>SUMIF($F$8:$F$142,$F$167,O8:O142)</f>
        <v>4280470.2570239995</v>
      </c>
      <c r="P167" s="16">
        <f>SUMIF($F$8:$F$142,$F$167,P8:P142)</f>
        <v>428047.02570239996</v>
      </c>
      <c r="Q167" s="16">
        <f>SUMIF($F$8:$F$142,$F$167,Q8:Q142)</f>
        <v>81328.934883455993</v>
      </c>
      <c r="R167" s="16">
        <f>SUMIF($F$8:$F$142,$F$167,R8:R142)</f>
        <v>4361799.1919074552</v>
      </c>
      <c r="S167" s="28"/>
    </row>
    <row r="168" spans="6:19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6"/>
      <c r="L168" s="16"/>
      <c r="M168" s="17"/>
      <c r="N168" s="16"/>
      <c r="O168" s="16">
        <f>SUMIF($F$8:$F$142,$F$168,O8:O142)</f>
        <v>7902406.6283519994</v>
      </c>
      <c r="P168" s="16">
        <f>SUMIF($F$8:$F$142,$F$168,P8:P142)</f>
        <v>790240.66283519985</v>
      </c>
      <c r="Q168" s="16">
        <f>SUMIF($F$8:$F$142,$F$168,Q8:Q142)</f>
        <v>150145.72593868797</v>
      </c>
      <c r="R168" s="16">
        <f>SUMIF($F$8:$F$142,$F$168,R8:R142)</f>
        <v>8052552.3542906884</v>
      </c>
      <c r="S168" s="28"/>
    </row>
    <row r="169" spans="6:19" ht="15" hidden="1" customHeight="1" x14ac:dyDescent="0.25">
      <c r="F169" t="s">
        <v>78</v>
      </c>
      <c r="I169" s="16" t="e">
        <f>SUMIF($F$8:$F$142,$F$169,#REF!)</f>
        <v>#REF!</v>
      </c>
      <c r="J169" s="16"/>
      <c r="K169" s="16"/>
      <c r="L169" s="16"/>
      <c r="N169" s="16"/>
      <c r="O169" s="16">
        <f>SUMIF($F$8:$F$142,$F$169,O8:O142)</f>
        <v>0</v>
      </c>
      <c r="P169" s="16">
        <f>SUMIF($F$8:$F$142,$F$169,P8:P142)</f>
        <v>0</v>
      </c>
      <c r="Q169" s="16">
        <f>SUMIF($F$8:$F$142,$F$169,Q8:Q142)</f>
        <v>0</v>
      </c>
      <c r="R169" s="16">
        <f>SUMIF($F$8:$F$142,$F$169,R8:R142)</f>
        <v>0</v>
      </c>
      <c r="S169" s="28"/>
    </row>
    <row r="170" spans="6:19" ht="18.75" hidden="1" customHeight="1" x14ac:dyDescent="0.25">
      <c r="I170" s="17" t="e">
        <f>SUM(I159:I169)</f>
        <v>#REF!</v>
      </c>
      <c r="J170" s="17"/>
      <c r="K170" s="17"/>
      <c r="L170" s="17"/>
      <c r="N170" s="17"/>
      <c r="O170" s="17">
        <f t="shared" ref="O170:R170" si="40">SUM(O157:O169)</f>
        <v>1173236699.6708481</v>
      </c>
      <c r="P170" s="17">
        <f t="shared" si="40"/>
        <v>1070927512.6954751</v>
      </c>
      <c r="Q170" s="17">
        <f t="shared" si="40"/>
        <v>19800506.729571857</v>
      </c>
      <c r="R170" s="17">
        <f t="shared" si="40"/>
        <v>1061932439.8649327</v>
      </c>
    </row>
    <row r="171" spans="6:19" ht="15" hidden="1" customHeight="1" x14ac:dyDescent="0.25">
      <c r="L171" s="17"/>
      <c r="M171" s="19"/>
      <c r="N171" s="17"/>
      <c r="O171" s="17"/>
      <c r="P171" s="17"/>
      <c r="Q171" s="17"/>
      <c r="R171" s="17"/>
    </row>
    <row r="172" spans="6:19" ht="15" hidden="1" customHeight="1" x14ac:dyDescent="0.25"/>
    <row r="173" spans="6:19" ht="15" hidden="1" customHeight="1" x14ac:dyDescent="0.25">
      <c r="F173" t="e">
        <f>+#REF!</f>
        <v>#REF!</v>
      </c>
      <c r="I173">
        <v>3</v>
      </c>
      <c r="L173" s="58"/>
      <c r="N173" s="58"/>
      <c r="O173" s="58" t="e">
        <f>+#REF!+#REF!</f>
        <v>#REF!</v>
      </c>
      <c r="P173" s="58" t="e">
        <f>+#REF!+#REF!</f>
        <v>#REF!</v>
      </c>
      <c r="Q173" s="58" t="e">
        <f>+#REF!+#REF!</f>
        <v>#REF!</v>
      </c>
      <c r="R173" s="58" t="e">
        <f>+#REF!+#REF!</f>
        <v>#REF!</v>
      </c>
    </row>
    <row r="174" spans="6:19" ht="15" hidden="1" customHeight="1" x14ac:dyDescent="0.25">
      <c r="F174" t="str">
        <f>+F128</f>
        <v>SERVICIO 14 HORAS LUNES A VIERNES Y SABADO DE 8:00 A 4:00 PM SIN ARMA</v>
      </c>
      <c r="I174">
        <v>1</v>
      </c>
      <c r="L174" s="28"/>
      <c r="N174" s="28"/>
      <c r="O174" s="28">
        <f>+O128</f>
        <v>4280470.2570239995</v>
      </c>
      <c r="P174" s="28">
        <f>+P128</f>
        <v>428047.02570239996</v>
      </c>
      <c r="Q174" s="28">
        <f>+Q128</f>
        <v>81328.934883455993</v>
      </c>
      <c r="R174" s="28">
        <f>+R128</f>
        <v>4361799.1919074552</v>
      </c>
    </row>
    <row r="175" spans="6:19" ht="15" hidden="1" customHeight="1" x14ac:dyDescent="0.25">
      <c r="F175" t="e">
        <f>+#REF!</f>
        <v>#REF!</v>
      </c>
    </row>
    <row r="176" spans="6:19" x14ac:dyDescent="0.25">
      <c r="P176" s="16"/>
    </row>
    <row r="177" spans="5:24" ht="15" hidden="1" customHeight="1" x14ac:dyDescent="0.25">
      <c r="E177" s="67" t="s">
        <v>87</v>
      </c>
      <c r="F177" s="67"/>
      <c r="G177" s="67"/>
      <c r="H177" s="67"/>
      <c r="I177" s="67"/>
      <c r="J177" s="67"/>
      <c r="K177" s="67"/>
      <c r="M177" s="16"/>
      <c r="O177" s="16"/>
      <c r="P177" s="16"/>
      <c r="Q177" s="16"/>
      <c r="R177" s="16"/>
      <c r="S177" s="16"/>
    </row>
    <row r="178" spans="5:24" ht="15" hidden="1" customHeight="1" x14ac:dyDescent="0.25">
      <c r="E178" t="s">
        <v>15</v>
      </c>
      <c r="F178" s="67"/>
      <c r="G178" s="67"/>
      <c r="H178" s="67"/>
      <c r="I178" s="67"/>
      <c r="J178" s="67"/>
      <c r="K178" s="67"/>
      <c r="L178">
        <v>73</v>
      </c>
      <c r="N178" s="16"/>
      <c r="O178" s="77">
        <f>SUMIF($F$8:$F$155,$E178,N$8:N$155)-N105</f>
        <v>56405203.733333334</v>
      </c>
      <c r="P178" s="77">
        <f>SUMIF($F$8:$F$155,$E178,O$8:O$155)-O105</f>
        <v>761470250.39999998</v>
      </c>
      <c r="Q178" s="77">
        <f>SUMIF($F$8:$F$155,$E178,P$8:P$155)-P105</f>
        <v>76147025.040000081</v>
      </c>
      <c r="R178" s="77">
        <f>SUMIF($F$8:$F$155,$E178,Q$8:Q$155)-Q105</f>
        <v>14467934.757600015</v>
      </c>
      <c r="S178" s="85">
        <f>SUMIF($F$8:$F$155,$E178,R$8:R$155)-R105</f>
        <v>775938185.15760088</v>
      </c>
      <c r="T178">
        <f>+P178-Q178</f>
        <v>685323225.3599999</v>
      </c>
      <c r="U178">
        <f t="shared" ref="U178:U187" si="41">+T178/L178</f>
        <v>9387989.3884931486</v>
      </c>
      <c r="V178">
        <f t="shared" ref="V178:V187" si="42">+U178*L178</f>
        <v>685323225.3599999</v>
      </c>
      <c r="W178" s="80">
        <f>+V178*8%</f>
        <v>54825858.028799996</v>
      </c>
      <c r="X178" s="58">
        <f>+V178+W178</f>
        <v>740149083.38879991</v>
      </c>
    </row>
    <row r="179" spans="5:24" ht="15" hidden="1" customHeight="1" x14ac:dyDescent="0.25">
      <c r="E179" t="s">
        <v>26</v>
      </c>
      <c r="F179" s="67"/>
      <c r="G179" s="67"/>
      <c r="H179" s="67"/>
      <c r="I179" s="67"/>
      <c r="J179" s="67"/>
      <c r="K179" s="67"/>
      <c r="L179">
        <f>SUMIF($F$8:$F$155,$E179,G$8:G$155)</f>
        <v>1</v>
      </c>
      <c r="N179" s="16"/>
      <c r="O179" s="16">
        <f t="shared" ref="O179:S181" si="43">SUMIF($F$8:$F$155,$E179,N$8:N$155)</f>
        <v>1021340</v>
      </c>
      <c r="P179" s="16">
        <f t="shared" si="43"/>
        <v>11234740</v>
      </c>
      <c r="Q179" s="16">
        <f t="shared" si="43"/>
        <v>1123474</v>
      </c>
      <c r="R179" s="16">
        <f t="shared" si="43"/>
        <v>213460.06</v>
      </c>
      <c r="S179" s="84">
        <f t="shared" si="43"/>
        <v>11448200.060000001</v>
      </c>
      <c r="T179">
        <f t="shared" ref="T179:T187" si="44">+P179-Q179</f>
        <v>10111266</v>
      </c>
      <c r="U179">
        <f t="shared" si="41"/>
        <v>10111266</v>
      </c>
      <c r="V179">
        <f t="shared" si="42"/>
        <v>10111266</v>
      </c>
      <c r="W179" s="80">
        <f>+V179*10%</f>
        <v>1011126.6000000001</v>
      </c>
      <c r="X179" s="58">
        <f t="shared" ref="X179:X187" si="45">+V179+W179</f>
        <v>11122392.6</v>
      </c>
    </row>
    <row r="180" spans="5:24" ht="15" hidden="1" customHeight="1" x14ac:dyDescent="0.25">
      <c r="E180" t="s">
        <v>57</v>
      </c>
      <c r="F180" s="67"/>
      <c r="G180" s="67"/>
      <c r="H180" s="67"/>
      <c r="I180" s="67"/>
      <c r="J180" s="67"/>
      <c r="K180" s="67"/>
      <c r="L180">
        <f>SUMIF($F$8:$F$155,$E180,G$8:G$155)</f>
        <v>8</v>
      </c>
      <c r="N180" s="16"/>
      <c r="O180" s="16">
        <f t="shared" si="43"/>
        <v>1939016.4412159997</v>
      </c>
      <c r="P180" s="16">
        <f t="shared" si="43"/>
        <v>26176721.956415996</v>
      </c>
      <c r="Q180" s="16">
        <f t="shared" si="43"/>
        <v>2617672.1956415996</v>
      </c>
      <c r="R180" s="16">
        <f t="shared" si="43"/>
        <v>497357.71717190393</v>
      </c>
      <c r="S180" s="84">
        <f t="shared" si="43"/>
        <v>26674079.673587903</v>
      </c>
      <c r="T180">
        <f>+P180-Q180</f>
        <v>23559049.760774396</v>
      </c>
      <c r="U180">
        <f t="shared" si="41"/>
        <v>2944881.2200967995</v>
      </c>
      <c r="V180">
        <f t="shared" si="42"/>
        <v>23559049.760774396</v>
      </c>
      <c r="W180" s="80">
        <f t="shared" ref="W180:W187" si="46">+V180*8%</f>
        <v>1884723.9808619518</v>
      </c>
      <c r="X180" s="58">
        <f t="shared" si="45"/>
        <v>25443773.741636347</v>
      </c>
    </row>
    <row r="181" spans="5:24" ht="15" hidden="1" customHeight="1" x14ac:dyDescent="0.25">
      <c r="E181" t="s">
        <v>17</v>
      </c>
      <c r="F181" s="67"/>
      <c r="G181" s="67"/>
      <c r="H181" s="67"/>
      <c r="I181" s="67"/>
      <c r="J181" s="67"/>
      <c r="K181" s="67"/>
      <c r="L181">
        <v>18</v>
      </c>
      <c r="N181" s="16"/>
      <c r="O181" s="16">
        <f t="shared" si="43"/>
        <v>5268271.0855679978</v>
      </c>
      <c r="P181" s="16">
        <f t="shared" si="43"/>
        <v>71121659.655167997</v>
      </c>
      <c r="Q181" s="16">
        <f t="shared" si="43"/>
        <v>7112165.9655167982</v>
      </c>
      <c r="R181" s="16">
        <f t="shared" si="43"/>
        <v>1351311.5334481921</v>
      </c>
      <c r="S181" s="84">
        <f t="shared" si="43"/>
        <v>72472971.188616216</v>
      </c>
      <c r="T181">
        <f>+P181-Q181</f>
        <v>64009493.689651199</v>
      </c>
      <c r="U181">
        <f t="shared" si="41"/>
        <v>3556082.9827584</v>
      </c>
      <c r="V181">
        <f t="shared" si="42"/>
        <v>64009493.689651199</v>
      </c>
      <c r="W181" s="80">
        <f t="shared" si="46"/>
        <v>5120759.4951720964</v>
      </c>
      <c r="X181" s="58">
        <f t="shared" si="45"/>
        <v>69130253.18482329</v>
      </c>
    </row>
    <row r="182" spans="5:24" ht="15" hidden="1" customHeight="1" x14ac:dyDescent="0.25">
      <c r="E182" s="14" t="s">
        <v>16</v>
      </c>
      <c r="F182" s="66"/>
      <c r="G182" s="66"/>
      <c r="H182" s="66"/>
      <c r="I182" s="66"/>
      <c r="J182" s="66"/>
      <c r="K182" s="66"/>
      <c r="L182">
        <v>27</v>
      </c>
      <c r="N182" s="16"/>
      <c r="O182" s="94" t="e">
        <f>SUMIF($F$8:$F$144,$E182,N$8:N$144)-#REF!</f>
        <v>#REF!</v>
      </c>
      <c r="P182" s="94" t="e">
        <f>SUMIF($F$8:$F$144,$E182,O$8:O$144)-#REF!</f>
        <v>#REF!</v>
      </c>
      <c r="Q182" s="94" t="e">
        <f>SUMIF($F$8:$F$144,$E182,P$8:P$144)-#REF!</f>
        <v>#REF!</v>
      </c>
      <c r="R182" s="94" t="e">
        <f>SUMIF($F$8:$F$144,$E182,Q$8:Q$144)-#REF!</f>
        <v>#REF!</v>
      </c>
      <c r="S182" s="84" t="e">
        <f>SUMIF($F$8:$F$144,$E182,R$8:R$144)-#REF!</f>
        <v>#REF!</v>
      </c>
      <c r="T182" t="e">
        <f t="shared" si="44"/>
        <v>#REF!</v>
      </c>
      <c r="U182" t="e">
        <f t="shared" si="41"/>
        <v>#REF!</v>
      </c>
      <c r="V182" t="e">
        <f t="shared" si="42"/>
        <v>#REF!</v>
      </c>
      <c r="W182" s="80" t="e">
        <f t="shared" si="46"/>
        <v>#REF!</v>
      </c>
      <c r="X182" s="58" t="e">
        <f t="shared" si="45"/>
        <v>#REF!</v>
      </c>
    </row>
    <row r="183" spans="5:24" ht="15" hidden="1" customHeight="1" x14ac:dyDescent="0.25">
      <c r="E183" t="s">
        <v>19</v>
      </c>
      <c r="F183" s="67"/>
      <c r="G183" s="67"/>
      <c r="H183" s="67"/>
      <c r="I183" s="67"/>
      <c r="J183" s="67"/>
      <c r="K183" s="67"/>
      <c r="L183">
        <f>SUMIF($F$8:$F$155,$E183,G$8:G$155)</f>
        <v>5</v>
      </c>
      <c r="N183" s="16"/>
      <c r="O183" s="16">
        <f t="shared" ref="O183:S187" si="47">SUMIF($F$8:$F$155,$E183,N$8:N$155)</f>
        <v>1707310.0740266666</v>
      </c>
      <c r="P183" s="16">
        <f t="shared" si="47"/>
        <v>23048685.999360003</v>
      </c>
      <c r="Q183" s="16">
        <f t="shared" si="47"/>
        <v>2304868.5999360001</v>
      </c>
      <c r="R183" s="16">
        <f t="shared" si="47"/>
        <v>437925.03398784006</v>
      </c>
      <c r="S183" s="84">
        <f t="shared" si="47"/>
        <v>23486611.033347841</v>
      </c>
      <c r="T183">
        <f t="shared" si="44"/>
        <v>20743817.399424002</v>
      </c>
      <c r="U183">
        <f t="shared" si="41"/>
        <v>4148763.4798848005</v>
      </c>
      <c r="V183">
        <f t="shared" si="42"/>
        <v>20743817.399424002</v>
      </c>
      <c r="W183" s="80">
        <f t="shared" si="46"/>
        <v>1659505.3919539202</v>
      </c>
      <c r="X183" s="58">
        <f t="shared" si="45"/>
        <v>22403322.791377921</v>
      </c>
    </row>
    <row r="184" spans="5:24" ht="15" hidden="1" customHeight="1" x14ac:dyDescent="0.25">
      <c r="E184" t="s">
        <v>20</v>
      </c>
      <c r="F184" s="67"/>
      <c r="G184" s="67"/>
      <c r="H184" s="67"/>
      <c r="I184" s="67"/>
      <c r="J184" s="67"/>
      <c r="K184" s="67"/>
      <c r="L184">
        <f>SUMIF($F$8:$F$155,$E184,G$8:G$155)</f>
        <v>3</v>
      </c>
      <c r="N184" s="16"/>
      <c r="O184" s="16">
        <f t="shared" si="47"/>
        <v>1280482.5555199999</v>
      </c>
      <c r="P184" s="16">
        <f t="shared" si="47"/>
        <v>17286514.49952</v>
      </c>
      <c r="Q184" s="16">
        <f t="shared" si="47"/>
        <v>1728651.4499520001</v>
      </c>
      <c r="R184" s="16">
        <f t="shared" si="47"/>
        <v>328443.77549088001</v>
      </c>
      <c r="S184" s="84">
        <f t="shared" si="47"/>
        <v>17614958.275010876</v>
      </c>
      <c r="T184">
        <f t="shared" si="44"/>
        <v>15557863.049567999</v>
      </c>
      <c r="U184">
        <f t="shared" si="41"/>
        <v>5185954.3498559995</v>
      </c>
      <c r="V184">
        <f t="shared" si="42"/>
        <v>15557863.049567997</v>
      </c>
      <c r="W184" s="80">
        <f t="shared" si="46"/>
        <v>1244629.0439654398</v>
      </c>
      <c r="X184" s="58">
        <f t="shared" si="45"/>
        <v>16802492.093533438</v>
      </c>
    </row>
    <row r="185" spans="5:24" ht="15" hidden="1" customHeight="1" x14ac:dyDescent="0.25">
      <c r="E185" t="s">
        <v>79</v>
      </c>
      <c r="F185" s="67"/>
      <c r="G185" s="67"/>
      <c r="H185" s="67"/>
      <c r="I185" s="67"/>
      <c r="J185" s="67"/>
      <c r="K185" s="67"/>
      <c r="L185">
        <f>SUMIF($F$8:$F$155,$E185,G$8:G$155)</f>
        <v>1</v>
      </c>
      <c r="N185" s="16"/>
      <c r="O185" s="16">
        <f t="shared" si="47"/>
        <v>317071.87089066661</v>
      </c>
      <c r="P185" s="16">
        <f t="shared" si="47"/>
        <v>4280470.2570239995</v>
      </c>
      <c r="Q185" s="16">
        <f t="shared" si="47"/>
        <v>428047.02570239996</v>
      </c>
      <c r="R185" s="16">
        <f t="shared" si="47"/>
        <v>81328.934883455993</v>
      </c>
      <c r="S185" s="84">
        <f t="shared" si="47"/>
        <v>4361799.1919074552</v>
      </c>
      <c r="T185">
        <f t="shared" si="44"/>
        <v>3852423.2313215993</v>
      </c>
      <c r="U185">
        <f t="shared" si="41"/>
        <v>3852423.2313215993</v>
      </c>
      <c r="V185">
        <f t="shared" si="42"/>
        <v>3852423.2313215993</v>
      </c>
      <c r="W185" s="80">
        <f t="shared" si="46"/>
        <v>308193.85850572796</v>
      </c>
      <c r="X185" s="58">
        <f t="shared" si="45"/>
        <v>4160617.0898273271</v>
      </c>
    </row>
    <row r="186" spans="5:24" ht="15" hidden="1" customHeight="1" x14ac:dyDescent="0.25">
      <c r="E186" t="s">
        <v>21</v>
      </c>
      <c r="F186" s="67"/>
      <c r="G186" s="67"/>
      <c r="H186" s="67"/>
      <c r="I186" s="67"/>
      <c r="J186" s="67"/>
      <c r="K186" s="67"/>
      <c r="L186">
        <f>SUMIF($F$8:$F$155,$E186,G$8:G$155)</f>
        <v>3</v>
      </c>
      <c r="N186" s="16"/>
      <c r="O186" s="16">
        <f t="shared" si="47"/>
        <v>585363.45395199989</v>
      </c>
      <c r="P186" s="16">
        <f t="shared" si="47"/>
        <v>7902406.6283519994</v>
      </c>
      <c r="Q186" s="16">
        <f t="shared" si="47"/>
        <v>790240.66283519985</v>
      </c>
      <c r="R186" s="16">
        <f t="shared" si="47"/>
        <v>150145.72593868797</v>
      </c>
      <c r="S186" s="84">
        <f t="shared" si="47"/>
        <v>8052552.3542906884</v>
      </c>
      <c r="T186">
        <f t="shared" si="44"/>
        <v>7112165.9655168001</v>
      </c>
      <c r="U186">
        <f t="shared" si="41"/>
        <v>2370721.9885056</v>
      </c>
      <c r="V186">
        <f t="shared" si="42"/>
        <v>7112165.9655168001</v>
      </c>
      <c r="W186" s="80">
        <f t="shared" si="46"/>
        <v>568973.27724134398</v>
      </c>
      <c r="X186" s="58">
        <f t="shared" si="45"/>
        <v>7681139.2427581437</v>
      </c>
    </row>
    <row r="187" spans="5:24" ht="15" hidden="1" customHeight="1" x14ac:dyDescent="0.25">
      <c r="E187" t="s">
        <v>78</v>
      </c>
      <c r="F187" s="67"/>
      <c r="G187" s="67"/>
      <c r="H187" s="67"/>
      <c r="I187" s="67"/>
      <c r="J187" s="67"/>
      <c r="K187" s="67"/>
      <c r="L187">
        <f>SUMIF($F$8:$F$155,$E187,G$8:G$155)</f>
        <v>0</v>
      </c>
      <c r="N187" s="16"/>
      <c r="O187" s="16">
        <f t="shared" si="47"/>
        <v>0</v>
      </c>
      <c r="P187" s="16">
        <f t="shared" si="47"/>
        <v>0</v>
      </c>
      <c r="Q187" s="16">
        <f t="shared" si="47"/>
        <v>0</v>
      </c>
      <c r="R187" s="16">
        <f t="shared" si="47"/>
        <v>0</v>
      </c>
      <c r="S187" s="84">
        <f t="shared" si="47"/>
        <v>0</v>
      </c>
      <c r="T187">
        <f t="shared" si="44"/>
        <v>0</v>
      </c>
      <c r="U187" t="e">
        <f t="shared" si="41"/>
        <v>#DIV/0!</v>
      </c>
      <c r="V187" t="e">
        <f t="shared" si="42"/>
        <v>#DIV/0!</v>
      </c>
      <c r="W187" s="80" t="e">
        <f t="shared" si="46"/>
        <v>#DIV/0!</v>
      </c>
      <c r="X187" s="58" t="e">
        <f t="shared" si="45"/>
        <v>#DIV/0!</v>
      </c>
    </row>
    <row r="188" spans="5:24" ht="15" hidden="1" customHeight="1" x14ac:dyDescent="0.25">
      <c r="F188" s="67"/>
      <c r="G188" s="67"/>
      <c r="H188" s="67"/>
      <c r="I188" s="67"/>
      <c r="J188" s="67"/>
      <c r="K188" s="67"/>
      <c r="N188" s="17"/>
      <c r="O188" s="17" t="e">
        <f t="shared" ref="O188:R188" si="48">SUM(O178:O187)</f>
        <v>#REF!</v>
      </c>
      <c r="P188" s="17" t="e">
        <f t="shared" si="48"/>
        <v>#REF!</v>
      </c>
      <c r="Q188" s="17" t="e">
        <f t="shared" si="48"/>
        <v>#REF!</v>
      </c>
      <c r="R188" s="17" t="e">
        <f t="shared" si="48"/>
        <v>#REF!</v>
      </c>
      <c r="S188" s="17" t="e">
        <f>SUM(S178:S187)</f>
        <v>#REF!</v>
      </c>
      <c r="T188" t="e">
        <f>SUM(T178:T187)</f>
        <v>#REF!</v>
      </c>
      <c r="V188" t="e">
        <f>SUM(V178:V187)+T191+T192+T193+T194</f>
        <v>#REF!</v>
      </c>
    </row>
    <row r="189" spans="5:24" ht="15" hidden="1" customHeight="1" x14ac:dyDescent="0.25">
      <c r="F189" s="67"/>
      <c r="G189" s="67"/>
      <c r="H189" s="67"/>
      <c r="I189" s="67"/>
      <c r="J189" s="67"/>
      <c r="K189" s="67"/>
      <c r="R189" s="17"/>
      <c r="V189">
        <f>+P155</f>
        <v>107412702.15354881</v>
      </c>
    </row>
    <row r="190" spans="5:24" ht="15" hidden="1" customHeight="1" x14ac:dyDescent="0.25">
      <c r="E190" s="67" t="s">
        <v>88</v>
      </c>
      <c r="F190" s="67"/>
      <c r="G190" s="67"/>
      <c r="H190" s="67"/>
      <c r="I190" s="67"/>
      <c r="J190" s="67"/>
      <c r="K190" s="67"/>
      <c r="M190" s="58"/>
      <c r="O190" s="58"/>
      <c r="P190" s="58"/>
      <c r="Q190" s="58"/>
      <c r="R190" s="58"/>
      <c r="S190" s="58"/>
      <c r="V190" t="e">
        <f>+V188+V189</f>
        <v>#REF!</v>
      </c>
    </row>
    <row r="191" spans="5:24" ht="15" hidden="1" customHeight="1" x14ac:dyDescent="0.25">
      <c r="E191" s="76" t="s">
        <v>74</v>
      </c>
      <c r="F191" s="70"/>
      <c r="G191" s="70"/>
      <c r="H191" s="70"/>
      <c r="I191" s="70"/>
      <c r="J191" s="70"/>
      <c r="K191" s="70"/>
      <c r="M191" s="16"/>
      <c r="N191" s="58"/>
      <c r="O191" s="58">
        <f>+N146+N147+N148+N149</f>
        <v>962602.32806400023</v>
      </c>
      <c r="P191" s="58">
        <f>+O146+O147+O148+O149</f>
        <v>12995131.428864002</v>
      </c>
      <c r="Q191" s="58">
        <f>+P146+P147+P148+P149</f>
        <v>1299513.1428864002</v>
      </c>
      <c r="R191" s="58">
        <f>+Q146+Q147+Q148+Q149</f>
        <v>246907.49714841601</v>
      </c>
      <c r="S191" s="87">
        <f>+R146+R147+R148+R149</f>
        <v>13242038.926012415</v>
      </c>
      <c r="T191">
        <f>+P191-Q191</f>
        <v>11695618.285977602</v>
      </c>
      <c r="V191">
        <f>+Q155</f>
        <v>20408413.409174278</v>
      </c>
    </row>
    <row r="192" spans="5:24" ht="15" hidden="1" customHeight="1" x14ac:dyDescent="0.25">
      <c r="E192" s="11" t="s">
        <v>163</v>
      </c>
      <c r="M192" s="16"/>
      <c r="N192" s="28"/>
      <c r="O192" s="28" t="e">
        <f>+#REF!</f>
        <v>#REF!</v>
      </c>
      <c r="P192" s="28" t="e">
        <f>+#REF!</f>
        <v>#REF!</v>
      </c>
      <c r="Q192" s="28" t="e">
        <f>+#REF!</f>
        <v>#REF!</v>
      </c>
      <c r="R192" s="28" t="e">
        <f>+#REF!</f>
        <v>#REF!</v>
      </c>
      <c r="S192" s="86" t="e">
        <f>+#REF!</f>
        <v>#REF!</v>
      </c>
      <c r="T192" t="e">
        <f t="shared" ref="T192:T193" si="49">+P192-Q192</f>
        <v>#REF!</v>
      </c>
      <c r="V192" t="e">
        <f>+V190+V191</f>
        <v>#REF!</v>
      </c>
    </row>
    <row r="193" spans="5:22" ht="15" hidden="1" customHeight="1" x14ac:dyDescent="0.25">
      <c r="E193" s="79" t="s">
        <v>15</v>
      </c>
      <c r="M193" s="16"/>
      <c r="N193" s="28"/>
      <c r="O193" s="28">
        <f>+N105</f>
        <v>817072</v>
      </c>
      <c r="P193" s="28">
        <f>+O105</f>
        <v>11030472</v>
      </c>
      <c r="Q193" s="28">
        <f>+P105</f>
        <v>1103047.2</v>
      </c>
      <c r="R193" s="28">
        <f>+Q105</f>
        <v>209578.96799999999</v>
      </c>
      <c r="S193" s="86">
        <f>+R105</f>
        <v>11240050.968</v>
      </c>
      <c r="T193">
        <f t="shared" si="49"/>
        <v>9927424.8000000007</v>
      </c>
    </row>
    <row r="194" spans="5:22" ht="15" hidden="1" customHeight="1" x14ac:dyDescent="0.25"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s="28" t="e">
        <f>+R191+R192+R193</f>
        <v>#REF!</v>
      </c>
      <c r="S194" s="28" t="e">
        <f>+S191+S192+S193</f>
        <v>#REF!</v>
      </c>
      <c r="T194" t="e">
        <f>+P194-Q194</f>
        <v>#REF!</v>
      </c>
    </row>
    <row r="195" spans="5:22" ht="15.75" hidden="1" customHeight="1" x14ac:dyDescent="0.25">
      <c r="R195" s="58"/>
      <c r="S195" s="58" t="e">
        <f>+S188+S191+S192+S193</f>
        <v>#REF!</v>
      </c>
    </row>
    <row r="196" spans="5:22" ht="15.75" hidden="1" customHeight="1" x14ac:dyDescent="0.25">
      <c r="S196" s="15" t="e">
        <f>+S195-R155</f>
        <v>#REF!</v>
      </c>
      <c r="T196" t="s">
        <v>168</v>
      </c>
    </row>
    <row r="197" spans="5:22" ht="15" hidden="1" customHeight="1" x14ac:dyDescent="0.25">
      <c r="Q197" t="s">
        <v>15</v>
      </c>
      <c r="T197">
        <v>73</v>
      </c>
      <c r="U197">
        <v>8553600</v>
      </c>
      <c r="V197">
        <f>+U197*T197</f>
        <v>624412800</v>
      </c>
    </row>
    <row r="198" spans="5:22" ht="15" hidden="1" customHeight="1" x14ac:dyDescent="0.25">
      <c r="Q198" t="s">
        <v>26</v>
      </c>
      <c r="R198" s="67"/>
      <c r="T198">
        <v>1</v>
      </c>
      <c r="U198">
        <v>8712000</v>
      </c>
      <c r="V198">
        <f t="shared" ref="V198:V210" si="50">+U198*T198</f>
        <v>8712000</v>
      </c>
    </row>
    <row r="199" spans="5:22" ht="15" hidden="1" customHeight="1" x14ac:dyDescent="0.25">
      <c r="Q199" t="s">
        <v>57</v>
      </c>
      <c r="R199" s="67"/>
      <c r="T199">
        <v>8</v>
      </c>
      <c r="U199">
        <v>2553306.62</v>
      </c>
      <c r="V199">
        <f t="shared" si="50"/>
        <v>20426452.960000001</v>
      </c>
    </row>
    <row r="200" spans="5:22" ht="15" hidden="1" customHeight="1" x14ac:dyDescent="0.25">
      <c r="Q200" t="s">
        <v>17</v>
      </c>
      <c r="R200" s="67"/>
      <c r="T200">
        <v>18</v>
      </c>
      <c r="U200">
        <v>3063967.95</v>
      </c>
      <c r="V200">
        <f t="shared" si="50"/>
        <v>55151423.100000001</v>
      </c>
    </row>
    <row r="201" spans="5:22" ht="15" hidden="1" customHeight="1" x14ac:dyDescent="0.25">
      <c r="Q201" s="14" t="s">
        <v>16</v>
      </c>
      <c r="R201" s="67"/>
      <c r="T201">
        <v>27</v>
      </c>
      <c r="U201">
        <v>3829959.94</v>
      </c>
      <c r="V201">
        <f t="shared" si="50"/>
        <v>103408918.38</v>
      </c>
    </row>
    <row r="202" spans="5:22" ht="15" hidden="1" customHeight="1" x14ac:dyDescent="0.25">
      <c r="F202" s="67"/>
      <c r="G202" s="83"/>
      <c r="H202" s="83"/>
      <c r="Q202" t="s">
        <v>19</v>
      </c>
      <c r="R202" s="66"/>
      <c r="T202">
        <v>5</v>
      </c>
      <c r="U202">
        <v>3574629.27</v>
      </c>
      <c r="V202">
        <f t="shared" si="50"/>
        <v>17873146.350000001</v>
      </c>
    </row>
    <row r="203" spans="5:22" ht="15" hidden="1" customHeight="1" x14ac:dyDescent="0.25">
      <c r="F203" s="67"/>
      <c r="G203" s="83"/>
      <c r="H203" s="83"/>
      <c r="Q203" t="s">
        <v>20</v>
      </c>
      <c r="R203" s="67"/>
      <c r="T203">
        <v>3</v>
      </c>
      <c r="U203">
        <v>4468286.59</v>
      </c>
      <c r="V203">
        <f t="shared" si="50"/>
        <v>13404859.77</v>
      </c>
    </row>
    <row r="204" spans="5:22" ht="15" hidden="1" customHeight="1" x14ac:dyDescent="0.25">
      <c r="F204" s="67"/>
      <c r="G204" s="83"/>
      <c r="H204" s="83"/>
      <c r="Q204" t="s">
        <v>79</v>
      </c>
      <c r="R204" s="67"/>
      <c r="T204">
        <v>1</v>
      </c>
      <c r="U204">
        <v>3319298.61</v>
      </c>
      <c r="V204">
        <f t="shared" si="50"/>
        <v>3319298.61</v>
      </c>
    </row>
    <row r="205" spans="5:22" ht="15" hidden="1" customHeight="1" x14ac:dyDescent="0.25">
      <c r="F205" s="67"/>
      <c r="G205" s="83"/>
      <c r="H205" s="83"/>
      <c r="Q205" t="s">
        <v>21</v>
      </c>
      <c r="R205" s="67"/>
      <c r="T205">
        <v>3</v>
      </c>
      <c r="U205">
        <v>2042645.3</v>
      </c>
      <c r="V205">
        <f t="shared" si="50"/>
        <v>6127935.9000000004</v>
      </c>
    </row>
    <row r="206" spans="5:22" ht="15" hidden="1" customHeight="1" x14ac:dyDescent="0.25">
      <c r="E206" s="82"/>
      <c r="F206" s="66"/>
      <c r="G206" s="83"/>
      <c r="H206" s="83"/>
      <c r="Q206" t="s">
        <v>78</v>
      </c>
      <c r="R206" s="67"/>
      <c r="T206">
        <v>1</v>
      </c>
      <c r="U206">
        <v>2212865.2400000002</v>
      </c>
      <c r="V206">
        <f t="shared" si="50"/>
        <v>2212865.2400000002</v>
      </c>
    </row>
    <row r="207" spans="5:22" ht="15" hidden="1" customHeight="1" x14ac:dyDescent="0.25">
      <c r="F207" s="67"/>
      <c r="G207" s="83"/>
      <c r="H207" s="83"/>
      <c r="Q207" s="76" t="s">
        <v>74</v>
      </c>
      <c r="R207" s="67"/>
      <c r="T207">
        <v>1</v>
      </c>
      <c r="U207">
        <v>12281464.17</v>
      </c>
      <c r="V207">
        <f t="shared" si="50"/>
        <v>12281464.17</v>
      </c>
    </row>
    <row r="208" spans="5:22" ht="15" hidden="1" customHeight="1" x14ac:dyDescent="0.25">
      <c r="F208" s="67"/>
      <c r="G208" s="83"/>
      <c r="H208" s="83"/>
      <c r="Q208" s="11" t="s">
        <v>163</v>
      </c>
      <c r="T208">
        <v>1</v>
      </c>
      <c r="U208">
        <v>3574629.27</v>
      </c>
      <c r="V208">
        <f t="shared" si="50"/>
        <v>3574629.27</v>
      </c>
    </row>
    <row r="209" spans="5:22" ht="15" hidden="1" customHeight="1" x14ac:dyDescent="0.25">
      <c r="F209" s="67"/>
      <c r="G209" s="83"/>
      <c r="H209" s="83"/>
      <c r="Q209" s="79" t="s">
        <v>15</v>
      </c>
      <c r="T209">
        <v>1</v>
      </c>
      <c r="U209">
        <v>5417280</v>
      </c>
      <c r="V209">
        <f t="shared" si="50"/>
        <v>5417280</v>
      </c>
    </row>
    <row r="210" spans="5:22" ht="15" hidden="1" customHeight="1" x14ac:dyDescent="0.25">
      <c r="F210" s="67"/>
      <c r="G210" s="83"/>
      <c r="H210" s="83"/>
      <c r="T210">
        <v>1</v>
      </c>
      <c r="U210">
        <v>97369230.459999993</v>
      </c>
      <c r="V210">
        <f t="shared" si="50"/>
        <v>97369230.459999993</v>
      </c>
    </row>
    <row r="211" spans="5:22" ht="15" hidden="1" customHeight="1" x14ac:dyDescent="0.25">
      <c r="F211" s="67"/>
      <c r="G211" s="83"/>
      <c r="H211" s="83"/>
      <c r="V211">
        <f>+V210*19%</f>
        <v>18500153.7874</v>
      </c>
    </row>
    <row r="212" spans="5:22" ht="15.75" hidden="1" customHeight="1" x14ac:dyDescent="0.25">
      <c r="F212" s="67"/>
      <c r="V212">
        <f>SUM(V197:V211)</f>
        <v>992192457.99740005</v>
      </c>
    </row>
    <row r="213" spans="5:22" ht="15" hidden="1" customHeight="1" x14ac:dyDescent="0.25">
      <c r="F213" s="67"/>
    </row>
    <row r="214" spans="5:22" ht="15" hidden="1" customHeight="1" x14ac:dyDescent="0.25">
      <c r="E214" s="67"/>
      <c r="F214" s="67"/>
    </row>
    <row r="215" spans="5:22" ht="15" hidden="1" customHeight="1" x14ac:dyDescent="0.25">
      <c r="E215" s="76"/>
      <c r="F215" s="70"/>
    </row>
    <row r="216" spans="5:22" x14ac:dyDescent="0.25">
      <c r="E216" s="82"/>
    </row>
    <row r="217" spans="5:22" x14ac:dyDescent="0.25">
      <c r="E217" s="82"/>
    </row>
    <row r="218" spans="5:22" x14ac:dyDescent="0.25">
      <c r="E218" s="82"/>
    </row>
    <row r="219" spans="5:22" x14ac:dyDescent="0.25">
      <c r="M219" s="114"/>
    </row>
    <row r="220" spans="5:22" x14ac:dyDescent="0.25">
      <c r="I220">
        <v>15</v>
      </c>
    </row>
  </sheetData>
  <autoFilter ref="B7:X153">
    <filterColumn colId="11" showButton="0"/>
  </autoFilter>
  <mergeCells count="27">
    <mergeCell ref="B146:B150"/>
    <mergeCell ref="S82:S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  <mergeCell ref="B8:B41"/>
    <mergeCell ref="D8:D9"/>
    <mergeCell ref="D16:D17"/>
    <mergeCell ref="D18:D19"/>
    <mergeCell ref="D22:D23"/>
    <mergeCell ref="D25:D26"/>
    <mergeCell ref="B3:R3"/>
    <mergeCell ref="B4:R4"/>
    <mergeCell ref="B5:R5"/>
    <mergeCell ref="J6:K6"/>
    <mergeCell ref="M7:N7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R191"/>
  <sheetViews>
    <sheetView showGridLines="0" topLeftCell="E135" zoomScale="80" zoomScaleNormal="80" workbookViewId="0">
      <selection activeCell="N179" sqref="N179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80.85546875" customWidth="1"/>
    <col min="6" max="6" width="39" customWidth="1"/>
    <col min="7" max="7" width="6.85546875" customWidth="1"/>
    <col min="8" max="8" width="7" customWidth="1"/>
    <col min="9" max="9" width="20.7109375" customWidth="1"/>
    <col min="10" max="10" width="5.5703125" customWidth="1"/>
    <col min="11" max="11" width="17.28515625" customWidth="1"/>
    <col min="12" max="12" width="18" customWidth="1"/>
    <col min="13" max="13" width="16.7109375" customWidth="1"/>
    <col min="14" max="14" width="16.28515625" customWidth="1"/>
    <col min="15" max="15" width="20.85546875" customWidth="1"/>
    <col min="16" max="16" width="21.5703125" customWidth="1"/>
    <col min="17" max="17" width="17.85546875" customWidth="1"/>
    <col min="18" max="18" width="13.85546875" bestFit="1" customWidth="1"/>
  </cols>
  <sheetData>
    <row r="3" spans="2:18" x14ac:dyDescent="0.25">
      <c r="B3" s="417" t="s">
        <v>0</v>
      </c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</row>
    <row r="4" spans="2:18" ht="27" customHeight="1" x14ac:dyDescent="0.25">
      <c r="B4" s="417" t="s">
        <v>1</v>
      </c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</row>
    <row r="5" spans="2:18" x14ac:dyDescent="0.25">
      <c r="B5" s="417" t="s">
        <v>151</v>
      </c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</row>
    <row r="6" spans="2:18" ht="22.5" x14ac:dyDescent="0.25">
      <c r="B6" s="42" t="s">
        <v>2</v>
      </c>
      <c r="C6" s="42" t="s">
        <v>3</v>
      </c>
      <c r="D6" s="42" t="s">
        <v>4</v>
      </c>
      <c r="E6" s="43" t="s">
        <v>5</v>
      </c>
      <c r="F6" s="44" t="s">
        <v>6</v>
      </c>
      <c r="G6" s="44"/>
      <c r="H6" s="44" t="s">
        <v>7</v>
      </c>
      <c r="I6" s="45" t="s">
        <v>8</v>
      </c>
      <c r="J6" s="418" t="s">
        <v>9</v>
      </c>
      <c r="K6" s="418"/>
      <c r="L6" s="44" t="s">
        <v>10</v>
      </c>
      <c r="M6" s="44" t="s">
        <v>11</v>
      </c>
      <c r="N6" s="44" t="s">
        <v>12</v>
      </c>
      <c r="O6" s="44" t="s">
        <v>13</v>
      </c>
    </row>
    <row r="7" spans="2:18" ht="15" customHeight="1" x14ac:dyDescent="0.25">
      <c r="B7" s="410" t="s">
        <v>80</v>
      </c>
      <c r="C7" s="18" t="s">
        <v>14</v>
      </c>
      <c r="D7" s="413" t="s">
        <v>89</v>
      </c>
      <c r="E7" s="1">
        <v>1</v>
      </c>
      <c r="F7" s="2" t="s">
        <v>15</v>
      </c>
      <c r="G7" s="1">
        <v>1</v>
      </c>
      <c r="H7" s="1">
        <v>30</v>
      </c>
      <c r="I7" s="3">
        <f>+(((1000000*8.8)/30)*H7)*E7</f>
        <v>8800000</v>
      </c>
      <c r="J7" s="4">
        <v>0.08</v>
      </c>
      <c r="K7" s="5">
        <f t="shared" ref="K7:K38" si="0">I7*J7</f>
        <v>704000</v>
      </c>
      <c r="L7" s="5">
        <f t="shared" ref="L7:L38" si="1">I7+K7</f>
        <v>9504000</v>
      </c>
      <c r="M7" s="5">
        <f t="shared" ref="M7:M38" si="2">L7*10%</f>
        <v>950400</v>
      </c>
      <c r="N7" s="5">
        <f t="shared" ref="N7:N38" si="3">+M7*19%</f>
        <v>180576</v>
      </c>
      <c r="O7" s="5">
        <f t="shared" ref="O7:O38" si="4">L7+N7</f>
        <v>9684576</v>
      </c>
      <c r="R7">
        <f>+E7</f>
        <v>1</v>
      </c>
    </row>
    <row r="8" spans="2:18" x14ac:dyDescent="0.25">
      <c r="B8" s="411"/>
      <c r="C8" s="18" t="s">
        <v>14</v>
      </c>
      <c r="D8" s="413"/>
      <c r="E8" s="1">
        <v>1</v>
      </c>
      <c r="F8" s="2" t="s">
        <v>16</v>
      </c>
      <c r="G8" s="1">
        <v>1</v>
      </c>
      <c r="H8" s="1">
        <v>30</v>
      </c>
      <c r="I8" s="6">
        <f>+(((((1000000*8.8)*55.97%)/15*12)/30)*H8)*E8</f>
        <v>3940287.9999999995</v>
      </c>
      <c r="J8" s="4">
        <v>0.08</v>
      </c>
      <c r="K8" s="5">
        <f t="shared" si="0"/>
        <v>315223.03999999998</v>
      </c>
      <c r="L8" s="5">
        <f t="shared" si="1"/>
        <v>4255511.0399999991</v>
      </c>
      <c r="M8" s="5">
        <f t="shared" si="2"/>
        <v>425551.10399999993</v>
      </c>
      <c r="N8" s="5">
        <f t="shared" si="3"/>
        <v>80854.709759999983</v>
      </c>
      <c r="O8" s="5">
        <f t="shared" si="4"/>
        <v>4336365.7497599991</v>
      </c>
      <c r="R8">
        <f t="shared" ref="R8:R71" si="5">+E8</f>
        <v>1</v>
      </c>
    </row>
    <row r="9" spans="2:18" x14ac:dyDescent="0.25">
      <c r="B9" s="411"/>
      <c r="C9" s="18" t="s">
        <v>14</v>
      </c>
      <c r="D9" s="2" t="s">
        <v>90</v>
      </c>
      <c r="E9" s="1">
        <v>1</v>
      </c>
      <c r="F9" s="2" t="s">
        <v>15</v>
      </c>
      <c r="G9" s="1">
        <v>1</v>
      </c>
      <c r="H9" s="1">
        <v>30</v>
      </c>
      <c r="I9" s="3">
        <f>+(((1000000*8.8)/30)*H9)*E9</f>
        <v>8800000</v>
      </c>
      <c r="J9" s="4">
        <v>0.08</v>
      </c>
      <c r="K9" s="5">
        <f t="shared" si="0"/>
        <v>704000</v>
      </c>
      <c r="L9" s="5">
        <f t="shared" si="1"/>
        <v>9504000</v>
      </c>
      <c r="M9" s="5">
        <f t="shared" si="2"/>
        <v>950400</v>
      </c>
      <c r="N9" s="5">
        <f t="shared" si="3"/>
        <v>180576</v>
      </c>
      <c r="O9" s="5">
        <f t="shared" si="4"/>
        <v>9684576</v>
      </c>
      <c r="R9">
        <f t="shared" si="5"/>
        <v>1</v>
      </c>
    </row>
    <row r="10" spans="2:18" x14ac:dyDescent="0.25">
      <c r="B10" s="411"/>
      <c r="C10" s="18" t="s">
        <v>14</v>
      </c>
      <c r="D10" s="2" t="s">
        <v>122</v>
      </c>
      <c r="E10" s="1">
        <v>1</v>
      </c>
      <c r="F10" s="2" t="s">
        <v>16</v>
      </c>
      <c r="G10" s="1">
        <v>1</v>
      </c>
      <c r="H10" s="1">
        <v>30</v>
      </c>
      <c r="I10" s="6">
        <f>+(((((1000000*8.8)*55.97%)/15*12)/30)*H10)*E10</f>
        <v>3940287.9999999995</v>
      </c>
      <c r="J10" s="4">
        <v>0.08</v>
      </c>
      <c r="K10" s="5">
        <f t="shared" si="0"/>
        <v>315223.03999999998</v>
      </c>
      <c r="L10" s="5">
        <f t="shared" si="1"/>
        <v>4255511.0399999991</v>
      </c>
      <c r="M10" s="5">
        <f t="shared" si="2"/>
        <v>425551.10399999993</v>
      </c>
      <c r="N10" s="5">
        <f t="shared" si="3"/>
        <v>80854.709759999983</v>
      </c>
      <c r="O10" s="5">
        <f t="shared" si="4"/>
        <v>4336365.7497599991</v>
      </c>
      <c r="R10">
        <f t="shared" si="5"/>
        <v>1</v>
      </c>
    </row>
    <row r="11" spans="2:18" x14ac:dyDescent="0.25">
      <c r="B11" s="411"/>
      <c r="C11" s="18" t="s">
        <v>14</v>
      </c>
      <c r="D11" s="2" t="s">
        <v>123</v>
      </c>
      <c r="E11" s="1">
        <v>1</v>
      </c>
      <c r="F11" s="2" t="s">
        <v>16</v>
      </c>
      <c r="G11" s="1">
        <v>1</v>
      </c>
      <c r="H11" s="1">
        <v>30</v>
      </c>
      <c r="I11" s="6">
        <f>+(((((1000000*8.8)*55.97%)/15*12)/30)*H11)*E11</f>
        <v>3940287.9999999995</v>
      </c>
      <c r="J11" s="4">
        <v>0.08</v>
      </c>
      <c r="K11" s="5">
        <f t="shared" si="0"/>
        <v>315223.03999999998</v>
      </c>
      <c r="L11" s="5">
        <f t="shared" si="1"/>
        <v>4255511.0399999991</v>
      </c>
      <c r="M11" s="5">
        <f t="shared" si="2"/>
        <v>425551.10399999993</v>
      </c>
      <c r="N11" s="5">
        <f t="shared" si="3"/>
        <v>80854.709759999983</v>
      </c>
      <c r="O11" s="5">
        <f t="shared" si="4"/>
        <v>4336365.7497599991</v>
      </c>
      <c r="R11">
        <f t="shared" si="5"/>
        <v>1</v>
      </c>
    </row>
    <row r="12" spans="2:18" x14ac:dyDescent="0.25">
      <c r="B12" s="411"/>
      <c r="C12" s="18" t="s">
        <v>14</v>
      </c>
      <c r="D12" s="2" t="s">
        <v>124</v>
      </c>
      <c r="E12" s="1">
        <v>1</v>
      </c>
      <c r="F12" s="2" t="s">
        <v>17</v>
      </c>
      <c r="G12" s="1">
        <v>1</v>
      </c>
      <c r="H12" s="1">
        <v>24</v>
      </c>
      <c r="I12" s="6">
        <f>+(((((1000000*8.8)*55.97%)/15*12)/30)*H12)*E12</f>
        <v>3152230.3999999994</v>
      </c>
      <c r="J12" s="4">
        <v>0.08</v>
      </c>
      <c r="K12" s="5">
        <f t="shared" si="0"/>
        <v>252178.43199999997</v>
      </c>
      <c r="L12" s="5">
        <f t="shared" si="1"/>
        <v>3404408.8319999995</v>
      </c>
      <c r="M12" s="5">
        <f t="shared" si="2"/>
        <v>340440.88319999998</v>
      </c>
      <c r="N12" s="5">
        <f t="shared" si="3"/>
        <v>64683.767807999997</v>
      </c>
      <c r="O12" s="5">
        <f t="shared" si="4"/>
        <v>3469092.5998079996</v>
      </c>
      <c r="R12">
        <f t="shared" si="5"/>
        <v>1</v>
      </c>
    </row>
    <row r="13" spans="2:18" x14ac:dyDescent="0.25">
      <c r="B13" s="411"/>
      <c r="C13" s="18" t="s">
        <v>14</v>
      </c>
      <c r="D13" s="2" t="s">
        <v>125</v>
      </c>
      <c r="E13" s="1">
        <v>1</v>
      </c>
      <c r="F13" s="2" t="s">
        <v>15</v>
      </c>
      <c r="G13" s="1">
        <v>1</v>
      </c>
      <c r="H13" s="1">
        <v>30</v>
      </c>
      <c r="I13" s="3">
        <f>+(((1000000*8.8)/30)*H13)*E13</f>
        <v>8800000</v>
      </c>
      <c r="J13" s="4">
        <v>0.08</v>
      </c>
      <c r="K13" s="5">
        <f t="shared" si="0"/>
        <v>704000</v>
      </c>
      <c r="L13" s="5">
        <f t="shared" si="1"/>
        <v>9504000</v>
      </c>
      <c r="M13" s="5">
        <f t="shared" si="2"/>
        <v>950400</v>
      </c>
      <c r="N13" s="5">
        <f t="shared" si="3"/>
        <v>180576</v>
      </c>
      <c r="O13" s="5">
        <f t="shared" si="4"/>
        <v>9684576</v>
      </c>
      <c r="R13">
        <f t="shared" si="5"/>
        <v>1</v>
      </c>
    </row>
    <row r="14" spans="2:18" x14ac:dyDescent="0.25">
      <c r="B14" s="411"/>
      <c r="C14" s="18" t="s">
        <v>14</v>
      </c>
      <c r="D14" s="2" t="s">
        <v>126</v>
      </c>
      <c r="E14" s="1">
        <v>1</v>
      </c>
      <c r="F14" s="2" t="s">
        <v>17</v>
      </c>
      <c r="G14" s="1">
        <v>1</v>
      </c>
      <c r="H14" s="1">
        <v>24</v>
      </c>
      <c r="I14" s="6">
        <f>+(((((1000000*8.8)*55.97%)/15*12)/30)*H14)*E14</f>
        <v>3152230.3999999994</v>
      </c>
      <c r="J14" s="4">
        <v>0.08</v>
      </c>
      <c r="K14" s="5">
        <f t="shared" si="0"/>
        <v>252178.43199999997</v>
      </c>
      <c r="L14" s="5">
        <f t="shared" si="1"/>
        <v>3404408.8319999995</v>
      </c>
      <c r="M14" s="5">
        <f t="shared" si="2"/>
        <v>340440.88319999998</v>
      </c>
      <c r="N14" s="5">
        <f t="shared" si="3"/>
        <v>64683.767807999997</v>
      </c>
      <c r="O14" s="5">
        <f t="shared" si="4"/>
        <v>3469092.5998079996</v>
      </c>
      <c r="R14">
        <f t="shared" si="5"/>
        <v>1</v>
      </c>
    </row>
    <row r="15" spans="2:18" x14ac:dyDescent="0.25">
      <c r="B15" s="411"/>
      <c r="C15" s="18" t="s">
        <v>14</v>
      </c>
      <c r="D15" s="7" t="s">
        <v>127</v>
      </c>
      <c r="E15" s="1">
        <v>1</v>
      </c>
      <c r="F15" s="2" t="s">
        <v>15</v>
      </c>
      <c r="G15" s="1">
        <v>1</v>
      </c>
      <c r="H15" s="1">
        <v>30</v>
      </c>
      <c r="I15" s="3">
        <f>+(((1000000*8.8)/30)*H15)*E15</f>
        <v>8800000</v>
      </c>
      <c r="J15" s="4">
        <v>0.08</v>
      </c>
      <c r="K15" s="5">
        <f t="shared" si="0"/>
        <v>704000</v>
      </c>
      <c r="L15" s="5">
        <f t="shared" si="1"/>
        <v>9504000</v>
      </c>
      <c r="M15" s="5">
        <f t="shared" si="2"/>
        <v>950400</v>
      </c>
      <c r="N15" s="5">
        <f t="shared" si="3"/>
        <v>180576</v>
      </c>
      <c r="O15" s="5">
        <f t="shared" si="4"/>
        <v>9684576</v>
      </c>
      <c r="R15">
        <f t="shared" si="5"/>
        <v>1</v>
      </c>
    </row>
    <row r="16" spans="2:18" x14ac:dyDescent="0.25">
      <c r="B16" s="411"/>
      <c r="C16" s="18" t="s">
        <v>14</v>
      </c>
      <c r="D16" s="413" t="s">
        <v>128</v>
      </c>
      <c r="E16" s="1">
        <v>1</v>
      </c>
      <c r="F16" s="2" t="s">
        <v>16</v>
      </c>
      <c r="G16" s="1">
        <v>1</v>
      </c>
      <c r="H16" s="1">
        <v>30</v>
      </c>
      <c r="I16" s="6">
        <f>+(((((1000000*8.8)*55.97%)/15*12)/30)*H16)*E16</f>
        <v>3940287.9999999995</v>
      </c>
      <c r="J16" s="4">
        <v>0.08</v>
      </c>
      <c r="K16" s="5">
        <f t="shared" si="0"/>
        <v>315223.03999999998</v>
      </c>
      <c r="L16" s="5">
        <f t="shared" si="1"/>
        <v>4255511.0399999991</v>
      </c>
      <c r="M16" s="5">
        <f t="shared" si="2"/>
        <v>425551.10399999993</v>
      </c>
      <c r="N16" s="5">
        <f t="shared" si="3"/>
        <v>80854.709759999983</v>
      </c>
      <c r="O16" s="5">
        <f t="shared" si="4"/>
        <v>4336365.7497599991</v>
      </c>
      <c r="R16">
        <f t="shared" si="5"/>
        <v>1</v>
      </c>
    </row>
    <row r="17" spans="2:18" x14ac:dyDescent="0.25">
      <c r="B17" s="411"/>
      <c r="C17" s="18" t="s">
        <v>14</v>
      </c>
      <c r="D17" s="413"/>
      <c r="E17" s="1">
        <v>1</v>
      </c>
      <c r="F17" s="2" t="s">
        <v>17</v>
      </c>
      <c r="G17" s="1">
        <v>1</v>
      </c>
      <c r="H17" s="1">
        <v>24</v>
      </c>
      <c r="I17" s="6">
        <f>+(((((1000000*8.8)*55.97%)/15*12)/30)*H17)*E17</f>
        <v>3152230.3999999994</v>
      </c>
      <c r="J17" s="4">
        <v>0.08</v>
      </c>
      <c r="K17" s="5">
        <f t="shared" si="0"/>
        <v>252178.43199999997</v>
      </c>
      <c r="L17" s="5">
        <f t="shared" si="1"/>
        <v>3404408.8319999995</v>
      </c>
      <c r="M17" s="5">
        <f t="shared" si="2"/>
        <v>340440.88319999998</v>
      </c>
      <c r="N17" s="5">
        <f t="shared" si="3"/>
        <v>64683.767807999997</v>
      </c>
      <c r="O17" s="5">
        <f t="shared" si="4"/>
        <v>3469092.5998079996</v>
      </c>
      <c r="R17">
        <f t="shared" si="5"/>
        <v>1</v>
      </c>
    </row>
    <row r="18" spans="2:18" x14ac:dyDescent="0.25">
      <c r="B18" s="411"/>
      <c r="C18" s="18" t="s">
        <v>14</v>
      </c>
      <c r="D18" s="413" t="s">
        <v>129</v>
      </c>
      <c r="E18" s="1">
        <v>1</v>
      </c>
      <c r="F18" s="2" t="s">
        <v>16</v>
      </c>
      <c r="G18" s="1">
        <v>1</v>
      </c>
      <c r="H18" s="1">
        <v>30</v>
      </c>
      <c r="I18" s="6">
        <f>+(((((1000000*8.8)*55.97%)/15*12)/30)*H18)*E18</f>
        <v>3940287.9999999995</v>
      </c>
      <c r="J18" s="4">
        <v>0.08</v>
      </c>
      <c r="K18" s="5">
        <f t="shared" si="0"/>
        <v>315223.03999999998</v>
      </c>
      <c r="L18" s="5">
        <f t="shared" si="1"/>
        <v>4255511.0399999991</v>
      </c>
      <c r="M18" s="5">
        <f t="shared" si="2"/>
        <v>425551.10399999993</v>
      </c>
      <c r="N18" s="5">
        <f t="shared" si="3"/>
        <v>80854.709759999983</v>
      </c>
      <c r="O18" s="5">
        <f t="shared" si="4"/>
        <v>4336365.7497599991</v>
      </c>
      <c r="R18">
        <f t="shared" si="5"/>
        <v>1</v>
      </c>
    </row>
    <row r="19" spans="2:18" x14ac:dyDescent="0.25">
      <c r="B19" s="411"/>
      <c r="C19" s="18" t="s">
        <v>14</v>
      </c>
      <c r="D19" s="413"/>
      <c r="E19" s="1">
        <v>1</v>
      </c>
      <c r="F19" s="2" t="s">
        <v>19</v>
      </c>
      <c r="G19" s="1">
        <v>1</v>
      </c>
      <c r="H19" s="1">
        <v>24</v>
      </c>
      <c r="I19" s="6">
        <f>+(((((1000000*8.8)*55.97%)/15*14)/30)*H19)*E19</f>
        <v>3677602.1333333328</v>
      </c>
      <c r="J19" s="4">
        <v>0.08</v>
      </c>
      <c r="K19" s="5">
        <f t="shared" si="0"/>
        <v>294208.17066666664</v>
      </c>
      <c r="L19" s="5">
        <f t="shared" si="1"/>
        <v>3971810.3039999995</v>
      </c>
      <c r="M19" s="5">
        <f t="shared" si="2"/>
        <v>397181.03039999999</v>
      </c>
      <c r="N19" s="5">
        <f t="shared" si="3"/>
        <v>75464.395776000005</v>
      </c>
      <c r="O19" s="5">
        <f t="shared" si="4"/>
        <v>4047274.6997759994</v>
      </c>
      <c r="R19">
        <f t="shared" si="5"/>
        <v>1</v>
      </c>
    </row>
    <row r="20" spans="2:18" x14ac:dyDescent="0.25">
      <c r="B20" s="411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3">
        <f>+(((1000000*8.8)/30)*H20)*E20</f>
        <v>8800000</v>
      </c>
      <c r="J20" s="4">
        <v>0.08</v>
      </c>
      <c r="K20" s="5">
        <f t="shared" si="0"/>
        <v>704000</v>
      </c>
      <c r="L20" s="5">
        <f t="shared" si="1"/>
        <v>9504000</v>
      </c>
      <c r="M20" s="5">
        <f t="shared" si="2"/>
        <v>950400</v>
      </c>
      <c r="N20" s="5">
        <f t="shared" si="3"/>
        <v>180576</v>
      </c>
      <c r="O20" s="5">
        <f t="shared" si="4"/>
        <v>9684576</v>
      </c>
      <c r="R20">
        <f t="shared" si="5"/>
        <v>1</v>
      </c>
    </row>
    <row r="21" spans="2:18" x14ac:dyDescent="0.25">
      <c r="B21" s="411"/>
      <c r="C21" s="18" t="s">
        <v>14</v>
      </c>
      <c r="D21" s="2" t="s">
        <v>131</v>
      </c>
      <c r="E21" s="1">
        <v>1</v>
      </c>
      <c r="F21" s="2" t="s">
        <v>17</v>
      </c>
      <c r="G21" s="1">
        <v>1</v>
      </c>
      <c r="H21" s="1">
        <v>24</v>
      </c>
      <c r="I21" s="6">
        <f>+(((((1000000*8.8)*55.97%)/15*12)/30)*H21)*E21</f>
        <v>3152230.3999999994</v>
      </c>
      <c r="J21" s="4">
        <v>0.08</v>
      </c>
      <c r="K21" s="5">
        <f t="shared" si="0"/>
        <v>252178.43199999997</v>
      </c>
      <c r="L21" s="5">
        <f t="shared" si="1"/>
        <v>3404408.8319999995</v>
      </c>
      <c r="M21" s="5">
        <f t="shared" si="2"/>
        <v>340440.88319999998</v>
      </c>
      <c r="N21" s="5">
        <f t="shared" si="3"/>
        <v>64683.767807999997</v>
      </c>
      <c r="O21" s="5">
        <f t="shared" si="4"/>
        <v>3469092.5998079996</v>
      </c>
      <c r="R21">
        <f t="shared" si="5"/>
        <v>1</v>
      </c>
    </row>
    <row r="22" spans="2:18" x14ac:dyDescent="0.25">
      <c r="B22" s="411"/>
      <c r="C22" s="18" t="s">
        <v>14</v>
      </c>
      <c r="D22" s="2" t="s">
        <v>132</v>
      </c>
      <c r="E22" s="1">
        <v>1</v>
      </c>
      <c r="F22" s="2" t="s">
        <v>20</v>
      </c>
      <c r="G22" s="1">
        <v>1</v>
      </c>
      <c r="H22" s="1">
        <v>30</v>
      </c>
      <c r="I22" s="6">
        <f>+(((((1000000*8.8)*55.97%)/15*14)/30)*H22)*E22</f>
        <v>4597002.666666666</v>
      </c>
      <c r="J22" s="4">
        <v>0.08</v>
      </c>
      <c r="K22" s="5">
        <f t="shared" si="0"/>
        <v>367760.21333333332</v>
      </c>
      <c r="L22" s="5">
        <f t="shared" si="1"/>
        <v>4964762.879999999</v>
      </c>
      <c r="M22" s="5">
        <f t="shared" si="2"/>
        <v>496476.28799999994</v>
      </c>
      <c r="N22" s="5">
        <f t="shared" si="3"/>
        <v>94330.494719999988</v>
      </c>
      <c r="O22" s="5">
        <f t="shared" si="4"/>
        <v>5059093.3747199988</v>
      </c>
      <c r="R22">
        <f t="shared" si="5"/>
        <v>1</v>
      </c>
    </row>
    <row r="23" spans="2:18" x14ac:dyDescent="0.25">
      <c r="B23" s="411"/>
      <c r="C23" s="18" t="s">
        <v>14</v>
      </c>
      <c r="D23" s="413" t="s">
        <v>133</v>
      </c>
      <c r="E23" s="1">
        <v>1</v>
      </c>
      <c r="F23" s="2" t="s">
        <v>16</v>
      </c>
      <c r="G23" s="1">
        <v>1</v>
      </c>
      <c r="H23" s="1">
        <v>30</v>
      </c>
      <c r="I23" s="6">
        <f>+(((((1000000*8.8)*55.97%)/15*12)/30)*H23)*E23</f>
        <v>3940287.9999999995</v>
      </c>
      <c r="J23" s="4">
        <v>0.08</v>
      </c>
      <c r="K23" s="5">
        <f t="shared" si="0"/>
        <v>315223.03999999998</v>
      </c>
      <c r="L23" s="5">
        <f t="shared" si="1"/>
        <v>4255511.0399999991</v>
      </c>
      <c r="M23" s="5">
        <f t="shared" si="2"/>
        <v>425551.10399999993</v>
      </c>
      <c r="N23" s="5">
        <f t="shared" si="3"/>
        <v>80854.709759999983</v>
      </c>
      <c r="O23" s="5">
        <f t="shared" si="4"/>
        <v>4336365.7497599991</v>
      </c>
      <c r="R23">
        <f t="shared" si="5"/>
        <v>1</v>
      </c>
    </row>
    <row r="24" spans="2:18" x14ac:dyDescent="0.25">
      <c r="B24" s="411"/>
      <c r="C24" s="18" t="s">
        <v>14</v>
      </c>
      <c r="D24" s="413"/>
      <c r="E24" s="1">
        <v>1</v>
      </c>
      <c r="F24" s="2" t="s">
        <v>19</v>
      </c>
      <c r="G24" s="1">
        <v>1</v>
      </c>
      <c r="H24" s="1">
        <v>24</v>
      </c>
      <c r="I24" s="6">
        <f>+(((((1000000*8.8)*55.97%)/15*14)/30)*H24)*E24</f>
        <v>3677602.1333333328</v>
      </c>
      <c r="J24" s="4">
        <v>0.08</v>
      </c>
      <c r="K24" s="5">
        <f t="shared" si="0"/>
        <v>294208.17066666664</v>
      </c>
      <c r="L24" s="5">
        <f t="shared" si="1"/>
        <v>3971810.3039999995</v>
      </c>
      <c r="M24" s="5">
        <f t="shared" si="2"/>
        <v>397181.03039999999</v>
      </c>
      <c r="N24" s="5">
        <f t="shared" si="3"/>
        <v>75464.395776000005</v>
      </c>
      <c r="O24" s="5">
        <f t="shared" si="4"/>
        <v>4047274.6997759994</v>
      </c>
      <c r="R24">
        <f t="shared" si="5"/>
        <v>1</v>
      </c>
    </row>
    <row r="25" spans="2:18" x14ac:dyDescent="0.25">
      <c r="B25" s="411"/>
      <c r="C25" s="18" t="s">
        <v>14</v>
      </c>
      <c r="D25" s="2" t="s">
        <v>134</v>
      </c>
      <c r="E25" s="1">
        <v>1</v>
      </c>
      <c r="F25" s="8" t="s">
        <v>21</v>
      </c>
      <c r="G25" s="1">
        <v>1</v>
      </c>
      <c r="H25" s="1">
        <v>24</v>
      </c>
      <c r="I25" s="6">
        <f>+(((((1000000*8.8)*55.97%)/15*8)/30)*H25)*E25</f>
        <v>2101486.9333333336</v>
      </c>
      <c r="J25" s="4">
        <v>0.08</v>
      </c>
      <c r="K25" s="5">
        <f t="shared" si="0"/>
        <v>168118.95466666669</v>
      </c>
      <c r="L25" s="5">
        <f t="shared" si="1"/>
        <v>2269605.8880000003</v>
      </c>
      <c r="M25" s="5">
        <f t="shared" si="2"/>
        <v>226960.58880000003</v>
      </c>
      <c r="N25" s="5">
        <f t="shared" si="3"/>
        <v>43122.511872000003</v>
      </c>
      <c r="O25" s="5">
        <f t="shared" si="4"/>
        <v>2312728.3998720003</v>
      </c>
      <c r="R25">
        <f t="shared" si="5"/>
        <v>1</v>
      </c>
    </row>
    <row r="26" spans="2:18" x14ac:dyDescent="0.25">
      <c r="B26" s="411"/>
      <c r="C26" s="18" t="s">
        <v>14</v>
      </c>
      <c r="D26" s="413" t="s">
        <v>135</v>
      </c>
      <c r="E26" s="1">
        <v>1</v>
      </c>
      <c r="F26" s="2" t="s">
        <v>15</v>
      </c>
      <c r="G26" s="1">
        <v>1</v>
      </c>
      <c r="H26" s="1">
        <v>30</v>
      </c>
      <c r="I26" s="3">
        <f>+(((1000000*8.8)/30)*H26)*E26</f>
        <v>8800000</v>
      </c>
      <c r="J26" s="4">
        <v>0.08</v>
      </c>
      <c r="K26" s="5">
        <f t="shared" si="0"/>
        <v>704000</v>
      </c>
      <c r="L26" s="5">
        <f t="shared" si="1"/>
        <v>9504000</v>
      </c>
      <c r="M26" s="5">
        <f t="shared" si="2"/>
        <v>950400</v>
      </c>
      <c r="N26" s="5">
        <f t="shared" si="3"/>
        <v>180576</v>
      </c>
      <c r="O26" s="5">
        <f t="shared" si="4"/>
        <v>9684576</v>
      </c>
      <c r="R26">
        <f t="shared" si="5"/>
        <v>1</v>
      </c>
    </row>
    <row r="27" spans="2:18" x14ac:dyDescent="0.25">
      <c r="B27" s="411"/>
      <c r="C27" s="18" t="s">
        <v>14</v>
      </c>
      <c r="D27" s="413"/>
      <c r="E27" s="1">
        <v>1</v>
      </c>
      <c r="F27" s="2" t="s">
        <v>17</v>
      </c>
      <c r="G27" s="1">
        <v>1</v>
      </c>
      <c r="H27" s="1">
        <v>24</v>
      </c>
      <c r="I27" s="6">
        <f>+(((((1000000*8.8)*55.97%)/15*12)/30)*H27)*E27</f>
        <v>3152230.3999999994</v>
      </c>
      <c r="J27" s="4">
        <v>0.08</v>
      </c>
      <c r="K27" s="5">
        <f t="shared" si="0"/>
        <v>252178.43199999997</v>
      </c>
      <c r="L27" s="5">
        <f t="shared" si="1"/>
        <v>3404408.8319999995</v>
      </c>
      <c r="M27" s="5">
        <f t="shared" si="2"/>
        <v>340440.88319999998</v>
      </c>
      <c r="N27" s="5">
        <f t="shared" si="3"/>
        <v>64683.767807999997</v>
      </c>
      <c r="O27" s="5">
        <f t="shared" si="4"/>
        <v>3469092.5998079996</v>
      </c>
      <c r="R27">
        <f t="shared" si="5"/>
        <v>1</v>
      </c>
    </row>
    <row r="28" spans="2:18" x14ac:dyDescent="0.25">
      <c r="B28" s="411"/>
      <c r="C28" s="18" t="s">
        <v>14</v>
      </c>
      <c r="D28" s="2" t="s">
        <v>136</v>
      </c>
      <c r="E28" s="1">
        <v>1</v>
      </c>
      <c r="F28" s="2" t="s">
        <v>19</v>
      </c>
      <c r="G28" s="1">
        <v>1</v>
      </c>
      <c r="H28" s="1">
        <v>24</v>
      </c>
      <c r="I28" s="6">
        <f>+(((((1000000*8.8)*55.97%)/15*14)/30)*H28)*E28</f>
        <v>3677602.1333333328</v>
      </c>
      <c r="J28" s="4">
        <v>0.08</v>
      </c>
      <c r="K28" s="5">
        <f t="shared" si="0"/>
        <v>294208.17066666664</v>
      </c>
      <c r="L28" s="5">
        <f t="shared" si="1"/>
        <v>3971810.3039999995</v>
      </c>
      <c r="M28" s="5">
        <f t="shared" si="2"/>
        <v>397181.03039999999</v>
      </c>
      <c r="N28" s="5">
        <f t="shared" si="3"/>
        <v>75464.395776000005</v>
      </c>
      <c r="O28" s="5">
        <f t="shared" si="4"/>
        <v>4047274.6997759994</v>
      </c>
      <c r="R28">
        <f t="shared" si="5"/>
        <v>1</v>
      </c>
    </row>
    <row r="29" spans="2:18" x14ac:dyDescent="0.25">
      <c r="B29" s="411"/>
      <c r="C29" s="18" t="s">
        <v>14</v>
      </c>
      <c r="D29" s="7" t="s">
        <v>137</v>
      </c>
      <c r="E29" s="1">
        <v>1</v>
      </c>
      <c r="F29" s="2" t="s">
        <v>17</v>
      </c>
      <c r="G29" s="1">
        <v>1</v>
      </c>
      <c r="H29" s="1">
        <v>24</v>
      </c>
      <c r="I29" s="6">
        <f>+(((((1000000*8.8)*55.97%)/15*12)/30)*H29)*E29</f>
        <v>3152230.3999999994</v>
      </c>
      <c r="J29" s="4">
        <v>0.08</v>
      </c>
      <c r="K29" s="5">
        <f t="shared" si="0"/>
        <v>252178.43199999997</v>
      </c>
      <c r="L29" s="5">
        <f t="shared" si="1"/>
        <v>3404408.8319999995</v>
      </c>
      <c r="M29" s="5">
        <f t="shared" si="2"/>
        <v>340440.88319999998</v>
      </c>
      <c r="N29" s="5">
        <f t="shared" si="3"/>
        <v>64683.767807999997</v>
      </c>
      <c r="O29" s="5">
        <f t="shared" si="4"/>
        <v>3469092.5998079996</v>
      </c>
      <c r="R29">
        <f t="shared" si="5"/>
        <v>1</v>
      </c>
    </row>
    <row r="30" spans="2:18" x14ac:dyDescent="0.25">
      <c r="B30" s="411"/>
      <c r="C30" s="18" t="s">
        <v>14</v>
      </c>
      <c r="D30" s="2" t="s">
        <v>138</v>
      </c>
      <c r="E30" s="1">
        <v>1</v>
      </c>
      <c r="F30" s="2" t="s">
        <v>15</v>
      </c>
      <c r="G30" s="1">
        <v>1</v>
      </c>
      <c r="H30" s="1">
        <v>30</v>
      </c>
      <c r="I30" s="3">
        <f>+(((1000000*8.8)/30)*H30)*E30</f>
        <v>8800000</v>
      </c>
      <c r="J30" s="4">
        <v>0.08</v>
      </c>
      <c r="K30" s="5">
        <f t="shared" si="0"/>
        <v>704000</v>
      </c>
      <c r="L30" s="5">
        <f t="shared" si="1"/>
        <v>9504000</v>
      </c>
      <c r="M30" s="5">
        <f t="shared" si="2"/>
        <v>950400</v>
      </c>
      <c r="N30" s="5">
        <f t="shared" si="3"/>
        <v>180576</v>
      </c>
      <c r="O30" s="5">
        <f t="shared" si="4"/>
        <v>9684576</v>
      </c>
      <c r="R30">
        <f t="shared" si="5"/>
        <v>1</v>
      </c>
    </row>
    <row r="31" spans="2:18" x14ac:dyDescent="0.25">
      <c r="B31" s="411"/>
      <c r="C31" s="18" t="s">
        <v>14</v>
      </c>
      <c r="D31" s="2" t="s">
        <v>91</v>
      </c>
      <c r="E31" s="1">
        <v>1</v>
      </c>
      <c r="F31" s="2" t="s">
        <v>15</v>
      </c>
      <c r="G31" s="1">
        <v>1</v>
      </c>
      <c r="H31" s="1">
        <v>30</v>
      </c>
      <c r="I31" s="3">
        <f>+(((1000000*8.8)/30)*H31)*E31</f>
        <v>8800000</v>
      </c>
      <c r="J31" s="4">
        <v>0.08</v>
      </c>
      <c r="K31" s="5">
        <f t="shared" si="0"/>
        <v>704000</v>
      </c>
      <c r="L31" s="5">
        <f t="shared" si="1"/>
        <v>9504000</v>
      </c>
      <c r="M31" s="5">
        <f t="shared" si="2"/>
        <v>950400</v>
      </c>
      <c r="N31" s="5">
        <f t="shared" si="3"/>
        <v>180576</v>
      </c>
      <c r="O31" s="5">
        <f t="shared" si="4"/>
        <v>9684576</v>
      </c>
      <c r="R31">
        <f t="shared" si="5"/>
        <v>1</v>
      </c>
    </row>
    <row r="32" spans="2:18" x14ac:dyDescent="0.25">
      <c r="B32" s="411"/>
      <c r="C32" s="18" t="s">
        <v>14</v>
      </c>
      <c r="D32" s="2" t="s">
        <v>92</v>
      </c>
      <c r="E32" s="1">
        <v>1</v>
      </c>
      <c r="F32" s="2" t="s">
        <v>15</v>
      </c>
      <c r="G32" s="1">
        <v>1</v>
      </c>
      <c r="H32" s="1">
        <v>30</v>
      </c>
      <c r="I32" s="3">
        <f>+(((1000000*8.8)/30)*H32)*E32</f>
        <v>8800000</v>
      </c>
      <c r="J32" s="4">
        <v>0.08</v>
      </c>
      <c r="K32" s="5">
        <f t="shared" si="0"/>
        <v>704000</v>
      </c>
      <c r="L32" s="5">
        <f t="shared" si="1"/>
        <v>9504000</v>
      </c>
      <c r="M32" s="5">
        <f t="shared" si="2"/>
        <v>950400</v>
      </c>
      <c r="N32" s="5">
        <f t="shared" si="3"/>
        <v>180576</v>
      </c>
      <c r="O32" s="5">
        <f t="shared" si="4"/>
        <v>9684576</v>
      </c>
      <c r="R32">
        <f t="shared" si="5"/>
        <v>1</v>
      </c>
    </row>
    <row r="33" spans="2:18" x14ac:dyDescent="0.25">
      <c r="B33" s="411"/>
      <c r="C33" s="18" t="s">
        <v>14</v>
      </c>
      <c r="D33" s="2" t="s">
        <v>116</v>
      </c>
      <c r="E33" s="1">
        <v>1</v>
      </c>
      <c r="F33" s="2" t="s">
        <v>15</v>
      </c>
      <c r="G33" s="1">
        <v>1</v>
      </c>
      <c r="H33" s="1">
        <v>30</v>
      </c>
      <c r="I33" s="3">
        <f>+(((1000000*8.8)/30)*H33)*E33</f>
        <v>8800000</v>
      </c>
      <c r="J33" s="4">
        <v>0.08</v>
      </c>
      <c r="K33" s="5">
        <f t="shared" si="0"/>
        <v>704000</v>
      </c>
      <c r="L33" s="5">
        <f t="shared" si="1"/>
        <v>9504000</v>
      </c>
      <c r="M33" s="5">
        <f t="shared" si="2"/>
        <v>950400</v>
      </c>
      <c r="N33" s="5">
        <f t="shared" si="3"/>
        <v>180576</v>
      </c>
      <c r="O33" s="5">
        <f t="shared" si="4"/>
        <v>9684576</v>
      </c>
      <c r="R33">
        <f t="shared" si="5"/>
        <v>1</v>
      </c>
    </row>
    <row r="34" spans="2:18" x14ac:dyDescent="0.25">
      <c r="B34" s="411"/>
      <c r="C34" s="18" t="s">
        <v>14</v>
      </c>
      <c r="D34" s="2" t="s">
        <v>117</v>
      </c>
      <c r="E34" s="1">
        <v>1</v>
      </c>
      <c r="F34" s="2" t="s">
        <v>16</v>
      </c>
      <c r="G34" s="1">
        <v>1</v>
      </c>
      <c r="H34" s="1">
        <v>30</v>
      </c>
      <c r="I34" s="6">
        <f>+(((((1000000*8.8)*55.97%)/15*12)/30)*H34)*E34</f>
        <v>3940287.9999999995</v>
      </c>
      <c r="J34" s="4">
        <v>0.08</v>
      </c>
      <c r="K34" s="5">
        <f t="shared" si="0"/>
        <v>315223.03999999998</v>
      </c>
      <c r="L34" s="5">
        <f t="shared" si="1"/>
        <v>4255511.0399999991</v>
      </c>
      <c r="M34" s="5">
        <f t="shared" si="2"/>
        <v>425551.10399999993</v>
      </c>
      <c r="N34" s="5">
        <f t="shared" si="3"/>
        <v>80854.709759999983</v>
      </c>
      <c r="O34" s="5">
        <f t="shared" si="4"/>
        <v>4336365.7497599991</v>
      </c>
      <c r="R34">
        <f t="shared" si="5"/>
        <v>1</v>
      </c>
    </row>
    <row r="35" spans="2:18" x14ac:dyDescent="0.25">
      <c r="B35" s="411"/>
      <c r="C35" s="18" t="s">
        <v>14</v>
      </c>
      <c r="D35" s="2" t="s">
        <v>118</v>
      </c>
      <c r="E35" s="1">
        <v>1</v>
      </c>
      <c r="F35" s="2" t="s">
        <v>16</v>
      </c>
      <c r="G35" s="1">
        <v>1</v>
      </c>
      <c r="H35" s="1">
        <v>30</v>
      </c>
      <c r="I35" s="6">
        <f>+(((((1000000*8.8)*55.97%)/15*12)/30)*H35)*E35</f>
        <v>3940287.9999999995</v>
      </c>
      <c r="J35" s="4">
        <v>0.08</v>
      </c>
      <c r="K35" s="5">
        <f t="shared" si="0"/>
        <v>315223.03999999998</v>
      </c>
      <c r="L35" s="5">
        <f t="shared" si="1"/>
        <v>4255511.0399999991</v>
      </c>
      <c r="M35" s="5">
        <f t="shared" si="2"/>
        <v>425551.10399999993</v>
      </c>
      <c r="N35" s="5">
        <f t="shared" si="3"/>
        <v>80854.709759999983</v>
      </c>
      <c r="O35" s="5">
        <f t="shared" si="4"/>
        <v>4336365.7497599991</v>
      </c>
      <c r="R35">
        <f t="shared" si="5"/>
        <v>1</v>
      </c>
    </row>
    <row r="36" spans="2:18" x14ac:dyDescent="0.25">
      <c r="B36" s="411"/>
      <c r="C36" s="18" t="s">
        <v>14</v>
      </c>
      <c r="D36" s="2" t="s">
        <v>119</v>
      </c>
      <c r="E36" s="1">
        <v>1</v>
      </c>
      <c r="F36" s="2" t="s">
        <v>15</v>
      </c>
      <c r="G36" s="1">
        <v>1</v>
      </c>
      <c r="H36" s="1">
        <v>30</v>
      </c>
      <c r="I36" s="3">
        <f>+(((1000000*8.8)/30)*H36)*E36</f>
        <v>8800000</v>
      </c>
      <c r="J36" s="4">
        <v>0.08</v>
      </c>
      <c r="K36" s="5">
        <f t="shared" si="0"/>
        <v>704000</v>
      </c>
      <c r="L36" s="5">
        <f t="shared" si="1"/>
        <v>9504000</v>
      </c>
      <c r="M36" s="5">
        <f t="shared" si="2"/>
        <v>950400</v>
      </c>
      <c r="N36" s="5">
        <f t="shared" si="3"/>
        <v>180576</v>
      </c>
      <c r="O36" s="5">
        <f t="shared" si="4"/>
        <v>9684576</v>
      </c>
      <c r="R36">
        <f t="shared" si="5"/>
        <v>1</v>
      </c>
    </row>
    <row r="37" spans="2:18" x14ac:dyDescent="0.25">
      <c r="B37" s="411"/>
      <c r="C37" s="18" t="s">
        <v>14</v>
      </c>
      <c r="D37" s="2" t="s">
        <v>120</v>
      </c>
      <c r="E37" s="1">
        <v>1</v>
      </c>
      <c r="F37" s="2" t="s">
        <v>15</v>
      </c>
      <c r="G37" s="1">
        <v>1</v>
      </c>
      <c r="H37" s="1">
        <v>30</v>
      </c>
      <c r="I37" s="3">
        <f>+(((1000000*8.8)/30)*H37)*E37</f>
        <v>8800000</v>
      </c>
      <c r="J37" s="4">
        <v>0.08</v>
      </c>
      <c r="K37" s="5">
        <f t="shared" si="0"/>
        <v>704000</v>
      </c>
      <c r="L37" s="5">
        <f t="shared" si="1"/>
        <v>9504000</v>
      </c>
      <c r="M37" s="5">
        <f t="shared" si="2"/>
        <v>950400</v>
      </c>
      <c r="N37" s="5">
        <f t="shared" si="3"/>
        <v>180576</v>
      </c>
      <c r="O37" s="5">
        <f t="shared" si="4"/>
        <v>9684576</v>
      </c>
      <c r="R37">
        <f t="shared" si="5"/>
        <v>1</v>
      </c>
    </row>
    <row r="38" spans="2:18" x14ac:dyDescent="0.25">
      <c r="B38" s="412"/>
      <c r="C38" s="18" t="s">
        <v>14</v>
      </c>
      <c r="D38" s="2" t="s">
        <v>121</v>
      </c>
      <c r="E38" s="1">
        <v>1</v>
      </c>
      <c r="F38" s="2" t="s">
        <v>16</v>
      </c>
      <c r="G38" s="1">
        <v>1</v>
      </c>
      <c r="H38" s="1">
        <v>30</v>
      </c>
      <c r="I38" s="6">
        <f>+(((((1000000*8.8)*55.97%)/15*12)/30)*H38)*E38</f>
        <v>3940287.9999999995</v>
      </c>
      <c r="J38" s="4">
        <v>0.08</v>
      </c>
      <c r="K38" s="5">
        <f t="shared" si="0"/>
        <v>315223.03999999998</v>
      </c>
      <c r="L38" s="5">
        <f t="shared" si="1"/>
        <v>4255511.0399999991</v>
      </c>
      <c r="M38" s="5">
        <f t="shared" si="2"/>
        <v>425551.10399999993</v>
      </c>
      <c r="N38" s="5">
        <f t="shared" si="3"/>
        <v>80854.709759999983</v>
      </c>
      <c r="O38" s="5">
        <f t="shared" si="4"/>
        <v>4336365.7497599991</v>
      </c>
      <c r="R38">
        <f t="shared" si="5"/>
        <v>1</v>
      </c>
    </row>
    <row r="39" spans="2:18" x14ac:dyDescent="0.25">
      <c r="B39" s="46"/>
      <c r="C39" s="47"/>
      <c r="D39" s="47"/>
      <c r="E39" s="47"/>
      <c r="F39" s="47"/>
      <c r="G39" s="49">
        <f>SUM(G7:G38)</f>
        <v>32</v>
      </c>
      <c r="H39" s="48"/>
      <c r="I39" s="49">
        <f>SUM(I7:I38)</f>
        <v>177707270.40000001</v>
      </c>
      <c r="J39" s="50"/>
      <c r="K39" s="49">
        <f>SUM(K7:K38)</f>
        <v>14216581.631999997</v>
      </c>
      <c r="L39" s="49">
        <f>SUM(L7:L38)</f>
        <v>191923852.03199998</v>
      </c>
      <c r="M39" s="49">
        <f>SUM(M7:M38)</f>
        <v>19192385.203199998</v>
      </c>
      <c r="N39" s="49">
        <f>SUM(N7:N38)</f>
        <v>3646553.1886080005</v>
      </c>
      <c r="O39" s="49">
        <f>SUM(O7:O38)</f>
        <v>195570405.22060797</v>
      </c>
      <c r="R39">
        <f t="shared" si="5"/>
        <v>0</v>
      </c>
    </row>
    <row r="40" spans="2:18" ht="15" customHeight="1" x14ac:dyDescent="0.25">
      <c r="B40" s="398" t="s">
        <v>81</v>
      </c>
      <c r="C40" s="18" t="s">
        <v>14</v>
      </c>
      <c r="D40" s="2" t="s">
        <v>93</v>
      </c>
      <c r="E40" s="1">
        <v>1</v>
      </c>
      <c r="F40" s="2" t="s">
        <v>15</v>
      </c>
      <c r="G40" s="1">
        <v>1</v>
      </c>
      <c r="H40" s="1">
        <v>30</v>
      </c>
      <c r="I40" s="3">
        <f t="shared" ref="I40:I48" si="6">+(((1000000*8.8)/30)*H40)*E40</f>
        <v>8800000</v>
      </c>
      <c r="J40" s="4">
        <v>0.08</v>
      </c>
      <c r="K40" s="5">
        <f t="shared" ref="K40:K83" si="7">I40*J40</f>
        <v>704000</v>
      </c>
      <c r="L40" s="5">
        <f t="shared" ref="L40:L83" si="8">I40+K40</f>
        <v>9504000</v>
      </c>
      <c r="M40" s="5">
        <f t="shared" ref="M40:M83" si="9">L40*10%</f>
        <v>950400</v>
      </c>
      <c r="N40" s="5">
        <f t="shared" ref="N40:N83" si="10">+M40*19%</f>
        <v>180576</v>
      </c>
      <c r="O40" s="5">
        <f t="shared" ref="O40:O83" si="11">L40+N40</f>
        <v>9684576</v>
      </c>
      <c r="R40">
        <f t="shared" si="5"/>
        <v>1</v>
      </c>
    </row>
    <row r="41" spans="2:18" x14ac:dyDescent="0.25">
      <c r="B41" s="399"/>
      <c r="C41" s="18" t="s">
        <v>14</v>
      </c>
      <c r="D41" s="2" t="s">
        <v>139</v>
      </c>
      <c r="E41" s="1">
        <v>1</v>
      </c>
      <c r="F41" s="2" t="s">
        <v>15</v>
      </c>
      <c r="G41" s="1">
        <v>1</v>
      </c>
      <c r="H41" s="1">
        <v>30</v>
      </c>
      <c r="I41" s="3">
        <f t="shared" si="6"/>
        <v>8800000</v>
      </c>
      <c r="J41" s="4">
        <v>0.08</v>
      </c>
      <c r="K41" s="5">
        <f t="shared" si="7"/>
        <v>704000</v>
      </c>
      <c r="L41" s="5">
        <f t="shared" si="8"/>
        <v>9504000</v>
      </c>
      <c r="M41" s="5">
        <f t="shared" si="9"/>
        <v>950400</v>
      </c>
      <c r="N41" s="5">
        <f t="shared" si="10"/>
        <v>180576</v>
      </c>
      <c r="O41" s="5">
        <f t="shared" si="11"/>
        <v>9684576</v>
      </c>
      <c r="R41">
        <f t="shared" si="5"/>
        <v>1</v>
      </c>
    </row>
    <row r="42" spans="2:18" x14ac:dyDescent="0.25">
      <c r="B42" s="399"/>
      <c r="C42" s="18" t="s">
        <v>14</v>
      </c>
      <c r="D42" s="2" t="s">
        <v>140</v>
      </c>
      <c r="E42" s="1">
        <v>1</v>
      </c>
      <c r="F42" s="2" t="s">
        <v>15</v>
      </c>
      <c r="G42" s="1">
        <v>1</v>
      </c>
      <c r="H42" s="1">
        <v>30</v>
      </c>
      <c r="I42" s="3">
        <f t="shared" si="6"/>
        <v>8800000</v>
      </c>
      <c r="J42" s="4">
        <v>0.08</v>
      </c>
      <c r="K42" s="5">
        <f t="shared" si="7"/>
        <v>704000</v>
      </c>
      <c r="L42" s="5">
        <f t="shared" si="8"/>
        <v>9504000</v>
      </c>
      <c r="M42" s="5">
        <f t="shared" si="9"/>
        <v>950400</v>
      </c>
      <c r="N42" s="5">
        <f t="shared" si="10"/>
        <v>180576</v>
      </c>
      <c r="O42" s="5">
        <f t="shared" si="11"/>
        <v>9684576</v>
      </c>
      <c r="R42">
        <f t="shared" si="5"/>
        <v>1</v>
      </c>
    </row>
    <row r="43" spans="2:18" x14ac:dyDescent="0.25">
      <c r="B43" s="399"/>
      <c r="C43" s="18" t="s">
        <v>14</v>
      </c>
      <c r="D43" s="2" t="s">
        <v>141</v>
      </c>
      <c r="E43" s="1">
        <v>1</v>
      </c>
      <c r="F43" s="2" t="s">
        <v>15</v>
      </c>
      <c r="G43" s="1">
        <v>1</v>
      </c>
      <c r="H43" s="1">
        <v>30</v>
      </c>
      <c r="I43" s="3">
        <f t="shared" si="6"/>
        <v>8800000</v>
      </c>
      <c r="J43" s="4">
        <v>0.08</v>
      </c>
      <c r="K43" s="5">
        <f t="shared" si="7"/>
        <v>704000</v>
      </c>
      <c r="L43" s="5">
        <f t="shared" si="8"/>
        <v>9504000</v>
      </c>
      <c r="M43" s="5">
        <f t="shared" si="9"/>
        <v>950400</v>
      </c>
      <c r="N43" s="5">
        <f t="shared" si="10"/>
        <v>180576</v>
      </c>
      <c r="O43" s="5">
        <f t="shared" si="11"/>
        <v>9684576</v>
      </c>
      <c r="R43">
        <f t="shared" si="5"/>
        <v>1</v>
      </c>
    </row>
    <row r="44" spans="2:18" x14ac:dyDescent="0.25">
      <c r="B44" s="399"/>
      <c r="C44" s="18" t="s">
        <v>14</v>
      </c>
      <c r="D44" s="2" t="s">
        <v>142</v>
      </c>
      <c r="E44" s="1">
        <v>1</v>
      </c>
      <c r="F44" s="2" t="s">
        <v>15</v>
      </c>
      <c r="G44" s="1">
        <v>1</v>
      </c>
      <c r="H44" s="1">
        <v>30</v>
      </c>
      <c r="I44" s="3">
        <f t="shared" si="6"/>
        <v>8800000</v>
      </c>
      <c r="J44" s="4">
        <v>0.08</v>
      </c>
      <c r="K44" s="5">
        <f t="shared" si="7"/>
        <v>704000</v>
      </c>
      <c r="L44" s="5">
        <f t="shared" si="8"/>
        <v>9504000</v>
      </c>
      <c r="M44" s="5">
        <f t="shared" si="9"/>
        <v>950400</v>
      </c>
      <c r="N44" s="5">
        <f t="shared" si="10"/>
        <v>180576</v>
      </c>
      <c r="O44" s="5">
        <f t="shared" si="11"/>
        <v>9684576</v>
      </c>
      <c r="R44">
        <f t="shared" si="5"/>
        <v>1</v>
      </c>
    </row>
    <row r="45" spans="2:18" x14ac:dyDescent="0.25">
      <c r="B45" s="399"/>
      <c r="C45" s="18" t="s">
        <v>14</v>
      </c>
      <c r="D45" s="2" t="s">
        <v>143</v>
      </c>
      <c r="E45" s="1">
        <v>1</v>
      </c>
      <c r="F45" s="2" t="s">
        <v>15</v>
      </c>
      <c r="G45" s="1">
        <v>1</v>
      </c>
      <c r="H45" s="1">
        <v>30</v>
      </c>
      <c r="I45" s="3">
        <f t="shared" si="6"/>
        <v>8800000</v>
      </c>
      <c r="J45" s="4">
        <v>0.08</v>
      </c>
      <c r="K45" s="5">
        <f t="shared" si="7"/>
        <v>704000</v>
      </c>
      <c r="L45" s="5">
        <f t="shared" si="8"/>
        <v>9504000</v>
      </c>
      <c r="M45" s="5">
        <f t="shared" si="9"/>
        <v>950400</v>
      </c>
      <c r="N45" s="5">
        <f t="shared" si="10"/>
        <v>180576</v>
      </c>
      <c r="O45" s="5">
        <f t="shared" si="11"/>
        <v>9684576</v>
      </c>
      <c r="R45">
        <f t="shared" si="5"/>
        <v>1</v>
      </c>
    </row>
    <row r="46" spans="2:18" x14ac:dyDescent="0.25">
      <c r="B46" s="399"/>
      <c r="C46" s="18" t="s">
        <v>14</v>
      </c>
      <c r="D46" s="2" t="s">
        <v>144</v>
      </c>
      <c r="E46" s="1">
        <v>1</v>
      </c>
      <c r="F46" s="2" t="s">
        <v>15</v>
      </c>
      <c r="G46" s="1">
        <v>1</v>
      </c>
      <c r="H46" s="1">
        <v>30</v>
      </c>
      <c r="I46" s="3">
        <f t="shared" si="6"/>
        <v>8800000</v>
      </c>
      <c r="J46" s="4">
        <v>0.08</v>
      </c>
      <c r="K46" s="5">
        <f t="shared" si="7"/>
        <v>704000</v>
      </c>
      <c r="L46" s="5">
        <f t="shared" si="8"/>
        <v>9504000</v>
      </c>
      <c r="M46" s="5">
        <f t="shared" si="9"/>
        <v>950400</v>
      </c>
      <c r="N46" s="5">
        <f t="shared" si="10"/>
        <v>180576</v>
      </c>
      <c r="O46" s="5">
        <f t="shared" si="11"/>
        <v>9684576</v>
      </c>
      <c r="R46">
        <f t="shared" si="5"/>
        <v>1</v>
      </c>
    </row>
    <row r="47" spans="2:18" x14ac:dyDescent="0.25">
      <c r="B47" s="399"/>
      <c r="C47" s="18" t="s">
        <v>14</v>
      </c>
      <c r="D47" s="2" t="s">
        <v>145</v>
      </c>
      <c r="E47" s="1">
        <v>1</v>
      </c>
      <c r="F47" s="2" t="s">
        <v>15</v>
      </c>
      <c r="G47" s="1">
        <v>1</v>
      </c>
      <c r="H47" s="1">
        <v>30</v>
      </c>
      <c r="I47" s="3">
        <f t="shared" si="6"/>
        <v>8800000</v>
      </c>
      <c r="J47" s="4">
        <v>0.08</v>
      </c>
      <c r="K47" s="5">
        <f t="shared" si="7"/>
        <v>704000</v>
      </c>
      <c r="L47" s="5">
        <f t="shared" si="8"/>
        <v>9504000</v>
      </c>
      <c r="M47" s="5">
        <f t="shared" si="9"/>
        <v>950400</v>
      </c>
      <c r="N47" s="5">
        <f t="shared" si="10"/>
        <v>180576</v>
      </c>
      <c r="O47" s="5">
        <f t="shared" si="11"/>
        <v>9684576</v>
      </c>
      <c r="R47">
        <f t="shared" si="5"/>
        <v>1</v>
      </c>
    </row>
    <row r="48" spans="2:18" x14ac:dyDescent="0.25">
      <c r="B48" s="399"/>
      <c r="C48" s="18" t="s">
        <v>14</v>
      </c>
      <c r="D48" s="2" t="s">
        <v>146</v>
      </c>
      <c r="E48" s="1">
        <v>1</v>
      </c>
      <c r="F48" s="2" t="s">
        <v>15</v>
      </c>
      <c r="G48" s="1">
        <v>1</v>
      </c>
      <c r="H48" s="1">
        <v>30</v>
      </c>
      <c r="I48" s="3">
        <f t="shared" si="6"/>
        <v>8800000</v>
      </c>
      <c r="J48" s="4">
        <v>0.08</v>
      </c>
      <c r="K48" s="5">
        <f t="shared" si="7"/>
        <v>704000</v>
      </c>
      <c r="L48" s="5">
        <f t="shared" si="8"/>
        <v>9504000</v>
      </c>
      <c r="M48" s="5">
        <f t="shared" si="9"/>
        <v>950400</v>
      </c>
      <c r="N48" s="5">
        <f t="shared" si="10"/>
        <v>180576</v>
      </c>
      <c r="O48" s="5">
        <f t="shared" si="11"/>
        <v>9684576</v>
      </c>
      <c r="R48">
        <f t="shared" si="5"/>
        <v>1</v>
      </c>
    </row>
    <row r="49" spans="2:18" x14ac:dyDescent="0.25">
      <c r="B49" s="399"/>
      <c r="C49" s="18" t="s">
        <v>14</v>
      </c>
      <c r="D49" s="2" t="s">
        <v>147</v>
      </c>
      <c r="E49" s="1">
        <v>1</v>
      </c>
      <c r="F49" s="2" t="s">
        <v>17</v>
      </c>
      <c r="G49" s="1">
        <v>1</v>
      </c>
      <c r="H49" s="1">
        <v>24</v>
      </c>
      <c r="I49" s="6">
        <f>+(((((1000000*8.8)*55.97%)/15*12)/30)*H49)*E49</f>
        <v>3152230.3999999994</v>
      </c>
      <c r="J49" s="4">
        <v>0.08</v>
      </c>
      <c r="K49" s="5">
        <f t="shared" si="7"/>
        <v>252178.43199999997</v>
      </c>
      <c r="L49" s="5">
        <f t="shared" si="8"/>
        <v>3404408.8319999995</v>
      </c>
      <c r="M49" s="5">
        <f t="shared" si="9"/>
        <v>340440.88319999998</v>
      </c>
      <c r="N49" s="5">
        <f t="shared" si="10"/>
        <v>64683.767807999997</v>
      </c>
      <c r="O49" s="5">
        <f t="shared" si="11"/>
        <v>3469092.5998079996</v>
      </c>
      <c r="R49">
        <f t="shared" si="5"/>
        <v>1</v>
      </c>
    </row>
    <row r="50" spans="2:18" x14ac:dyDescent="0.25">
      <c r="B50" s="399"/>
      <c r="C50" s="18" t="s">
        <v>14</v>
      </c>
      <c r="D50" s="2" t="s">
        <v>148</v>
      </c>
      <c r="E50" s="10">
        <v>1</v>
      </c>
      <c r="F50" s="2" t="s">
        <v>17</v>
      </c>
      <c r="G50" s="10">
        <v>1</v>
      </c>
      <c r="H50" s="1">
        <v>24</v>
      </c>
      <c r="I50" s="6">
        <f>+(((((1000000*8.8)*55.97%)/15*12)/30)*H50)*E50</f>
        <v>3152230.3999999994</v>
      </c>
      <c r="J50" s="4">
        <v>0.08</v>
      </c>
      <c r="K50" s="5">
        <f t="shared" si="7"/>
        <v>252178.43199999997</v>
      </c>
      <c r="L50" s="5">
        <f t="shared" si="8"/>
        <v>3404408.8319999995</v>
      </c>
      <c r="M50" s="5">
        <f t="shared" si="9"/>
        <v>340440.88319999998</v>
      </c>
      <c r="N50" s="5">
        <f t="shared" si="10"/>
        <v>64683.767807999997</v>
      </c>
      <c r="O50" s="5">
        <f t="shared" si="11"/>
        <v>3469092.5998079996</v>
      </c>
      <c r="R50">
        <f t="shared" si="5"/>
        <v>1</v>
      </c>
    </row>
    <row r="51" spans="2:18" ht="15" customHeight="1" x14ac:dyDescent="0.25">
      <c r="B51" s="399"/>
      <c r="C51" s="18" t="s">
        <v>14</v>
      </c>
      <c r="D51" s="405" t="s">
        <v>94</v>
      </c>
      <c r="E51" s="1">
        <v>1</v>
      </c>
      <c r="F51" s="2" t="s">
        <v>15</v>
      </c>
      <c r="G51" s="1">
        <v>1</v>
      </c>
      <c r="H51" s="1">
        <v>30</v>
      </c>
      <c r="I51" s="3">
        <f>+(((1000000*8.8)/30)*H51)*E51</f>
        <v>8800000</v>
      </c>
      <c r="J51" s="4">
        <v>0.08</v>
      </c>
      <c r="K51" s="5">
        <f t="shared" si="7"/>
        <v>704000</v>
      </c>
      <c r="L51" s="5">
        <f t="shared" si="8"/>
        <v>9504000</v>
      </c>
      <c r="M51" s="5">
        <f t="shared" si="9"/>
        <v>950400</v>
      </c>
      <c r="N51" s="5">
        <f t="shared" si="10"/>
        <v>180576</v>
      </c>
      <c r="O51" s="5">
        <f t="shared" si="11"/>
        <v>9684576</v>
      </c>
      <c r="R51">
        <f t="shared" si="5"/>
        <v>1</v>
      </c>
    </row>
    <row r="52" spans="2:18" x14ac:dyDescent="0.25">
      <c r="B52" s="399"/>
      <c r="C52" s="18" t="s">
        <v>14</v>
      </c>
      <c r="D52" s="406"/>
      <c r="E52" s="1">
        <v>1</v>
      </c>
      <c r="F52" s="2" t="s">
        <v>16</v>
      </c>
      <c r="G52" s="1">
        <v>1</v>
      </c>
      <c r="H52" s="1">
        <v>30</v>
      </c>
      <c r="I52" s="6">
        <f>+(((((1000000*8.8)*55.97%)/15*12)/30)*H52)*E52</f>
        <v>3940287.9999999995</v>
      </c>
      <c r="J52" s="4">
        <v>0.08</v>
      </c>
      <c r="K52" s="5">
        <f t="shared" si="7"/>
        <v>315223.03999999998</v>
      </c>
      <c r="L52" s="5">
        <f t="shared" si="8"/>
        <v>4255511.0399999991</v>
      </c>
      <c r="M52" s="5">
        <f t="shared" si="9"/>
        <v>425551.10399999993</v>
      </c>
      <c r="N52" s="5">
        <f t="shared" si="10"/>
        <v>80854.709759999983</v>
      </c>
      <c r="O52" s="5">
        <f t="shared" si="11"/>
        <v>4336365.7497599991</v>
      </c>
      <c r="R52">
        <f t="shared" si="5"/>
        <v>1</v>
      </c>
    </row>
    <row r="53" spans="2:18" x14ac:dyDescent="0.25">
      <c r="B53" s="399"/>
      <c r="C53" s="18" t="s">
        <v>14</v>
      </c>
      <c r="D53" s="405" t="s">
        <v>99</v>
      </c>
      <c r="E53" s="1">
        <v>1</v>
      </c>
      <c r="F53" s="2" t="s">
        <v>15</v>
      </c>
      <c r="G53" s="1">
        <v>1</v>
      </c>
      <c r="H53" s="1">
        <v>30</v>
      </c>
      <c r="I53" s="3">
        <f>+(((1000000*8.8)/30)*H53)*E53</f>
        <v>8800000</v>
      </c>
      <c r="J53" s="4">
        <v>0.08</v>
      </c>
      <c r="K53" s="5">
        <f t="shared" si="7"/>
        <v>704000</v>
      </c>
      <c r="L53" s="5">
        <f t="shared" si="8"/>
        <v>9504000</v>
      </c>
      <c r="M53" s="5">
        <f t="shared" si="9"/>
        <v>950400</v>
      </c>
      <c r="N53" s="5">
        <f t="shared" si="10"/>
        <v>180576</v>
      </c>
      <c r="O53" s="5">
        <f t="shared" si="11"/>
        <v>9684576</v>
      </c>
      <c r="R53">
        <f t="shared" si="5"/>
        <v>1</v>
      </c>
    </row>
    <row r="54" spans="2:18" x14ac:dyDescent="0.25">
      <c r="B54" s="399"/>
      <c r="C54" s="18" t="s">
        <v>14</v>
      </c>
      <c r="D54" s="406"/>
      <c r="E54" s="1">
        <v>1</v>
      </c>
      <c r="F54" s="2" t="s">
        <v>16</v>
      </c>
      <c r="G54" s="1">
        <v>1</v>
      </c>
      <c r="H54" s="1">
        <v>30</v>
      </c>
      <c r="I54" s="6">
        <f>+(((((1000000*8.8)*55.97%)/15*12)/30)*H54)*E54</f>
        <v>3940287.9999999995</v>
      </c>
      <c r="J54" s="4">
        <v>0.08</v>
      </c>
      <c r="K54" s="5">
        <f t="shared" si="7"/>
        <v>315223.03999999998</v>
      </c>
      <c r="L54" s="5">
        <f t="shared" si="8"/>
        <v>4255511.0399999991</v>
      </c>
      <c r="M54" s="5">
        <f t="shared" si="9"/>
        <v>425551.10399999993</v>
      </c>
      <c r="N54" s="5">
        <f t="shared" si="10"/>
        <v>80854.709759999983</v>
      </c>
      <c r="O54" s="5">
        <f t="shared" si="11"/>
        <v>4336365.7497599991</v>
      </c>
      <c r="R54">
        <f t="shared" si="5"/>
        <v>1</v>
      </c>
    </row>
    <row r="55" spans="2:18" x14ac:dyDescent="0.25">
      <c r="B55" s="399"/>
      <c r="C55" s="18" t="s">
        <v>14</v>
      </c>
      <c r="D55" s="405" t="s">
        <v>96</v>
      </c>
      <c r="E55" s="1">
        <v>1</v>
      </c>
      <c r="F55" s="2" t="s">
        <v>15</v>
      </c>
      <c r="G55" s="1">
        <v>1</v>
      </c>
      <c r="H55" s="1">
        <v>30</v>
      </c>
      <c r="I55" s="3">
        <f>+(((1000000*8.8)/30)*H55)*E55</f>
        <v>8800000</v>
      </c>
      <c r="J55" s="4">
        <v>0.08</v>
      </c>
      <c r="K55" s="5">
        <f t="shared" si="7"/>
        <v>704000</v>
      </c>
      <c r="L55" s="5">
        <f t="shared" si="8"/>
        <v>9504000</v>
      </c>
      <c r="M55" s="5">
        <f t="shared" si="9"/>
        <v>950400</v>
      </c>
      <c r="N55" s="5">
        <f t="shared" si="10"/>
        <v>180576</v>
      </c>
      <c r="O55" s="5">
        <f t="shared" si="11"/>
        <v>9684576</v>
      </c>
      <c r="R55">
        <f t="shared" si="5"/>
        <v>1</v>
      </c>
    </row>
    <row r="56" spans="2:18" x14ac:dyDescent="0.25">
      <c r="B56" s="399"/>
      <c r="C56" s="18" t="s">
        <v>14</v>
      </c>
      <c r="D56" s="406"/>
      <c r="E56" s="1">
        <v>1</v>
      </c>
      <c r="F56" s="2" t="s">
        <v>16</v>
      </c>
      <c r="G56" s="1">
        <v>1</v>
      </c>
      <c r="H56" s="1">
        <v>30</v>
      </c>
      <c r="I56" s="6">
        <f>+(((((1000000*8.8)*55.97%)/15*12)/30)*H56)*E56</f>
        <v>3940287.9999999995</v>
      </c>
      <c r="J56" s="4">
        <v>0.08</v>
      </c>
      <c r="K56" s="5">
        <f t="shared" si="7"/>
        <v>315223.03999999998</v>
      </c>
      <c r="L56" s="5">
        <f t="shared" si="8"/>
        <v>4255511.0399999991</v>
      </c>
      <c r="M56" s="5">
        <f t="shared" si="9"/>
        <v>425551.10399999993</v>
      </c>
      <c r="N56" s="5">
        <f t="shared" si="10"/>
        <v>80854.709759999983</v>
      </c>
      <c r="O56" s="5">
        <f t="shared" si="11"/>
        <v>4336365.7497599991</v>
      </c>
      <c r="R56">
        <f t="shared" si="5"/>
        <v>1</v>
      </c>
    </row>
    <row r="57" spans="2:18" x14ac:dyDescent="0.25">
      <c r="B57" s="399"/>
      <c r="C57" s="18" t="s">
        <v>14</v>
      </c>
      <c r="D57" s="405" t="s">
        <v>100</v>
      </c>
      <c r="E57" s="1">
        <v>1</v>
      </c>
      <c r="F57" s="2" t="s">
        <v>15</v>
      </c>
      <c r="G57" s="1">
        <v>1</v>
      </c>
      <c r="H57" s="1">
        <v>30</v>
      </c>
      <c r="I57" s="3">
        <f>+(((1000000*8.8)/30)*H57)*E57</f>
        <v>8800000</v>
      </c>
      <c r="J57" s="4">
        <v>0.08</v>
      </c>
      <c r="K57" s="5">
        <f t="shared" si="7"/>
        <v>704000</v>
      </c>
      <c r="L57" s="5">
        <f t="shared" si="8"/>
        <v>9504000</v>
      </c>
      <c r="M57" s="5">
        <f t="shared" si="9"/>
        <v>950400</v>
      </c>
      <c r="N57" s="5">
        <f t="shared" si="10"/>
        <v>180576</v>
      </c>
      <c r="O57" s="5">
        <f t="shared" si="11"/>
        <v>9684576</v>
      </c>
      <c r="R57">
        <f t="shared" si="5"/>
        <v>1</v>
      </c>
    </row>
    <row r="58" spans="2:18" x14ac:dyDescent="0.25">
      <c r="B58" s="399"/>
      <c r="C58" s="18" t="s">
        <v>14</v>
      </c>
      <c r="D58" s="406"/>
      <c r="E58" s="1">
        <v>1</v>
      </c>
      <c r="F58" s="2" t="s">
        <v>16</v>
      </c>
      <c r="G58" s="1">
        <v>1</v>
      </c>
      <c r="H58" s="1">
        <v>30</v>
      </c>
      <c r="I58" s="6">
        <f>+(((((1000000*8.8)*55.97%)/15*12)/30)*H58)*E58</f>
        <v>3940287.9999999995</v>
      </c>
      <c r="J58" s="4">
        <v>0.08</v>
      </c>
      <c r="K58" s="5">
        <f t="shared" si="7"/>
        <v>315223.03999999998</v>
      </c>
      <c r="L58" s="5">
        <f t="shared" si="8"/>
        <v>4255511.0399999991</v>
      </c>
      <c r="M58" s="5">
        <f t="shared" si="9"/>
        <v>425551.10399999993</v>
      </c>
      <c r="N58" s="5">
        <f t="shared" si="10"/>
        <v>80854.709759999983</v>
      </c>
      <c r="O58" s="5">
        <f t="shared" si="11"/>
        <v>4336365.7497599991</v>
      </c>
      <c r="R58">
        <f t="shared" si="5"/>
        <v>1</v>
      </c>
    </row>
    <row r="59" spans="2:18" x14ac:dyDescent="0.25">
      <c r="B59" s="399"/>
      <c r="C59" s="18" t="s">
        <v>14</v>
      </c>
      <c r="D59" s="2" t="s">
        <v>101</v>
      </c>
      <c r="E59" s="1">
        <v>1</v>
      </c>
      <c r="F59" s="2" t="s">
        <v>15</v>
      </c>
      <c r="G59" s="1">
        <v>1</v>
      </c>
      <c r="H59" s="1">
        <v>30</v>
      </c>
      <c r="I59" s="3">
        <f>+(((1000000*8.8)/30)*H59)*E59</f>
        <v>8800000</v>
      </c>
      <c r="J59" s="4">
        <v>0.08</v>
      </c>
      <c r="K59" s="5">
        <f t="shared" si="7"/>
        <v>704000</v>
      </c>
      <c r="L59" s="5">
        <f t="shared" si="8"/>
        <v>9504000</v>
      </c>
      <c r="M59" s="5">
        <f t="shared" si="9"/>
        <v>950400</v>
      </c>
      <c r="N59" s="5">
        <f t="shared" si="10"/>
        <v>180576</v>
      </c>
      <c r="O59" s="5">
        <f t="shared" si="11"/>
        <v>9684576</v>
      </c>
      <c r="R59">
        <f t="shared" si="5"/>
        <v>1</v>
      </c>
    </row>
    <row r="60" spans="2:18" x14ac:dyDescent="0.25">
      <c r="B60" s="399"/>
      <c r="C60" s="18" t="s">
        <v>14</v>
      </c>
      <c r="D60" s="2" t="s">
        <v>102</v>
      </c>
      <c r="E60" s="1">
        <v>1</v>
      </c>
      <c r="F60" s="2" t="s">
        <v>15</v>
      </c>
      <c r="G60" s="1">
        <v>1</v>
      </c>
      <c r="H60" s="1">
        <v>30</v>
      </c>
      <c r="I60" s="3">
        <f>+(((1000000*8.8)/30)*H60)*E60</f>
        <v>8800000</v>
      </c>
      <c r="J60" s="4">
        <v>0.08</v>
      </c>
      <c r="K60" s="5">
        <f t="shared" si="7"/>
        <v>704000</v>
      </c>
      <c r="L60" s="5">
        <f t="shared" si="8"/>
        <v>9504000</v>
      </c>
      <c r="M60" s="5">
        <f t="shared" si="9"/>
        <v>950400</v>
      </c>
      <c r="N60" s="5">
        <f t="shared" si="10"/>
        <v>180576</v>
      </c>
      <c r="O60" s="5">
        <f t="shared" si="11"/>
        <v>9684576</v>
      </c>
      <c r="R60">
        <f t="shared" si="5"/>
        <v>1</v>
      </c>
    </row>
    <row r="61" spans="2:18" x14ac:dyDescent="0.25">
      <c r="B61" s="399"/>
      <c r="C61" s="18" t="s">
        <v>14</v>
      </c>
      <c r="D61" s="2" t="s">
        <v>103</v>
      </c>
      <c r="E61" s="1">
        <v>1</v>
      </c>
      <c r="F61" s="2" t="s">
        <v>16</v>
      </c>
      <c r="G61" s="1">
        <v>1</v>
      </c>
      <c r="H61" s="1">
        <v>30</v>
      </c>
      <c r="I61" s="6">
        <f>+(((((1000000*8.8)*55.97%)/15*12)/30)*H61)*E61</f>
        <v>3940287.9999999995</v>
      </c>
      <c r="J61" s="4">
        <v>0.08</v>
      </c>
      <c r="K61" s="5">
        <f t="shared" si="7"/>
        <v>315223.03999999998</v>
      </c>
      <c r="L61" s="5">
        <f t="shared" si="8"/>
        <v>4255511.0399999991</v>
      </c>
      <c r="M61" s="5">
        <f t="shared" si="9"/>
        <v>425551.10399999993</v>
      </c>
      <c r="N61" s="5">
        <f t="shared" si="10"/>
        <v>80854.709759999983</v>
      </c>
      <c r="O61" s="5">
        <f t="shared" si="11"/>
        <v>4336365.7497599991</v>
      </c>
      <c r="R61">
        <f t="shared" si="5"/>
        <v>1</v>
      </c>
    </row>
    <row r="62" spans="2:18" x14ac:dyDescent="0.25">
      <c r="B62" s="399"/>
      <c r="C62" s="18" t="s">
        <v>14</v>
      </c>
      <c r="D62" s="2" t="s">
        <v>150</v>
      </c>
      <c r="E62" s="1">
        <v>1</v>
      </c>
      <c r="F62" s="2" t="s">
        <v>15</v>
      </c>
      <c r="G62" s="1">
        <v>1</v>
      </c>
      <c r="H62" s="1">
        <v>30</v>
      </c>
      <c r="I62" s="3">
        <f>+(((1000000*8.8)/30)*H62)*E62</f>
        <v>8800000</v>
      </c>
      <c r="J62" s="4">
        <v>0.08</v>
      </c>
      <c r="K62" s="5">
        <f t="shared" si="7"/>
        <v>704000</v>
      </c>
      <c r="L62" s="5">
        <f t="shared" si="8"/>
        <v>9504000</v>
      </c>
      <c r="M62" s="5">
        <f t="shared" si="9"/>
        <v>950400</v>
      </c>
      <c r="N62" s="5">
        <f t="shared" si="10"/>
        <v>180576</v>
      </c>
      <c r="O62" s="5">
        <f t="shared" si="11"/>
        <v>9684576</v>
      </c>
      <c r="R62">
        <f t="shared" si="5"/>
        <v>1</v>
      </c>
    </row>
    <row r="63" spans="2:18" x14ac:dyDescent="0.25">
      <c r="B63" s="399"/>
      <c r="C63" s="18" t="s">
        <v>14</v>
      </c>
      <c r="D63" s="2" t="s">
        <v>104</v>
      </c>
      <c r="E63" s="1">
        <v>2</v>
      </c>
      <c r="F63" s="2" t="s">
        <v>15</v>
      </c>
      <c r="G63" s="1">
        <v>2</v>
      </c>
      <c r="H63" s="1">
        <v>30</v>
      </c>
      <c r="I63" s="3">
        <f>+(((1000000*8.8)/30)*H63)*E63</f>
        <v>17600000</v>
      </c>
      <c r="J63" s="4">
        <v>0.08</v>
      </c>
      <c r="K63" s="5">
        <f t="shared" si="7"/>
        <v>1408000</v>
      </c>
      <c r="L63" s="5">
        <f t="shared" si="8"/>
        <v>19008000</v>
      </c>
      <c r="M63" s="5">
        <f t="shared" si="9"/>
        <v>1900800</v>
      </c>
      <c r="N63" s="5">
        <f t="shared" si="10"/>
        <v>361152</v>
      </c>
      <c r="O63" s="5">
        <f t="shared" si="11"/>
        <v>19369152</v>
      </c>
      <c r="R63">
        <f t="shared" si="5"/>
        <v>2</v>
      </c>
    </row>
    <row r="64" spans="2:18" x14ac:dyDescent="0.25">
      <c r="B64" s="399"/>
      <c r="C64" s="18" t="s">
        <v>14</v>
      </c>
      <c r="D64" s="2" t="s">
        <v>108</v>
      </c>
      <c r="E64" s="1">
        <v>1</v>
      </c>
      <c r="F64" s="2" t="s">
        <v>15</v>
      </c>
      <c r="G64" s="1">
        <v>1</v>
      </c>
      <c r="H64" s="1">
        <v>30</v>
      </c>
      <c r="I64" s="3">
        <f t="shared" ref="I64:I67" si="12">+(((1000000*8.8)/30)*H64)*E64</f>
        <v>8800000</v>
      </c>
      <c r="J64" s="4">
        <v>0.08</v>
      </c>
      <c r="K64" s="5">
        <f t="shared" si="7"/>
        <v>704000</v>
      </c>
      <c r="L64" s="5">
        <f t="shared" si="8"/>
        <v>9504000</v>
      </c>
      <c r="M64" s="5">
        <f t="shared" si="9"/>
        <v>950400</v>
      </c>
      <c r="N64" s="5">
        <f t="shared" si="10"/>
        <v>180576</v>
      </c>
      <c r="O64" s="5">
        <f t="shared" si="11"/>
        <v>9684576</v>
      </c>
      <c r="R64">
        <f t="shared" si="5"/>
        <v>1</v>
      </c>
    </row>
    <row r="65" spans="2:18" x14ac:dyDescent="0.25">
      <c r="B65" s="399"/>
      <c r="C65" s="18" t="s">
        <v>14</v>
      </c>
      <c r="D65" s="2" t="s">
        <v>105</v>
      </c>
      <c r="E65" s="1">
        <v>1</v>
      </c>
      <c r="F65" s="2" t="s">
        <v>15</v>
      </c>
      <c r="G65" s="1">
        <v>1</v>
      </c>
      <c r="H65" s="1">
        <v>30</v>
      </c>
      <c r="I65" s="3">
        <f t="shared" si="12"/>
        <v>8800000</v>
      </c>
      <c r="J65" s="4">
        <v>0.08</v>
      </c>
      <c r="K65" s="5">
        <f t="shared" si="7"/>
        <v>704000</v>
      </c>
      <c r="L65" s="5">
        <f t="shared" si="8"/>
        <v>9504000</v>
      </c>
      <c r="M65" s="5">
        <f t="shared" si="9"/>
        <v>950400</v>
      </c>
      <c r="N65" s="5">
        <f t="shared" si="10"/>
        <v>180576</v>
      </c>
      <c r="O65" s="5">
        <f t="shared" si="11"/>
        <v>9684576</v>
      </c>
      <c r="R65">
        <f t="shared" si="5"/>
        <v>1</v>
      </c>
    </row>
    <row r="66" spans="2:18" x14ac:dyDescent="0.25">
      <c r="B66" s="399"/>
      <c r="C66" s="18" t="s">
        <v>14</v>
      </c>
      <c r="D66" s="2" t="s">
        <v>149</v>
      </c>
      <c r="E66" s="1">
        <v>1</v>
      </c>
      <c r="F66" s="2" t="s">
        <v>15</v>
      </c>
      <c r="G66" s="1">
        <v>1</v>
      </c>
      <c r="H66" s="1">
        <v>30</v>
      </c>
      <c r="I66" s="3">
        <f t="shared" si="12"/>
        <v>8800000</v>
      </c>
      <c r="J66" s="4">
        <v>0.08</v>
      </c>
      <c r="K66" s="5">
        <f t="shared" si="7"/>
        <v>704000</v>
      </c>
      <c r="L66" s="5">
        <f t="shared" si="8"/>
        <v>9504000</v>
      </c>
      <c r="M66" s="5">
        <f t="shared" si="9"/>
        <v>950400</v>
      </c>
      <c r="N66" s="5">
        <f t="shared" si="10"/>
        <v>180576</v>
      </c>
      <c r="O66" s="5">
        <f t="shared" si="11"/>
        <v>9684576</v>
      </c>
      <c r="R66">
        <f t="shared" si="5"/>
        <v>1</v>
      </c>
    </row>
    <row r="67" spans="2:18" x14ac:dyDescent="0.25">
      <c r="B67" s="399"/>
      <c r="C67" s="18" t="s">
        <v>14</v>
      </c>
      <c r="D67" s="2" t="s">
        <v>106</v>
      </c>
      <c r="E67" s="1">
        <v>1</v>
      </c>
      <c r="F67" s="2" t="s">
        <v>15</v>
      </c>
      <c r="G67" s="1">
        <v>1</v>
      </c>
      <c r="H67" s="1">
        <v>30</v>
      </c>
      <c r="I67" s="3">
        <f t="shared" si="12"/>
        <v>8800000</v>
      </c>
      <c r="J67" s="4">
        <v>0.08</v>
      </c>
      <c r="K67" s="5">
        <f t="shared" si="7"/>
        <v>704000</v>
      </c>
      <c r="L67" s="5">
        <f t="shared" si="8"/>
        <v>9504000</v>
      </c>
      <c r="M67" s="5">
        <f t="shared" si="9"/>
        <v>950400</v>
      </c>
      <c r="N67" s="5">
        <f t="shared" si="10"/>
        <v>180576</v>
      </c>
      <c r="O67" s="5">
        <f t="shared" si="11"/>
        <v>9684576</v>
      </c>
      <c r="R67">
        <f t="shared" si="5"/>
        <v>1</v>
      </c>
    </row>
    <row r="68" spans="2:18" x14ac:dyDescent="0.25">
      <c r="B68" s="399"/>
      <c r="C68" s="18" t="s">
        <v>14</v>
      </c>
      <c r="D68" s="2" t="s">
        <v>107</v>
      </c>
      <c r="E68" s="1">
        <v>1</v>
      </c>
      <c r="F68" s="2" t="s">
        <v>16</v>
      </c>
      <c r="G68" s="1">
        <v>1</v>
      </c>
      <c r="H68" s="1">
        <v>30</v>
      </c>
      <c r="I68" s="6">
        <f>+(((((1000000*8.8)*55.97%)/15*12)/30)*H68)*E68</f>
        <v>3940287.9999999995</v>
      </c>
      <c r="J68" s="4">
        <v>0.08</v>
      </c>
      <c r="K68" s="5">
        <f t="shared" si="7"/>
        <v>315223.03999999998</v>
      </c>
      <c r="L68" s="5">
        <f t="shared" si="8"/>
        <v>4255511.0399999991</v>
      </c>
      <c r="M68" s="5">
        <f t="shared" si="9"/>
        <v>425551.10399999993</v>
      </c>
      <c r="N68" s="5">
        <f t="shared" si="10"/>
        <v>80854.709759999983</v>
      </c>
      <c r="O68" s="5">
        <f t="shared" si="11"/>
        <v>4336365.7497599991</v>
      </c>
      <c r="R68">
        <f t="shared" si="5"/>
        <v>1</v>
      </c>
    </row>
    <row r="69" spans="2:18" x14ac:dyDescent="0.25">
      <c r="B69" s="399"/>
      <c r="C69" s="18" t="s">
        <v>14</v>
      </c>
      <c r="D69" s="2" t="s">
        <v>109</v>
      </c>
      <c r="E69" s="1">
        <v>1</v>
      </c>
      <c r="F69" s="2" t="s">
        <v>16</v>
      </c>
      <c r="G69" s="1">
        <v>1</v>
      </c>
      <c r="H69" s="1">
        <v>30</v>
      </c>
      <c r="I69" s="6">
        <f>+(((((1000000*8.8)*55.97%)/15*12)/30)*H69)*E69</f>
        <v>3940287.9999999995</v>
      </c>
      <c r="J69" s="4">
        <v>0.08</v>
      </c>
      <c r="K69" s="5">
        <f t="shared" si="7"/>
        <v>315223.03999999998</v>
      </c>
      <c r="L69" s="5">
        <f t="shared" si="8"/>
        <v>4255511.0399999991</v>
      </c>
      <c r="M69" s="5">
        <f t="shared" si="9"/>
        <v>425551.10399999993</v>
      </c>
      <c r="N69" s="5">
        <f t="shared" si="10"/>
        <v>80854.709759999983</v>
      </c>
      <c r="O69" s="5">
        <f t="shared" si="11"/>
        <v>4336365.7497599991</v>
      </c>
      <c r="R69">
        <f t="shared" si="5"/>
        <v>1</v>
      </c>
    </row>
    <row r="70" spans="2:18" x14ac:dyDescent="0.25">
      <c r="B70" s="399"/>
      <c r="C70" s="18" t="s">
        <v>14</v>
      </c>
      <c r="D70" s="405" t="s">
        <v>110</v>
      </c>
      <c r="E70" s="1">
        <v>1</v>
      </c>
      <c r="F70" s="2" t="s">
        <v>15</v>
      </c>
      <c r="G70" s="1">
        <v>1</v>
      </c>
      <c r="H70" s="1">
        <v>30</v>
      </c>
      <c r="I70" s="3">
        <f>+(((1000000*8.8)/30)*H70)*E70</f>
        <v>8800000</v>
      </c>
      <c r="J70" s="4">
        <v>0.08</v>
      </c>
      <c r="K70" s="5">
        <f t="shared" si="7"/>
        <v>704000</v>
      </c>
      <c r="L70" s="5">
        <f t="shared" si="8"/>
        <v>9504000</v>
      </c>
      <c r="M70" s="5">
        <f t="shared" si="9"/>
        <v>950400</v>
      </c>
      <c r="N70" s="5">
        <f t="shared" si="10"/>
        <v>180576</v>
      </c>
      <c r="O70" s="5">
        <f t="shared" si="11"/>
        <v>9684576</v>
      </c>
      <c r="R70">
        <f t="shared" si="5"/>
        <v>1</v>
      </c>
    </row>
    <row r="71" spans="2:18" x14ac:dyDescent="0.25">
      <c r="B71" s="399"/>
      <c r="C71" s="18" t="s">
        <v>14</v>
      </c>
      <c r="D71" s="407"/>
      <c r="E71" s="1">
        <v>1</v>
      </c>
      <c r="F71" s="2" t="s">
        <v>16</v>
      </c>
      <c r="G71" s="1">
        <v>1</v>
      </c>
      <c r="H71" s="1">
        <v>30</v>
      </c>
      <c r="I71" s="6">
        <f>+(((((1000000*8.8)*55.97%)/15*12)/30)*H71)*E71</f>
        <v>3940287.9999999995</v>
      </c>
      <c r="J71" s="4">
        <v>0.08</v>
      </c>
      <c r="K71" s="5">
        <f t="shared" si="7"/>
        <v>315223.03999999998</v>
      </c>
      <c r="L71" s="5">
        <f t="shared" si="8"/>
        <v>4255511.0399999991</v>
      </c>
      <c r="M71" s="5">
        <f t="shared" si="9"/>
        <v>425551.10399999993</v>
      </c>
      <c r="N71" s="5">
        <f t="shared" si="10"/>
        <v>80854.709759999983</v>
      </c>
      <c r="O71" s="5">
        <f t="shared" si="11"/>
        <v>4336365.7497599991</v>
      </c>
      <c r="R71">
        <f t="shared" si="5"/>
        <v>1</v>
      </c>
    </row>
    <row r="72" spans="2:18" x14ac:dyDescent="0.25">
      <c r="B72" s="399"/>
      <c r="C72" s="18" t="s">
        <v>14</v>
      </c>
      <c r="D72" s="407"/>
      <c r="E72" s="1">
        <v>1</v>
      </c>
      <c r="F72" s="2" t="s">
        <v>20</v>
      </c>
      <c r="G72" s="1">
        <v>1</v>
      </c>
      <c r="H72" s="1">
        <v>30</v>
      </c>
      <c r="I72" s="6">
        <f>+(((((1000000*8.8)*55.97%)/15*14)/30)*H72)*E72</f>
        <v>4597002.666666666</v>
      </c>
      <c r="J72" s="4">
        <v>0.08</v>
      </c>
      <c r="K72" s="5">
        <f t="shared" si="7"/>
        <v>367760.21333333332</v>
      </c>
      <c r="L72" s="5">
        <f t="shared" si="8"/>
        <v>4964762.879999999</v>
      </c>
      <c r="M72" s="5">
        <f t="shared" si="9"/>
        <v>496476.28799999994</v>
      </c>
      <c r="N72" s="5">
        <f t="shared" si="10"/>
        <v>94330.494719999988</v>
      </c>
      <c r="O72" s="5">
        <f t="shared" si="11"/>
        <v>5059093.3747199988</v>
      </c>
      <c r="R72">
        <f t="shared" ref="R72:R139" si="13">+E72</f>
        <v>1</v>
      </c>
    </row>
    <row r="73" spans="2:18" x14ac:dyDescent="0.25">
      <c r="B73" s="399"/>
      <c r="C73" s="20" t="s">
        <v>14</v>
      </c>
      <c r="D73" s="8" t="s">
        <v>111</v>
      </c>
      <c r="E73" s="21">
        <v>1</v>
      </c>
      <c r="F73" s="8" t="s">
        <v>15</v>
      </c>
      <c r="G73" s="21">
        <v>1</v>
      </c>
      <c r="H73" s="21">
        <v>30</v>
      </c>
      <c r="I73" s="30">
        <f>+(((1000000*8.8)/30)*H73)*E73</f>
        <v>8800000</v>
      </c>
      <c r="J73" s="26">
        <v>0.08</v>
      </c>
      <c r="K73" s="27">
        <f>I73*J73</f>
        <v>704000</v>
      </c>
      <c r="L73" s="27">
        <f>I73+K73</f>
        <v>9504000</v>
      </c>
      <c r="M73" s="27">
        <f>L73*10%</f>
        <v>950400</v>
      </c>
      <c r="N73" s="27">
        <f>+M73*19%</f>
        <v>180576</v>
      </c>
      <c r="O73" s="27">
        <f>L73+N73</f>
        <v>9684576</v>
      </c>
    </row>
    <row r="74" spans="2:18" x14ac:dyDescent="0.25">
      <c r="B74" s="399"/>
      <c r="C74" s="20" t="s">
        <v>14</v>
      </c>
      <c r="D74" s="8" t="s">
        <v>112</v>
      </c>
      <c r="E74" s="21">
        <v>1</v>
      </c>
      <c r="F74" s="8" t="s">
        <v>15</v>
      </c>
      <c r="G74" s="21">
        <v>1</v>
      </c>
      <c r="H74" s="21">
        <v>30</v>
      </c>
      <c r="I74" s="30">
        <f>+(((1000000*8.8)/30)*H74)*E74</f>
        <v>8800000</v>
      </c>
      <c r="J74" s="26">
        <v>0.08</v>
      </c>
      <c r="K74" s="27">
        <f>I74*J74</f>
        <v>704000</v>
      </c>
      <c r="L74" s="27">
        <f>I74+K74</f>
        <v>9504000</v>
      </c>
      <c r="M74" s="27">
        <f>L74*10%</f>
        <v>950400</v>
      </c>
      <c r="N74" s="27">
        <f>+M74*19%</f>
        <v>180576</v>
      </c>
      <c r="O74" s="27">
        <f>L74+N74</f>
        <v>9684576</v>
      </c>
    </row>
    <row r="75" spans="2:18" x14ac:dyDescent="0.25">
      <c r="B75" s="399"/>
      <c r="C75" s="18" t="s">
        <v>14</v>
      </c>
      <c r="D75" s="2" t="s">
        <v>113</v>
      </c>
      <c r="E75" s="1">
        <v>1</v>
      </c>
      <c r="F75" s="2" t="s">
        <v>20</v>
      </c>
      <c r="G75" s="1">
        <v>1</v>
      </c>
      <c r="H75" s="1">
        <v>30</v>
      </c>
      <c r="I75" s="6">
        <f>+(((((1000000*8.8)*55.97%)/15*14)/30)*H75)*E75</f>
        <v>4597002.666666666</v>
      </c>
      <c r="J75" s="4">
        <v>0.08</v>
      </c>
      <c r="K75" s="5">
        <f t="shared" si="7"/>
        <v>367760.21333333332</v>
      </c>
      <c r="L75" s="5">
        <f t="shared" si="8"/>
        <v>4964762.879999999</v>
      </c>
      <c r="M75" s="5">
        <f t="shared" si="9"/>
        <v>496476.28799999994</v>
      </c>
      <c r="N75" s="5">
        <f t="shared" si="10"/>
        <v>94330.494719999988</v>
      </c>
      <c r="O75" s="5">
        <f t="shared" si="11"/>
        <v>5059093.3747199988</v>
      </c>
      <c r="R75">
        <f t="shared" si="13"/>
        <v>1</v>
      </c>
    </row>
    <row r="76" spans="2:18" x14ac:dyDescent="0.25">
      <c r="B76" s="399"/>
      <c r="C76" s="18" t="s">
        <v>14</v>
      </c>
      <c r="D76" s="2" t="s">
        <v>114</v>
      </c>
      <c r="E76" s="1">
        <v>1</v>
      </c>
      <c r="F76" s="2" t="s">
        <v>15</v>
      </c>
      <c r="G76" s="1">
        <v>1</v>
      </c>
      <c r="H76" s="1">
        <v>30</v>
      </c>
      <c r="I76" s="3">
        <f>+(((1000000*8.8)/30)*H76)*E76</f>
        <v>8800000</v>
      </c>
      <c r="J76" s="4">
        <v>0.08</v>
      </c>
      <c r="K76" s="5">
        <f>I76*J76</f>
        <v>704000</v>
      </c>
      <c r="L76" s="5">
        <f>I76+K76</f>
        <v>9504000</v>
      </c>
      <c r="M76" s="5">
        <f>L76*10%</f>
        <v>950400</v>
      </c>
      <c r="N76" s="5">
        <f>+M76*19%</f>
        <v>180576</v>
      </c>
      <c r="O76" s="5">
        <f>L76+N76</f>
        <v>9684576</v>
      </c>
    </row>
    <row r="77" spans="2:18" x14ac:dyDescent="0.25">
      <c r="B77" s="399"/>
      <c r="C77" s="18" t="s">
        <v>14</v>
      </c>
      <c r="D77" s="2" t="s">
        <v>115</v>
      </c>
      <c r="E77" s="1">
        <v>1</v>
      </c>
      <c r="F77" s="2" t="s">
        <v>15</v>
      </c>
      <c r="G77" s="1">
        <v>1</v>
      </c>
      <c r="H77" s="1">
        <v>30</v>
      </c>
      <c r="I77" s="3">
        <f t="shared" ref="I77:I81" si="14">+(((1000000*8.8)/30)*H77)*E77</f>
        <v>8800000</v>
      </c>
      <c r="J77" s="4">
        <v>0.08</v>
      </c>
      <c r="K77" s="5">
        <f t="shared" si="7"/>
        <v>704000</v>
      </c>
      <c r="L77" s="5">
        <f t="shared" si="8"/>
        <v>9504000</v>
      </c>
      <c r="M77" s="5">
        <f t="shared" si="9"/>
        <v>950400</v>
      </c>
      <c r="N77" s="5">
        <f t="shared" si="10"/>
        <v>180576</v>
      </c>
      <c r="O77" s="5">
        <f t="shared" si="11"/>
        <v>9684576</v>
      </c>
      <c r="R77">
        <f t="shared" si="13"/>
        <v>1</v>
      </c>
    </row>
    <row r="78" spans="2:18" x14ac:dyDescent="0.25">
      <c r="B78" s="399"/>
      <c r="C78" s="18" t="s">
        <v>14</v>
      </c>
      <c r="D78" s="2" t="s">
        <v>98</v>
      </c>
      <c r="E78" s="1">
        <v>1</v>
      </c>
      <c r="F78" s="2" t="s">
        <v>15</v>
      </c>
      <c r="G78" s="1">
        <v>1</v>
      </c>
      <c r="H78" s="1">
        <v>30</v>
      </c>
      <c r="I78" s="3">
        <f t="shared" si="14"/>
        <v>8800000</v>
      </c>
      <c r="J78" s="4">
        <v>0.08</v>
      </c>
      <c r="K78" s="5">
        <f t="shared" si="7"/>
        <v>704000</v>
      </c>
      <c r="L78" s="5">
        <f t="shared" si="8"/>
        <v>9504000</v>
      </c>
      <c r="M78" s="5">
        <f t="shared" si="9"/>
        <v>950400</v>
      </c>
      <c r="N78" s="5">
        <f t="shared" si="10"/>
        <v>180576</v>
      </c>
      <c r="O78" s="5">
        <f t="shared" si="11"/>
        <v>9684576</v>
      </c>
      <c r="R78">
        <f t="shared" si="13"/>
        <v>1</v>
      </c>
    </row>
    <row r="79" spans="2:18" x14ac:dyDescent="0.25">
      <c r="B79" s="399"/>
      <c r="C79" s="18" t="s">
        <v>14</v>
      </c>
      <c r="D79" s="2" t="s">
        <v>97</v>
      </c>
      <c r="E79" s="1">
        <v>1</v>
      </c>
      <c r="F79" s="2" t="s">
        <v>15</v>
      </c>
      <c r="G79" s="1">
        <v>1</v>
      </c>
      <c r="H79" s="1">
        <v>30</v>
      </c>
      <c r="I79" s="3">
        <f t="shared" si="14"/>
        <v>8800000</v>
      </c>
      <c r="J79" s="4">
        <v>0.08</v>
      </c>
      <c r="K79" s="5">
        <f t="shared" si="7"/>
        <v>704000</v>
      </c>
      <c r="L79" s="5">
        <f t="shared" si="8"/>
        <v>9504000</v>
      </c>
      <c r="M79" s="5">
        <f t="shared" si="9"/>
        <v>950400</v>
      </c>
      <c r="N79" s="5">
        <f t="shared" si="10"/>
        <v>180576</v>
      </c>
      <c r="O79" s="5">
        <f t="shared" si="11"/>
        <v>9684576</v>
      </c>
      <c r="R79">
        <f t="shared" si="13"/>
        <v>1</v>
      </c>
    </row>
    <row r="80" spans="2:18" x14ac:dyDescent="0.25">
      <c r="B80" s="399"/>
      <c r="C80" s="18" t="s">
        <v>14</v>
      </c>
      <c r="D80" s="2" t="s">
        <v>95</v>
      </c>
      <c r="E80" s="1">
        <v>1</v>
      </c>
      <c r="F80" s="2" t="s">
        <v>15</v>
      </c>
      <c r="G80" s="1">
        <v>1</v>
      </c>
      <c r="H80" s="1">
        <v>30</v>
      </c>
      <c r="I80" s="3">
        <f t="shared" si="14"/>
        <v>8800000</v>
      </c>
      <c r="J80" s="4">
        <v>0.08</v>
      </c>
      <c r="K80" s="5">
        <f t="shared" si="7"/>
        <v>704000</v>
      </c>
      <c r="L80" s="5">
        <f t="shared" si="8"/>
        <v>9504000</v>
      </c>
      <c r="M80" s="5">
        <f t="shared" si="9"/>
        <v>950400</v>
      </c>
      <c r="N80" s="5">
        <f t="shared" si="10"/>
        <v>180576</v>
      </c>
      <c r="O80" s="5">
        <f t="shared" si="11"/>
        <v>9684576</v>
      </c>
      <c r="R80">
        <f t="shared" si="13"/>
        <v>1</v>
      </c>
    </row>
    <row r="81" spans="2:18" x14ac:dyDescent="0.25">
      <c r="B81" s="399"/>
      <c r="C81" s="18" t="s">
        <v>14</v>
      </c>
      <c r="D81" s="405" t="s">
        <v>24</v>
      </c>
      <c r="E81" s="1">
        <v>1</v>
      </c>
      <c r="F81" s="2" t="s">
        <v>15</v>
      </c>
      <c r="G81" s="1">
        <v>1</v>
      </c>
      <c r="H81" s="1">
        <v>30</v>
      </c>
      <c r="I81" s="3">
        <f t="shared" si="14"/>
        <v>8800000</v>
      </c>
      <c r="J81" s="4">
        <v>0.08</v>
      </c>
      <c r="K81" s="5">
        <f t="shared" si="7"/>
        <v>704000</v>
      </c>
      <c r="L81" s="5">
        <f t="shared" si="8"/>
        <v>9504000</v>
      </c>
      <c r="M81" s="5">
        <f t="shared" si="9"/>
        <v>950400</v>
      </c>
      <c r="N81" s="5">
        <f t="shared" si="10"/>
        <v>180576</v>
      </c>
      <c r="O81" s="5">
        <f t="shared" si="11"/>
        <v>9684576</v>
      </c>
      <c r="P81" s="393"/>
      <c r="R81">
        <f t="shared" si="13"/>
        <v>1</v>
      </c>
    </row>
    <row r="82" spans="2:18" x14ac:dyDescent="0.25">
      <c r="B82" s="399"/>
      <c r="C82" s="18" t="s">
        <v>14</v>
      </c>
      <c r="D82" s="407"/>
      <c r="E82" s="1">
        <v>1</v>
      </c>
      <c r="F82" s="11" t="s">
        <v>16</v>
      </c>
      <c r="G82" s="1">
        <v>1</v>
      </c>
      <c r="H82" s="1">
        <v>30</v>
      </c>
      <c r="I82" s="6">
        <f>+(((((1000000*8.8)*55.97%)/15*12)/30)*H82)*E82</f>
        <v>3940287.9999999995</v>
      </c>
      <c r="J82" s="4">
        <v>0.08</v>
      </c>
      <c r="K82" s="5">
        <f t="shared" si="7"/>
        <v>315223.03999999998</v>
      </c>
      <c r="L82" s="5">
        <f t="shared" si="8"/>
        <v>4255511.0399999991</v>
      </c>
      <c r="M82" s="5">
        <f t="shared" si="9"/>
        <v>425551.10399999993</v>
      </c>
      <c r="N82" s="5">
        <f t="shared" si="10"/>
        <v>80854.709759999983</v>
      </c>
      <c r="O82" s="5">
        <f t="shared" si="11"/>
        <v>4336365.7497599991</v>
      </c>
      <c r="P82" s="393"/>
      <c r="R82">
        <f t="shared" si="13"/>
        <v>1</v>
      </c>
    </row>
    <row r="83" spans="2:18" x14ac:dyDescent="0.25">
      <c r="B83" s="399"/>
      <c r="C83" s="18" t="s">
        <v>14</v>
      </c>
      <c r="D83" s="406"/>
      <c r="E83" s="21">
        <v>1</v>
      </c>
      <c r="F83" s="8" t="s">
        <v>78</v>
      </c>
      <c r="G83" s="21">
        <v>1</v>
      </c>
      <c r="H83" s="21">
        <v>26</v>
      </c>
      <c r="I83" s="25">
        <f>+(((((1000000*8.8)*55.97%)/15*8)/30)*H83)*E83</f>
        <v>2276610.8444444444</v>
      </c>
      <c r="J83" s="26">
        <v>0.08</v>
      </c>
      <c r="K83" s="27">
        <f t="shared" si="7"/>
        <v>182128.86755555557</v>
      </c>
      <c r="L83" s="27">
        <f t="shared" si="8"/>
        <v>2458739.7119999998</v>
      </c>
      <c r="M83" s="27">
        <f t="shared" si="9"/>
        <v>245873.9712</v>
      </c>
      <c r="N83" s="27">
        <f t="shared" si="10"/>
        <v>46716.054528000001</v>
      </c>
      <c r="O83" s="27">
        <f t="shared" si="11"/>
        <v>2505455.7665279997</v>
      </c>
      <c r="P83" s="41"/>
      <c r="R83">
        <f t="shared" si="13"/>
        <v>1</v>
      </c>
    </row>
    <row r="84" spans="2:18" x14ac:dyDescent="0.25">
      <c r="B84" s="399"/>
      <c r="C84" s="18" t="s">
        <v>14</v>
      </c>
      <c r="D84" s="2" t="s">
        <v>23</v>
      </c>
      <c r="E84" s="1">
        <v>1</v>
      </c>
      <c r="F84" s="2" t="s">
        <v>15</v>
      </c>
      <c r="G84" s="1">
        <v>1</v>
      </c>
      <c r="H84" s="1">
        <v>30</v>
      </c>
      <c r="I84" s="3">
        <f>+(((1000000*8.8)/30)*H84)*E84</f>
        <v>8800000</v>
      </c>
      <c r="J84" s="4">
        <v>0.08</v>
      </c>
      <c r="K84" s="5">
        <f>I84*J84</f>
        <v>704000</v>
      </c>
      <c r="L84" s="5">
        <f>I84+K84</f>
        <v>9504000</v>
      </c>
      <c r="M84" s="5">
        <f>L84*10%</f>
        <v>950400</v>
      </c>
      <c r="N84" s="5">
        <f>+M84*19%</f>
        <v>180576</v>
      </c>
      <c r="O84" s="5">
        <f>L84+N84</f>
        <v>9684576</v>
      </c>
      <c r="P84" s="41"/>
    </row>
    <row r="85" spans="2:18" ht="17.25" customHeight="1" x14ac:dyDescent="0.25">
      <c r="B85" s="399"/>
      <c r="C85" s="36" t="s">
        <v>14</v>
      </c>
      <c r="D85" s="35" t="s">
        <v>48</v>
      </c>
      <c r="E85" s="1">
        <v>1</v>
      </c>
      <c r="F85" s="11" t="s">
        <v>15</v>
      </c>
      <c r="G85" s="1">
        <v>1</v>
      </c>
      <c r="H85" s="1">
        <v>30</v>
      </c>
      <c r="I85" s="3">
        <f>+(((1000000*8.8)/30)*H85)*E85</f>
        <v>8800000</v>
      </c>
      <c r="J85" s="4">
        <v>0.08</v>
      </c>
      <c r="K85" s="5">
        <f>I85*J85</f>
        <v>704000</v>
      </c>
      <c r="L85" s="5">
        <f>I85+K85</f>
        <v>9504000</v>
      </c>
      <c r="M85" s="5">
        <f>L85*10%</f>
        <v>950400</v>
      </c>
      <c r="N85" s="5">
        <f>+M85*19%</f>
        <v>180576</v>
      </c>
      <c r="O85" s="5">
        <f>L85+N85</f>
        <v>9684576</v>
      </c>
    </row>
    <row r="86" spans="2:18" ht="17.25" customHeight="1" x14ac:dyDescent="0.25">
      <c r="B86" s="399"/>
      <c r="C86" s="36" t="s">
        <v>14</v>
      </c>
      <c r="D86" s="35" t="s">
        <v>49</v>
      </c>
      <c r="E86" s="1">
        <v>1</v>
      </c>
      <c r="F86" s="11" t="s">
        <v>15</v>
      </c>
      <c r="G86" s="1">
        <v>1</v>
      </c>
      <c r="H86" s="1">
        <v>30</v>
      </c>
      <c r="I86" s="3">
        <f>+(((1000000*8.8)/30)*H86)*E86</f>
        <v>8800000</v>
      </c>
      <c r="J86" s="4">
        <v>0.08</v>
      </c>
      <c r="K86" s="5">
        <f>I86*J86</f>
        <v>704000</v>
      </c>
      <c r="L86" s="5">
        <f>I86+K86</f>
        <v>9504000</v>
      </c>
      <c r="M86" s="5">
        <f>L86*10%</f>
        <v>950400</v>
      </c>
      <c r="N86" s="5">
        <f>+M86*19%</f>
        <v>180576</v>
      </c>
      <c r="O86" s="5">
        <f>L86+N86</f>
        <v>9684576</v>
      </c>
    </row>
    <row r="87" spans="2:18" ht="17.25" customHeight="1" x14ac:dyDescent="0.25">
      <c r="B87" s="399"/>
      <c r="C87" s="36" t="s">
        <v>14</v>
      </c>
      <c r="D87" s="35" t="s">
        <v>50</v>
      </c>
      <c r="E87" s="1">
        <v>1</v>
      </c>
      <c r="F87" s="11" t="s">
        <v>16</v>
      </c>
      <c r="G87" s="1">
        <v>1</v>
      </c>
      <c r="H87" s="1">
        <v>30</v>
      </c>
      <c r="I87" s="6">
        <f t="shared" ref="I87:I92" si="15">+(((((1000000*8.8)*55.97%)/15*12)/30)*H87)*E87</f>
        <v>3940287.9999999995</v>
      </c>
      <c r="J87" s="4">
        <v>0.08</v>
      </c>
      <c r="K87" s="5">
        <f>I87*J87</f>
        <v>315223.03999999998</v>
      </c>
      <c r="L87" s="5">
        <f>I87+K87</f>
        <v>4255511.0399999991</v>
      </c>
      <c r="M87" s="5">
        <f>L87*10%</f>
        <v>425551.10399999993</v>
      </c>
      <c r="N87" s="5">
        <f>+M87*19%</f>
        <v>80854.709759999983</v>
      </c>
      <c r="O87" s="5">
        <f>L87+N87</f>
        <v>4336365.7497599991</v>
      </c>
    </row>
    <row r="88" spans="2:18" ht="17.25" customHeight="1" x14ac:dyDescent="0.25">
      <c r="B88" s="399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21">
        <v>30</v>
      </c>
      <c r="I88" s="25">
        <f t="shared" si="15"/>
        <v>3940287.9999999995</v>
      </c>
      <c r="J88" s="26">
        <v>0.08</v>
      </c>
      <c r="K88" s="27">
        <f t="shared" ref="K88" si="16">I88*J88</f>
        <v>315223.03999999998</v>
      </c>
      <c r="L88" s="27">
        <f t="shared" ref="L88" si="17">I88+K88</f>
        <v>4255511.0399999991</v>
      </c>
      <c r="M88" s="27">
        <f t="shared" ref="M88" si="18">L88*10%</f>
        <v>425551.10399999993</v>
      </c>
      <c r="N88" s="27">
        <f t="shared" ref="N88" si="19">+M88*19%</f>
        <v>80854.709759999983</v>
      </c>
      <c r="O88" s="27">
        <f t="shared" ref="O88" si="20">L88+N88</f>
        <v>4336365.7497599991</v>
      </c>
    </row>
    <row r="89" spans="2:18" ht="17.25" customHeight="1" x14ac:dyDescent="0.25">
      <c r="B89" s="399"/>
      <c r="C89" s="36" t="s">
        <v>14</v>
      </c>
      <c r="D89" s="35" t="s">
        <v>56</v>
      </c>
      <c r="E89" s="1">
        <v>1</v>
      </c>
      <c r="F89" s="11" t="s">
        <v>57</v>
      </c>
      <c r="G89" s="1">
        <v>1</v>
      </c>
      <c r="H89" s="1">
        <v>20</v>
      </c>
      <c r="I89" s="6">
        <f t="shared" si="15"/>
        <v>2626858.6666666665</v>
      </c>
      <c r="J89" s="4">
        <v>0.08</v>
      </c>
      <c r="K89" s="5">
        <f>I89*J89</f>
        <v>210148.69333333333</v>
      </c>
      <c r="L89" s="5">
        <f>I89+K89</f>
        <v>2837007.36</v>
      </c>
      <c r="M89" s="5">
        <f>L89*10%</f>
        <v>283700.73599999998</v>
      </c>
      <c r="N89" s="5">
        <f>+M89*19%</f>
        <v>53903.139839999996</v>
      </c>
      <c r="O89" s="5">
        <f>L89+N89</f>
        <v>2890910.4998399997</v>
      </c>
    </row>
    <row r="90" spans="2:18" ht="17.25" customHeight="1" x14ac:dyDescent="0.25">
      <c r="B90" s="399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20</v>
      </c>
      <c r="I90" s="6">
        <f t="shared" si="15"/>
        <v>2626858.6666666665</v>
      </c>
      <c r="J90" s="4">
        <v>0.08</v>
      </c>
      <c r="K90" s="5">
        <f>I90*J90</f>
        <v>210148.69333333333</v>
      </c>
      <c r="L90" s="5">
        <f>I90+K90</f>
        <v>2837007.36</v>
      </c>
      <c r="M90" s="5">
        <f>L90*10%</f>
        <v>283700.73599999998</v>
      </c>
      <c r="N90" s="5">
        <f>+M90*19%</f>
        <v>53903.139839999996</v>
      </c>
      <c r="O90" s="5">
        <f>L90+N90</f>
        <v>2890910.4998399997</v>
      </c>
    </row>
    <row r="91" spans="2:18" ht="17.25" customHeight="1" x14ac:dyDescent="0.25">
      <c r="B91" s="399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21">
        <v>24</v>
      </c>
      <c r="I91" s="25">
        <f t="shared" si="15"/>
        <v>3152230.3999999994</v>
      </c>
      <c r="J91" s="26">
        <v>0.08</v>
      </c>
      <c r="K91" s="27">
        <f t="shared" ref="K91:K98" si="21">I91*J91</f>
        <v>252178.43199999997</v>
      </c>
      <c r="L91" s="27">
        <f t="shared" ref="L91:L98" si="22">I91+K91</f>
        <v>3404408.8319999995</v>
      </c>
      <c r="M91" s="27">
        <f t="shared" ref="M91:M98" si="23">L91*10%</f>
        <v>340440.88319999998</v>
      </c>
      <c r="N91" s="27">
        <f t="shared" ref="N91:N98" si="24">+M91*19%</f>
        <v>64683.767807999997</v>
      </c>
      <c r="O91" s="27">
        <f t="shared" ref="O91:O98" si="25">L91+N91</f>
        <v>3469092.5998079996</v>
      </c>
    </row>
    <row r="92" spans="2:18" ht="17.25" customHeight="1" x14ac:dyDescent="0.25">
      <c r="B92" s="399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20</v>
      </c>
      <c r="I92" s="6">
        <f t="shared" si="15"/>
        <v>2626858.6666666665</v>
      </c>
      <c r="J92" s="4">
        <v>0.08</v>
      </c>
      <c r="K92" s="5">
        <f t="shared" si="21"/>
        <v>210148.69333333333</v>
      </c>
      <c r="L92" s="5">
        <f t="shared" si="22"/>
        <v>2837007.36</v>
      </c>
      <c r="M92" s="5">
        <f t="shared" si="23"/>
        <v>283700.73599999998</v>
      </c>
      <c r="N92" s="5">
        <f t="shared" si="24"/>
        <v>53903.139839999996</v>
      </c>
      <c r="O92" s="5">
        <f t="shared" si="25"/>
        <v>2890910.4998399997</v>
      </c>
    </row>
    <row r="93" spans="2:18" ht="17.25" customHeight="1" x14ac:dyDescent="0.25">
      <c r="B93" s="399"/>
      <c r="C93" s="36" t="s">
        <v>14</v>
      </c>
      <c r="D93" s="394" t="s">
        <v>62</v>
      </c>
      <c r="E93" s="1">
        <v>1</v>
      </c>
      <c r="F93" s="11" t="s">
        <v>15</v>
      </c>
      <c r="G93" s="1">
        <v>1</v>
      </c>
      <c r="H93" s="1">
        <v>30</v>
      </c>
      <c r="I93" s="3">
        <f>+(((1000000*8.8)/30)*H93)*E93</f>
        <v>8800000</v>
      </c>
      <c r="J93" s="4">
        <v>0.08</v>
      </c>
      <c r="K93" s="5">
        <f t="shared" si="21"/>
        <v>704000</v>
      </c>
      <c r="L93" s="5">
        <f t="shared" si="22"/>
        <v>9504000</v>
      </c>
      <c r="M93" s="5">
        <f t="shared" si="23"/>
        <v>950400</v>
      </c>
      <c r="N93" s="5">
        <f t="shared" si="24"/>
        <v>180576</v>
      </c>
      <c r="O93" s="5">
        <f t="shared" si="25"/>
        <v>9684576</v>
      </c>
    </row>
    <row r="94" spans="2:18" ht="17.25" customHeight="1" x14ac:dyDescent="0.25">
      <c r="B94" s="399"/>
      <c r="C94" s="36" t="s">
        <v>14</v>
      </c>
      <c r="D94" s="395"/>
      <c r="E94" s="1">
        <v>1</v>
      </c>
      <c r="F94" s="2" t="s">
        <v>21</v>
      </c>
      <c r="G94" s="1">
        <v>1</v>
      </c>
      <c r="H94" s="1">
        <v>24</v>
      </c>
      <c r="I94" s="6">
        <f>+(((((1000000*8.8)*55.97%)/15*8)/30)*H94)*E94</f>
        <v>2101486.9333333336</v>
      </c>
      <c r="J94" s="4">
        <v>0.08</v>
      </c>
      <c r="K94" s="5">
        <f t="shared" si="21"/>
        <v>168118.95466666669</v>
      </c>
      <c r="L94" s="5">
        <f t="shared" si="22"/>
        <v>2269605.8880000003</v>
      </c>
      <c r="M94" s="5">
        <f t="shared" si="23"/>
        <v>226960.58880000003</v>
      </c>
      <c r="N94" s="5">
        <f t="shared" si="24"/>
        <v>43122.511872000003</v>
      </c>
      <c r="O94" s="5">
        <f t="shared" si="25"/>
        <v>2312728.3998720003</v>
      </c>
    </row>
    <row r="95" spans="2:18" ht="17.25" customHeight="1" x14ac:dyDescent="0.25">
      <c r="B95" s="399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3">
        <f>+(((1000000*8.8)/30)*H95)*E95</f>
        <v>8800000</v>
      </c>
      <c r="J95" s="4">
        <v>0.08</v>
      </c>
      <c r="K95" s="5">
        <f t="shared" si="21"/>
        <v>704000</v>
      </c>
      <c r="L95" s="5">
        <f t="shared" si="22"/>
        <v>9504000</v>
      </c>
      <c r="M95" s="5">
        <f t="shared" si="23"/>
        <v>950400</v>
      </c>
      <c r="N95" s="5">
        <f t="shared" si="24"/>
        <v>180576</v>
      </c>
      <c r="O95" s="5">
        <f t="shared" si="25"/>
        <v>9684576</v>
      </c>
    </row>
    <row r="96" spans="2:18" ht="17.25" customHeight="1" x14ac:dyDescent="0.25">
      <c r="B96" s="399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3">
        <f>+(((1000000*8.8)/30)*H96)*E96</f>
        <v>8800000</v>
      </c>
      <c r="J96" s="4">
        <v>0.08</v>
      </c>
      <c r="K96" s="5">
        <f t="shared" si="21"/>
        <v>704000</v>
      </c>
      <c r="L96" s="5">
        <f t="shared" si="22"/>
        <v>9504000</v>
      </c>
      <c r="M96" s="5">
        <f t="shared" si="23"/>
        <v>950400</v>
      </c>
      <c r="N96" s="5">
        <f t="shared" si="24"/>
        <v>180576</v>
      </c>
      <c r="O96" s="5">
        <f t="shared" si="25"/>
        <v>9684576</v>
      </c>
    </row>
    <row r="97" spans="2:18" ht="17.25" customHeight="1" x14ac:dyDescent="0.25">
      <c r="B97" s="399"/>
      <c r="C97" s="36" t="s">
        <v>14</v>
      </c>
      <c r="D97" s="394" t="s">
        <v>65</v>
      </c>
      <c r="E97" s="1">
        <v>1</v>
      </c>
      <c r="F97" s="11" t="s">
        <v>15</v>
      </c>
      <c r="G97" s="1">
        <v>1</v>
      </c>
      <c r="H97" s="1">
        <v>30</v>
      </c>
      <c r="I97" s="3">
        <f>+(((1000000*8.8)/30)*H97)*E97</f>
        <v>8800000</v>
      </c>
      <c r="J97" s="4">
        <v>0.08</v>
      </c>
      <c r="K97" s="5">
        <f t="shared" si="21"/>
        <v>704000</v>
      </c>
      <c r="L97" s="5">
        <f t="shared" si="22"/>
        <v>9504000</v>
      </c>
      <c r="M97" s="5">
        <f t="shared" si="23"/>
        <v>950400</v>
      </c>
      <c r="N97" s="5">
        <f t="shared" si="24"/>
        <v>180576</v>
      </c>
      <c r="O97" s="5">
        <f t="shared" si="25"/>
        <v>9684576</v>
      </c>
    </row>
    <row r="98" spans="2:18" ht="17.25" customHeight="1" x14ac:dyDescent="0.25">
      <c r="B98" s="399"/>
      <c r="C98" s="37" t="s">
        <v>14</v>
      </c>
      <c r="D98" s="395"/>
      <c r="E98" s="29">
        <v>1</v>
      </c>
      <c r="F98" s="8" t="s">
        <v>16</v>
      </c>
      <c r="G98" s="29">
        <v>1</v>
      </c>
      <c r="H98" s="21">
        <v>30</v>
      </c>
      <c r="I98" s="25">
        <f>+(((((1000000*8.8)*55.97%)/15*12)/30)*H98)*E98</f>
        <v>3940287.9999999995</v>
      </c>
      <c r="J98" s="26">
        <v>0.08</v>
      </c>
      <c r="K98" s="27">
        <f t="shared" si="21"/>
        <v>315223.03999999998</v>
      </c>
      <c r="L98" s="27">
        <f t="shared" si="22"/>
        <v>4255511.0399999991</v>
      </c>
      <c r="M98" s="27">
        <f t="shared" si="23"/>
        <v>425551.10399999993</v>
      </c>
      <c r="N98" s="27">
        <f t="shared" si="24"/>
        <v>80854.709759999983</v>
      </c>
      <c r="O98" s="27">
        <f t="shared" si="25"/>
        <v>4336365.7497599991</v>
      </c>
    </row>
    <row r="99" spans="2:18" ht="17.25" customHeight="1" x14ac:dyDescent="0.25">
      <c r="B99" s="399"/>
      <c r="C99" s="36" t="s">
        <v>14</v>
      </c>
      <c r="D99" t="s">
        <v>66</v>
      </c>
      <c r="E99" s="1">
        <v>1</v>
      </c>
      <c r="F99" s="11" t="s">
        <v>15</v>
      </c>
      <c r="G99" s="1">
        <v>1</v>
      </c>
      <c r="H99" s="1">
        <v>30</v>
      </c>
      <c r="I99" s="3">
        <f>+(((1000000*8.8)/30)*H99)*E99</f>
        <v>8800000</v>
      </c>
      <c r="J99" s="4">
        <v>0.08</v>
      </c>
      <c r="K99" s="5">
        <f>I99*J99</f>
        <v>704000</v>
      </c>
      <c r="L99" s="5">
        <f>I99+K99</f>
        <v>9504000</v>
      </c>
      <c r="M99" s="5">
        <f>L99*10%</f>
        <v>950400</v>
      </c>
      <c r="N99" s="5">
        <f>+M99*19%</f>
        <v>180576</v>
      </c>
      <c r="O99" s="5">
        <f>L99+N99</f>
        <v>9684576</v>
      </c>
    </row>
    <row r="100" spans="2:18" ht="17.25" customHeight="1" x14ac:dyDescent="0.25">
      <c r="B100" s="399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21">
        <v>30</v>
      </c>
      <c r="I100" s="30">
        <f>+(((1000000*8.8)/30)*H100)*E100</f>
        <v>8800000</v>
      </c>
      <c r="J100" s="26">
        <v>0.08</v>
      </c>
      <c r="K100" s="27">
        <f>I100*J100</f>
        <v>704000</v>
      </c>
      <c r="L100" s="27">
        <f>I100+K100</f>
        <v>9504000</v>
      </c>
      <c r="M100" s="27">
        <f>L100*10%</f>
        <v>950400</v>
      </c>
      <c r="N100" s="27">
        <f>+M100*19%</f>
        <v>180576</v>
      </c>
      <c r="O100" s="27">
        <f>L100+N100</f>
        <v>9684576</v>
      </c>
    </row>
    <row r="101" spans="2:18" ht="17.25" customHeight="1" x14ac:dyDescent="0.25">
      <c r="B101" s="399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21">
        <v>30</v>
      </c>
      <c r="I101" s="30">
        <f>+(((1000000*8.8)/30)*H101)*E101</f>
        <v>8800000</v>
      </c>
      <c r="J101" s="26">
        <v>0.08</v>
      </c>
      <c r="K101" s="27">
        <f>I101*J101</f>
        <v>704000</v>
      </c>
      <c r="L101" s="27">
        <f>I101+K101</f>
        <v>9504000</v>
      </c>
      <c r="M101" s="27">
        <f>L101*10%</f>
        <v>950400</v>
      </c>
      <c r="N101" s="27">
        <f>+M101*19%</f>
        <v>180576</v>
      </c>
      <c r="O101" s="27">
        <f>L101+N101</f>
        <v>9684576</v>
      </c>
    </row>
    <row r="102" spans="2:18" ht="17.25" customHeight="1" x14ac:dyDescent="0.25">
      <c r="B102" s="399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21">
        <v>30</v>
      </c>
      <c r="I102" s="25">
        <f>+(((((1000000*8.8)*55.97%)/15*12)/30)*H102)*E102</f>
        <v>3940287.9999999995</v>
      </c>
      <c r="J102" s="26">
        <v>0.08</v>
      </c>
      <c r="K102" s="27">
        <f>I102*J102</f>
        <v>315223.03999999998</v>
      </c>
      <c r="L102" s="27">
        <f>I102+K102</f>
        <v>4255511.0399999991</v>
      </c>
      <c r="M102" s="27">
        <f>L102*10%</f>
        <v>425551.10399999993</v>
      </c>
      <c r="N102" s="27">
        <f>+M102*19%</f>
        <v>80854.709759999983</v>
      </c>
      <c r="O102" s="27">
        <f>L102+N102</f>
        <v>4336365.7497599991</v>
      </c>
    </row>
    <row r="103" spans="2:18" ht="17.25" customHeight="1" x14ac:dyDescent="0.25">
      <c r="B103" s="404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20</v>
      </c>
      <c r="I103" s="6">
        <f>+(((((1000000*8.8)*55.97%)/15*12)/30)*H103)*E103</f>
        <v>2626858.6666666665</v>
      </c>
      <c r="J103" s="4">
        <v>0.08</v>
      </c>
      <c r="K103" s="5">
        <f>I103*J103</f>
        <v>210148.69333333333</v>
      </c>
      <c r="L103" s="5">
        <f>I103+K103</f>
        <v>2837007.36</v>
      </c>
      <c r="M103" s="5">
        <f>L103*10%</f>
        <v>283700.73599999998</v>
      </c>
      <c r="N103" s="5">
        <f>+M103*19%</f>
        <v>53903.139839999996</v>
      </c>
      <c r="O103" s="5">
        <f>L103+N103</f>
        <v>2890910.4998399997</v>
      </c>
    </row>
    <row r="104" spans="2:18" x14ac:dyDescent="0.25">
      <c r="B104" s="46"/>
      <c r="C104" s="47"/>
      <c r="D104" s="47"/>
      <c r="E104" s="47"/>
      <c r="F104" s="47"/>
      <c r="G104" s="49">
        <f>SUM(G40:G103)</f>
        <v>65</v>
      </c>
      <c r="H104" s="48"/>
      <c r="I104" s="49">
        <f>SUM(I40:I103)</f>
        <v>445559972.97777784</v>
      </c>
      <c r="J104" s="50"/>
      <c r="K104" s="49">
        <f>SUM(K40:K103)</f>
        <v>35644797.838222206</v>
      </c>
      <c r="L104" s="49">
        <f>SUM(L40:L103)</f>
        <v>481204770.81600016</v>
      </c>
      <c r="M104" s="49">
        <f>SUM(M40:M103)</f>
        <v>48120477.081599995</v>
      </c>
      <c r="N104" s="49">
        <f>SUM(N40:N103)</f>
        <v>9142890.6455039978</v>
      </c>
      <c r="O104" s="49">
        <f>SUM(O40:O103)</f>
        <v>490347661.46150392</v>
      </c>
      <c r="R104">
        <f t="shared" si="13"/>
        <v>0</v>
      </c>
    </row>
    <row r="105" spans="2:18" ht="15" customHeight="1" x14ac:dyDescent="0.25">
      <c r="B105" s="398" t="s">
        <v>82</v>
      </c>
      <c r="C105" s="38" t="s">
        <v>14</v>
      </c>
      <c r="D105" s="12" t="s">
        <v>27</v>
      </c>
      <c r="E105" s="1">
        <v>1</v>
      </c>
      <c r="F105" s="2" t="s">
        <v>17</v>
      </c>
      <c r="G105" s="1">
        <v>1</v>
      </c>
      <c r="H105" s="1">
        <v>24</v>
      </c>
      <c r="I105" s="6">
        <f>+(((((1000000*8.8)*55.97%)/15*12)/30)*H105)*E105</f>
        <v>3152230.3999999994</v>
      </c>
      <c r="J105" s="4">
        <v>0.08</v>
      </c>
      <c r="K105" s="5">
        <f t="shared" ref="K105:K126" si="26">I105*J105</f>
        <v>252178.43199999997</v>
      </c>
      <c r="L105" s="5">
        <f t="shared" ref="L105:L126" si="27">I105+K105</f>
        <v>3404408.8319999995</v>
      </c>
      <c r="M105" s="5">
        <f t="shared" ref="M105:M126" si="28">L105*10%</f>
        <v>340440.88319999998</v>
      </c>
      <c r="N105" s="5">
        <f t="shared" ref="N105:N126" si="29">+M105*19%</f>
        <v>64683.767807999997</v>
      </c>
      <c r="O105" s="5">
        <f t="shared" ref="O105:O126" si="30">L105+N105</f>
        <v>3469092.5998079996</v>
      </c>
      <c r="R105">
        <f t="shared" si="13"/>
        <v>1</v>
      </c>
    </row>
    <row r="106" spans="2:18" x14ac:dyDescent="0.25">
      <c r="B106" s="399"/>
      <c r="C106" s="38" t="s">
        <v>14</v>
      </c>
      <c r="D106" s="13" t="s">
        <v>28</v>
      </c>
      <c r="E106" s="1">
        <v>1</v>
      </c>
      <c r="F106" s="2" t="s">
        <v>17</v>
      </c>
      <c r="G106" s="1">
        <v>1</v>
      </c>
      <c r="H106" s="1">
        <v>24</v>
      </c>
      <c r="I106" s="6">
        <f>+(((((1000000*8.8)*55.97%)/15*12)/30)*H106)*E106</f>
        <v>3152230.3999999994</v>
      </c>
      <c r="J106" s="4">
        <v>0.08</v>
      </c>
      <c r="K106" s="5">
        <f t="shared" si="26"/>
        <v>252178.43199999997</v>
      </c>
      <c r="L106" s="5">
        <f t="shared" si="27"/>
        <v>3404408.8319999995</v>
      </c>
      <c r="M106" s="5">
        <f t="shared" si="28"/>
        <v>340440.88319999998</v>
      </c>
      <c r="N106" s="5">
        <f t="shared" si="29"/>
        <v>64683.767807999997</v>
      </c>
      <c r="O106" s="5">
        <f t="shared" si="30"/>
        <v>3469092.5998079996</v>
      </c>
      <c r="R106">
        <f t="shared" si="13"/>
        <v>1</v>
      </c>
    </row>
    <row r="107" spans="2:18" x14ac:dyDescent="0.25">
      <c r="B107" s="399"/>
      <c r="C107" s="38" t="s">
        <v>14</v>
      </c>
      <c r="D107" s="13" t="s">
        <v>29</v>
      </c>
      <c r="E107" s="1">
        <v>1</v>
      </c>
      <c r="F107" s="2" t="s">
        <v>17</v>
      </c>
      <c r="G107" s="1">
        <v>1</v>
      </c>
      <c r="H107" s="1">
        <v>24</v>
      </c>
      <c r="I107" s="6">
        <f>+(((((1000000*8.8)*55.97%)/15*12)/30)*H107)*E107</f>
        <v>3152230.3999999994</v>
      </c>
      <c r="J107" s="4">
        <v>0.08</v>
      </c>
      <c r="K107" s="5">
        <f t="shared" si="26"/>
        <v>252178.43199999997</v>
      </c>
      <c r="L107" s="5">
        <f t="shared" si="27"/>
        <v>3404408.8319999995</v>
      </c>
      <c r="M107" s="5">
        <f t="shared" si="28"/>
        <v>340440.88319999998</v>
      </c>
      <c r="N107" s="5">
        <f t="shared" si="29"/>
        <v>64683.767807999997</v>
      </c>
      <c r="O107" s="5">
        <f t="shared" si="30"/>
        <v>3469092.5998079996</v>
      </c>
      <c r="R107">
        <f t="shared" si="13"/>
        <v>1</v>
      </c>
    </row>
    <row r="108" spans="2:18" x14ac:dyDescent="0.25">
      <c r="B108" s="399"/>
      <c r="C108" s="38" t="s">
        <v>14</v>
      </c>
      <c r="D108" s="13" t="s">
        <v>30</v>
      </c>
      <c r="E108" s="1">
        <v>1</v>
      </c>
      <c r="F108" s="8" t="s">
        <v>17</v>
      </c>
      <c r="G108" s="21">
        <v>1</v>
      </c>
      <c r="H108" s="1">
        <v>24</v>
      </c>
      <c r="I108" s="6">
        <f>+(((((1000000*8.8)*55.97%)/15*12)/30)*H108)*E108</f>
        <v>3152230.3999999994</v>
      </c>
      <c r="J108" s="4">
        <v>0.08</v>
      </c>
      <c r="K108" s="5">
        <f t="shared" si="26"/>
        <v>252178.43199999997</v>
      </c>
      <c r="L108" s="5">
        <f t="shared" si="27"/>
        <v>3404408.8319999995</v>
      </c>
      <c r="M108" s="5">
        <f t="shared" si="28"/>
        <v>340440.88319999998</v>
      </c>
      <c r="N108" s="5">
        <f t="shared" si="29"/>
        <v>64683.767807999997</v>
      </c>
      <c r="O108" s="5">
        <f t="shared" si="30"/>
        <v>3469092.5998079996</v>
      </c>
      <c r="R108">
        <f t="shared" si="13"/>
        <v>1</v>
      </c>
    </row>
    <row r="109" spans="2:18" x14ac:dyDescent="0.25">
      <c r="B109" s="399"/>
      <c r="C109" s="38" t="s">
        <v>14</v>
      </c>
      <c r="D109" s="13" t="s">
        <v>31</v>
      </c>
      <c r="E109" s="1">
        <v>1</v>
      </c>
      <c r="F109" s="8" t="s">
        <v>19</v>
      </c>
      <c r="G109" s="21">
        <v>1</v>
      </c>
      <c r="H109" s="1">
        <v>24</v>
      </c>
      <c r="I109" s="6">
        <f>+(((((1000000*8.8)*55.97%)/15*14)/30)*H109)*E109</f>
        <v>3677602.1333333328</v>
      </c>
      <c r="J109" s="4">
        <v>0.08</v>
      </c>
      <c r="K109" s="5">
        <f t="shared" si="26"/>
        <v>294208.17066666664</v>
      </c>
      <c r="L109" s="5">
        <f t="shared" si="27"/>
        <v>3971810.3039999995</v>
      </c>
      <c r="M109" s="5">
        <f t="shared" si="28"/>
        <v>397181.03039999999</v>
      </c>
      <c r="N109" s="5">
        <f t="shared" si="29"/>
        <v>75464.395776000005</v>
      </c>
      <c r="O109" s="5">
        <f t="shared" si="30"/>
        <v>4047274.6997759994</v>
      </c>
      <c r="R109">
        <f t="shared" si="13"/>
        <v>1</v>
      </c>
    </row>
    <row r="110" spans="2:18" x14ac:dyDescent="0.25">
      <c r="B110" s="399"/>
      <c r="C110" s="38" t="s">
        <v>14</v>
      </c>
      <c r="D110" s="13" t="s">
        <v>32</v>
      </c>
      <c r="E110" s="9">
        <v>1</v>
      </c>
      <c r="F110" s="8" t="s">
        <v>15</v>
      </c>
      <c r="G110" s="21">
        <v>1</v>
      </c>
      <c r="H110" s="1">
        <v>30</v>
      </c>
      <c r="I110" s="3">
        <f>+(((1000000*8.8)/30)*H110)*E110</f>
        <v>8800000</v>
      </c>
      <c r="J110" s="4">
        <v>0.08</v>
      </c>
      <c r="K110" s="5">
        <f t="shared" si="26"/>
        <v>704000</v>
      </c>
      <c r="L110" s="5">
        <f t="shared" si="27"/>
        <v>9504000</v>
      </c>
      <c r="M110" s="5">
        <f t="shared" si="28"/>
        <v>950400</v>
      </c>
      <c r="N110" s="5">
        <f t="shared" si="29"/>
        <v>180576</v>
      </c>
      <c r="O110" s="5">
        <f t="shared" si="30"/>
        <v>9684576</v>
      </c>
      <c r="R110">
        <f t="shared" si="13"/>
        <v>1</v>
      </c>
    </row>
    <row r="111" spans="2:18" x14ac:dyDescent="0.25">
      <c r="B111" s="399"/>
      <c r="C111" s="38" t="s">
        <v>14</v>
      </c>
      <c r="D111" s="13" t="s">
        <v>33</v>
      </c>
      <c r="E111" s="1">
        <v>1</v>
      </c>
      <c r="F111" s="8" t="s">
        <v>21</v>
      </c>
      <c r="G111" s="21">
        <v>1</v>
      </c>
      <c r="H111" s="1">
        <v>24</v>
      </c>
      <c r="I111" s="6">
        <f>+(((((1000000*8.8)*55.97%)/15*8)/30)*H111)*E111</f>
        <v>2101486.9333333336</v>
      </c>
      <c r="J111" s="4">
        <v>0.08</v>
      </c>
      <c r="K111" s="5">
        <f t="shared" si="26"/>
        <v>168118.95466666669</v>
      </c>
      <c r="L111" s="5">
        <f t="shared" si="27"/>
        <v>2269605.8880000003</v>
      </c>
      <c r="M111" s="5">
        <f t="shared" si="28"/>
        <v>226960.58880000003</v>
      </c>
      <c r="N111" s="5">
        <f t="shared" si="29"/>
        <v>43122.511872000003</v>
      </c>
      <c r="O111" s="5">
        <f t="shared" si="30"/>
        <v>2312728.3998720003</v>
      </c>
      <c r="R111">
        <f t="shared" si="13"/>
        <v>1</v>
      </c>
    </row>
    <row r="112" spans="2:18" x14ac:dyDescent="0.25">
      <c r="B112" s="399"/>
      <c r="C112" s="38" t="s">
        <v>14</v>
      </c>
      <c r="D112" s="13" t="s">
        <v>34</v>
      </c>
      <c r="E112" s="9">
        <v>1</v>
      </c>
      <c r="F112" s="8" t="s">
        <v>15</v>
      </c>
      <c r="G112" s="21">
        <v>1</v>
      </c>
      <c r="H112" s="1">
        <v>30</v>
      </c>
      <c r="I112" s="3">
        <f>+(((1000000*8.8)/30)*H112)*E112</f>
        <v>8800000</v>
      </c>
      <c r="J112" s="4">
        <v>0.08</v>
      </c>
      <c r="K112" s="5">
        <f t="shared" si="26"/>
        <v>704000</v>
      </c>
      <c r="L112" s="5">
        <f t="shared" si="27"/>
        <v>9504000</v>
      </c>
      <c r="M112" s="5">
        <f t="shared" si="28"/>
        <v>950400</v>
      </c>
      <c r="N112" s="5">
        <f t="shared" si="29"/>
        <v>180576</v>
      </c>
      <c r="O112" s="5">
        <f t="shared" si="30"/>
        <v>9684576</v>
      </c>
      <c r="R112">
        <f t="shared" si="13"/>
        <v>1</v>
      </c>
    </row>
    <row r="113" spans="2:18" x14ac:dyDescent="0.25">
      <c r="B113" s="399"/>
      <c r="C113" s="38" t="s">
        <v>14</v>
      </c>
      <c r="D113" s="13" t="s">
        <v>35</v>
      </c>
      <c r="E113" s="1">
        <v>1</v>
      </c>
      <c r="F113" s="14" t="s">
        <v>17</v>
      </c>
      <c r="G113" s="73">
        <v>1</v>
      </c>
      <c r="H113" s="1">
        <v>24</v>
      </c>
      <c r="I113" s="6">
        <f>+(((((1000000*8.8)*55.97%)/15*12)/30)*H113)*E113</f>
        <v>3152230.3999999994</v>
      </c>
      <c r="J113" s="4">
        <v>0.08</v>
      </c>
      <c r="K113" s="5">
        <f t="shared" si="26"/>
        <v>252178.43199999997</v>
      </c>
      <c r="L113" s="5">
        <f t="shared" si="27"/>
        <v>3404408.8319999995</v>
      </c>
      <c r="M113" s="5">
        <f t="shared" si="28"/>
        <v>340440.88319999998</v>
      </c>
      <c r="N113" s="5">
        <f t="shared" si="29"/>
        <v>64683.767807999997</v>
      </c>
      <c r="O113" s="5">
        <f t="shared" si="30"/>
        <v>3469092.5998079996</v>
      </c>
      <c r="R113">
        <f t="shared" si="13"/>
        <v>1</v>
      </c>
    </row>
    <row r="114" spans="2:18" x14ac:dyDescent="0.25">
      <c r="B114" s="399"/>
      <c r="C114" s="38" t="s">
        <v>14</v>
      </c>
      <c r="D114" s="13" t="s">
        <v>36</v>
      </c>
      <c r="E114" s="1">
        <v>1</v>
      </c>
      <c r="F114" s="14" t="s">
        <v>15</v>
      </c>
      <c r="G114" s="73">
        <v>1</v>
      </c>
      <c r="H114" s="1">
        <v>30</v>
      </c>
      <c r="I114" s="3">
        <f>+(((1000000*8.8)/30)*H114)*E114</f>
        <v>8800000</v>
      </c>
      <c r="J114" s="4">
        <v>0.08</v>
      </c>
      <c r="K114" s="5">
        <f t="shared" si="26"/>
        <v>704000</v>
      </c>
      <c r="L114" s="5">
        <f t="shared" si="27"/>
        <v>9504000</v>
      </c>
      <c r="M114" s="5">
        <f t="shared" si="28"/>
        <v>950400</v>
      </c>
      <c r="N114" s="5">
        <f t="shared" si="29"/>
        <v>180576</v>
      </c>
      <c r="O114" s="5">
        <f t="shared" si="30"/>
        <v>9684576</v>
      </c>
      <c r="R114">
        <f t="shared" si="13"/>
        <v>1</v>
      </c>
    </row>
    <row r="115" spans="2:18" x14ac:dyDescent="0.25">
      <c r="B115" s="399"/>
      <c r="C115" s="38" t="s">
        <v>14</v>
      </c>
      <c r="D115" s="13" t="s">
        <v>37</v>
      </c>
      <c r="E115" s="1">
        <v>1</v>
      </c>
      <c r="F115" s="14" t="s">
        <v>16</v>
      </c>
      <c r="G115" s="73">
        <v>1</v>
      </c>
      <c r="H115" s="1">
        <v>30</v>
      </c>
      <c r="I115" s="6">
        <f>+(((((1000000*8.8)*55.97%)/15*12)/30)*H115)*E115</f>
        <v>3940287.9999999995</v>
      </c>
      <c r="J115" s="4">
        <v>0.08</v>
      </c>
      <c r="K115" s="5">
        <f t="shared" si="26"/>
        <v>315223.03999999998</v>
      </c>
      <c r="L115" s="5">
        <f t="shared" si="27"/>
        <v>4255511.0399999991</v>
      </c>
      <c r="M115" s="5">
        <f t="shared" si="28"/>
        <v>425551.10399999993</v>
      </c>
      <c r="N115" s="5">
        <f t="shared" si="29"/>
        <v>80854.709759999983</v>
      </c>
      <c r="O115" s="5">
        <f t="shared" si="30"/>
        <v>4336365.7497599991</v>
      </c>
      <c r="R115">
        <f t="shared" si="13"/>
        <v>1</v>
      </c>
    </row>
    <row r="116" spans="2:18" x14ac:dyDescent="0.25">
      <c r="B116" s="399"/>
      <c r="C116" s="38" t="s">
        <v>14</v>
      </c>
      <c r="D116" s="13" t="s">
        <v>38</v>
      </c>
      <c r="E116" s="1">
        <v>1</v>
      </c>
      <c r="F116" s="14" t="s">
        <v>15</v>
      </c>
      <c r="G116" s="73">
        <v>1</v>
      </c>
      <c r="H116" s="1">
        <v>30</v>
      </c>
      <c r="I116" s="3">
        <f>+(((1000000*8.8)/30)*H116)*E116</f>
        <v>8800000</v>
      </c>
      <c r="J116" s="4">
        <v>0.08</v>
      </c>
      <c r="K116" s="5">
        <f t="shared" si="26"/>
        <v>704000</v>
      </c>
      <c r="L116" s="5">
        <f t="shared" si="27"/>
        <v>9504000</v>
      </c>
      <c r="M116" s="5">
        <f t="shared" si="28"/>
        <v>950400</v>
      </c>
      <c r="N116" s="5">
        <f t="shared" si="29"/>
        <v>180576</v>
      </c>
      <c r="O116" s="5">
        <f t="shared" si="30"/>
        <v>9684576</v>
      </c>
      <c r="R116">
        <f t="shared" si="13"/>
        <v>1</v>
      </c>
    </row>
    <row r="117" spans="2:18" x14ac:dyDescent="0.25">
      <c r="B117" s="399"/>
      <c r="C117" s="38" t="s">
        <v>14</v>
      </c>
      <c r="D117" s="13" t="s">
        <v>39</v>
      </c>
      <c r="E117" s="1">
        <v>1</v>
      </c>
      <c r="F117" s="14" t="s">
        <v>15</v>
      </c>
      <c r="G117" s="73">
        <v>1</v>
      </c>
      <c r="H117" s="1">
        <v>30</v>
      </c>
      <c r="I117" s="3">
        <f>+(((1000000*8.8)/30)*H117)*E117</f>
        <v>8800000</v>
      </c>
      <c r="J117" s="4">
        <v>0.08</v>
      </c>
      <c r="K117" s="5">
        <f t="shared" si="26"/>
        <v>704000</v>
      </c>
      <c r="L117" s="5">
        <f t="shared" si="27"/>
        <v>9504000</v>
      </c>
      <c r="M117" s="5">
        <f t="shared" si="28"/>
        <v>950400</v>
      </c>
      <c r="N117" s="5">
        <f t="shared" si="29"/>
        <v>180576</v>
      </c>
      <c r="O117" s="5">
        <f t="shared" si="30"/>
        <v>9684576</v>
      </c>
      <c r="R117">
        <f t="shared" si="13"/>
        <v>1</v>
      </c>
    </row>
    <row r="118" spans="2:18" x14ac:dyDescent="0.25">
      <c r="B118" s="399"/>
      <c r="C118" s="38" t="s">
        <v>14</v>
      </c>
      <c r="D118" s="13" t="s">
        <v>40</v>
      </c>
      <c r="E118" s="1">
        <v>1</v>
      </c>
      <c r="F118" s="14" t="s">
        <v>15</v>
      </c>
      <c r="G118" s="73">
        <v>1</v>
      </c>
      <c r="H118" s="1">
        <v>30</v>
      </c>
      <c r="I118" s="3">
        <f>+(((1000000*8.8)/30)*H118)*E118</f>
        <v>8800000</v>
      </c>
      <c r="J118" s="4">
        <v>0.08</v>
      </c>
      <c r="K118" s="5">
        <f t="shared" si="26"/>
        <v>704000</v>
      </c>
      <c r="L118" s="5">
        <f t="shared" si="27"/>
        <v>9504000</v>
      </c>
      <c r="M118" s="5">
        <f t="shared" si="28"/>
        <v>950400</v>
      </c>
      <c r="N118" s="5">
        <f t="shared" si="29"/>
        <v>180576</v>
      </c>
      <c r="O118" s="5">
        <f t="shared" si="30"/>
        <v>9684576</v>
      </c>
      <c r="R118">
        <f t="shared" si="13"/>
        <v>1</v>
      </c>
    </row>
    <row r="119" spans="2:18" x14ac:dyDescent="0.25">
      <c r="B119" s="399"/>
      <c r="C119" s="38" t="s">
        <v>14</v>
      </c>
      <c r="D119" s="13" t="s">
        <v>41</v>
      </c>
      <c r="E119" s="1">
        <v>1</v>
      </c>
      <c r="F119" s="14" t="s">
        <v>15</v>
      </c>
      <c r="G119" s="73">
        <v>1</v>
      </c>
      <c r="H119" s="1">
        <v>30</v>
      </c>
      <c r="I119" s="3">
        <f>+(((1000000*8.8)/30)*H119)*E119</f>
        <v>8800000</v>
      </c>
      <c r="J119" s="4">
        <v>0.08</v>
      </c>
      <c r="K119" s="5">
        <f t="shared" si="26"/>
        <v>704000</v>
      </c>
      <c r="L119" s="5">
        <f t="shared" si="27"/>
        <v>9504000</v>
      </c>
      <c r="M119" s="5">
        <f t="shared" si="28"/>
        <v>950400</v>
      </c>
      <c r="N119" s="5">
        <f t="shared" si="29"/>
        <v>180576</v>
      </c>
      <c r="O119" s="5">
        <f t="shared" si="30"/>
        <v>9684576</v>
      </c>
      <c r="R119">
        <f t="shared" si="13"/>
        <v>1</v>
      </c>
    </row>
    <row r="120" spans="2:18" x14ac:dyDescent="0.25">
      <c r="B120" s="399"/>
      <c r="C120" s="38" t="s">
        <v>14</v>
      </c>
      <c r="D120" s="13" t="s">
        <v>42</v>
      </c>
      <c r="E120" s="1">
        <v>1</v>
      </c>
      <c r="F120" s="11" t="s">
        <v>16</v>
      </c>
      <c r="G120" s="74">
        <v>1</v>
      </c>
      <c r="H120" s="1">
        <v>30</v>
      </c>
      <c r="I120" s="6">
        <f>+(((((1000000*8.8)*55.97%)/15*12)/30)*H120)*E120</f>
        <v>3940287.9999999995</v>
      </c>
      <c r="J120" s="4">
        <v>0.08</v>
      </c>
      <c r="K120" s="5">
        <f t="shared" si="26"/>
        <v>315223.03999999998</v>
      </c>
      <c r="L120" s="5">
        <f t="shared" si="27"/>
        <v>4255511.0399999991</v>
      </c>
      <c r="M120" s="5">
        <f t="shared" si="28"/>
        <v>425551.10399999993</v>
      </c>
      <c r="N120" s="5">
        <f t="shared" si="29"/>
        <v>80854.709759999983</v>
      </c>
      <c r="O120" s="5">
        <f t="shared" si="30"/>
        <v>4336365.7497599991</v>
      </c>
      <c r="R120">
        <f t="shared" si="13"/>
        <v>1</v>
      </c>
    </row>
    <row r="121" spans="2:18" x14ac:dyDescent="0.25">
      <c r="B121" s="399"/>
      <c r="C121" s="38" t="s">
        <v>14</v>
      </c>
      <c r="D121" s="13" t="s">
        <v>43</v>
      </c>
      <c r="E121" s="1">
        <v>1</v>
      </c>
      <c r="F121" s="11" t="s">
        <v>16</v>
      </c>
      <c r="G121" s="74">
        <v>1</v>
      </c>
      <c r="H121" s="1">
        <v>30</v>
      </c>
      <c r="I121" s="6">
        <f>+(((((1000000*8.8)*55.97%)/15*12)/30)*H121)*E121</f>
        <v>3940287.9999999995</v>
      </c>
      <c r="J121" s="4">
        <v>0.08</v>
      </c>
      <c r="K121" s="5">
        <f t="shared" si="26"/>
        <v>315223.03999999998</v>
      </c>
      <c r="L121" s="5">
        <f t="shared" si="27"/>
        <v>4255511.0399999991</v>
      </c>
      <c r="M121" s="5">
        <f t="shared" si="28"/>
        <v>425551.10399999993</v>
      </c>
      <c r="N121" s="5">
        <f t="shared" si="29"/>
        <v>80854.709759999983</v>
      </c>
      <c r="O121" s="5">
        <f t="shared" si="30"/>
        <v>4336365.7497599991</v>
      </c>
      <c r="R121">
        <f t="shared" si="13"/>
        <v>1</v>
      </c>
    </row>
    <row r="122" spans="2:18" x14ac:dyDescent="0.25">
      <c r="B122" s="399"/>
      <c r="C122" s="38" t="s">
        <v>14</v>
      </c>
      <c r="D122" s="13" t="s">
        <v>44</v>
      </c>
      <c r="E122" s="1">
        <v>1</v>
      </c>
      <c r="F122" s="11" t="s">
        <v>16</v>
      </c>
      <c r="G122" s="74">
        <v>1</v>
      </c>
      <c r="H122" s="1">
        <v>30</v>
      </c>
      <c r="I122" s="6">
        <f>+(((((1000000*8.8)*55.97%)/15*12)/30)*H122)*E122</f>
        <v>3940287.9999999995</v>
      </c>
      <c r="J122" s="4">
        <v>0.08</v>
      </c>
      <c r="K122" s="5">
        <f t="shared" si="26"/>
        <v>315223.03999999998</v>
      </c>
      <c r="L122" s="5">
        <f t="shared" si="27"/>
        <v>4255511.0399999991</v>
      </c>
      <c r="M122" s="5">
        <f t="shared" si="28"/>
        <v>425551.10399999993</v>
      </c>
      <c r="N122" s="5">
        <f t="shared" si="29"/>
        <v>80854.709759999983</v>
      </c>
      <c r="O122" s="5">
        <f t="shared" si="30"/>
        <v>4336365.7497599991</v>
      </c>
      <c r="R122">
        <f t="shared" si="13"/>
        <v>1</v>
      </c>
    </row>
    <row r="123" spans="2:18" x14ac:dyDescent="0.25">
      <c r="B123" s="399"/>
      <c r="C123" s="38" t="s">
        <v>14</v>
      </c>
      <c r="D123" s="13" t="s">
        <v>45</v>
      </c>
      <c r="E123" s="1">
        <v>1</v>
      </c>
      <c r="F123" s="11" t="s">
        <v>16</v>
      </c>
      <c r="G123" s="74">
        <v>1</v>
      </c>
      <c r="H123" s="1">
        <v>30</v>
      </c>
      <c r="I123" s="6">
        <f>+(((((1000000*8.8)*55.97%)/15*12)/30)*H123)*E123</f>
        <v>3940287.9999999995</v>
      </c>
      <c r="J123" s="4">
        <v>0.08</v>
      </c>
      <c r="K123" s="5">
        <f t="shared" si="26"/>
        <v>315223.03999999998</v>
      </c>
      <c r="L123" s="5">
        <f t="shared" si="27"/>
        <v>4255511.0399999991</v>
      </c>
      <c r="M123" s="5">
        <f t="shared" si="28"/>
        <v>425551.10399999993</v>
      </c>
      <c r="N123" s="5">
        <f t="shared" si="29"/>
        <v>80854.709759999983</v>
      </c>
      <c r="O123" s="5">
        <f t="shared" si="30"/>
        <v>4336365.7497599991</v>
      </c>
      <c r="R123">
        <f t="shared" si="13"/>
        <v>1</v>
      </c>
    </row>
    <row r="124" spans="2:18" ht="14.25" customHeight="1" x14ac:dyDescent="0.25">
      <c r="B124" s="399"/>
      <c r="C124" s="55" t="s">
        <v>14</v>
      </c>
      <c r="D124" s="54" t="s">
        <v>46</v>
      </c>
      <c r="E124" s="1">
        <v>1</v>
      </c>
      <c r="F124" s="2" t="s">
        <v>19</v>
      </c>
      <c r="G124" s="1">
        <v>1</v>
      </c>
      <c r="H124" s="1">
        <v>24</v>
      </c>
      <c r="I124" s="6">
        <f>+(((((1000000*8.8)*55.97%)/15*14)/30)*H124)*E124</f>
        <v>3677602.1333333328</v>
      </c>
      <c r="J124" s="4">
        <v>0.08</v>
      </c>
      <c r="K124" s="5">
        <f t="shared" si="26"/>
        <v>294208.17066666664</v>
      </c>
      <c r="L124" s="5">
        <f t="shared" si="27"/>
        <v>3971810.3039999995</v>
      </c>
      <c r="M124" s="5">
        <f t="shared" si="28"/>
        <v>397181.03039999999</v>
      </c>
      <c r="N124" s="5">
        <f t="shared" si="29"/>
        <v>75464.395776000005</v>
      </c>
      <c r="O124" s="5">
        <f t="shared" si="30"/>
        <v>4047274.6997759994</v>
      </c>
      <c r="R124">
        <f t="shared" si="13"/>
        <v>1</v>
      </c>
    </row>
    <row r="125" spans="2:18" x14ac:dyDescent="0.25">
      <c r="B125" s="399"/>
      <c r="C125" s="38" t="s">
        <v>14</v>
      </c>
      <c r="D125" s="13" t="s">
        <v>18</v>
      </c>
      <c r="E125" s="1">
        <v>1</v>
      </c>
      <c r="F125" s="11" t="s">
        <v>15</v>
      </c>
      <c r="G125" s="74">
        <v>1</v>
      </c>
      <c r="H125" s="1">
        <v>30</v>
      </c>
      <c r="I125" s="3">
        <f>+(((1000000*8.8)/30)*H125)*E125</f>
        <v>8800000</v>
      </c>
      <c r="J125" s="4">
        <v>0.08</v>
      </c>
      <c r="K125" s="5">
        <f t="shared" si="26"/>
        <v>704000</v>
      </c>
      <c r="L125" s="5">
        <f t="shared" si="27"/>
        <v>9504000</v>
      </c>
      <c r="M125" s="5">
        <f t="shared" si="28"/>
        <v>950400</v>
      </c>
      <c r="N125" s="5">
        <f t="shared" si="29"/>
        <v>180576</v>
      </c>
      <c r="O125" s="5">
        <f t="shared" si="30"/>
        <v>9684576</v>
      </c>
      <c r="R125">
        <f t="shared" si="13"/>
        <v>1</v>
      </c>
    </row>
    <row r="126" spans="2:18" ht="28.5" customHeight="1" x14ac:dyDescent="0.25">
      <c r="B126" s="399"/>
      <c r="C126" s="59" t="s">
        <v>14</v>
      </c>
      <c r="D126" s="60" t="s">
        <v>47</v>
      </c>
      <c r="E126" s="61">
        <v>1</v>
      </c>
      <c r="F126" s="62" t="s">
        <v>79</v>
      </c>
      <c r="G126" s="75">
        <v>1</v>
      </c>
      <c r="H126" s="61">
        <v>24</v>
      </c>
      <c r="I126" s="63">
        <f>+(((((1000000*8.8)*55.97%)/15*14)/30)*20)*E126+(((((1000000*8.8)*55.97%)/15*8)/30)*4)</f>
        <v>3414916.2666666661</v>
      </c>
      <c r="J126" s="64">
        <v>0.08</v>
      </c>
      <c r="K126" s="65">
        <f t="shared" si="26"/>
        <v>273193.30133333331</v>
      </c>
      <c r="L126" s="65">
        <f t="shared" si="27"/>
        <v>3688109.5679999995</v>
      </c>
      <c r="M126" s="65">
        <f t="shared" si="28"/>
        <v>368810.95679999999</v>
      </c>
      <c r="N126" s="65">
        <f t="shared" si="29"/>
        <v>70074.081791999997</v>
      </c>
      <c r="O126" s="65">
        <f t="shared" si="30"/>
        <v>3758183.6497919997</v>
      </c>
      <c r="R126">
        <f t="shared" si="13"/>
        <v>1</v>
      </c>
    </row>
    <row r="127" spans="2:18" x14ac:dyDescent="0.25">
      <c r="B127" s="399"/>
      <c r="C127" s="39" t="s">
        <v>14</v>
      </c>
      <c r="D127" s="13" t="s">
        <v>77</v>
      </c>
      <c r="E127" s="1">
        <v>1</v>
      </c>
      <c r="F127" s="11" t="s">
        <v>16</v>
      </c>
      <c r="G127" s="74">
        <v>1</v>
      </c>
      <c r="H127" s="1">
        <f>30</f>
        <v>30</v>
      </c>
      <c r="I127" s="6">
        <f>+(((((1000000*8.8)*55.97%)/15*12)/30)*H127)*E127</f>
        <v>3940287.9999999995</v>
      </c>
      <c r="J127" s="4">
        <v>0.08</v>
      </c>
      <c r="K127" s="5">
        <f>I127*J127</f>
        <v>315223.03999999998</v>
      </c>
      <c r="L127" s="5">
        <f>I127+K127</f>
        <v>4255511.0399999991</v>
      </c>
      <c r="M127" s="5">
        <f>L127*10%</f>
        <v>425551.10399999993</v>
      </c>
      <c r="N127" s="5">
        <f>+M127*19%</f>
        <v>80854.709759999983</v>
      </c>
      <c r="O127" s="5">
        <f>L127+N127</f>
        <v>4336365.7497599991</v>
      </c>
      <c r="R127">
        <f t="shared" si="13"/>
        <v>1</v>
      </c>
    </row>
    <row r="128" spans="2:18" x14ac:dyDescent="0.25">
      <c r="B128" s="51"/>
      <c r="C128" s="52"/>
      <c r="D128" s="47"/>
      <c r="E128" s="47"/>
      <c r="F128" s="47"/>
      <c r="G128" s="49">
        <f>SUM(G105:G127)</f>
        <v>23</v>
      </c>
      <c r="H128" s="48"/>
      <c r="I128" s="49">
        <f>SUM(I105:I127)</f>
        <v>122674487.46666665</v>
      </c>
      <c r="J128" s="50"/>
      <c r="K128" s="49">
        <f t="shared" ref="K128:O128" si="31">SUM(K105:K127)</f>
        <v>9813958.997333331</v>
      </c>
      <c r="L128" s="49">
        <f t="shared" si="31"/>
        <v>132488446.46399996</v>
      </c>
      <c r="M128" s="49">
        <f t="shared" si="31"/>
        <v>13248844.646400003</v>
      </c>
      <c r="N128" s="49">
        <f t="shared" si="31"/>
        <v>2517280.482816</v>
      </c>
      <c r="O128" s="49">
        <f t="shared" si="31"/>
        <v>135005726.946816</v>
      </c>
      <c r="R128">
        <f t="shared" si="13"/>
        <v>0</v>
      </c>
    </row>
    <row r="129" spans="2:18" ht="21.75" customHeight="1" x14ac:dyDescent="0.25">
      <c r="B129" s="400" t="s">
        <v>83</v>
      </c>
      <c r="C129" s="68" t="s">
        <v>14</v>
      </c>
      <c r="D129" s="35" t="s">
        <v>51</v>
      </c>
      <c r="E129" s="1">
        <v>1</v>
      </c>
      <c r="F129" s="11" t="s">
        <v>15</v>
      </c>
      <c r="G129" s="74">
        <v>1</v>
      </c>
      <c r="H129" s="1">
        <v>30</v>
      </c>
      <c r="I129" s="3">
        <f>+(((1000000*8.8)/30)*H129)*E129</f>
        <v>8800000</v>
      </c>
      <c r="J129" s="4">
        <v>0.08</v>
      </c>
      <c r="K129" s="5">
        <f t="shared" ref="K129:K142" si="32">I129*J129</f>
        <v>704000</v>
      </c>
      <c r="L129" s="5">
        <f t="shared" ref="L129:L142" si="33">I129+K129</f>
        <v>9504000</v>
      </c>
      <c r="M129" s="5">
        <f t="shared" ref="M129:M142" si="34">L129*10%</f>
        <v>950400</v>
      </c>
      <c r="N129" s="5">
        <f t="shared" ref="N129:N142" si="35">+M129*19%</f>
        <v>180576</v>
      </c>
      <c r="O129" s="5">
        <f t="shared" ref="O129:O142" si="36">L129+N129</f>
        <v>9684576</v>
      </c>
      <c r="R129">
        <f t="shared" si="13"/>
        <v>1</v>
      </c>
    </row>
    <row r="130" spans="2:18" x14ac:dyDescent="0.25">
      <c r="B130" s="401"/>
      <c r="C130" s="68" t="s">
        <v>14</v>
      </c>
      <c r="D130" s="35" t="s">
        <v>52</v>
      </c>
      <c r="E130" s="1">
        <v>1</v>
      </c>
      <c r="F130" s="11" t="s">
        <v>15</v>
      </c>
      <c r="G130" s="74">
        <v>1</v>
      </c>
      <c r="H130" s="1">
        <v>30</v>
      </c>
      <c r="I130" s="3">
        <f>+(((1000000*8.8)/30)*H130)*E130</f>
        <v>8800000</v>
      </c>
      <c r="J130" s="4">
        <v>0.08</v>
      </c>
      <c r="K130" s="5">
        <f t="shared" si="32"/>
        <v>704000</v>
      </c>
      <c r="L130" s="5">
        <f t="shared" si="33"/>
        <v>9504000</v>
      </c>
      <c r="M130" s="5">
        <f t="shared" si="34"/>
        <v>950400</v>
      </c>
      <c r="N130" s="5">
        <f t="shared" si="35"/>
        <v>180576</v>
      </c>
      <c r="O130" s="5">
        <f t="shared" si="36"/>
        <v>9684576</v>
      </c>
      <c r="R130">
        <f t="shared" si="13"/>
        <v>1</v>
      </c>
    </row>
    <row r="131" spans="2:18" x14ac:dyDescent="0.25">
      <c r="B131" s="401"/>
      <c r="C131" s="68" t="s">
        <v>14</v>
      </c>
      <c r="D131" s="35" t="s">
        <v>53</v>
      </c>
      <c r="E131" s="1">
        <v>1</v>
      </c>
      <c r="F131" s="11" t="s">
        <v>17</v>
      </c>
      <c r="G131" s="74">
        <v>1</v>
      </c>
      <c r="H131" s="1">
        <v>24</v>
      </c>
      <c r="I131" s="6">
        <f t="shared" ref="I131:I134" si="37">+(((((1000000*8.8)*55.97%)/15*12)/30)*H131)*E131</f>
        <v>3152230.3999999994</v>
      </c>
      <c r="J131" s="4">
        <v>0.08</v>
      </c>
      <c r="K131" s="5">
        <f t="shared" si="32"/>
        <v>252178.43199999997</v>
      </c>
      <c r="L131" s="5">
        <f t="shared" si="33"/>
        <v>3404408.8319999995</v>
      </c>
      <c r="M131" s="5">
        <f t="shared" si="34"/>
        <v>340440.88319999998</v>
      </c>
      <c r="N131" s="5">
        <f t="shared" si="35"/>
        <v>64683.767807999997</v>
      </c>
      <c r="O131" s="5">
        <f t="shared" si="36"/>
        <v>3469092.5998079996</v>
      </c>
      <c r="R131">
        <f t="shared" si="13"/>
        <v>1</v>
      </c>
    </row>
    <row r="132" spans="2:18" x14ac:dyDescent="0.25">
      <c r="B132" s="401"/>
      <c r="C132" s="68" t="s">
        <v>14</v>
      </c>
      <c r="D132" s="35" t="s">
        <v>54</v>
      </c>
      <c r="E132" s="1">
        <v>1</v>
      </c>
      <c r="F132" s="11" t="s">
        <v>17</v>
      </c>
      <c r="G132" s="74">
        <v>1</v>
      </c>
      <c r="H132" s="1">
        <v>24</v>
      </c>
      <c r="I132" s="6">
        <f t="shared" si="37"/>
        <v>3152230.3999999994</v>
      </c>
      <c r="J132" s="4">
        <v>0.08</v>
      </c>
      <c r="K132" s="5">
        <f t="shared" si="32"/>
        <v>252178.43199999997</v>
      </c>
      <c r="L132" s="5">
        <f t="shared" si="33"/>
        <v>3404408.8319999995</v>
      </c>
      <c r="M132" s="5">
        <f t="shared" si="34"/>
        <v>340440.88319999998</v>
      </c>
      <c r="N132" s="5">
        <f t="shared" si="35"/>
        <v>64683.767807999997</v>
      </c>
      <c r="O132" s="5">
        <f t="shared" si="36"/>
        <v>3469092.5998079996</v>
      </c>
      <c r="R132">
        <f t="shared" si="13"/>
        <v>1</v>
      </c>
    </row>
    <row r="133" spans="2:18" x14ac:dyDescent="0.25">
      <c r="B133" s="401"/>
      <c r="C133" s="68" t="s">
        <v>14</v>
      </c>
      <c r="D133" s="35" t="s">
        <v>55</v>
      </c>
      <c r="E133" s="1">
        <v>1</v>
      </c>
      <c r="F133" s="11" t="s">
        <v>16</v>
      </c>
      <c r="G133" s="74">
        <v>1</v>
      </c>
      <c r="H133" s="1">
        <v>30</v>
      </c>
      <c r="I133" s="6">
        <f t="shared" si="37"/>
        <v>3940287.9999999995</v>
      </c>
      <c r="J133" s="4">
        <v>0.08</v>
      </c>
      <c r="K133" s="5">
        <f t="shared" si="32"/>
        <v>315223.03999999998</v>
      </c>
      <c r="L133" s="5">
        <f t="shared" si="33"/>
        <v>4255511.0399999991</v>
      </c>
      <c r="M133" s="5">
        <f t="shared" si="34"/>
        <v>425551.10399999993</v>
      </c>
      <c r="N133" s="5">
        <f t="shared" si="35"/>
        <v>80854.709759999983</v>
      </c>
      <c r="O133" s="5">
        <f t="shared" si="36"/>
        <v>4336365.7497599991</v>
      </c>
      <c r="R133">
        <f t="shared" si="13"/>
        <v>1</v>
      </c>
    </row>
    <row r="134" spans="2:18" x14ac:dyDescent="0.25">
      <c r="B134" s="401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20</v>
      </c>
      <c r="I134" s="6">
        <f t="shared" si="37"/>
        <v>2626858.6666666665</v>
      </c>
      <c r="J134" s="4">
        <v>0.08</v>
      </c>
      <c r="K134" s="5">
        <f t="shared" si="32"/>
        <v>210148.69333333333</v>
      </c>
      <c r="L134" s="5">
        <f t="shared" si="33"/>
        <v>2837007.36</v>
      </c>
      <c r="M134" s="5">
        <f t="shared" si="34"/>
        <v>283700.73599999998</v>
      </c>
      <c r="N134" s="5">
        <f t="shared" si="35"/>
        <v>53903.139839999996</v>
      </c>
      <c r="O134" s="5">
        <f t="shared" si="36"/>
        <v>2890910.4998399997</v>
      </c>
      <c r="R134">
        <f t="shared" si="13"/>
        <v>1</v>
      </c>
    </row>
    <row r="135" spans="2:18" x14ac:dyDescent="0.25">
      <c r="B135" s="401"/>
      <c r="C135" s="403" t="s">
        <v>14</v>
      </c>
      <c r="D135" s="394" t="s">
        <v>67</v>
      </c>
      <c r="E135" s="21">
        <v>1</v>
      </c>
      <c r="F135" s="14" t="s">
        <v>15</v>
      </c>
      <c r="G135" s="73">
        <v>1</v>
      </c>
      <c r="H135" s="21">
        <v>30</v>
      </c>
      <c r="I135" s="30">
        <f>+(((1000000*8.8)/30)*H135)*E135</f>
        <v>8800000</v>
      </c>
      <c r="J135" s="26">
        <v>0.08</v>
      </c>
      <c r="K135" s="27">
        <f t="shared" si="32"/>
        <v>704000</v>
      </c>
      <c r="L135" s="27">
        <f t="shared" si="33"/>
        <v>9504000</v>
      </c>
      <c r="M135" s="27">
        <f t="shared" si="34"/>
        <v>950400</v>
      </c>
      <c r="N135" s="27">
        <f t="shared" si="35"/>
        <v>180576</v>
      </c>
      <c r="O135" s="27">
        <f t="shared" si="36"/>
        <v>9684576</v>
      </c>
      <c r="R135">
        <f t="shared" si="13"/>
        <v>1</v>
      </c>
    </row>
    <row r="136" spans="2:18" x14ac:dyDescent="0.25">
      <c r="B136" s="401"/>
      <c r="C136" s="403"/>
      <c r="D136" s="395"/>
      <c r="E136" s="21">
        <v>1</v>
      </c>
      <c r="F136" s="14" t="s">
        <v>57</v>
      </c>
      <c r="G136" s="73">
        <v>1</v>
      </c>
      <c r="H136" s="21">
        <v>20</v>
      </c>
      <c r="I136" s="25">
        <f>+(((((1000000*8.8)*55.97%)/15*12)/30)*H136)*E136</f>
        <v>2626858.6666666665</v>
      </c>
      <c r="J136" s="26">
        <v>0.08</v>
      </c>
      <c r="K136" s="27">
        <f t="shared" si="32"/>
        <v>210148.69333333333</v>
      </c>
      <c r="L136" s="27">
        <f t="shared" si="33"/>
        <v>2837007.36</v>
      </c>
      <c r="M136" s="27">
        <f t="shared" si="34"/>
        <v>283700.73599999998</v>
      </c>
      <c r="N136" s="27">
        <f t="shared" si="35"/>
        <v>53903.139839999996</v>
      </c>
      <c r="O136" s="27">
        <f t="shared" si="36"/>
        <v>2890910.4998399997</v>
      </c>
      <c r="R136">
        <f t="shared" si="13"/>
        <v>1</v>
      </c>
    </row>
    <row r="137" spans="2:18" x14ac:dyDescent="0.25">
      <c r="B137" s="401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21">
        <v>30</v>
      </c>
      <c r="I137" s="30">
        <f>+(((1000000*8.8)/30)*H137)*E137</f>
        <v>8800000</v>
      </c>
      <c r="J137" s="26">
        <v>0.08</v>
      </c>
      <c r="K137" s="27">
        <f t="shared" si="32"/>
        <v>704000</v>
      </c>
      <c r="L137" s="27">
        <f t="shared" si="33"/>
        <v>9504000</v>
      </c>
      <c r="M137" s="27">
        <f t="shared" si="34"/>
        <v>950400</v>
      </c>
      <c r="N137" s="27">
        <f t="shared" si="35"/>
        <v>180576</v>
      </c>
      <c r="O137" s="27">
        <f t="shared" si="36"/>
        <v>9684576</v>
      </c>
      <c r="R137">
        <f t="shared" si="13"/>
        <v>1</v>
      </c>
    </row>
    <row r="138" spans="2:18" x14ac:dyDescent="0.25">
      <c r="B138" s="401"/>
      <c r="C138" s="68" t="s">
        <v>14</v>
      </c>
      <c r="D138" s="394" t="s">
        <v>69</v>
      </c>
      <c r="E138" s="21">
        <v>1</v>
      </c>
      <c r="F138" s="14" t="s">
        <v>15</v>
      </c>
      <c r="G138" s="73">
        <v>1</v>
      </c>
      <c r="H138" s="21">
        <v>30</v>
      </c>
      <c r="I138" s="30">
        <f>+(((1000000*8.8)/30)*H138)*E138</f>
        <v>8800000</v>
      </c>
      <c r="J138" s="26">
        <v>0.08</v>
      </c>
      <c r="K138" s="27">
        <f t="shared" si="32"/>
        <v>704000</v>
      </c>
      <c r="L138" s="27">
        <f t="shared" si="33"/>
        <v>9504000</v>
      </c>
      <c r="M138" s="27">
        <f t="shared" si="34"/>
        <v>950400</v>
      </c>
      <c r="N138" s="27">
        <f t="shared" si="35"/>
        <v>180576</v>
      </c>
      <c r="O138" s="27">
        <f t="shared" si="36"/>
        <v>9684576</v>
      </c>
      <c r="R138">
        <f t="shared" si="13"/>
        <v>1</v>
      </c>
    </row>
    <row r="139" spans="2:18" x14ac:dyDescent="0.25">
      <c r="B139" s="401"/>
      <c r="C139" s="68" t="s">
        <v>14</v>
      </c>
      <c r="D139" s="395"/>
      <c r="E139" s="21">
        <v>1</v>
      </c>
      <c r="F139" s="14" t="s">
        <v>57</v>
      </c>
      <c r="G139" s="73">
        <v>1</v>
      </c>
      <c r="H139" s="21">
        <v>20</v>
      </c>
      <c r="I139" s="25">
        <f>+(((((1000000*8.8)*55.97%)/15*12)/30)*H139)*E139</f>
        <v>2626858.6666666665</v>
      </c>
      <c r="J139" s="26">
        <v>0.08</v>
      </c>
      <c r="K139" s="27">
        <f t="shared" si="32"/>
        <v>210148.69333333333</v>
      </c>
      <c r="L139" s="27">
        <f t="shared" si="33"/>
        <v>2837007.36</v>
      </c>
      <c r="M139" s="27">
        <f t="shared" si="34"/>
        <v>283700.73599999998</v>
      </c>
      <c r="N139" s="27">
        <f t="shared" si="35"/>
        <v>53903.139839999996</v>
      </c>
      <c r="O139" s="27">
        <f t="shared" si="36"/>
        <v>2890910.4998399997</v>
      </c>
      <c r="R139">
        <f t="shared" si="13"/>
        <v>1</v>
      </c>
    </row>
    <row r="140" spans="2:18" x14ac:dyDescent="0.25">
      <c r="B140" s="401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21">
        <v>30</v>
      </c>
      <c r="I140" s="30">
        <f>+(((1000000*8.8)/30)*H140)*E140</f>
        <v>8800000</v>
      </c>
      <c r="J140" s="26">
        <v>0.08</v>
      </c>
      <c r="K140" s="27">
        <f t="shared" si="32"/>
        <v>704000</v>
      </c>
      <c r="L140" s="27">
        <f t="shared" si="33"/>
        <v>9504000</v>
      </c>
      <c r="M140" s="27">
        <f t="shared" si="34"/>
        <v>950400</v>
      </c>
      <c r="N140" s="27">
        <f t="shared" si="35"/>
        <v>180576</v>
      </c>
      <c r="O140" s="27">
        <f t="shared" si="36"/>
        <v>9684576</v>
      </c>
      <c r="R140">
        <f t="shared" ref="R140:R145" si="38">+E140</f>
        <v>1</v>
      </c>
    </row>
    <row r="141" spans="2:18" x14ac:dyDescent="0.25">
      <c r="B141" s="401"/>
      <c r="C141" s="68" t="s">
        <v>14</v>
      </c>
      <c r="D141" s="394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3">
        <f>+(((1000000*8.8)/30)*H141)*E141</f>
        <v>8800000</v>
      </c>
      <c r="J141" s="4">
        <v>0.08</v>
      </c>
      <c r="K141" s="5">
        <f t="shared" si="32"/>
        <v>704000</v>
      </c>
      <c r="L141" s="5">
        <f t="shared" si="33"/>
        <v>9504000</v>
      </c>
      <c r="M141" s="5">
        <f t="shared" si="34"/>
        <v>950400</v>
      </c>
      <c r="N141" s="5">
        <f t="shared" si="35"/>
        <v>180576</v>
      </c>
      <c r="O141" s="5">
        <f t="shared" si="36"/>
        <v>9684576</v>
      </c>
      <c r="R141">
        <f t="shared" si="38"/>
        <v>1</v>
      </c>
    </row>
    <row r="142" spans="2:18" x14ac:dyDescent="0.25">
      <c r="B142" s="401"/>
      <c r="C142" s="68" t="s">
        <v>14</v>
      </c>
      <c r="D142" s="395"/>
      <c r="E142" s="1">
        <v>1</v>
      </c>
      <c r="F142" s="11" t="s">
        <v>17</v>
      </c>
      <c r="G142" s="74">
        <v>1</v>
      </c>
      <c r="H142" s="1">
        <v>24</v>
      </c>
      <c r="I142" s="6">
        <f>+(((((1000000*8.8)*55.97%)/15*12)/30)*H142)*E142</f>
        <v>3152230.3999999994</v>
      </c>
      <c r="J142" s="4">
        <v>0.08</v>
      </c>
      <c r="K142" s="5">
        <f t="shared" si="32"/>
        <v>252178.43199999997</v>
      </c>
      <c r="L142" s="5">
        <f t="shared" si="33"/>
        <v>3404408.8319999995</v>
      </c>
      <c r="M142" s="5">
        <f t="shared" si="34"/>
        <v>340440.88319999998</v>
      </c>
      <c r="N142" s="5">
        <f t="shared" si="35"/>
        <v>64683.767807999997</v>
      </c>
      <c r="O142" s="5">
        <f t="shared" si="36"/>
        <v>3469092.5998079996</v>
      </c>
      <c r="R142">
        <f t="shared" si="38"/>
        <v>1</v>
      </c>
    </row>
    <row r="143" spans="2:18" x14ac:dyDescent="0.25">
      <c r="B143" s="401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3">
        <f>+(((1000000*8.8)/30)*H143)*E143</f>
        <v>8800000</v>
      </c>
      <c r="J143" s="4">
        <v>0.1</v>
      </c>
      <c r="K143" s="5">
        <f>I143*J143</f>
        <v>880000</v>
      </c>
      <c r="L143" s="5">
        <f>I143+K143</f>
        <v>9680000</v>
      </c>
      <c r="M143" s="5">
        <f>L143*10%</f>
        <v>968000</v>
      </c>
      <c r="N143" s="5">
        <f>+M143*19%</f>
        <v>183920</v>
      </c>
      <c r="O143" s="5">
        <f>L143+N143</f>
        <v>9863920</v>
      </c>
    </row>
    <row r="144" spans="2:18" x14ac:dyDescent="0.25">
      <c r="B144" s="402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21">
        <v>20</v>
      </c>
      <c r="I144" s="22">
        <f>+(((((1000000*8.8)*55.97%)/15*12)/30)*H144)*E144</f>
        <v>2626858.6666666665</v>
      </c>
      <c r="J144" s="23">
        <v>0.08</v>
      </c>
      <c r="K144" s="24">
        <f>I144*J144</f>
        <v>210148.69333333333</v>
      </c>
      <c r="L144" s="24">
        <f>I144+K144</f>
        <v>2837007.36</v>
      </c>
      <c r="M144" s="24">
        <f>L144*10%</f>
        <v>283700.73599999998</v>
      </c>
      <c r="N144" s="24">
        <f>+M144*19%</f>
        <v>53903.139839999996</v>
      </c>
      <c r="O144" s="24">
        <f>L144+N144</f>
        <v>2890910.4998399997</v>
      </c>
    </row>
    <row r="145" spans="2:18" x14ac:dyDescent="0.25">
      <c r="B145" s="53"/>
      <c r="C145" s="52"/>
      <c r="D145" s="47">
        <v>30</v>
      </c>
      <c r="E145" s="47"/>
      <c r="F145" s="47"/>
      <c r="G145" s="49">
        <f>SUM(G129:G144)</f>
        <v>16</v>
      </c>
      <c r="H145" s="48"/>
      <c r="I145" s="49">
        <f>SUM(I129:I144)</f>
        <v>94304413.866666675</v>
      </c>
      <c r="J145" s="50"/>
      <c r="K145" s="49">
        <f>SUM(K129:K144)</f>
        <v>7720353.1093333336</v>
      </c>
      <c r="L145" s="49">
        <f t="shared" ref="L145:O145" si="39">SUM(L129:L144)</f>
        <v>102024766.976</v>
      </c>
      <c r="M145" s="49">
        <f t="shared" si="39"/>
        <v>10202476.697599998</v>
      </c>
      <c r="N145" s="49">
        <f t="shared" si="39"/>
        <v>1938470.5725440001</v>
      </c>
      <c r="O145" s="49">
        <f t="shared" si="39"/>
        <v>103963237.54854399</v>
      </c>
      <c r="R145">
        <f t="shared" si="38"/>
        <v>0</v>
      </c>
    </row>
    <row r="146" spans="2:18" x14ac:dyDescent="0.25">
      <c r="B146" s="419" t="s">
        <v>85</v>
      </c>
      <c r="C146" s="18" t="s">
        <v>14</v>
      </c>
      <c r="D146" s="2" t="s">
        <v>152</v>
      </c>
      <c r="E146" s="1">
        <v>1</v>
      </c>
      <c r="F146" s="34" t="s">
        <v>74</v>
      </c>
      <c r="G146" s="1">
        <v>1</v>
      </c>
      <c r="H146" s="21">
        <v>7</v>
      </c>
      <c r="I146" s="25">
        <f>+((((((1000000*8.8)*55.97%)/15*3)/30)*H146))+((((((1000000*8.8)*44.03%)/9*9)/30*H146)))</f>
        <v>1133932.8</v>
      </c>
      <c r="J146" s="26">
        <v>0.08</v>
      </c>
      <c r="K146" s="27">
        <f t="shared" ref="K146:K150" si="40">I146*J146</f>
        <v>90714.624000000011</v>
      </c>
      <c r="L146" s="27">
        <f t="shared" ref="L146:L150" si="41">I146+K146</f>
        <v>1224647.4240000001</v>
      </c>
      <c r="M146" s="27">
        <f t="shared" ref="M146:M150" si="42">L146*10%</f>
        <v>122464.74240000002</v>
      </c>
      <c r="N146" s="27">
        <f t="shared" ref="N146:N150" si="43">+M146*19%</f>
        <v>23268.301056000004</v>
      </c>
      <c r="O146" s="27">
        <f t="shared" ref="O146:O150" si="44">L146+N146</f>
        <v>1247915.7250560001</v>
      </c>
    </row>
    <row r="147" spans="2:18" x14ac:dyDescent="0.25">
      <c r="B147" s="420"/>
      <c r="C147" s="18" t="s">
        <v>14</v>
      </c>
      <c r="D147" s="2" t="s">
        <v>153</v>
      </c>
      <c r="E147" s="1">
        <v>1</v>
      </c>
      <c r="F147" s="34" t="s">
        <v>74</v>
      </c>
      <c r="G147" s="1">
        <v>1</v>
      </c>
      <c r="H147" s="21">
        <v>6</v>
      </c>
      <c r="I147" s="25">
        <f t="shared" ref="I147:I150" si="45">+((((((1000000*8.8)*55.97%)/15*3)/30)*H147))+((((((1000000*8.8)*44.03%)/9*9)/30*H147)))</f>
        <v>971942.39999999991</v>
      </c>
      <c r="J147" s="26">
        <v>0.08</v>
      </c>
      <c r="K147" s="27">
        <f t="shared" si="40"/>
        <v>77755.391999999993</v>
      </c>
      <c r="L147" s="27">
        <f t="shared" si="41"/>
        <v>1049697.7919999999</v>
      </c>
      <c r="M147" s="27">
        <f t="shared" si="42"/>
        <v>104969.77919999999</v>
      </c>
      <c r="N147" s="27">
        <f t="shared" si="43"/>
        <v>19944.258048</v>
      </c>
      <c r="O147" s="27">
        <f t="shared" si="44"/>
        <v>1069642.0500479999</v>
      </c>
    </row>
    <row r="148" spans="2:18" x14ac:dyDescent="0.25">
      <c r="B148" s="420"/>
      <c r="C148" s="18" t="s">
        <v>14</v>
      </c>
      <c r="D148" s="2" t="s">
        <v>154</v>
      </c>
      <c r="E148" s="1">
        <v>1</v>
      </c>
      <c r="F148" s="34" t="s">
        <v>74</v>
      </c>
      <c r="G148" s="1">
        <v>1</v>
      </c>
      <c r="H148" s="21">
        <v>6</v>
      </c>
      <c r="I148" s="25">
        <f t="shared" si="45"/>
        <v>971942.39999999991</v>
      </c>
      <c r="J148" s="26">
        <v>0.08</v>
      </c>
      <c r="K148" s="27">
        <f t="shared" si="40"/>
        <v>77755.391999999993</v>
      </c>
      <c r="L148" s="27">
        <f t="shared" si="41"/>
        <v>1049697.7919999999</v>
      </c>
      <c r="M148" s="27">
        <f t="shared" si="42"/>
        <v>104969.77919999999</v>
      </c>
      <c r="N148" s="27">
        <f t="shared" si="43"/>
        <v>19944.258048</v>
      </c>
      <c r="O148" s="27">
        <f t="shared" si="44"/>
        <v>1069642.0500479999</v>
      </c>
    </row>
    <row r="149" spans="2:18" x14ac:dyDescent="0.25">
      <c r="B149" s="420"/>
      <c r="C149" s="18" t="s">
        <v>14</v>
      </c>
      <c r="D149" s="2" t="s">
        <v>155</v>
      </c>
      <c r="E149" s="1">
        <v>1</v>
      </c>
      <c r="F149" s="34" t="s">
        <v>74</v>
      </c>
      <c r="G149" s="1">
        <v>1</v>
      </c>
      <c r="H149" s="21">
        <v>7</v>
      </c>
      <c r="I149" s="25">
        <f t="shared" si="45"/>
        <v>1133932.8</v>
      </c>
      <c r="J149" s="26">
        <v>0.08</v>
      </c>
      <c r="K149" s="27">
        <f t="shared" si="40"/>
        <v>90714.624000000011</v>
      </c>
      <c r="L149" s="27">
        <f t="shared" si="41"/>
        <v>1224647.4240000001</v>
      </c>
      <c r="M149" s="27">
        <f t="shared" si="42"/>
        <v>122464.74240000002</v>
      </c>
      <c r="N149" s="27">
        <f t="shared" si="43"/>
        <v>23268.301056000004</v>
      </c>
      <c r="O149" s="27">
        <f t="shared" si="44"/>
        <v>1247915.7250560001</v>
      </c>
    </row>
    <row r="150" spans="2:18" x14ac:dyDescent="0.25">
      <c r="B150" s="420"/>
      <c r="C150" s="18" t="s">
        <v>14</v>
      </c>
      <c r="D150" s="2" t="s">
        <v>156</v>
      </c>
      <c r="E150" s="1">
        <v>1</v>
      </c>
      <c r="F150" s="34" t="s">
        <v>74</v>
      </c>
      <c r="G150" s="1">
        <v>1</v>
      </c>
      <c r="H150" s="21">
        <v>1</v>
      </c>
      <c r="I150" s="25">
        <f t="shared" si="45"/>
        <v>161990.39999999999</v>
      </c>
      <c r="J150" s="26">
        <v>0.08</v>
      </c>
      <c r="K150" s="27">
        <f t="shared" si="40"/>
        <v>12959.232</v>
      </c>
      <c r="L150" s="27">
        <f t="shared" si="41"/>
        <v>174949.63199999998</v>
      </c>
      <c r="M150" s="27">
        <f t="shared" si="42"/>
        <v>17494.963199999998</v>
      </c>
      <c r="N150" s="27">
        <f t="shared" si="43"/>
        <v>3324.0430079999996</v>
      </c>
      <c r="O150" s="27">
        <f t="shared" si="44"/>
        <v>178273.67500799999</v>
      </c>
    </row>
    <row r="151" spans="2:18" x14ac:dyDescent="0.25">
      <c r="B151" s="53"/>
      <c r="C151" s="47"/>
      <c r="D151" s="47"/>
      <c r="E151" s="47"/>
      <c r="F151" s="47"/>
      <c r="G151" s="49">
        <f>SUM(G146:G150)</f>
        <v>5</v>
      </c>
      <c r="H151" s="48"/>
      <c r="I151" s="49">
        <f>SUM(I146:I150)</f>
        <v>4373740.8000000007</v>
      </c>
      <c r="J151" s="49"/>
      <c r="K151" s="49">
        <f t="shared" ref="K151:O151" si="46">SUM(K146:K150)</f>
        <v>349899.26400000002</v>
      </c>
      <c r="L151" s="49">
        <f t="shared" si="46"/>
        <v>4723640.0640000002</v>
      </c>
      <c r="M151" s="49">
        <f t="shared" si="46"/>
        <v>472364.00639999995</v>
      </c>
      <c r="N151" s="49">
        <f t="shared" si="46"/>
        <v>89749.161215999993</v>
      </c>
      <c r="O151" s="49">
        <f t="shared" si="46"/>
        <v>4813389.2252160003</v>
      </c>
      <c r="P151" s="15"/>
    </row>
    <row r="152" spans="2:18" x14ac:dyDescent="0.25">
      <c r="I152" s="15"/>
      <c r="J152" s="15"/>
      <c r="K152" s="15"/>
      <c r="L152" s="15"/>
      <c r="M152" s="15"/>
      <c r="N152" s="15"/>
      <c r="O152" s="15"/>
    </row>
    <row r="153" spans="2:18" x14ac:dyDescent="0.25">
      <c r="B153" s="53"/>
      <c r="C153" s="47"/>
      <c r="D153" s="47"/>
      <c r="E153" s="47"/>
      <c r="F153" s="47"/>
      <c r="G153" s="49">
        <f>+G151+G145+G128+G104+G39</f>
        <v>141</v>
      </c>
      <c r="H153" s="48"/>
      <c r="I153" s="49">
        <f>+I151+I145+I128+I104+I39</f>
        <v>844619885.51111114</v>
      </c>
      <c r="J153" s="49"/>
      <c r="K153" s="49">
        <f t="shared" ref="K153:O153" si="47">+K151+K145+K128+K104+K39</f>
        <v>67745590.840888873</v>
      </c>
      <c r="L153" s="49">
        <f t="shared" si="47"/>
        <v>912365476.35200012</v>
      </c>
      <c r="M153" s="49">
        <f t="shared" si="47"/>
        <v>91236547.635199994</v>
      </c>
      <c r="N153" s="49">
        <f t="shared" si="47"/>
        <v>17334944.050687999</v>
      </c>
      <c r="O153" s="49">
        <f t="shared" si="47"/>
        <v>929700420.40268791</v>
      </c>
    </row>
    <row r="155" spans="2:18" x14ac:dyDescent="0.25">
      <c r="I155" s="16"/>
      <c r="K155" s="16"/>
      <c r="L155" s="16"/>
      <c r="M155" s="16"/>
      <c r="N155" s="16"/>
      <c r="O155" s="16"/>
      <c r="P155" s="17">
        <f>+L155-M155</f>
        <v>0</v>
      </c>
    </row>
    <row r="156" spans="2:18" ht="11.25" customHeight="1" x14ac:dyDescent="0.25">
      <c r="I156" s="16"/>
      <c r="K156" s="16"/>
      <c r="L156" s="16"/>
      <c r="M156" s="16"/>
      <c r="N156" s="16"/>
      <c r="O156" s="16"/>
      <c r="P156" s="17">
        <f t="shared" ref="P156" si="48">+L156-M156</f>
        <v>0</v>
      </c>
    </row>
    <row r="157" spans="2:18" hidden="1" x14ac:dyDescent="0.25">
      <c r="F157" s="31" t="str">
        <f>+F108</f>
        <v>SERVICIO 12 HORAS LUNES A SABADO SIN ARMA</v>
      </c>
      <c r="G157" s="31"/>
      <c r="H157" s="16">
        <f>SUMIF($F$7:$F$142,$F$157,R7:R142)</f>
        <v>16</v>
      </c>
      <c r="I157" s="16">
        <f>SUMIF($F$7:$F$142,$F$157,I7:I142)</f>
        <v>53587916.799999982</v>
      </c>
      <c r="K157" s="16">
        <f>SUMIF($F$7:$F$142,$F$157,K7:K142)</f>
        <v>4287033.3439999996</v>
      </c>
      <c r="L157" s="16">
        <f>SUMIF($F$7:$F$142,$F$157,L7:L142)</f>
        <v>57874950.144000009</v>
      </c>
      <c r="M157" s="16">
        <f>SUMIF($F$7:$F$142,$F$157,M7:M142)</f>
        <v>5787495.0143999998</v>
      </c>
      <c r="N157" s="16">
        <f>SUMIF($F$7:$F$142,$F$157,N7:N142)</f>
        <v>1099624.0527359997</v>
      </c>
      <c r="O157" s="16">
        <f>SUMIF($F$7:$F$142,$F$157,O7:O142)</f>
        <v>58974574.196735993</v>
      </c>
      <c r="P157" s="28">
        <f>+L157-M157</f>
        <v>52087455.129600011</v>
      </c>
      <c r="Q157" s="56">
        <v>52087455.129600011</v>
      </c>
    </row>
    <row r="158" spans="2:18" hidden="1" x14ac:dyDescent="0.25">
      <c r="F158" s="31" t="str">
        <f>+F139</f>
        <v>SERVICIO 12 HORAS LUNES A VIERNES SIN ARMA</v>
      </c>
      <c r="G158" s="31"/>
      <c r="H158" s="16">
        <f>SUMIF($F$7:$F$142,$F$158,$R$7:$R$142)</f>
        <v>3</v>
      </c>
      <c r="I158" s="16">
        <f>SUMIF($F$7:$F$142,$F$158,I7:I142)</f>
        <v>18388010.666666664</v>
      </c>
      <c r="K158" s="16">
        <f>SUMIF($F$7:$F$142,$F$158,K7:K142)</f>
        <v>1471040.8533333333</v>
      </c>
      <c r="L158" s="16">
        <f>SUMIF($F$7:$F$142,$F$158,L7:L142)</f>
        <v>19859051.52</v>
      </c>
      <c r="M158" s="16">
        <f>SUMIF($F$7:$F$142,$F$158,M7:M142)</f>
        <v>1985905.152</v>
      </c>
      <c r="N158" s="16">
        <f>SUMIF($F$7:$F$142,$F$158,N7:N142)</f>
        <v>377321.97888000001</v>
      </c>
      <c r="O158" s="16">
        <f>SUMIF($F$7:$F$142,$F$158,O7:O142)</f>
        <v>20236373.498879995</v>
      </c>
      <c r="P158" s="28">
        <f t="shared" ref="P158:P167" si="49">+L158-M158</f>
        <v>17873146.368000001</v>
      </c>
      <c r="Q158" s="56">
        <v>20426452.991999999</v>
      </c>
    </row>
    <row r="159" spans="2:18" hidden="1" x14ac:dyDescent="0.25">
      <c r="F159" s="31" t="str">
        <f>+F140</f>
        <v>SERVICIO 24 HORAS PERMANENTE SIN ARMA</v>
      </c>
      <c r="G159" s="31"/>
      <c r="H159" s="16">
        <f>SUMIF($F$7:$F$142,$F$159,$R$7:$R$142)</f>
        <v>55</v>
      </c>
      <c r="I159" s="16">
        <f>SUMIF($F$7:$F$142,$F$159,I7:I142)</f>
        <v>598400000</v>
      </c>
      <c r="K159" s="16">
        <f>SUMIF($F$7:$F$142,$F$159,K7:K142)</f>
        <v>47872000</v>
      </c>
      <c r="L159" s="16">
        <f>SUMIF($F$7:$F$142,$F$159,L7:L142)</f>
        <v>646272000</v>
      </c>
      <c r="M159" s="16">
        <f>SUMIF($F$7:$F$142,$F$159,M7:M142)</f>
        <v>64627200</v>
      </c>
      <c r="N159" s="16">
        <f>SUMIF($F$7:$F$142,$F$159,N7:N142)</f>
        <v>12279168</v>
      </c>
      <c r="O159" s="16">
        <f>SUMIF($F$7:$F$142,$F$159,O7:O142)</f>
        <v>658551168</v>
      </c>
      <c r="P159" s="28">
        <f t="shared" si="49"/>
        <v>581644800</v>
      </c>
      <c r="Q159" s="56">
        <v>581644800</v>
      </c>
    </row>
    <row r="160" spans="2:18" hidden="1" x14ac:dyDescent="0.25">
      <c r="F160" s="31" t="str">
        <f>+F143</f>
        <v>SERVICIO 24 HORAS PERMANENTE CON ARMA</v>
      </c>
      <c r="G160" s="31"/>
      <c r="H160" s="16">
        <f>SUMIF($F$7:$F$142,$F$160,$R$7:$R$142)</f>
        <v>0</v>
      </c>
      <c r="I160" s="16">
        <f>SUMIF($F$7:$F$142,$F$160,I7:I142)</f>
        <v>0</v>
      </c>
      <c r="K160" s="16">
        <f>SUMIF($F$7:$F$142,$F$160,K7:K142)</f>
        <v>0</v>
      </c>
      <c r="L160" s="16">
        <f>SUMIF($F$7:$F$142,$F$160,L7:L142)</f>
        <v>0</v>
      </c>
      <c r="M160" s="16">
        <f>SUMIF($F$7:$F$142,$F$160,M7:M142)</f>
        <v>0</v>
      </c>
      <c r="N160" s="16">
        <f>SUMIF($F$7:$F$142,$F$160,N7:N142)</f>
        <v>0</v>
      </c>
      <c r="O160" s="16">
        <f>SUMIF($F$7:$F$142,$F$160,O7:O142)</f>
        <v>0</v>
      </c>
      <c r="P160" s="28">
        <f t="shared" si="49"/>
        <v>0</v>
      </c>
      <c r="Q160" s="56">
        <v>8712000</v>
      </c>
    </row>
    <row r="161" spans="5:18" hidden="1" x14ac:dyDescent="0.25">
      <c r="F161" s="32" t="s">
        <v>74</v>
      </c>
      <c r="G161" s="71"/>
      <c r="H161" s="16">
        <f>SUMIF($F$7:$F$142,$F$161,$R$7:$R$142)</f>
        <v>0</v>
      </c>
      <c r="I161" s="16">
        <f>SUMIF($F$7:$F$142,$F$161,I7:I142)</f>
        <v>0</v>
      </c>
      <c r="K161" s="16">
        <f>SUMIF($F$7:$F$142,$F$161,K7:K142)</f>
        <v>0</v>
      </c>
      <c r="L161" s="16">
        <f>SUMIF($F$7:$F$142,$F$161,L7:L142)</f>
        <v>0</v>
      </c>
      <c r="M161" s="16">
        <f>SUMIF($F$7:$F$142,$F$161,M7:M142)</f>
        <v>0</v>
      </c>
      <c r="N161" s="16">
        <f>SUMIF($F$7:$F$142,$F$161,N7:N142)</f>
        <v>0</v>
      </c>
      <c r="O161" s="16">
        <f>SUMIF($F$7:$F$142,$F$161,O7:O142)</f>
        <v>0</v>
      </c>
      <c r="P161" s="28">
        <f t="shared" si="49"/>
        <v>0</v>
      </c>
      <c r="Q161" s="56">
        <v>8502552.115199998</v>
      </c>
    </row>
    <row r="162" spans="5:18" hidden="1" x14ac:dyDescent="0.25">
      <c r="F162" s="33" t="s">
        <v>16</v>
      </c>
      <c r="G162" s="72"/>
      <c r="H162" s="16">
        <f>SUMIF($F$7:$F$142,$F$162,$R$7:$R$142)</f>
        <v>25</v>
      </c>
      <c r="I162" s="16">
        <f>SUMIF($F$7:$F$142,$F$162,I7:I142)</f>
        <v>114268351.99999999</v>
      </c>
      <c r="K162" s="16">
        <f>SUMIF($F$7:$F$142,$F$162,K7:K142)</f>
        <v>9141468.1599999983</v>
      </c>
      <c r="L162" s="16">
        <f>SUMIF($F$7:$F$142,$F$162,L7:L142)</f>
        <v>123409820.15999988</v>
      </c>
      <c r="M162" s="16">
        <f>SUMIF($F$7:$F$142,$F$162,M7:M142)</f>
        <v>12340982.016000004</v>
      </c>
      <c r="N162" s="16">
        <f>SUMIF($F$7:$F$142,$F$162,N7:N142)</f>
        <v>2344786.5830399995</v>
      </c>
      <c r="O162" s="16">
        <f>SUMIF($F$7:$F$142,$F$162,O7:O142)</f>
        <v>125754606.74304003</v>
      </c>
      <c r="P162" s="28">
        <f t="shared" si="49"/>
        <v>111068838.14399987</v>
      </c>
      <c r="Q162" s="56">
        <v>118728758.01599988</v>
      </c>
    </row>
    <row r="163" spans="5:18" hidden="1" x14ac:dyDescent="0.25">
      <c r="F163" s="31" t="str">
        <f>+F22</f>
        <v xml:space="preserve">SERVICIO 14 HORAS DIURNO LUNES  A DOMINGO </v>
      </c>
      <c r="G163" s="31"/>
      <c r="H163" s="16">
        <f>SUMIF($F$7:$F$142,$F$163,$R$7:$R$142)</f>
        <v>3</v>
      </c>
      <c r="I163" s="16">
        <f>SUMIF($F$7:$F$142,$F$163,I7:I142)</f>
        <v>13791007.999999998</v>
      </c>
      <c r="K163" s="16">
        <f>SUMIF($F$7:$F$142,$F$163,K7:K142)</f>
        <v>1103280.6399999999</v>
      </c>
      <c r="L163" s="16">
        <f>SUMIF($F$7:$F$142,$F$163,L7:L142)</f>
        <v>14894288.639999997</v>
      </c>
      <c r="M163" s="16">
        <f>SUMIF($F$7:$F$142,$F$163,M7:M142)</f>
        <v>1489428.8639999998</v>
      </c>
      <c r="N163" s="16">
        <f>SUMIF($F$7:$F$142,$F$163,N7:N142)</f>
        <v>282991.48415999999</v>
      </c>
      <c r="O163" s="16">
        <f>SUMIF($F$7:$F$142,$F$163,O7:O142)</f>
        <v>15177280.124159995</v>
      </c>
      <c r="P163" s="28">
        <f t="shared" si="49"/>
        <v>13404859.775999997</v>
      </c>
      <c r="Q163" s="56">
        <v>13404859.775999997</v>
      </c>
    </row>
    <row r="164" spans="5:18" hidden="1" x14ac:dyDescent="0.25">
      <c r="F164" s="31" t="str">
        <f>+F109</f>
        <v xml:space="preserve">SERVICIO 14 HORAS DIURNO LUNES  A SABADO </v>
      </c>
      <c r="G164" s="31"/>
      <c r="H164" s="16">
        <f>SUMIF($F$7:$F$142,$F$164,$R$7:$R$142)</f>
        <v>5</v>
      </c>
      <c r="I164" s="16">
        <f>SUMIF($F$7:$F$142,$F$164,I7:I142)</f>
        <v>18388010.666666664</v>
      </c>
      <c r="K164" s="16">
        <f>SUMIF($F$7:$F$142,$F$164,K7:K142)</f>
        <v>1471040.8533333333</v>
      </c>
      <c r="L164" s="16">
        <f>SUMIF($F$7:$F$142,$F$164,L7:L142)</f>
        <v>19859051.519999996</v>
      </c>
      <c r="M164" s="16">
        <f>SUMIF($F$7:$F$142,$F$164,M7:M142)</f>
        <v>1985905.152</v>
      </c>
      <c r="N164" s="16">
        <f>SUMIF($F$7:$F$142,$F$164,N7:N142)</f>
        <v>377321.97888000001</v>
      </c>
      <c r="O164" s="16">
        <f>SUMIF($F$7:$F$142,$F$164,O7:O142)</f>
        <v>20236373.498879999</v>
      </c>
      <c r="P164" s="28">
        <f t="shared" si="49"/>
        <v>17873146.367999997</v>
      </c>
      <c r="Q164" s="56">
        <v>17873146.367999997</v>
      </c>
    </row>
    <row r="165" spans="5:18" hidden="1" x14ac:dyDescent="0.25">
      <c r="F165" s="31" t="str">
        <f>+F126</f>
        <v>SERVICIO 14 HORAS LUNES A VIERNES Y SABADO DE 8:00 A 4:00 PM SIN ARMA</v>
      </c>
      <c r="G165" s="31"/>
      <c r="H165" s="16">
        <f>SUMIF($F$7:$F$142,$F$165,$R$7:$R$142)</f>
        <v>1</v>
      </c>
      <c r="I165" s="57">
        <f>SUMIF($F$7:$F$142,$F$165,I7:I142)</f>
        <v>3414916.2666666661</v>
      </c>
      <c r="K165" s="16">
        <f>SUMIF($F$7:$F$142,$F$165,K7:K142)</f>
        <v>273193.30133333331</v>
      </c>
      <c r="L165" s="16">
        <f>SUMIF($F$7:$F$142,$F$165,L7:L142)</f>
        <v>3688109.5679999995</v>
      </c>
      <c r="M165" s="16">
        <f>SUMIF($F$7:$F$142,$F$165,M7:M142)</f>
        <v>368810.95679999999</v>
      </c>
      <c r="N165" s="16">
        <f>SUMIF($F$7:$F$142,$F$165,N7:N142)</f>
        <v>70074.081791999997</v>
      </c>
      <c r="O165" s="16">
        <f>SUMIF($F$7:$F$142,$F$165,O7:O142)</f>
        <v>3758183.6497919997</v>
      </c>
      <c r="P165" s="28">
        <f t="shared" si="49"/>
        <v>3319298.6111999997</v>
      </c>
      <c r="Q165" s="56">
        <v>3319298.6111999997</v>
      </c>
    </row>
    <row r="166" spans="5:18" hidden="1" x14ac:dyDescent="0.25">
      <c r="F166" s="31" t="str">
        <f>+F111</f>
        <v xml:space="preserve">SERVICIO 8 HORAS DIURNO LUNES A SABADO </v>
      </c>
      <c r="G166" s="31"/>
      <c r="H166" s="16">
        <f>SUMIF($F$7:$F$142,$F$166,$R$7:$R$142)</f>
        <v>2</v>
      </c>
      <c r="I166" s="16">
        <f>SUMIF($F$7:$F$142,$F$166,I7:I142)</f>
        <v>6304460.8000000007</v>
      </c>
      <c r="J166" s="17"/>
      <c r="K166" s="16">
        <f>SUMIF($F$7:$F$142,$F$166,K7:K142)</f>
        <v>504356.86400000006</v>
      </c>
      <c r="L166" s="16">
        <f>SUMIF($F$7:$F$142,$F$166,L7:L142)</f>
        <v>6808817.6640000008</v>
      </c>
      <c r="M166" s="16">
        <f>SUMIF($F$7:$F$142,$F$166,M7:M142)</f>
        <v>680881.76640000008</v>
      </c>
      <c r="N166" s="16">
        <f>SUMIF($F$7:$F$142,$F$166,N7:N142)</f>
        <v>129367.53561600001</v>
      </c>
      <c r="O166" s="16">
        <f>SUMIF($F$7:$F$142,$F$166,O7:O142)</f>
        <v>6938185.199616001</v>
      </c>
      <c r="P166" s="28">
        <f t="shared" si="49"/>
        <v>6127935.8976000007</v>
      </c>
      <c r="Q166" s="56">
        <v>6127935.8976000007</v>
      </c>
    </row>
    <row r="167" spans="5:18" hidden="1" x14ac:dyDescent="0.25">
      <c r="F167" t="s">
        <v>78</v>
      </c>
      <c r="H167" s="16">
        <f>SUMIF($F$7:$F$142,$F$167,$R$7:$R$142)</f>
        <v>1</v>
      </c>
      <c r="I167" s="16">
        <f>SUMIF($F$7:$F$142,$F$167,I7:I142)</f>
        <v>2276610.8444444444</v>
      </c>
      <c r="K167" s="16">
        <f>SUMIF($F$7:$F$142,$F$167,K7:K142)</f>
        <v>182128.86755555557</v>
      </c>
      <c r="L167" s="16">
        <f>SUMIF($F$7:$F$142,$F$167,L7:L142)</f>
        <v>2458739.7119999998</v>
      </c>
      <c r="M167" s="16">
        <f>SUMIF($F$7:$F$142,$F$167,M7:M142)</f>
        <v>245873.9712</v>
      </c>
      <c r="N167" s="16">
        <f>SUMIF($F$7:$F$142,$F$167,N7:N142)</f>
        <v>46716.054528000001</v>
      </c>
      <c r="O167" s="16">
        <f>SUMIF($F$7:$F$142,$F$167,O7:O142)</f>
        <v>2505455.7665279997</v>
      </c>
      <c r="P167" s="28">
        <f t="shared" si="49"/>
        <v>2212865.7407999998</v>
      </c>
      <c r="Q167" s="56">
        <v>2212865.7407999998</v>
      </c>
    </row>
    <row r="168" spans="5:18" ht="18.75" hidden="1" customHeight="1" x14ac:dyDescent="0.25">
      <c r="H168" s="17">
        <f>SUM(H157:H167)</f>
        <v>111</v>
      </c>
      <c r="I168" s="17">
        <f>SUM(I155:I167)</f>
        <v>828819286.04444432</v>
      </c>
      <c r="K168" s="17">
        <f t="shared" ref="K168:O168" si="50">SUM(K155:K167)</f>
        <v>66305542.883555554</v>
      </c>
      <c r="L168" s="17">
        <f t="shared" si="50"/>
        <v>895124828.92799985</v>
      </c>
      <c r="M168" s="17">
        <f t="shared" si="50"/>
        <v>89512482.892799988</v>
      </c>
      <c r="N168" s="17">
        <f t="shared" si="50"/>
        <v>17007371.749632001</v>
      </c>
      <c r="O168" s="17">
        <f t="shared" si="50"/>
        <v>912132200.67763209</v>
      </c>
    </row>
    <row r="169" spans="5:18" hidden="1" x14ac:dyDescent="0.25">
      <c r="I169" s="17"/>
      <c r="J169" s="19"/>
      <c r="K169" s="17"/>
      <c r="L169" s="17"/>
      <c r="M169" s="17"/>
      <c r="N169" s="17"/>
      <c r="O169" s="17"/>
    </row>
    <row r="170" spans="5:18" hidden="1" x14ac:dyDescent="0.25"/>
    <row r="171" spans="5:18" hidden="1" x14ac:dyDescent="0.25">
      <c r="F171" t="e">
        <f>+#REF!</f>
        <v>#REF!</v>
      </c>
      <c r="H171">
        <v>3</v>
      </c>
      <c r="I171" s="58" t="e">
        <f>+#REF!+#REF!+#REF!</f>
        <v>#REF!</v>
      </c>
      <c r="K171" s="58" t="e">
        <f>+#REF!+#REF!</f>
        <v>#REF!</v>
      </c>
      <c r="L171" s="58" t="e">
        <f>+#REF!+#REF!</f>
        <v>#REF!</v>
      </c>
      <c r="M171" s="58" t="e">
        <f>+#REF!+#REF!</f>
        <v>#REF!</v>
      </c>
      <c r="N171" s="58" t="e">
        <f>+#REF!+#REF!</f>
        <v>#REF!</v>
      </c>
      <c r="O171" s="58" t="e">
        <f>+#REF!+#REF!</f>
        <v>#REF!</v>
      </c>
    </row>
    <row r="172" spans="5:18" hidden="1" x14ac:dyDescent="0.25">
      <c r="F172" t="str">
        <f>+F126</f>
        <v>SERVICIO 14 HORAS LUNES A VIERNES Y SABADO DE 8:00 A 4:00 PM SIN ARMA</v>
      </c>
      <c r="H172">
        <v>1</v>
      </c>
      <c r="I172" s="28">
        <f>+I126</f>
        <v>3414916.2666666661</v>
      </c>
      <c r="K172" s="28">
        <f t="shared" ref="K172:N172" si="51">+K126</f>
        <v>273193.30133333331</v>
      </c>
      <c r="L172" s="28">
        <f t="shared" si="51"/>
        <v>3688109.5679999995</v>
      </c>
      <c r="M172" s="28">
        <f t="shared" si="51"/>
        <v>368810.95679999999</v>
      </c>
      <c r="N172" s="28">
        <f t="shared" si="51"/>
        <v>70074.081791999997</v>
      </c>
      <c r="O172" s="28">
        <f>+O126</f>
        <v>3758183.6497919997</v>
      </c>
    </row>
    <row r="173" spans="5:18" hidden="1" x14ac:dyDescent="0.25">
      <c r="F173" t="e">
        <f>+#REF!</f>
        <v>#REF!</v>
      </c>
    </row>
    <row r="175" spans="5:18" x14ac:dyDescent="0.25">
      <c r="E175" s="67" t="s">
        <v>87</v>
      </c>
      <c r="F175" s="67"/>
      <c r="G175" s="67"/>
      <c r="H175" s="67"/>
      <c r="J175" s="16"/>
      <c r="L175" s="16"/>
      <c r="M175" s="16"/>
      <c r="N175" s="16"/>
      <c r="O175" s="16"/>
      <c r="P175" s="16"/>
    </row>
    <row r="176" spans="5:18" x14ac:dyDescent="0.25">
      <c r="E176" t="s">
        <v>15</v>
      </c>
      <c r="F176" s="67"/>
      <c r="G176" s="67"/>
      <c r="H176" s="67"/>
      <c r="I176" s="16">
        <f>SUMIF($F$7:$F$153,$E176,G$7:G$153)</f>
        <v>68</v>
      </c>
      <c r="K176" s="16">
        <f>SUMIF($F$7:$F$153,$E176,I$7:I$153)</f>
        <v>598400000</v>
      </c>
      <c r="L176" s="16">
        <f>SUMIF($F$7:$F$153,$E176,K$7:K$153)</f>
        <v>47872000</v>
      </c>
      <c r="M176" s="16">
        <f>SUMIF($F$7:$F$153,$E176,L$7:L$153)</f>
        <v>646272000</v>
      </c>
      <c r="N176" s="16">
        <f>SUMIF($F$7:$F$153,$E176,M$7:M$153)</f>
        <v>64627200</v>
      </c>
      <c r="O176" s="16">
        <f>SUMIF($F$7:$F$153,$E176,N$7:N$153)</f>
        <v>12279168</v>
      </c>
      <c r="P176" s="16">
        <f>SUMIF($F$7:$F$153,$E176,O$7:O$153)</f>
        <v>658551168</v>
      </c>
      <c r="R176" s="17">
        <f>+(M176-N176)/I176</f>
        <v>8553600</v>
      </c>
    </row>
    <row r="177" spans="5:18" x14ac:dyDescent="0.25">
      <c r="E177" t="s">
        <v>26</v>
      </c>
      <c r="F177" s="67"/>
      <c r="G177" s="67"/>
      <c r="H177" s="67"/>
      <c r="I177" s="16">
        <f t="shared" ref="I177:I185" si="52">SUMIF($F$7:$F$153,$E177,G$7:G$153)</f>
        <v>1</v>
      </c>
      <c r="K177" s="16">
        <f>SUMIF($F$7:$F$153,$E177,I$7:I$153)</f>
        <v>8800000</v>
      </c>
      <c r="L177" s="16">
        <f t="shared" ref="L177:P185" si="53">SUMIF($F$7:$F$153,$E177,K$7:K$153)</f>
        <v>880000</v>
      </c>
      <c r="M177" s="16">
        <f t="shared" si="53"/>
        <v>9680000</v>
      </c>
      <c r="N177" s="16">
        <f t="shared" si="53"/>
        <v>968000</v>
      </c>
      <c r="O177" s="16">
        <f t="shared" si="53"/>
        <v>183920</v>
      </c>
      <c r="P177" s="16">
        <f t="shared" si="53"/>
        <v>9863920</v>
      </c>
      <c r="R177" s="17">
        <f t="shared" ref="R177:R185" si="54">+(M177-N177)/I177</f>
        <v>8712000</v>
      </c>
    </row>
    <row r="178" spans="5:18" x14ac:dyDescent="0.25">
      <c r="E178" t="s">
        <v>57</v>
      </c>
      <c r="F178" s="67"/>
      <c r="G178" s="67"/>
      <c r="H178" s="67"/>
      <c r="I178" s="16">
        <f t="shared" si="52"/>
        <v>8</v>
      </c>
      <c r="K178" s="16">
        <f t="shared" ref="K178:K185" si="55">SUMIF($F$7:$F$153,$E178,I$7:I$153)</f>
        <v>21014869.333333332</v>
      </c>
      <c r="L178" s="16">
        <f t="shared" si="53"/>
        <v>1681189.5466666666</v>
      </c>
      <c r="M178" s="16">
        <f t="shared" si="53"/>
        <v>22696058.879999999</v>
      </c>
      <c r="N178" s="16">
        <f t="shared" si="53"/>
        <v>2269605.8879999998</v>
      </c>
      <c r="O178" s="16">
        <f t="shared" si="53"/>
        <v>431225.11872000003</v>
      </c>
      <c r="P178" s="16">
        <f t="shared" si="53"/>
        <v>23127283.998719994</v>
      </c>
      <c r="R178" s="17">
        <f t="shared" si="54"/>
        <v>2553306.6239999998</v>
      </c>
    </row>
    <row r="179" spans="5:18" x14ac:dyDescent="0.25">
      <c r="E179" t="s">
        <v>17</v>
      </c>
      <c r="F179" s="67"/>
      <c r="G179" s="67"/>
      <c r="H179" s="67"/>
      <c r="I179" s="16">
        <f t="shared" si="52"/>
        <v>17</v>
      </c>
      <c r="K179" s="16">
        <f t="shared" si="55"/>
        <v>53587916.799999982</v>
      </c>
      <c r="L179" s="16">
        <f t="shared" si="53"/>
        <v>4287033.3439999996</v>
      </c>
      <c r="M179" s="16">
        <f t="shared" si="53"/>
        <v>57874950.144000009</v>
      </c>
      <c r="N179" s="16">
        <f t="shared" si="53"/>
        <v>5787495.0143999998</v>
      </c>
      <c r="O179" s="16">
        <f t="shared" si="53"/>
        <v>1099624.0527359997</v>
      </c>
      <c r="P179" s="16">
        <f t="shared" si="53"/>
        <v>58974574.196735993</v>
      </c>
      <c r="R179" s="17">
        <f t="shared" si="54"/>
        <v>3063967.9488000008</v>
      </c>
    </row>
    <row r="180" spans="5:18" x14ac:dyDescent="0.25">
      <c r="E180" s="14" t="s">
        <v>16</v>
      </c>
      <c r="F180" s="66"/>
      <c r="G180" s="66"/>
      <c r="H180" s="66"/>
      <c r="I180" s="16">
        <f t="shared" si="52"/>
        <v>29</v>
      </c>
      <c r="K180" s="16">
        <f t="shared" si="55"/>
        <v>114268351.99999999</v>
      </c>
      <c r="L180" s="16">
        <f t="shared" si="53"/>
        <v>9141468.1599999983</v>
      </c>
      <c r="M180" s="16">
        <f t="shared" si="53"/>
        <v>123409820.15999988</v>
      </c>
      <c r="N180" s="16">
        <f t="shared" si="53"/>
        <v>12340982.016000004</v>
      </c>
      <c r="O180" s="16">
        <f t="shared" si="53"/>
        <v>2344786.5830399995</v>
      </c>
      <c r="P180" s="16">
        <f t="shared" si="53"/>
        <v>125754606.74304003</v>
      </c>
      <c r="R180" s="17">
        <f t="shared" si="54"/>
        <v>3829959.9359999956</v>
      </c>
    </row>
    <row r="181" spans="5:18" x14ac:dyDescent="0.25">
      <c r="E181" t="s">
        <v>19</v>
      </c>
      <c r="F181" s="67"/>
      <c r="G181" s="67"/>
      <c r="H181" s="67"/>
      <c r="I181" s="16">
        <f t="shared" si="52"/>
        <v>5</v>
      </c>
      <c r="K181" s="16">
        <f t="shared" si="55"/>
        <v>18388010.666666664</v>
      </c>
      <c r="L181" s="16">
        <f t="shared" si="53"/>
        <v>1471040.8533333333</v>
      </c>
      <c r="M181" s="16">
        <f t="shared" si="53"/>
        <v>19859051.519999996</v>
      </c>
      <c r="N181" s="16">
        <f t="shared" si="53"/>
        <v>1985905.152</v>
      </c>
      <c r="O181" s="16">
        <f t="shared" si="53"/>
        <v>377321.97888000001</v>
      </c>
      <c r="P181" s="16">
        <f t="shared" si="53"/>
        <v>20236373.498879999</v>
      </c>
      <c r="R181" s="17">
        <f t="shared" si="54"/>
        <v>3574629.2735999995</v>
      </c>
    </row>
    <row r="182" spans="5:18" x14ac:dyDescent="0.25">
      <c r="E182" t="s">
        <v>20</v>
      </c>
      <c r="F182" s="67"/>
      <c r="G182" s="67"/>
      <c r="H182" s="67"/>
      <c r="I182" s="16">
        <f t="shared" si="52"/>
        <v>3</v>
      </c>
      <c r="K182" s="16">
        <f t="shared" si="55"/>
        <v>13791007.999999998</v>
      </c>
      <c r="L182" s="16">
        <f t="shared" si="53"/>
        <v>1103280.6399999999</v>
      </c>
      <c r="M182" s="16">
        <f t="shared" si="53"/>
        <v>14894288.639999997</v>
      </c>
      <c r="N182" s="16">
        <f t="shared" si="53"/>
        <v>1489428.8639999998</v>
      </c>
      <c r="O182" s="16">
        <f t="shared" si="53"/>
        <v>282991.48415999999</v>
      </c>
      <c r="P182" s="16">
        <f t="shared" si="53"/>
        <v>15177280.124159995</v>
      </c>
      <c r="R182" s="17">
        <f t="shared" si="54"/>
        <v>4468286.5919999992</v>
      </c>
    </row>
    <row r="183" spans="5:18" x14ac:dyDescent="0.25">
      <c r="E183" t="s">
        <v>79</v>
      </c>
      <c r="F183" s="67"/>
      <c r="G183" s="67"/>
      <c r="H183" s="67"/>
      <c r="I183" s="16">
        <f t="shared" si="52"/>
        <v>1</v>
      </c>
      <c r="K183" s="16">
        <f t="shared" si="55"/>
        <v>3414916.2666666661</v>
      </c>
      <c r="L183" s="16">
        <f t="shared" si="53"/>
        <v>273193.30133333331</v>
      </c>
      <c r="M183" s="16">
        <f t="shared" si="53"/>
        <v>3688109.5679999995</v>
      </c>
      <c r="N183" s="16">
        <f t="shared" si="53"/>
        <v>368810.95679999999</v>
      </c>
      <c r="O183" s="16">
        <f t="shared" si="53"/>
        <v>70074.081791999997</v>
      </c>
      <c r="P183" s="16">
        <f t="shared" si="53"/>
        <v>3758183.6497919997</v>
      </c>
      <c r="R183" s="17">
        <f t="shared" si="54"/>
        <v>3319298.6111999997</v>
      </c>
    </row>
    <row r="184" spans="5:18" x14ac:dyDescent="0.25">
      <c r="E184" t="s">
        <v>21</v>
      </c>
      <c r="F184" s="67"/>
      <c r="G184" s="67"/>
      <c r="H184" s="67"/>
      <c r="I184" s="16">
        <f t="shared" si="52"/>
        <v>3</v>
      </c>
      <c r="K184" s="16">
        <f t="shared" si="55"/>
        <v>6304460.8000000007</v>
      </c>
      <c r="L184" s="16">
        <f t="shared" si="53"/>
        <v>504356.86400000006</v>
      </c>
      <c r="M184" s="16">
        <f t="shared" si="53"/>
        <v>6808817.6640000008</v>
      </c>
      <c r="N184" s="16">
        <f t="shared" si="53"/>
        <v>680881.76640000008</v>
      </c>
      <c r="O184" s="16">
        <f t="shared" si="53"/>
        <v>129367.53561600001</v>
      </c>
      <c r="P184" s="16">
        <f t="shared" si="53"/>
        <v>6938185.199616001</v>
      </c>
      <c r="R184" s="17">
        <f t="shared" si="54"/>
        <v>2042645.2992000002</v>
      </c>
    </row>
    <row r="185" spans="5:18" x14ac:dyDescent="0.25">
      <c r="E185" t="s">
        <v>78</v>
      </c>
      <c r="F185" s="67"/>
      <c r="G185" s="67"/>
      <c r="H185" s="67"/>
      <c r="I185" s="16">
        <f t="shared" si="52"/>
        <v>1</v>
      </c>
      <c r="K185" s="16">
        <f t="shared" si="55"/>
        <v>2276610.8444444444</v>
      </c>
      <c r="L185" s="16">
        <f t="shared" si="53"/>
        <v>182128.86755555557</v>
      </c>
      <c r="M185" s="16">
        <f t="shared" si="53"/>
        <v>2458739.7119999998</v>
      </c>
      <c r="N185" s="16">
        <f t="shared" si="53"/>
        <v>245873.9712</v>
      </c>
      <c r="O185" s="16">
        <f t="shared" si="53"/>
        <v>46716.054528000001</v>
      </c>
      <c r="P185" s="16">
        <f t="shared" si="53"/>
        <v>2505455.7665279997</v>
      </c>
      <c r="R185" s="17">
        <f t="shared" si="54"/>
        <v>2212865.7407999998</v>
      </c>
    </row>
    <row r="186" spans="5:18" x14ac:dyDescent="0.25">
      <c r="F186" s="67"/>
      <c r="G186" s="67"/>
      <c r="H186" s="67"/>
      <c r="I186" s="17">
        <f>SUM(I176:I185)</f>
        <v>136</v>
      </c>
      <c r="K186" s="17">
        <f t="shared" ref="K186:P186" si="56">SUM(K176:K185)</f>
        <v>840246144.71111095</v>
      </c>
      <c r="L186" s="17">
        <f t="shared" si="56"/>
        <v>67395691.576888889</v>
      </c>
      <c r="M186" s="17">
        <f t="shared" si="56"/>
        <v>907641836.28799987</v>
      </c>
      <c r="N186" s="17">
        <f t="shared" si="56"/>
        <v>90764183.62879999</v>
      </c>
      <c r="O186" s="17">
        <f t="shared" si="56"/>
        <v>17245194.889472</v>
      </c>
      <c r="P186" s="17">
        <f t="shared" si="56"/>
        <v>924887031.17747211</v>
      </c>
      <c r="R186" s="17"/>
    </row>
    <row r="187" spans="5:18" x14ac:dyDescent="0.25">
      <c r="F187" s="67"/>
      <c r="G187" s="67"/>
      <c r="H187" s="67"/>
      <c r="P187" t="s">
        <v>86</v>
      </c>
    </row>
    <row r="188" spans="5:18" x14ac:dyDescent="0.25">
      <c r="E188" s="67" t="s">
        <v>88</v>
      </c>
      <c r="F188" s="67"/>
      <c r="G188" s="67"/>
      <c r="H188" s="67"/>
      <c r="J188" s="58"/>
      <c r="L188" s="58"/>
      <c r="M188" s="58"/>
      <c r="N188" s="58"/>
      <c r="O188" s="58"/>
      <c r="P188" s="58"/>
    </row>
    <row r="189" spans="5:18" x14ac:dyDescent="0.25">
      <c r="E189" s="69" t="s">
        <v>74</v>
      </c>
      <c r="F189" s="70"/>
      <c r="G189" s="70"/>
      <c r="H189" s="70"/>
      <c r="I189" s="16">
        <v>5</v>
      </c>
      <c r="J189" s="16">
        <f>SUMIF($F$147:$F$153,$E189,J$147:J$153)</f>
        <v>0.32</v>
      </c>
      <c r="K189" s="58">
        <f>+I146+I147+I148+I149+I150</f>
        <v>4373740.8000000007</v>
      </c>
      <c r="L189" s="16">
        <f>+K146+K147+K148+K149+K150</f>
        <v>349899.26400000002</v>
      </c>
      <c r="M189" s="16">
        <f>+L146+L147+L148+L149+L150</f>
        <v>4723640.0640000002</v>
      </c>
      <c r="N189" s="16">
        <f>+M146+M147+M148+M149+M150</f>
        <v>472364.00639999995</v>
      </c>
      <c r="O189" s="16">
        <f>+N146+N147+N148+N149+N150</f>
        <v>89749.161215999993</v>
      </c>
      <c r="P189" s="16">
        <f>+O146+O147+O148+O149+O150</f>
        <v>4813389.2252160003</v>
      </c>
      <c r="R189" s="17">
        <f>+M189-N189</f>
        <v>4251276.0575999999</v>
      </c>
    </row>
    <row r="190" spans="5:18" x14ac:dyDescent="0.25">
      <c r="E190">
        <f>+F153</f>
        <v>0</v>
      </c>
      <c r="J190" s="16"/>
      <c r="L190" s="16"/>
      <c r="M190" s="16"/>
      <c r="N190" s="16"/>
      <c r="O190" s="16"/>
      <c r="P190" s="16">
        <f>+P186+P189</f>
        <v>929700420.40268815</v>
      </c>
    </row>
    <row r="191" spans="5:18" x14ac:dyDescent="0.25">
      <c r="N191" s="17"/>
      <c r="P191" s="17"/>
    </row>
  </sheetData>
  <autoFilter ref="B6:P151">
    <filterColumn colId="8" showButton="0"/>
  </autoFilter>
  <mergeCells count="27">
    <mergeCell ref="B146:B150"/>
    <mergeCell ref="P81:P82"/>
    <mergeCell ref="D93:D94"/>
    <mergeCell ref="D97:D98"/>
    <mergeCell ref="B105:B127"/>
    <mergeCell ref="B129:B144"/>
    <mergeCell ref="C135:C136"/>
    <mergeCell ref="D135:D136"/>
    <mergeCell ref="D138:D139"/>
    <mergeCell ref="D141:D142"/>
    <mergeCell ref="B40:B103"/>
    <mergeCell ref="D51:D52"/>
    <mergeCell ref="D53:D54"/>
    <mergeCell ref="D55:D56"/>
    <mergeCell ref="D57:D58"/>
    <mergeCell ref="D70:D72"/>
    <mergeCell ref="D81:D83"/>
    <mergeCell ref="B3:O3"/>
    <mergeCell ref="B4:O4"/>
    <mergeCell ref="B5:O5"/>
    <mergeCell ref="J6:K6"/>
    <mergeCell ref="B7:B38"/>
    <mergeCell ref="D7:D8"/>
    <mergeCell ref="D16:D17"/>
    <mergeCell ref="D18:D19"/>
    <mergeCell ref="D23:D24"/>
    <mergeCell ref="D26:D27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Hoja2</vt:lpstr>
      <vt:lpstr>DISPOSITIVO OCTUBRE </vt:lpstr>
      <vt:lpstr>Enero 2023 (3)</vt:lpstr>
      <vt:lpstr>Hoja1</vt:lpstr>
      <vt:lpstr>Enero 2023 (2)</vt:lpstr>
      <vt:lpstr>Mayo 2022 -sepecol</vt:lpstr>
      <vt:lpstr>'DISPOSITIVO OCTUBRE '!Área_de_impresión</vt:lpstr>
      <vt:lpstr>'Enero 2023 (2)'!Área_de_impresión</vt:lpstr>
      <vt:lpstr>'Enero 2023 (3)'!Área_de_impresión</vt:lpstr>
      <vt:lpstr>'Mayo 2022 -sepecol'!Área_de_impresión</vt:lpstr>
      <vt:lpstr>'DISPOSITIVO OCTUBRE '!Títulos_a_imprimir</vt:lpstr>
      <vt:lpstr>'Enero 2023 (2)'!Títulos_a_imprimir</vt:lpstr>
      <vt:lpstr>'Enero 2023 (3)'!Títulos_a_imprimir</vt:lpstr>
      <vt:lpstr>'Mayo 2022 -sepecol'!Títulos_a_imprimir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Servicios Generales</dc:creator>
  <cp:lastModifiedBy>Apoyo Servicios Generales</cp:lastModifiedBy>
  <cp:lastPrinted>2025-05-15T16:41:24Z</cp:lastPrinted>
  <dcterms:created xsi:type="dcterms:W3CDTF">2021-01-28T19:16:38Z</dcterms:created>
  <dcterms:modified xsi:type="dcterms:W3CDTF">2025-11-20T14:57:23Z</dcterms:modified>
</cp:coreProperties>
</file>