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I:\2024-2027 ELEAZAR\2024-2027 JUNTOS CONSTRUIMOS\2024-2027 OBRAS\2025 OBRAS\2025 SOLICITUD CDP\BPIN 2025-37388 PLANTA  DE BENEFICIO\PLANTA DE BENEFICIO - JURÍDICO\"/>
    </mc:Choice>
  </mc:AlternateContent>
  <bookViews>
    <workbookView xWindow="-105" yWindow="-105" windowWidth="23250" windowHeight="12450" tabRatio="878" firstSheet="1" activeTab="8"/>
  </bookViews>
  <sheets>
    <sheet name="BASICO" sheetId="15" state="hidden" r:id="rId1"/>
    <sheet name="MEMORIA DE CANTIDADES DE OBRA " sheetId="20" r:id="rId2"/>
    <sheet name="APU" sheetId="3" r:id="rId3"/>
    <sheet name="CRONOGRAMA" sheetId="16" state="hidden" r:id="rId4"/>
    <sheet name="Memoria de Cantidades" sheetId="1" state="hidden" r:id="rId5"/>
    <sheet name="Presupuesto" sheetId="2" r:id="rId6"/>
    <sheet name="DESGLOSE AIU" sheetId="23" r:id="rId7"/>
    <sheet name="F.M " sheetId="13" r:id="rId8"/>
    <sheet name="CRONOGRAMA--" sheetId="21" r:id="rId9"/>
    <sheet name="BASICOS URBANOS" sheetId="26" state="hidden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\a" localSheetId="0">[1]Insumos!#REF!</definedName>
    <definedName name="\a" localSheetId="3">[1]Insumos!#REF!</definedName>
    <definedName name="\a">[1]Insumos!#REF!</definedName>
    <definedName name="\b" localSheetId="0">[2]INSUMOS!#REF!</definedName>
    <definedName name="\b" localSheetId="3">[2]INSUMOS!#REF!</definedName>
    <definedName name="\b">[2]INSUMOS!#REF!</definedName>
    <definedName name="\i" localSheetId="0">[2]INSUMOS!#REF!</definedName>
    <definedName name="\i" localSheetId="3">[2]INSUMOS!#REF!</definedName>
    <definedName name="\i">[2]INSUMOS!#REF!</definedName>
    <definedName name="\m" localSheetId="0">[2]INSUMOS!#REF!</definedName>
    <definedName name="\m" localSheetId="3">[2]INSUMOS!#REF!</definedName>
    <definedName name="\m">[2]INSUMOS!#REF!</definedName>
    <definedName name="\r" localSheetId="0">[2]INSUMOS!#REF!</definedName>
    <definedName name="\r" localSheetId="3">[2]INSUMOS!#REF!</definedName>
    <definedName name="\r">[2]INSUMOS!#REF!</definedName>
    <definedName name="\t" localSheetId="0">[2]INSUMOS!#REF!</definedName>
    <definedName name="\t" localSheetId="3">[2]INSUMOS!#REF!</definedName>
    <definedName name="\t">[2]INSUMOS!#REF!</definedName>
    <definedName name="\x" localSheetId="0">[2]INSUMOS!#REF!</definedName>
    <definedName name="\x" localSheetId="3">[2]INSUMOS!#REF!</definedName>
    <definedName name="\x">[2]INSUMOS!#REF!</definedName>
    <definedName name="_________________________________apu1" localSheetId="0">[2]INSUMOS!#REF!</definedName>
    <definedName name="_________________________________apu1" localSheetId="3">[2]INSUMOS!#REF!</definedName>
    <definedName name="_________________________________apu1">[2]INSUMOS!#REF!</definedName>
    <definedName name="________________________________apu1" localSheetId="0">[2]INSUMOS!#REF!</definedName>
    <definedName name="________________________________apu1" localSheetId="3">[2]INSUMOS!#REF!</definedName>
    <definedName name="________________________________apu1">[2]INSUMOS!#REF!</definedName>
    <definedName name="_______________________________apu1" localSheetId="0">[2]INSUMOS!#REF!</definedName>
    <definedName name="_______________________________apu1" localSheetId="3">[2]INSUMOS!#REF!</definedName>
    <definedName name="_______________________________apu1">[2]INSUMOS!#REF!</definedName>
    <definedName name="______________________________apu1" localSheetId="0">[2]INSUMOS!#REF!</definedName>
    <definedName name="______________________________apu1" localSheetId="3">[2]INSUMOS!#REF!</definedName>
    <definedName name="______________________________apu1">[2]INSUMOS!#REF!</definedName>
    <definedName name="____________________________apu1" localSheetId="0">[2]INSUMOS!#REF!</definedName>
    <definedName name="____________________________apu1" localSheetId="3">[2]INSUMOS!#REF!</definedName>
    <definedName name="____________________________apu1">[2]INSUMOS!#REF!</definedName>
    <definedName name="___________________________apu1" localSheetId="0">[2]INSUMOS!#REF!</definedName>
    <definedName name="___________________________apu1" localSheetId="3">[2]INSUMOS!#REF!</definedName>
    <definedName name="___________________________apu1">[2]INSUMOS!#REF!</definedName>
    <definedName name="__________________________apu1" localSheetId="0">[2]INSUMOS!#REF!</definedName>
    <definedName name="__________________________apu1" localSheetId="3">[2]INSUMOS!#REF!</definedName>
    <definedName name="__________________________apu1">[2]INSUMOS!#REF!</definedName>
    <definedName name="_________________________apu1" localSheetId="0">[2]INSUMOS!#REF!</definedName>
    <definedName name="_________________________apu1" localSheetId="3">[2]INSUMOS!#REF!</definedName>
    <definedName name="_________________________apu1">[2]INSUMOS!#REF!</definedName>
    <definedName name="________________________apu1" localSheetId="0">[2]INSUMOS!#REF!</definedName>
    <definedName name="________________________apu1" localSheetId="3">[2]INSUMOS!#REF!</definedName>
    <definedName name="________________________apu1">[2]INSUMOS!#REF!</definedName>
    <definedName name="_______________________apu1" localSheetId="0">[2]INSUMOS!#REF!</definedName>
    <definedName name="_______________________apu1" localSheetId="3">[2]INSUMOS!#REF!</definedName>
    <definedName name="_______________________apu1">[2]INSUMOS!#REF!</definedName>
    <definedName name="_____________________apu1" localSheetId="0">[2]INSUMOS!#REF!</definedName>
    <definedName name="_____________________apu1" localSheetId="3">[2]INSUMOS!#REF!</definedName>
    <definedName name="_____________________apu1">[2]INSUMOS!#REF!</definedName>
    <definedName name="____________________apu1" localSheetId="0">[2]INSUMOS!#REF!</definedName>
    <definedName name="____________________apu1" localSheetId="3">[2]INSUMOS!#REF!</definedName>
    <definedName name="____________________apu1">[2]INSUMOS!#REF!</definedName>
    <definedName name="___________________apu1" localSheetId="0">[2]INSUMOS!#REF!</definedName>
    <definedName name="___________________apu1" localSheetId="3">[2]INSUMOS!#REF!</definedName>
    <definedName name="___________________apu1">[2]INSUMOS!#REF!</definedName>
    <definedName name="__________________apu1" localSheetId="0">[2]INSUMOS!#REF!</definedName>
    <definedName name="__________________apu1" localSheetId="3">[2]INSUMOS!#REF!</definedName>
    <definedName name="__________________apu1">[2]INSUMOS!#REF!</definedName>
    <definedName name="_________________apu1" localSheetId="0">[2]INSUMOS!#REF!</definedName>
    <definedName name="_________________apu1" localSheetId="3">[2]INSUMOS!#REF!</definedName>
    <definedName name="_________________apu1">[2]INSUMOS!#REF!</definedName>
    <definedName name="________________apu1" localSheetId="0">[2]INSUMOS!#REF!</definedName>
    <definedName name="________________apu1" localSheetId="3">[2]INSUMOS!#REF!</definedName>
    <definedName name="________________apu1">[2]INSUMOS!#REF!</definedName>
    <definedName name="_______________apu1" localSheetId="0">[2]INSUMOS!#REF!</definedName>
    <definedName name="_______________apu1" localSheetId="3">[2]INSUMOS!#REF!</definedName>
    <definedName name="_______________apu1">[2]INSUMOS!#REF!</definedName>
    <definedName name="______________apu1" localSheetId="0">[2]INSUMOS!#REF!</definedName>
    <definedName name="______________apu1" localSheetId="3">[2]INSUMOS!#REF!</definedName>
    <definedName name="______________apu1">[2]INSUMOS!#REF!</definedName>
    <definedName name="_____________apu1" localSheetId="0">[2]INSUMOS!#REF!</definedName>
    <definedName name="_____________apu1" localSheetId="3">[2]INSUMOS!#REF!</definedName>
    <definedName name="_____________apu1">[2]INSUMOS!#REF!</definedName>
    <definedName name="____________apu1" localSheetId="0">[2]INSUMOS!#REF!</definedName>
    <definedName name="____________apu1" localSheetId="3">[2]INSUMOS!#REF!</definedName>
    <definedName name="____________apu1">[2]INSUMOS!#REF!</definedName>
    <definedName name="___________apu1" localSheetId="0">[2]INSUMOS!#REF!</definedName>
    <definedName name="___________apu1" localSheetId="3">[2]INSUMOS!#REF!</definedName>
    <definedName name="___________apu1">[2]INSUMOS!#REF!</definedName>
    <definedName name="__________apu1" localSheetId="0">[2]INSUMOS!#REF!</definedName>
    <definedName name="__________apu1" localSheetId="3">[2]INSUMOS!#REF!</definedName>
    <definedName name="__________apu1">[2]INSUMOS!#REF!</definedName>
    <definedName name="_________apu1" localSheetId="0">[2]INSUMOS!#REF!</definedName>
    <definedName name="_________apu1" localSheetId="3">[2]INSUMOS!#REF!</definedName>
    <definedName name="_________apu1">[2]INSUMOS!#REF!</definedName>
    <definedName name="________apu1" localSheetId="0">[2]INSUMOS!#REF!</definedName>
    <definedName name="________apu1" localSheetId="3">[2]INSUMOS!#REF!</definedName>
    <definedName name="________apu1">[2]INSUMOS!#REF!</definedName>
    <definedName name="_______apu1" localSheetId="0">[2]INSUMOS!#REF!</definedName>
    <definedName name="_______apu1" localSheetId="3">[2]INSUMOS!#REF!</definedName>
    <definedName name="_______apu1">[2]INSUMOS!#REF!</definedName>
    <definedName name="______apu1" localSheetId="0">[2]INSUMOS!#REF!</definedName>
    <definedName name="______apu1" localSheetId="3">[2]INSUMOS!#REF!</definedName>
    <definedName name="______apu1">[2]INSUMOS!#REF!</definedName>
    <definedName name="_____apu1" localSheetId="0">[2]INSUMOS!#REF!</definedName>
    <definedName name="_____apu1" localSheetId="3">[2]INSUMOS!#REF!</definedName>
    <definedName name="_____apu1">[2]INSUMOS!#REF!</definedName>
    <definedName name="____apu1" localSheetId="0">[2]INSUMOS!#REF!</definedName>
    <definedName name="____apu1" localSheetId="3">[2]INSUMOS!#REF!</definedName>
    <definedName name="____apu1">[2]INSUMOS!#REF!</definedName>
    <definedName name="___apu1" localSheetId="0">[2]INSUMOS!#REF!</definedName>
    <definedName name="___apu1" localSheetId="3">[2]INSUMOS!#REF!</definedName>
    <definedName name="___apu1">[2]INSUMOS!#REF!</definedName>
    <definedName name="__apu1" localSheetId="0">[2]INSUMOS!#REF!</definedName>
    <definedName name="__apu1" localSheetId="3">[2]INSUMOS!#REF!</definedName>
    <definedName name="__apu1">[2]INSUMOS!#REF!</definedName>
    <definedName name="_A16400">#REF!</definedName>
    <definedName name="_apu1" localSheetId="0">[2]INSUMOS!#REF!</definedName>
    <definedName name="_apu1" localSheetId="3">[2]INSUMOS!#REF!</definedName>
    <definedName name="_apu1">[2]INSUMOS!#REF!</definedName>
    <definedName name="_xlnm._FilterDatabase" localSheetId="4" hidden="1">'Memoria de Cantidades'!$A$7:$A$30</definedName>
    <definedName name="_Key1" localSheetId="0" hidden="1">[2]INSUMOS!#REF!</definedName>
    <definedName name="_Key1" localSheetId="3" hidden="1">[2]INSUMOS!#REF!</definedName>
    <definedName name="_Key1" hidden="1">[2]INSUMOS!#REF!</definedName>
    <definedName name="_Order1" hidden="1">255</definedName>
    <definedName name="_Sort" localSheetId="0" hidden="1">[2]INSUMOS!#REF!</definedName>
    <definedName name="_Sort" localSheetId="3" hidden="1">[2]INSUMOS!#REF!</definedName>
    <definedName name="_Sort" hidden="1">[2]INSUMOS!#REF!</definedName>
    <definedName name="a" localSheetId="0">[1]Insumos!#REF!</definedName>
    <definedName name="a" localSheetId="3">[1]Insumos!#REF!</definedName>
    <definedName name="A" localSheetId="6">#REF!</definedName>
    <definedName name="a">[1]Insumos!#REF!</definedName>
    <definedName name="ACERO" localSheetId="0">#REF!</definedName>
    <definedName name="ACERO" localSheetId="3">#REF!</definedName>
    <definedName name="ACERO" localSheetId="6">#REF!</definedName>
    <definedName name="ACERO">#REF!</definedName>
    <definedName name="ACTIVOS" localSheetId="0">#REF!</definedName>
    <definedName name="ACTIVOS" localSheetId="3">#REF!</definedName>
    <definedName name="ACTIVOS" localSheetId="6">#REF!</definedName>
    <definedName name="ACTIVOS">#REF!</definedName>
    <definedName name="adfasdfsa" localSheetId="0">[1]Insumos!#REF!</definedName>
    <definedName name="adfasdfsa" localSheetId="3">[1]Insumos!#REF!</definedName>
    <definedName name="adfasdfsa" localSheetId="6">[1]Insumos!#REF!</definedName>
    <definedName name="adfasdfsa">[1]Insumos!#REF!</definedName>
    <definedName name="adfasfadfa" localSheetId="0">[1]Insumos!#REF!</definedName>
    <definedName name="adfasfadfa" localSheetId="3">[1]Insumos!#REF!</definedName>
    <definedName name="adfasfadfa">[1]Insumos!#REF!</definedName>
    <definedName name="ADMON" localSheetId="0">#REF!</definedName>
    <definedName name="ADMON" localSheetId="3">#REF!</definedName>
    <definedName name="ADMON" localSheetId="6">#REF!</definedName>
    <definedName name="ADMON">#REF!</definedName>
    <definedName name="adsfadsfasdfafdasfdasfd" localSheetId="0">[2]INSUMOS!#REF!</definedName>
    <definedName name="adsfadsfasdfafdasfdasfd" localSheetId="3">[2]INSUMOS!#REF!</definedName>
    <definedName name="adsfadsfasdfafdasfdasfd">[2]INSUMOS!#REF!</definedName>
    <definedName name="adsfadsfasfasdfasfdasdfadsfdsafdsa" localSheetId="0">[1]Insumos!#REF!</definedName>
    <definedName name="adsfadsfasfasdfasfdasdfadsfdsafdsa" localSheetId="3">[1]Insumos!#REF!</definedName>
    <definedName name="adsfadsfasfasdfasfdasdfadsfdsafdsa">[1]Insumos!#REF!</definedName>
    <definedName name="afdaffaf" localSheetId="0">[1]Insumos!#REF!</definedName>
    <definedName name="afdaffaf" localSheetId="3">[1]Insumos!#REF!</definedName>
    <definedName name="afdaffaf">[1]Insumos!#REF!</definedName>
    <definedName name="AGUA">[3]INSUMOS!$D$4</definedName>
    <definedName name="ALAMB">[3]INSUMOS!$D$169</definedName>
    <definedName name="ALAMBRE" localSheetId="0">#REF!</definedName>
    <definedName name="ALAMBRE" localSheetId="3">#REF!</definedName>
    <definedName name="ALAMBRE" localSheetId="6">#REF!</definedName>
    <definedName name="ALAMBRE">#REF!</definedName>
    <definedName name="ANDENESV" localSheetId="0">#REF!</definedName>
    <definedName name="ANDENESV" localSheetId="3">#REF!</definedName>
    <definedName name="ANDENESV" localSheetId="6">#REF!</definedName>
    <definedName name="ANDENESV">#REF!</definedName>
    <definedName name="ANTISB">[3]INSUMOS!$D$181</definedName>
    <definedName name="apu" localSheetId="0">[1]Insumos!#REF!</definedName>
    <definedName name="APU" localSheetId="9">[4]APU!$A:$H</definedName>
    <definedName name="apu" localSheetId="3">[1]Insumos!#REF!</definedName>
    <definedName name="APU" localSheetId="6">[5]APU!$A:$H</definedName>
    <definedName name="apu">[1]Insumos!#REF!</definedName>
    <definedName name="APUS" localSheetId="9">[6]APU!$A:$H</definedName>
    <definedName name="APUS" localSheetId="6">[7]APU!$A:$H</definedName>
    <definedName name="APUS">[8]APU!$A:$H</definedName>
    <definedName name="_xlnm.Extract">#REF!</definedName>
    <definedName name="_xlnm.Print_Area" localSheetId="2">APU!$A$1:$H$286</definedName>
    <definedName name="_xlnm.Print_Area" localSheetId="0">BASICO!$A$1:$H$58</definedName>
    <definedName name="_xlnm.Print_Area" localSheetId="9">'BASICOS URBANOS'!$A$1:$H$153</definedName>
    <definedName name="_xlnm.Print_Area" localSheetId="3">CRONOGRAMA!$A$1:$H$36</definedName>
    <definedName name="_xlnm.Print_Area" localSheetId="8">'CRONOGRAMA--'!$A$1:$L$34</definedName>
    <definedName name="_xlnm.Print_Area" localSheetId="6">'DESGLOSE AIU'!$A$1:$F$64</definedName>
    <definedName name="_xlnm.Print_Area" localSheetId="7">'F.M '!$A$1:$F$39</definedName>
    <definedName name="_xlnm.Print_Area" localSheetId="4">'Memoria de Cantidades'!$A$1:$K$58</definedName>
    <definedName name="_xlnm.Print_Area" localSheetId="1">'MEMORIA DE CANTIDADES DE OBRA '!$A$1:$I$61</definedName>
    <definedName name="_xlnm.Print_Area" localSheetId="5">Presupuesto!$A$1:$G$36</definedName>
    <definedName name="ARENA" localSheetId="0">#REF!</definedName>
    <definedName name="ARENA" localSheetId="3">#REF!</definedName>
    <definedName name="ARENA" localSheetId="6">#REF!</definedName>
    <definedName name="ARENA">#REF!</definedName>
    <definedName name="Arial" localSheetId="0">#REF!</definedName>
    <definedName name="Arial" localSheetId="3">#REF!</definedName>
    <definedName name="Arial" localSheetId="6">#REF!</definedName>
    <definedName name="Arial">#REF!</definedName>
    <definedName name="asdfadsfadsfafda" localSheetId="0">[1]Insumos!#REF!</definedName>
    <definedName name="asdfadsfadsfafda" localSheetId="3">[1]Insumos!#REF!</definedName>
    <definedName name="asdfadsfadsfafda" localSheetId="6">[1]Insumos!#REF!</definedName>
    <definedName name="asdfadsfadsfafda">[1]Insumos!#REF!</definedName>
    <definedName name="asdfasdf" localSheetId="0">[2]INSUMOS!#REF!</definedName>
    <definedName name="asdfasdf" localSheetId="3">[2]INSUMOS!#REF!</definedName>
    <definedName name="asdfasdf">[2]INSUMOS!#REF!</definedName>
    <definedName name="AYU" localSheetId="0">#REF!</definedName>
    <definedName name="AYU" localSheetId="3">#REF!</definedName>
    <definedName name="AYU" localSheetId="6">#REF!</definedName>
    <definedName name="AYU">#REF!</definedName>
    <definedName name="b" localSheetId="0">[1]Insumos!#REF!</definedName>
    <definedName name="b" localSheetId="3">[1]Insumos!#REF!</definedName>
    <definedName name="b">[1]Insumos!#REF!</definedName>
    <definedName name="BASE" localSheetId="0">#REF!</definedName>
    <definedName name="BASE" localSheetId="3">#REF!</definedName>
    <definedName name="BASE" localSheetId="6">#REF!</definedName>
    <definedName name="BASE">#REF!</definedName>
    <definedName name="Base_datos_IM" localSheetId="0">[1]Insumos!#REF!</definedName>
    <definedName name="Base_datos_IM" localSheetId="3">[1]Insumos!#REF!</definedName>
    <definedName name="Base_datos_IM">[1]Insumos!#REF!</definedName>
    <definedName name="_xlnm.Database" localSheetId="0">[1]Insumos!#REF!</definedName>
    <definedName name="_xlnm.Database" localSheetId="3">[1]Insumos!#REF!</definedName>
    <definedName name="_xlnm.Database" localSheetId="6">#REF!</definedName>
    <definedName name="_xlnm.Database">[1]Insumos!#REF!</definedName>
    <definedName name="BASEGRAV" localSheetId="0">#REF!</definedName>
    <definedName name="BASEGRAV" localSheetId="3">#REF!</definedName>
    <definedName name="BASEGRAV" localSheetId="6">#REF!</definedName>
    <definedName name="BASEGRAV">#REF!</definedName>
    <definedName name="BD_COD" localSheetId="0">#REF!</definedName>
    <definedName name="BD_COD" localSheetId="3">#REF!</definedName>
    <definedName name="BD_COD" localSheetId="6">#REF!</definedName>
    <definedName name="BD_COD">#REF!</definedName>
    <definedName name="BD_DIL" localSheetId="0">#REF!</definedName>
    <definedName name="BD_DIL" localSheetId="3">#REF!</definedName>
    <definedName name="BD_DIL" localSheetId="6">#REF!</definedName>
    <definedName name="BD_DIL">#REF!</definedName>
    <definedName name="BORDE1">#N/A</definedName>
    <definedName name="CANGURO" localSheetId="0">#REF!</definedName>
    <definedName name="CANGURO" localSheetId="3">#REF!</definedName>
    <definedName name="CANGURO" localSheetId="6">#REF!</definedName>
    <definedName name="CANGURO">#REF!</definedName>
    <definedName name="Capitulo">[9]Capitulos!$B$1:$B$65536</definedName>
    <definedName name="CEM">[3]INSUMOS!$D$275</definedName>
    <definedName name="CEMENTO" localSheetId="0">#REF!</definedName>
    <definedName name="CEMENTO" localSheetId="3">#REF!</definedName>
    <definedName name="CEMENTO" localSheetId="6">#REF!</definedName>
    <definedName name="CEMENTO">#REF!</definedName>
    <definedName name="cesped" localSheetId="0">[10]Mater!#REF!</definedName>
    <definedName name="cesped" localSheetId="3">[10]Mater!#REF!</definedName>
    <definedName name="cesped">[10]Mater!#REF!</definedName>
    <definedName name="COMPRE" localSheetId="0">#REF!</definedName>
    <definedName name="COMPRE" localSheetId="3">#REF!</definedName>
    <definedName name="COMPRE" localSheetId="6">#REF!</definedName>
    <definedName name="COMPRE">#REF!</definedName>
    <definedName name="CONCRETO25" localSheetId="0">#REF!</definedName>
    <definedName name="CONCRETO25" localSheetId="3">#REF!</definedName>
    <definedName name="CONCRETO25" localSheetId="6">#REF!</definedName>
    <definedName name="CONCRETO25">#REF!</definedName>
    <definedName name="Concreto2500v" localSheetId="0">#REF!</definedName>
    <definedName name="Concreto2500v" localSheetId="3">#REF!</definedName>
    <definedName name="Concreto2500v" localSheetId="6">#REF!</definedName>
    <definedName name="Concreto2500v">#REF!</definedName>
    <definedName name="CONCRETO3" localSheetId="0">#REF!</definedName>
    <definedName name="CONCRETO3" localSheetId="3">#REF!</definedName>
    <definedName name="CONCRETO3" localSheetId="6">#REF!</definedName>
    <definedName name="CONCRETO3">#REF!</definedName>
    <definedName name="concreto5" localSheetId="0">#REF!</definedName>
    <definedName name="concreto5" localSheetId="3">#REF!</definedName>
    <definedName name="concreto5" localSheetId="6">#REF!</definedName>
    <definedName name="concreto5">#REF!</definedName>
    <definedName name="Concreto5500v" localSheetId="0">#REF!</definedName>
    <definedName name="Concreto5500v" localSheetId="3">#REF!</definedName>
    <definedName name="Concreto5500v" localSheetId="6">#REF!</definedName>
    <definedName name="Concreto5500v">#REF!</definedName>
    <definedName name="concretomuro" localSheetId="0">#REF!</definedName>
    <definedName name="concretomuro" localSheetId="3">#REF!</definedName>
    <definedName name="concretomuro" localSheetId="6">#REF!</definedName>
    <definedName name="concretomuro">#REF!</definedName>
    <definedName name="_xlnm.Criteria" localSheetId="0">[2]INSUMOS!#REF!</definedName>
    <definedName name="_xlnm.Criteria" localSheetId="3">[2]INSUMOS!#REF!</definedName>
    <definedName name="_xlnm.Criteria" localSheetId="6">#REF!</definedName>
    <definedName name="_xlnm.Criteria">[2]INSUMOS!#REF!</definedName>
    <definedName name="Criterios_IM" localSheetId="0">[2]INSUMOS!#REF!</definedName>
    <definedName name="Criterios_IM" localSheetId="3">[2]INSUMOS!#REF!</definedName>
    <definedName name="Criterios_IM" localSheetId="6">[2]INSUMOS!#REF!</definedName>
    <definedName name="Criterios_IM">[2]INSUMOS!#REF!</definedName>
    <definedName name="Cronograma" localSheetId="0">[2]INSUMOS!#REF!</definedName>
    <definedName name="Cronograma" localSheetId="3">[2]INSUMOS!#REF!</definedName>
    <definedName name="Cronograma">[2]INSUMOS!#REF!</definedName>
    <definedName name="CUAD" localSheetId="0">#REF!</definedName>
    <definedName name="CUAD" localSheetId="3">#REF!</definedName>
    <definedName name="CUAD" localSheetId="6">#REF!</definedName>
    <definedName name="CUAD">#REF!</definedName>
    <definedName name="Cuadrilla">'[9]Mano Obra'!$B$1:$B$65536</definedName>
    <definedName name="DEMOLICIONANDEN" localSheetId="0">#REF!</definedName>
    <definedName name="DEMOLICIONANDEN" localSheetId="3">#REF!</definedName>
    <definedName name="DEMOLICIONANDEN" localSheetId="6">#REF!</definedName>
    <definedName name="DEMOLICIONANDEN">#REF!</definedName>
    <definedName name="demolicionladrillo" localSheetId="0">#REF!</definedName>
    <definedName name="demolicionladrillo" localSheetId="3">#REF!</definedName>
    <definedName name="demolicionladrillo" localSheetId="6">#REF!</definedName>
    <definedName name="demolicionladrillo">#REF!</definedName>
    <definedName name="DEMOLICIONMURO" localSheetId="0">#REF!</definedName>
    <definedName name="DEMOLICIONMURO" localSheetId="3">#REF!</definedName>
    <definedName name="DEMOLICIONMURO" localSheetId="6">#REF!</definedName>
    <definedName name="DEMOLICIONMURO">#REF!</definedName>
    <definedName name="demolicionpav" localSheetId="0">#REF!</definedName>
    <definedName name="demolicionpav" localSheetId="3">#REF!</definedName>
    <definedName name="demolicionpav" localSheetId="6">#REF!</definedName>
    <definedName name="demolicionpav">#REF!</definedName>
    <definedName name="DesgAIU">[11]APU!$A:$H</definedName>
    <definedName name="dfasfdasdfadsfasdfas" localSheetId="0">[1]Insumos!#REF!</definedName>
    <definedName name="dfasfdasdfadsfasdfas" localSheetId="3">[1]Insumos!#REF!</definedName>
    <definedName name="dfasfdasdfadsfasdfas">[1]Insumos!#REF!</definedName>
    <definedName name="DIA" localSheetId="0">#REF!</definedName>
    <definedName name="DIA" localSheetId="3">#REF!</definedName>
    <definedName name="DIA" localSheetId="6">#REF!</definedName>
    <definedName name="DIA">#REF!</definedName>
    <definedName name="espejo" localSheetId="0">[1]Insumos!#REF!</definedName>
    <definedName name="espejo" localSheetId="3">[1]Insumos!#REF!</definedName>
    <definedName name="espejo">[1]Insumos!#REF!</definedName>
    <definedName name="ESTACA" localSheetId="0">#REF!</definedName>
    <definedName name="ESTACA" localSheetId="3">#REF!</definedName>
    <definedName name="ESTACA" localSheetId="6">#REF!</definedName>
    <definedName name="ESTACA">#REF!</definedName>
    <definedName name="excavaconglomerado" localSheetId="0">#REF!</definedName>
    <definedName name="excavaconglomerado" localSheetId="3">#REF!</definedName>
    <definedName name="excavaconglomerado" localSheetId="6">#REF!</definedName>
    <definedName name="excavaconglomerado">#REF!</definedName>
    <definedName name="EXCAVAMANOV" localSheetId="0">#REF!</definedName>
    <definedName name="EXCAVAMANOV" localSheetId="3">#REF!</definedName>
    <definedName name="EXCAVAMANOV" localSheetId="6">#REF!</definedName>
    <definedName name="EXCAVAMANOV">#REF!</definedName>
    <definedName name="EXCAVAMAQUINAV" localSheetId="0">#REF!</definedName>
    <definedName name="EXCAVAMAQUINAV" localSheetId="3">#REF!</definedName>
    <definedName name="EXCAVAMAQUINAV" localSheetId="6">#REF!</definedName>
    <definedName name="EXCAVAMAQUINAV">#REF!</definedName>
    <definedName name="EXCAVATIERRA" localSheetId="0">#REF!</definedName>
    <definedName name="EXCAVATIERRA" localSheetId="3">#REF!</definedName>
    <definedName name="EXCAVATIERRA" localSheetId="6">#REF!</definedName>
    <definedName name="EXCAVATIERRA">#REF!</definedName>
    <definedName name="EXPL" localSheetId="0">#REF!</definedName>
    <definedName name="EXPL" localSheetId="3">#REF!</definedName>
    <definedName name="EXPL" localSheetId="6">#REF!</definedName>
    <definedName name="EXPL">#REF!</definedName>
    <definedName name="filtrov" localSheetId="0">#REF!</definedName>
    <definedName name="filtrov" localSheetId="3">#REF!</definedName>
    <definedName name="filtrov" localSheetId="6">#REF!</definedName>
    <definedName name="filtrov">#REF!</definedName>
    <definedName name="FORMA" localSheetId="0">#REF!</definedName>
    <definedName name="FORMA" localSheetId="3">#REF!</definedName>
    <definedName name="FORMA" localSheetId="6">#REF!</definedName>
    <definedName name="FORMA">#REF!</definedName>
    <definedName name="GALON" localSheetId="0">#REF!</definedName>
    <definedName name="GALON" localSheetId="3">#REF!</definedName>
    <definedName name="GALON" localSheetId="6">#REF!</definedName>
    <definedName name="GALON">#REF!</definedName>
    <definedName name="GEO" localSheetId="0">#REF!</definedName>
    <definedName name="GEO" localSheetId="3">#REF!</definedName>
    <definedName name="GEO" localSheetId="6">#REF!</definedName>
    <definedName name="GEO">#REF!</definedName>
    <definedName name="GRAVILLA" localSheetId="0">#REF!</definedName>
    <definedName name="GRAVILLA" localSheetId="3">#REF!</definedName>
    <definedName name="GRAVILLA" localSheetId="6">#REF!</definedName>
    <definedName name="GRAVILLA">#REF!</definedName>
    <definedName name="h" localSheetId="0">#REF!</definedName>
    <definedName name="h" localSheetId="9">#REF!</definedName>
    <definedName name="h" localSheetId="3">#REF!</definedName>
    <definedName name="h" localSheetId="6">#REF!</definedName>
    <definedName name="h">#REF!</definedName>
    <definedName name="hierro60v" localSheetId="0">#REF!</definedName>
    <definedName name="hierro60v" localSheetId="3">#REF!</definedName>
    <definedName name="hierro60v" localSheetId="6">#REF!</definedName>
    <definedName name="hierro60v">#REF!</definedName>
    <definedName name="HMEN" localSheetId="0">#REF!</definedName>
    <definedName name="HMEN" localSheetId="3">#REF!</definedName>
    <definedName name="HMEN" localSheetId="6">#REF!</definedName>
    <definedName name="HMEN">#REF!</definedName>
    <definedName name="i">#REF!</definedName>
    <definedName name="IMP" localSheetId="0">#REF!</definedName>
    <definedName name="IMP" localSheetId="3">#REF!</definedName>
    <definedName name="IMP" localSheetId="6">#REF!</definedName>
    <definedName name="IMP">#REF!</definedName>
    <definedName name="inf" localSheetId="0">#REF!</definedName>
    <definedName name="inf" localSheetId="9">#REF!</definedName>
    <definedName name="inf" localSheetId="3">#REF!</definedName>
    <definedName name="inf" localSheetId="6">#REF!</definedName>
    <definedName name="inf">#REF!</definedName>
    <definedName name="Insumos" localSheetId="9">#REF!</definedName>
    <definedName name="Insumos" localSheetId="6">#REF!</definedName>
    <definedName name="INSUMOS">#N/A</definedName>
    <definedName name="Lavamanos" localSheetId="0">[1]Insumos!#REF!</definedName>
    <definedName name="Lavamanos" localSheetId="3">[1]Insumos!#REF!</definedName>
    <definedName name="Lavamanos" localSheetId="6">[1]Insumos!#REF!</definedName>
    <definedName name="Lavamanos">[1]Insumos!#REF!</definedName>
    <definedName name="leo" localSheetId="0">#REF!</definedName>
    <definedName name="leo" localSheetId="3">#REF!</definedName>
    <definedName name="leo" localSheetId="6">#REF!</definedName>
    <definedName name="leo">#REF!</definedName>
    <definedName name="Lista" localSheetId="0">#REF!</definedName>
    <definedName name="Lista" localSheetId="9">#REF!</definedName>
    <definedName name="Lista" localSheetId="3">#REF!</definedName>
    <definedName name="Lista" localSheetId="6">#REF!</definedName>
    <definedName name="Lista">#REF!</definedName>
    <definedName name="LLANTAS" localSheetId="0">#REF!</definedName>
    <definedName name="LLANTAS" localSheetId="3">#REF!</definedName>
    <definedName name="LLANTAS" localSheetId="6">#REF!</definedName>
    <definedName name="LLANTAS">#REF!</definedName>
    <definedName name="llenov" localSheetId="0">#REF!</definedName>
    <definedName name="llenov" localSheetId="3">#REF!</definedName>
    <definedName name="llenov" localSheetId="6">#REF!</definedName>
    <definedName name="llenov">#REF!</definedName>
    <definedName name="LOCALIZACIONV" localSheetId="0">#REF!</definedName>
    <definedName name="LOCALIZACIONV" localSheetId="3">#REF!</definedName>
    <definedName name="LOCALIZACIONV" localSheetId="6">#REF!</definedName>
    <definedName name="LOCALIZACIONV">#REF!</definedName>
    <definedName name="localizamuro" localSheetId="0">#REF!</definedName>
    <definedName name="localizamuro" localSheetId="3">#REF!</definedName>
    <definedName name="localizamuro" localSheetId="6">#REF!</definedName>
    <definedName name="localizamuro">#REF!</definedName>
    <definedName name="MALLA" localSheetId="0">#REF!</definedName>
    <definedName name="MALLA" localSheetId="3">#REF!</definedName>
    <definedName name="MALLA" localSheetId="6">#REF!</definedName>
    <definedName name="MALLA">#REF!</definedName>
    <definedName name="Maquinaria">'[9]Maqui Equip'!$B$1:$B$65536</definedName>
    <definedName name="Materiales" localSheetId="0">#REF!</definedName>
    <definedName name="Materiales" localSheetId="9">#REF!</definedName>
    <definedName name="Materiales" localSheetId="3">#REF!</definedName>
    <definedName name="Materiales" localSheetId="6">#REF!</definedName>
    <definedName name="Materiales">#REF!</definedName>
    <definedName name="MDC" localSheetId="0">#REF!</definedName>
    <definedName name="MDC" localSheetId="3">#REF!</definedName>
    <definedName name="MDC" localSheetId="6">#REF!</definedName>
    <definedName name="MDC">#REF!</definedName>
    <definedName name="MEZCLADORA" localSheetId="0">#REF!</definedName>
    <definedName name="MEZCLADORA" localSheetId="3">#REF!</definedName>
    <definedName name="MEZCLADORA" localSheetId="6">#REF!</definedName>
    <definedName name="MEZCLADORA">#REF!</definedName>
    <definedName name="MOTO" localSheetId="0">#REF!</definedName>
    <definedName name="MOTO" localSheetId="3">#REF!</definedName>
    <definedName name="MOTO" localSheetId="6">#REF!</definedName>
    <definedName name="MOTO">#REF!</definedName>
    <definedName name="motosierra" localSheetId="0">[10]Mater!#REF!</definedName>
    <definedName name="motosierra" localSheetId="3">[10]Mater!#REF!</definedName>
    <definedName name="motosierra" localSheetId="6">[10]Mater!#REF!</definedName>
    <definedName name="motosierra">[10]Mater!#REF!</definedName>
    <definedName name="OFI" localSheetId="0">#REF!</definedName>
    <definedName name="OFI" localSheetId="3">#REF!</definedName>
    <definedName name="OFI" localSheetId="6">#REF!</definedName>
    <definedName name="OFI">#REF!</definedName>
    <definedName name="OTROS" localSheetId="0">#REF!</definedName>
    <definedName name="OTROS" localSheetId="3">#REF!</definedName>
    <definedName name="OTROS" localSheetId="6">#REF!</definedName>
    <definedName name="OTROS">#REF!</definedName>
    <definedName name="PARTE1" localSheetId="0">#REF!</definedName>
    <definedName name="PARTE1" localSheetId="3">#REF!</definedName>
    <definedName name="PARTE1" localSheetId="6">#REF!</definedName>
    <definedName name="PARTE1">#REF!</definedName>
    <definedName name="pavimento" localSheetId="0">#REF!</definedName>
    <definedName name="pavimento" localSheetId="3">#REF!</definedName>
    <definedName name="pavimento" localSheetId="6">#REF!</definedName>
    <definedName name="pavimento">#REF!</definedName>
    <definedName name="PREST" localSheetId="0">#REF!</definedName>
    <definedName name="PREST" localSheetId="3">#REF!</definedName>
    <definedName name="PREST" localSheetId="6">#REF!</definedName>
    <definedName name="PREST">#REF!</definedName>
    <definedName name="PROPONE" localSheetId="0">#REF!</definedName>
    <definedName name="PROPONE" localSheetId="3">#REF!</definedName>
    <definedName name="PROPONE" localSheetId="6">#REF!</definedName>
    <definedName name="PROPONE">#REF!</definedName>
    <definedName name="PUNT">[3]INSUMOS!$D$688</definedName>
    <definedName name="qdefqfqwreqwerqw" localSheetId="0">[1]Insumos!#REF!</definedName>
    <definedName name="qdefqfqwreqwerqw" localSheetId="3">[1]Insumos!#REF!</definedName>
    <definedName name="qdefqfqwreqwerqw">[1]Insumos!#REF!</definedName>
    <definedName name="RAJON" localSheetId="0">#REF!</definedName>
    <definedName name="RAJON" localSheetId="3">#REF!</definedName>
    <definedName name="RAJON" localSheetId="6">#REF!</definedName>
    <definedName name="RAJON">#REF!</definedName>
    <definedName name="RECEBO" localSheetId="0">#REF!</definedName>
    <definedName name="RECEBO" localSheetId="3">#REF!</definedName>
    <definedName name="RECEBO" localSheetId="6">#REF!</definedName>
    <definedName name="RECEBO">#REF!</definedName>
    <definedName name="RETIROV" localSheetId="0">#REF!</definedName>
    <definedName name="RETIROV" localSheetId="3">#REF!</definedName>
    <definedName name="RETIROV" localSheetId="6">#REF!</definedName>
    <definedName name="RETIROV">#REF!</definedName>
    <definedName name="RETRO" localSheetId="0">#REF!</definedName>
    <definedName name="RETRO" localSheetId="3">#REF!</definedName>
    <definedName name="RETRO" localSheetId="6">#REF!</definedName>
    <definedName name="RETRO">#REF!</definedName>
    <definedName name="SARDINELV" localSheetId="0">#REF!</definedName>
    <definedName name="SARDINELV" localSheetId="3">#REF!</definedName>
    <definedName name="SARDINELV" localSheetId="6">#REF!</definedName>
    <definedName name="SARDINELV">#REF!</definedName>
    <definedName name="soladov" localSheetId="0">#REF!</definedName>
    <definedName name="soladov" localSheetId="3">#REF!</definedName>
    <definedName name="soladov" localSheetId="6">#REF!</definedName>
    <definedName name="soladov">#REF!</definedName>
    <definedName name="SUBBASE" localSheetId="0">#REF!</definedName>
    <definedName name="SUBBASE" localSheetId="3">#REF!</definedName>
    <definedName name="SUBBASE" localSheetId="6">#REF!</definedName>
    <definedName name="SUBBASE">#REF!</definedName>
    <definedName name="TABLA">[3]INSUMOS!$D$793</definedName>
    <definedName name="TANQUE" localSheetId="0">#REF!</definedName>
    <definedName name="TANQUE" localSheetId="3">#REF!</definedName>
    <definedName name="TANQUE" localSheetId="6">#REF!</definedName>
    <definedName name="TANQUE">#REF!</definedName>
    <definedName name="TERMINADORA" localSheetId="0">#REF!</definedName>
    <definedName name="TERMINADORA" localSheetId="3">#REF!</definedName>
    <definedName name="TERMINADORA" localSheetId="6">#REF!</definedName>
    <definedName name="TERMINADORA">#REF!</definedName>
    <definedName name="TEST1" localSheetId="0">#REF!</definedName>
    <definedName name="TEST1" localSheetId="3">#REF!</definedName>
    <definedName name="TEST1" localSheetId="6">#REF!</definedName>
    <definedName name="TEST1">#REF!</definedName>
    <definedName name="TOPO" localSheetId="0">#REF!</definedName>
    <definedName name="TOPO" localSheetId="3">#REF!</definedName>
    <definedName name="TOPO" localSheetId="6">#REF!</definedName>
    <definedName name="TOPO">#REF!</definedName>
    <definedName name="TRAB">[3]INSUMOS!$D$932</definedName>
    <definedName name="TUBO" localSheetId="0">#REF!</definedName>
    <definedName name="TUBO" localSheetId="3">#REF!</definedName>
    <definedName name="TUBO" localSheetId="6">#REF!</definedName>
    <definedName name="TUBO">#REF!</definedName>
    <definedName name="Unidades">[9]Unidades!$A$1:$A$65536</definedName>
    <definedName name="UTIL" localSheetId="0">#REF!</definedName>
    <definedName name="UTIL" localSheetId="3">#REF!</definedName>
    <definedName name="UTIL" localSheetId="6">#REF!</definedName>
    <definedName name="UTIL">#REF!</definedName>
    <definedName name="VIBRA">[3]INSUMOS!$D$1404</definedName>
    <definedName name="VIBRADOR" localSheetId="0">#REF!</definedName>
    <definedName name="VIBRADOR" localSheetId="3">#REF!</definedName>
    <definedName name="VIBRADOR" localSheetId="6">#REF!</definedName>
    <definedName name="VIBRADOR">#REF!</definedName>
    <definedName name="VIBRO" localSheetId="0">#REF!</definedName>
    <definedName name="VIBRO" localSheetId="3">#REF!</definedName>
    <definedName name="VIBRO" localSheetId="6">#REF!</definedName>
    <definedName name="VIBRO">#REF!</definedName>
    <definedName name="VOLQUETA" localSheetId="0">#REF!</definedName>
    <definedName name="VOLQUETA" localSheetId="3">#REF!</definedName>
    <definedName name="VOLQUETA" localSheetId="6">#REF!</definedName>
    <definedName name="VOLQUETA">#REF!</definedName>
    <definedName name="WW">#REF!</definedName>
    <definedName name="XXXXXX">#REF!</definedName>
    <definedName name="Z" localSheetId="0">[1]Insumos!#REF!</definedName>
    <definedName name="Z" localSheetId="3">[1]Insumos!#REF!</definedName>
    <definedName name="Z" localSheetId="6">[1]Insumos!#REF!</definedName>
    <definedName name="Z">[1]Insumos!#REF!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0" i="21" l="1"/>
  <c r="E55" i="3" l="1"/>
  <c r="A112" i="3"/>
  <c r="A169" i="3" s="1"/>
  <c r="A227" i="3" s="1"/>
  <c r="A285" i="3" s="1"/>
  <c r="A113" i="3"/>
  <c r="A170" i="3" s="1"/>
  <c r="A228" i="3" s="1"/>
  <c r="A286" i="3" s="1"/>
  <c r="A111" i="3"/>
  <c r="A168" i="3" s="1"/>
  <c r="A226" i="3" s="1"/>
  <c r="A284" i="3" s="1"/>
  <c r="G45" i="20"/>
  <c r="B14" i="21" l="1"/>
  <c r="A20" i="21"/>
  <c r="A8" i="3"/>
  <c r="I52" i="20"/>
  <c r="D26" i="20"/>
  <c r="D36" i="20"/>
  <c r="G137" i="3" l="1"/>
  <c r="A183" i="3"/>
  <c r="G139" i="3"/>
  <c r="I36" i="20" l="1"/>
  <c r="A8" i="23" l="1"/>
  <c r="G252" i="3"/>
  <c r="H241" i="3"/>
  <c r="B241" i="3"/>
  <c r="A241" i="3"/>
  <c r="I50" i="20"/>
  <c r="A50" i="20"/>
  <c r="H183" i="3"/>
  <c r="B183" i="3"/>
  <c r="G44" i="20"/>
  <c r="I44" i="20" s="1"/>
  <c r="G43" i="20"/>
  <c r="I43" i="20" s="1"/>
  <c r="E170" i="3"/>
  <c r="E169" i="3"/>
  <c r="E168" i="3"/>
  <c r="A121" i="3"/>
  <c r="H70" i="3"/>
  <c r="B70" i="3"/>
  <c r="A70" i="3"/>
  <c r="A65" i="3"/>
  <c r="G27" i="20"/>
  <c r="I27" i="20" s="1"/>
  <c r="I24" i="20"/>
  <c r="A24" i="20"/>
  <c r="G19" i="20"/>
  <c r="I19" i="20" s="1"/>
  <c r="G36" i="23" l="1"/>
  <c r="A126" i="3" l="1"/>
  <c r="B126" i="3"/>
  <c r="H126" i="3"/>
  <c r="E144" i="3"/>
  <c r="G144" i="3" s="1"/>
  <c r="E145" i="3"/>
  <c r="G145" i="3" s="1"/>
  <c r="G131" i="3"/>
  <c r="G135" i="3"/>
  <c r="G136" i="3"/>
  <c r="L145" i="3"/>
  <c r="H153" i="3"/>
  <c r="E202" i="3"/>
  <c r="G202" i="3" s="1"/>
  <c r="E203" i="3"/>
  <c r="G203" i="3" s="1"/>
  <c r="G188" i="3"/>
  <c r="G193" i="3"/>
  <c r="G194" i="3"/>
  <c r="H211" i="3"/>
  <c r="H54" i="23"/>
  <c r="D19" i="21"/>
  <c r="B19" i="21"/>
  <c r="D18" i="21"/>
  <c r="B18" i="21"/>
  <c r="A18" i="21"/>
  <c r="D15" i="21"/>
  <c r="D16" i="21"/>
  <c r="B15" i="21"/>
  <c r="B16" i="21"/>
  <c r="A15" i="21"/>
  <c r="A16" i="21"/>
  <c r="I41" i="20"/>
  <c r="E19" i="2"/>
  <c r="A34" i="20"/>
  <c r="I34" i="20"/>
  <c r="G26" i="20"/>
  <c r="I26" i="20" s="1"/>
  <c r="I16" i="20"/>
  <c r="A16" i="20"/>
  <c r="F127" i="26"/>
  <c r="G127" i="26" s="1"/>
  <c r="F125" i="26"/>
  <c r="G125" i="26" s="1"/>
  <c r="H129" i="26" s="1"/>
  <c r="M121" i="26"/>
  <c r="E121" i="26" s="1"/>
  <c r="G121" i="26" s="1"/>
  <c r="M120" i="26"/>
  <c r="E120" i="26" s="1"/>
  <c r="G120" i="26" s="1"/>
  <c r="H122" i="26" s="1"/>
  <c r="H139" i="26" s="1"/>
  <c r="M70" i="26"/>
  <c r="M69" i="26"/>
  <c r="M20" i="26"/>
  <c r="E20" i="26" s="1"/>
  <c r="G20" i="26" s="1"/>
  <c r="M19" i="26"/>
  <c r="E19" i="26" s="1"/>
  <c r="G19" i="26" s="1"/>
  <c r="H21" i="26" s="1"/>
  <c r="M127" i="26"/>
  <c r="F128" i="26" s="1"/>
  <c r="G128" i="26" s="1"/>
  <c r="M126" i="26"/>
  <c r="M125" i="26"/>
  <c r="M75" i="26"/>
  <c r="M74" i="26"/>
  <c r="F76" i="26" s="1"/>
  <c r="G76" i="26" s="1"/>
  <c r="M73" i="26"/>
  <c r="F74" i="26" s="1"/>
  <c r="G74" i="26" s="1"/>
  <c r="H78" i="26" s="1"/>
  <c r="H88" i="26" s="1"/>
  <c r="M25" i="26"/>
  <c r="F27" i="26" s="1"/>
  <c r="G27" i="26" s="1"/>
  <c r="M24" i="26"/>
  <c r="F26" i="26" s="1"/>
  <c r="G26" i="26" s="1"/>
  <c r="A153" i="26"/>
  <c r="A152" i="26"/>
  <c r="A151" i="26"/>
  <c r="H137" i="26"/>
  <c r="H133" i="26"/>
  <c r="G126" i="26"/>
  <c r="A110" i="26"/>
  <c r="A102" i="26"/>
  <c r="A101" i="26"/>
  <c r="A100" i="26"/>
  <c r="H86" i="26"/>
  <c r="H82" i="26"/>
  <c r="G75" i="26"/>
  <c r="H71" i="26"/>
  <c r="A59" i="26"/>
  <c r="A52" i="26"/>
  <c r="A51" i="26"/>
  <c r="A50" i="26"/>
  <c r="H36" i="26"/>
  <c r="H32" i="26"/>
  <c r="G25" i="26"/>
  <c r="M23" i="26"/>
  <c r="F24" i="26" s="1"/>
  <c r="G24" i="26" s="1"/>
  <c r="A7" i="26"/>
  <c r="E112" i="3"/>
  <c r="E113" i="3"/>
  <c r="E111" i="3"/>
  <c r="H97" i="3"/>
  <c r="E88" i="3"/>
  <c r="G88" i="3" s="1"/>
  <c r="E56" i="3"/>
  <c r="E57" i="3"/>
  <c r="H13" i="3"/>
  <c r="B13" i="3"/>
  <c r="A13" i="3"/>
  <c r="H40" i="3"/>
  <c r="E31" i="3"/>
  <c r="G31" i="3" s="1"/>
  <c r="G24" i="3"/>
  <c r="G23" i="3"/>
  <c r="G18" i="3"/>
  <c r="E260" i="3"/>
  <c r="G260" i="3" s="1"/>
  <c r="E261" i="3"/>
  <c r="G261" i="3" s="1"/>
  <c r="G246" i="3"/>
  <c r="G251" i="3"/>
  <c r="G253" i="3"/>
  <c r="G254" i="3"/>
  <c r="G255" i="3"/>
  <c r="H269" i="3"/>
  <c r="G138" i="3"/>
  <c r="A19" i="21"/>
  <c r="B17" i="21"/>
  <c r="G18" i="20"/>
  <c r="I18" i="20" s="1"/>
  <c r="I45" i="20"/>
  <c r="I46" i="20"/>
  <c r="A41" i="20"/>
  <c r="A31" i="20"/>
  <c r="A13" i="20"/>
  <c r="A64" i="23"/>
  <c r="A63" i="23"/>
  <c r="A62" i="23"/>
  <c r="A8" i="13"/>
  <c r="A8" i="21"/>
  <c r="A8" i="20"/>
  <c r="F46" i="23"/>
  <c r="F41" i="23"/>
  <c r="F54" i="23"/>
  <c r="E15" i="23"/>
  <c r="B18" i="23" s="1"/>
  <c r="E18" i="23" s="1"/>
  <c r="A33" i="21"/>
  <c r="A32" i="21"/>
  <c r="A31" i="21"/>
  <c r="D46" i="1"/>
  <c r="G33" i="1"/>
  <c r="K32" i="1" s="1"/>
  <c r="D21" i="1"/>
  <c r="H21" i="1" s="1"/>
  <c r="K20" i="1" s="1"/>
  <c r="H19" i="1"/>
  <c r="H27" i="1"/>
  <c r="K26" i="1" s="1"/>
  <c r="D43" i="1"/>
  <c r="K43" i="1"/>
  <c r="K46" i="1"/>
  <c r="K45" i="1"/>
  <c r="D44" i="1"/>
  <c r="K44" i="1"/>
  <c r="D42" i="1"/>
  <c r="K42" i="1" s="1"/>
  <c r="G31" i="1"/>
  <c r="K40" i="1"/>
  <c r="D41" i="1"/>
  <c r="K41" i="1"/>
  <c r="D39" i="1"/>
  <c r="K39" i="1"/>
  <c r="D38" i="1"/>
  <c r="K38" i="1" s="1"/>
  <c r="D36" i="1"/>
  <c r="K36" i="1"/>
  <c r="K35" i="1" s="1"/>
  <c r="D37" i="1"/>
  <c r="K37" i="1"/>
  <c r="B12" i="1"/>
  <c r="B15" i="1"/>
  <c r="B17" i="1" s="1"/>
  <c r="B19" i="1" s="1"/>
  <c r="B21" i="1" s="1"/>
  <c r="B23" i="1" s="1"/>
  <c r="B25" i="1" s="1"/>
  <c r="B27" i="1" s="1"/>
  <c r="B29" i="1" s="1"/>
  <c r="B31" i="1" s="1"/>
  <c r="B33" i="1" s="1"/>
  <c r="F29" i="16"/>
  <c r="B29" i="16"/>
  <c r="B58" i="1"/>
  <c r="B36" i="16" s="1"/>
  <c r="A19" i="16"/>
  <c r="D24" i="16"/>
  <c r="E24" i="16"/>
  <c r="D23" i="16"/>
  <c r="B49" i="1"/>
  <c r="B47" i="1"/>
  <c r="B35" i="1"/>
  <c r="K50" i="1"/>
  <c r="K49" i="1"/>
  <c r="K48" i="1"/>
  <c r="K47" i="1" s="1"/>
  <c r="D22" i="16"/>
  <c r="E23" i="16"/>
  <c r="D58" i="15"/>
  <c r="D57" i="15"/>
  <c r="D56" i="15"/>
  <c r="A39" i="13"/>
  <c r="A38" i="13"/>
  <c r="A37" i="13"/>
  <c r="E58" i="1"/>
  <c r="F36" i="16" s="1"/>
  <c r="E57" i="1"/>
  <c r="F35" i="16" s="1"/>
  <c r="E56" i="1"/>
  <c r="F34" i="16" s="1"/>
  <c r="B57" i="1"/>
  <c r="B35" i="16" s="1"/>
  <c r="B56" i="1"/>
  <c r="B34" i="16" s="1"/>
  <c r="A57" i="15"/>
  <c r="A56" i="15"/>
  <c r="A58" i="15"/>
  <c r="A6" i="1"/>
  <c r="A7" i="15"/>
  <c r="H15" i="1"/>
  <c r="E22" i="16"/>
  <c r="F32" i="15"/>
  <c r="E13" i="16"/>
  <c r="D13" i="16"/>
  <c r="K18" i="1"/>
  <c r="D12" i="16"/>
  <c r="E12" i="16"/>
  <c r="K30" i="1"/>
  <c r="H29" i="1"/>
  <c r="K28" i="1" s="1"/>
  <c r="K24" i="1"/>
  <c r="K16" i="1"/>
  <c r="D18" i="16"/>
  <c r="G12" i="1"/>
  <c r="K11" i="1"/>
  <c r="G10" i="1"/>
  <c r="K9" i="1"/>
  <c r="D15" i="16"/>
  <c r="D11" i="16"/>
  <c r="D19" i="16"/>
  <c r="G26" i="15"/>
  <c r="G25" i="15"/>
  <c r="H40" i="15"/>
  <c r="E32" i="15"/>
  <c r="G32" i="15"/>
  <c r="E31" i="15"/>
  <c r="G31" i="15" s="1"/>
  <c r="G24" i="15"/>
  <c r="G23" i="15"/>
  <c r="H28" i="15" s="1"/>
  <c r="E15" i="16"/>
  <c r="E19" i="16"/>
  <c r="E18" i="16"/>
  <c r="F13" i="13"/>
  <c r="F30" i="13" s="1"/>
  <c r="F32" i="13" s="1"/>
  <c r="F33" i="13" s="1"/>
  <c r="E17" i="16"/>
  <c r="E14" i="16"/>
  <c r="E16" i="16"/>
  <c r="E11" i="16"/>
  <c r="K14" i="1"/>
  <c r="K22" i="1"/>
  <c r="D17" i="16"/>
  <c r="D14" i="16"/>
  <c r="D16" i="16"/>
  <c r="D7" i="16"/>
  <c r="E7" i="16"/>
  <c r="D10" i="16"/>
  <c r="E10" i="16"/>
  <c r="H28" i="3" l="1"/>
  <c r="F16" i="16"/>
  <c r="H16" i="16" s="1"/>
  <c r="H25" i="16" s="1"/>
  <c r="F17" i="16"/>
  <c r="H17" i="16" s="1"/>
  <c r="F14" i="16"/>
  <c r="G14" i="16" s="1"/>
  <c r="G143" i="26"/>
  <c r="G142" i="26"/>
  <c r="H144" i="26" s="1"/>
  <c r="H146" i="26" s="1"/>
  <c r="G92" i="26"/>
  <c r="H95" i="26"/>
  <c r="G91" i="26"/>
  <c r="H93" i="26" s="1"/>
  <c r="H38" i="26"/>
  <c r="H28" i="26"/>
  <c r="H34" i="15"/>
  <c r="G14" i="15" s="1"/>
  <c r="H20" i="15" s="1"/>
  <c r="H42" i="15" s="1"/>
  <c r="F12" i="16"/>
  <c r="G12" i="16" s="1"/>
  <c r="F24" i="16"/>
  <c r="H24" i="16" s="1"/>
  <c r="F19" i="16"/>
  <c r="H19" i="16" s="1"/>
  <c r="F23" i="16"/>
  <c r="H23" i="16" s="1"/>
  <c r="F18" i="16"/>
  <c r="H18" i="16" s="1"/>
  <c r="H257" i="3"/>
  <c r="H199" i="3"/>
  <c r="H85" i="3"/>
  <c r="H34" i="3"/>
  <c r="G17" i="3" s="1"/>
  <c r="H20" i="3" s="1"/>
  <c r="H141" i="3"/>
  <c r="H91" i="3"/>
  <c r="G74" i="3" s="1"/>
  <c r="H77" i="3" s="1"/>
  <c r="I47" i="20"/>
  <c r="E20" i="2" s="1"/>
  <c r="E19" i="21" s="1"/>
  <c r="I38" i="20"/>
  <c r="F7" i="16"/>
  <c r="G7" i="16" s="1"/>
  <c r="G25" i="16" s="1"/>
  <c r="F11" i="16"/>
  <c r="G11" i="16" s="1"/>
  <c r="F15" i="16"/>
  <c r="G15" i="16" s="1"/>
  <c r="F13" i="16"/>
  <c r="G13" i="16" s="1"/>
  <c r="F22" i="16"/>
  <c r="H22" i="16" s="1"/>
  <c r="E18" i="21"/>
  <c r="F10" i="16"/>
  <c r="G10" i="16" s="1"/>
  <c r="H263" i="3"/>
  <c r="G245" i="3" s="1"/>
  <c r="H248" i="3" s="1"/>
  <c r="H205" i="3"/>
  <c r="G187" i="3" s="1"/>
  <c r="H190" i="3" s="1"/>
  <c r="H147" i="3"/>
  <c r="I29" i="20"/>
  <c r="E16" i="2" s="1"/>
  <c r="I54" i="20"/>
  <c r="E21" i="2" s="1"/>
  <c r="I21" i="20"/>
  <c r="E15" i="2" s="1"/>
  <c r="E226" i="3"/>
  <c r="E284" i="3" s="1"/>
  <c r="E227" i="3"/>
  <c r="E285" i="3" s="1"/>
  <c r="A178" i="3"/>
  <c r="A236" i="3" s="1"/>
  <c r="E228" i="3"/>
  <c r="E286" i="3" s="1"/>
  <c r="E20" i="21" l="1"/>
  <c r="H42" i="3"/>
  <c r="G47" i="3" s="1"/>
  <c r="G130" i="3"/>
  <c r="H132" i="3" s="1"/>
  <c r="H155" i="3" s="1"/>
  <c r="F25" i="16"/>
  <c r="G47" i="15"/>
  <c r="G48" i="15"/>
  <c r="G46" i="15"/>
  <c r="H49" i="15" s="1"/>
  <c r="H51" i="15"/>
  <c r="G42" i="26"/>
  <c r="G41" i="26"/>
  <c r="H99" i="3"/>
  <c r="G103" i="3" s="1"/>
  <c r="H271" i="3"/>
  <c r="F8" i="16"/>
  <c r="H213" i="3"/>
  <c r="F20" i="16"/>
  <c r="E15" i="21"/>
  <c r="G48" i="3" l="1"/>
  <c r="G46" i="3"/>
  <c r="F15" i="2"/>
  <c r="G15" i="2" s="1"/>
  <c r="G217" i="3"/>
  <c r="F20" i="2"/>
  <c r="F19" i="21" s="1"/>
  <c r="G19" i="21" s="1"/>
  <c r="H43" i="26"/>
  <c r="H45" i="26" s="1"/>
  <c r="G275" i="3"/>
  <c r="F21" i="2"/>
  <c r="G21" i="2" s="1"/>
  <c r="G105" i="3"/>
  <c r="F16" i="2"/>
  <c r="G104" i="3"/>
  <c r="F26" i="16"/>
  <c r="G277" i="3"/>
  <c r="G276" i="3"/>
  <c r="G219" i="3"/>
  <c r="G218" i="3"/>
  <c r="E16" i="21"/>
  <c r="H49" i="3" l="1"/>
  <c r="H51" i="3" s="1"/>
  <c r="F20" i="21"/>
  <c r="G20" i="21" s="1"/>
  <c r="J20" i="21" s="1"/>
  <c r="H106" i="3"/>
  <c r="H108" i="3" s="1"/>
  <c r="J19" i="21"/>
  <c r="F15" i="21"/>
  <c r="G15" i="21" s="1"/>
  <c r="F16" i="21"/>
  <c r="G16" i="21" s="1"/>
  <c r="G16" i="2"/>
  <c r="H278" i="3"/>
  <c r="H280" i="3" s="1"/>
  <c r="G20" i="2"/>
  <c r="H220" i="3"/>
  <c r="H222" i="3" s="1"/>
  <c r="K21" i="21"/>
  <c r="L21" i="21"/>
  <c r="I15" i="21" l="1"/>
  <c r="G17" i="2"/>
  <c r="K23" i="21"/>
  <c r="K24" i="21"/>
  <c r="K22" i="21"/>
  <c r="L22" i="21"/>
  <c r="L24" i="21"/>
  <c r="L23" i="21"/>
  <c r="I16" i="21"/>
  <c r="L25" i="21" l="1"/>
  <c r="L26" i="21" s="1"/>
  <c r="K25" i="21"/>
  <c r="K26" i="21" s="1"/>
  <c r="G160" i="3" l="1"/>
  <c r="G161" i="3"/>
  <c r="G159" i="3"/>
  <c r="F19" i="2"/>
  <c r="G19" i="2" s="1"/>
  <c r="G22" i="2" s="1"/>
  <c r="G24" i="2" s="1"/>
  <c r="H162" i="3" l="1"/>
  <c r="H164" i="3" s="1"/>
  <c r="F18" i="21"/>
  <c r="G18" i="21" s="1"/>
  <c r="E32" i="23" l="1"/>
  <c r="E33" i="23"/>
  <c r="E35" i="23"/>
  <c r="E55" i="23"/>
  <c r="I18" i="21"/>
  <c r="G21" i="21"/>
  <c r="E34" i="23"/>
  <c r="G27" i="2"/>
  <c r="G26" i="2"/>
  <c r="G25" i="2"/>
  <c r="E31" i="23"/>
  <c r="G28" i="2" l="1"/>
  <c r="G29" i="2" s="1"/>
  <c r="F32" i="23"/>
  <c r="F34" i="23"/>
  <c r="F33" i="23"/>
  <c r="D45" i="23"/>
  <c r="D46" i="23" s="1"/>
  <c r="D53" i="23" s="1"/>
  <c r="F18" i="23"/>
  <c r="F30" i="23"/>
  <c r="F23" i="23"/>
  <c r="F20" i="23"/>
  <c r="F22" i="23"/>
  <c r="F24" i="23"/>
  <c r="F35" i="23"/>
  <c r="J18" i="21"/>
  <c r="J21" i="21" s="1"/>
  <c r="J24" i="21" s="1"/>
  <c r="I21" i="21"/>
  <c r="G24" i="21"/>
  <c r="G23" i="21"/>
  <c r="G22" i="21"/>
  <c r="D40" i="23"/>
  <c r="D41" i="23" s="1"/>
  <c r="D52" i="23" s="1"/>
  <c r="E27" i="23" l="1"/>
  <c r="F27" i="23" s="1"/>
  <c r="E29" i="23"/>
  <c r="F29" i="23" s="1"/>
  <c r="E26" i="23"/>
  <c r="F26" i="23" s="1"/>
  <c r="E28" i="23"/>
  <c r="F28" i="23" s="1"/>
  <c r="J23" i="21"/>
  <c r="J22" i="21"/>
  <c r="I29" i="2"/>
  <c r="I23" i="21"/>
  <c r="I22" i="21"/>
  <c r="I24" i="21"/>
  <c r="G25" i="21"/>
  <c r="G26" i="21" s="1"/>
  <c r="J25" i="21" l="1"/>
  <c r="J26" i="21" s="1"/>
  <c r="H20" i="21"/>
  <c r="H19" i="21"/>
  <c r="H15" i="21"/>
  <c r="H18" i="21"/>
  <c r="H23" i="21"/>
  <c r="H22" i="21"/>
  <c r="I25" i="21"/>
  <c r="I26" i="21" s="1"/>
  <c r="H24" i="21"/>
  <c r="H16" i="21"/>
  <c r="H25" i="21" l="1"/>
  <c r="H21" i="21"/>
  <c r="F36" i="23"/>
  <c r="E36" i="23"/>
  <c r="D51" i="23" s="1"/>
  <c r="D54" i="23" s="1"/>
  <c r="E56" i="23" s="1"/>
  <c r="E57" i="23" s="1"/>
  <c r="H26" i="21" l="1"/>
  <c r="H36" i="23"/>
</calcChain>
</file>

<file path=xl/sharedStrings.xml><?xml version="1.0" encoding="utf-8"?>
<sst xmlns="http://schemas.openxmlformats.org/spreadsheetml/2006/main" count="1033" uniqueCount="320">
  <si>
    <t>REPUBLICA DE COLOMBIA</t>
  </si>
  <si>
    <t>DEPARTAMENTO DEL PUTUMAYO</t>
  </si>
  <si>
    <t>MEMORIA DE CANTIDADES</t>
  </si>
  <si>
    <t>ITEM</t>
  </si>
  <si>
    <t xml:space="preserve">Descripción </t>
  </si>
  <si>
    <t>Und</t>
  </si>
  <si>
    <t>L (m)</t>
  </si>
  <si>
    <t>A (m)</t>
  </si>
  <si>
    <t>H(m)</t>
  </si>
  <si>
    <t>Área(m2)</t>
  </si>
  <si>
    <t>Volumen(m3)</t>
  </si>
  <si>
    <t>Kg</t>
  </si>
  <si>
    <t>Unidad</t>
  </si>
  <si>
    <t>Cantidad</t>
  </si>
  <si>
    <t>PRELIMINARES</t>
  </si>
  <si>
    <t>Localización y replanteo</t>
  </si>
  <si>
    <t>m2</t>
  </si>
  <si>
    <t>m3</t>
  </si>
  <si>
    <t>TRANSPORTE</t>
  </si>
  <si>
    <t xml:space="preserve">DESCRIPCION </t>
  </si>
  <si>
    <t>UNIDAD</t>
  </si>
  <si>
    <t>CANTIDAD</t>
  </si>
  <si>
    <t>VR/UNITARIO</t>
  </si>
  <si>
    <t>VR/TOTAL</t>
  </si>
  <si>
    <t>SUBTOTAL</t>
  </si>
  <si>
    <t>TOTAL COSTO DIRECTO OBRA</t>
  </si>
  <si>
    <t>ANALISIS DE PRECIOS UNITARIOS</t>
  </si>
  <si>
    <t>ACTIVIDAD:</t>
  </si>
  <si>
    <t xml:space="preserve">Unidad: </t>
  </si>
  <si>
    <t>I</t>
  </si>
  <si>
    <t>EQUIPO</t>
  </si>
  <si>
    <t>DESCRIPCIÓN</t>
  </si>
  <si>
    <t>Tipo</t>
  </si>
  <si>
    <t>Tarifa/Día</t>
  </si>
  <si>
    <t>Rend</t>
  </si>
  <si>
    <t>V. Unitario.</t>
  </si>
  <si>
    <t xml:space="preserve">        SUBTOTAL.</t>
  </si>
  <si>
    <t>II</t>
  </si>
  <si>
    <t>MATERIALES EN OBRA.</t>
  </si>
  <si>
    <t>Cant.</t>
  </si>
  <si>
    <t>Precio Unit.</t>
  </si>
  <si>
    <t xml:space="preserve"> </t>
  </si>
  <si>
    <t xml:space="preserve">        SUBTOTAL </t>
  </si>
  <si>
    <t>III</t>
  </si>
  <si>
    <t>MANO DE OBRA.</t>
  </si>
  <si>
    <t>CAN</t>
  </si>
  <si>
    <t>Jornal</t>
  </si>
  <si>
    <t>Prestac</t>
  </si>
  <si>
    <t>Jornal Total</t>
  </si>
  <si>
    <t>Rend.</t>
  </si>
  <si>
    <t xml:space="preserve">        SUBTOTAL</t>
  </si>
  <si>
    <t>IV</t>
  </si>
  <si>
    <t>Prec.Unitario</t>
  </si>
  <si>
    <t>Vr. Unitario</t>
  </si>
  <si>
    <t>TOTAL COSTOS DIRECTOS.</t>
  </si>
  <si>
    <t>V</t>
  </si>
  <si>
    <t>COSTOS INDIRECTOS.</t>
  </si>
  <si>
    <t>%</t>
  </si>
  <si>
    <t xml:space="preserve">   COSTO DIRECTO</t>
  </si>
  <si>
    <t xml:space="preserve">    V. UNITARIO</t>
  </si>
  <si>
    <t>ADMINISTRACIÓN</t>
  </si>
  <si>
    <t>IMPREVISTOS</t>
  </si>
  <si>
    <t>UTILIDAD</t>
  </si>
  <si>
    <t>TOTAL COSTOS INDIRECTOS</t>
  </si>
  <si>
    <t>TOTAL PRECIO UNITARIO.</t>
  </si>
  <si>
    <t>MUNICIPIO DE SAN MIGUEL</t>
  </si>
  <si>
    <t>Localizacion y replanteo</t>
  </si>
  <si>
    <t>Herremienta menor</t>
  </si>
  <si>
    <t>Oficial</t>
  </si>
  <si>
    <t>Ayudante</t>
  </si>
  <si>
    <t>SEMANA 1</t>
  </si>
  <si>
    <t>SEMANA 2</t>
  </si>
  <si>
    <t>TOTAL</t>
  </si>
  <si>
    <t>Excavacion manual</t>
  </si>
  <si>
    <t>COSTO TOTAL OBRA</t>
  </si>
  <si>
    <t>ml</t>
  </si>
  <si>
    <t>und</t>
  </si>
  <si>
    <t>FACTOR PRESTACIONAL</t>
  </si>
  <si>
    <t>A.</t>
  </si>
  <si>
    <t>VALOR BASE (Sueldo)</t>
  </si>
  <si>
    <t>B.</t>
  </si>
  <si>
    <t>PRESTACIONES SOCIALES</t>
  </si>
  <si>
    <t>a.</t>
  </si>
  <si>
    <t xml:space="preserve">Cesantías  </t>
  </si>
  <si>
    <t>(A/12)</t>
  </si>
  <si>
    <t>b.</t>
  </si>
  <si>
    <t>Intereses sobre cesantía</t>
  </si>
  <si>
    <t>(a*12%)</t>
  </si>
  <si>
    <t>c.</t>
  </si>
  <si>
    <t>Prima anual</t>
  </si>
  <si>
    <t>d.</t>
  </si>
  <si>
    <t>Caja de Compensación</t>
  </si>
  <si>
    <t>% A</t>
  </si>
  <si>
    <t>e.</t>
  </si>
  <si>
    <t>SENA</t>
  </si>
  <si>
    <t>f.</t>
  </si>
  <si>
    <t>ICBF</t>
  </si>
  <si>
    <t>g.</t>
  </si>
  <si>
    <t>Sistema de seguridad social : Salud</t>
  </si>
  <si>
    <t>h.</t>
  </si>
  <si>
    <t>Sistema de seguridad social : Pensiòn</t>
  </si>
  <si>
    <t>i.</t>
  </si>
  <si>
    <t>ARP personal en obra</t>
  </si>
  <si>
    <t>j.</t>
  </si>
  <si>
    <t>ARP personal en oficina</t>
  </si>
  <si>
    <t>k.</t>
  </si>
  <si>
    <t>Vacaciones</t>
  </si>
  <si>
    <t>(15/360*100)</t>
  </si>
  <si>
    <t>l.</t>
  </si>
  <si>
    <t>Ausencias justificadas</t>
  </si>
  <si>
    <t>(3/360*100)</t>
  </si>
  <si>
    <t>m.</t>
  </si>
  <si>
    <t>Auxilio de transporte personal sueldo  &lt;  $ 923.000</t>
  </si>
  <si>
    <t>n.</t>
  </si>
  <si>
    <t>Indemnizaciones</t>
  </si>
  <si>
    <t>o</t>
  </si>
  <si>
    <t xml:space="preserve">Subsidio familiar </t>
  </si>
  <si>
    <t>p</t>
  </si>
  <si>
    <t xml:space="preserve">Bonoficación rereación </t>
  </si>
  <si>
    <t>C.</t>
  </si>
  <si>
    <t>SUMA (A + B)</t>
  </si>
  <si>
    <t>E.</t>
  </si>
  <si>
    <t xml:space="preserve">FACTOR PRESTACIONAL </t>
  </si>
  <si>
    <t>FACTOR PRESTACIONAL FINAL</t>
  </si>
  <si>
    <t>Seguridad Industrial</t>
  </si>
  <si>
    <t>TOTAL ADMINISTRACION</t>
  </si>
  <si>
    <t>TOTAL UTILIDAD</t>
  </si>
  <si>
    <t>Subbase compactada con material de selección</t>
  </si>
  <si>
    <t>Demolicion placa existente</t>
  </si>
  <si>
    <t>Retiro tuberia existente en mal estado</t>
  </si>
  <si>
    <t>kg</t>
  </si>
  <si>
    <t>Suministro y aplicación de curador tipo antisol para concreto rigido</t>
  </si>
  <si>
    <t>Cemento gris</t>
  </si>
  <si>
    <t>Arena</t>
  </si>
  <si>
    <t>Triturado</t>
  </si>
  <si>
    <t>Agua</t>
  </si>
  <si>
    <t>lt</t>
  </si>
  <si>
    <t>ESTRUCTURA SANITARIA Y DE PAVIMENTO</t>
  </si>
  <si>
    <t>Retiro de material de excavacion y demolicion</t>
  </si>
  <si>
    <t>Instalacion de tuberia 8" (incluye encamado en arena)</t>
  </si>
  <si>
    <t>Relleno con material de sitio seleccionado, compactado</t>
  </si>
  <si>
    <t>Relleno con material grudo de rio</t>
  </si>
  <si>
    <t>Relleno con material de excavación seleccionado, compactado</t>
  </si>
  <si>
    <t>Kit silla Yee 6" a  8"</t>
  </si>
  <si>
    <t>Placa en concreto rigido de 3.8 MPA, e=20 cm incluye juntas de expansion y sellado</t>
  </si>
  <si>
    <t>TOTAL A.I.U</t>
  </si>
  <si>
    <t>ALCANTARILLADO PLUVIAL</t>
  </si>
  <si>
    <t>Limpieza y sondeo de tuberia 8 y 10"</t>
  </si>
  <si>
    <t xml:space="preserve">Limpieza de camras de inspeción </t>
  </si>
  <si>
    <t>Limpieza de sumideros y cajillas (inclulle tuberia sumideros a tubo principal)</t>
  </si>
  <si>
    <t>REHABILITACIÓN DEL SISTEMA DE ALCANTARILLADO SANITARIO Y PLUVIAL - CALLE 5, CARRERA 3, CALLE 4, CALLE 3, CARRERA 2, CARRERA 5 , CARRERA 1ª  CARRERA 6- EN EL CORREGIMIENTO DE PUERTO COLÓN MUNICIPIO DE SAN MIGUEL DEPARTAMENTO DEL PUTUMAYO</t>
  </si>
  <si>
    <t>CRONOGRAMA DE ACTIVIDADES</t>
  </si>
  <si>
    <t>SAN MIGUEL - PUTUMAYO</t>
  </si>
  <si>
    <t>Vo.Bo.</t>
  </si>
  <si>
    <t>ALABORÓ:</t>
  </si>
  <si>
    <t>Relleno con material crudo de rio</t>
  </si>
  <si>
    <t>Calle 5 entre crr 5 a crr 3.</t>
  </si>
  <si>
    <t>Calle 3 entre crr 2 y crr 3</t>
  </si>
  <si>
    <t>Sector la Vega calle 3 entre crr 2 y 3</t>
  </si>
  <si>
    <t>APU-BASICO</t>
  </si>
  <si>
    <t>Instalacion de tuberia 6" (incluye encamado en arena)</t>
  </si>
  <si>
    <t>Kit silla tee 6" a  12"</t>
  </si>
  <si>
    <t>ALCANTARILLADO SANITARIO Y PLUVIAL</t>
  </si>
  <si>
    <t>DESCRIPCION</t>
  </si>
  <si>
    <t xml:space="preserve"> Concreto MR 21 Mpa</t>
  </si>
  <si>
    <t>Placa en concreto rigido de 21 MPA, e=20 cm incluye juntas de expansion y sellado</t>
  </si>
  <si>
    <t>Carrera 3 sector de la entrada hasta estación de policia.</t>
  </si>
  <si>
    <t>Carrera 3 entre calles 5 y 3.</t>
  </si>
  <si>
    <t>Carrera 2 al descole del aserradero</t>
  </si>
  <si>
    <t>Calle 4</t>
  </si>
  <si>
    <t>carrera 2</t>
  </si>
  <si>
    <t>Calle 3 entre crr 2 y crr 3 pluvial</t>
  </si>
  <si>
    <t>Carrera 2 al descole del aserradero pluvial</t>
  </si>
  <si>
    <t>Carrera 3 - calle 3 y calle 4 sumideros</t>
  </si>
  <si>
    <t>Carreras  2,3 Y 4,  Calles 3, 4 Y 5</t>
  </si>
  <si>
    <t>Carrera 2, 3 - calle 3 y 4 tuberia sumideros</t>
  </si>
  <si>
    <t>SECRETARIO DE PLANEACION Y OBRAS PUBLICAS</t>
  </si>
  <si>
    <t>ADMINISTRACION</t>
  </si>
  <si>
    <t>FACTOR PRESTACIONAL PARA PERSONAL PROFESIONAL, ADMINISTRATIVO Y TECNICO</t>
  </si>
  <si>
    <t xml:space="preserve">Observación </t>
  </si>
  <si>
    <t xml:space="preserve">Direccion </t>
  </si>
  <si>
    <t>Cant</t>
  </si>
  <si>
    <t>Largo</t>
  </si>
  <si>
    <t>Ancho</t>
  </si>
  <si>
    <t>Alto</t>
  </si>
  <si>
    <t>Área</t>
  </si>
  <si>
    <t>Volumen</t>
  </si>
  <si>
    <t>Total</t>
  </si>
  <si>
    <t>OBREROS</t>
  </si>
  <si>
    <t>CRONOGRAMA</t>
  </si>
  <si>
    <t>V/UNITARIO</t>
  </si>
  <si>
    <t>V/TOTAL</t>
  </si>
  <si>
    <t>SECRETARIA DE PLANEACIÓN Y OBRA PÚBLICAS</t>
  </si>
  <si>
    <t>CÓDIGO</t>
  </si>
  <si>
    <t>SERIE Y SUBSERIE</t>
  </si>
  <si>
    <t>NIT. 800252922-2</t>
  </si>
  <si>
    <t>Modelo Integrado de Planeación y Gestión</t>
  </si>
  <si>
    <t>VERSIÓN</t>
  </si>
  <si>
    <t>PRESUPUESTO</t>
  </si>
  <si>
    <t>FECHA DEL FORMATO</t>
  </si>
  <si>
    <t>D/M/A</t>
  </si>
  <si>
    <t>DESGLOCE A.I.U</t>
  </si>
  <si>
    <t>SALARIO PERSONAL ADMINISTRATIVO DE OBRA</t>
  </si>
  <si>
    <t>PERSONAL</t>
  </si>
  <si>
    <t xml:space="preserve">SUELDO BASICO </t>
  </si>
  <si>
    <t>SUELDO + PRESTACIONES</t>
  </si>
  <si>
    <t>Residente de Obra</t>
  </si>
  <si>
    <t xml:space="preserve">1. ADMINISTRACION </t>
  </si>
  <si>
    <t>1.1. PERSONAL ADMINISTRATIVO DE OBRA</t>
  </si>
  <si>
    <t>DEDICACION</t>
  </si>
  <si>
    <t>MESES</t>
  </si>
  <si>
    <t>VALOR PARCIAL</t>
  </si>
  <si>
    <t>% SOBRE COSTO DIRECTO</t>
  </si>
  <si>
    <t xml:space="preserve">1.2. COSTOS DEL PROCESO </t>
  </si>
  <si>
    <t>Polizas y legalizacion del contrato</t>
  </si>
  <si>
    <t>1.3. GASTOS DE OBRA</t>
  </si>
  <si>
    <t>2. IMPREVISTOS</t>
  </si>
  <si>
    <t>PORCENTAJE</t>
  </si>
  <si>
    <t>3. UTILIDAD</t>
  </si>
  <si>
    <t>TOTAL COSTO DIRECTO A.I.U</t>
  </si>
  <si>
    <t>RESUMEN</t>
  </si>
  <si>
    <t xml:space="preserve">ADMINISTRACION </t>
  </si>
  <si>
    <t>COSTO DIRECTO</t>
  </si>
  <si>
    <t>SECRETARIA DE PLANEACIÓN Y OBRAS PÚBLICAS</t>
  </si>
  <si>
    <t>CODIGO</t>
  </si>
  <si>
    <t xml:space="preserve">PRESUPUESTO GENERAL </t>
  </si>
  <si>
    <t>TOTAL COSTO INDIRECTO OBRA</t>
  </si>
  <si>
    <t>TOTAL OBRA</t>
  </si>
  <si>
    <t>ARQ. GUILLERMO YAMID VALLEJOS BENAVIDES</t>
  </si>
  <si>
    <t>subtotal</t>
  </si>
  <si>
    <t>M3</t>
  </si>
  <si>
    <t>OFICIAL</t>
  </si>
  <si>
    <t>ITEM: 2,1</t>
  </si>
  <si>
    <t>ITEM: 2,2</t>
  </si>
  <si>
    <t>M2</t>
  </si>
  <si>
    <t>valor maximo de la minima cuantia</t>
  </si>
  <si>
    <t>A</t>
  </si>
  <si>
    <t>U</t>
  </si>
  <si>
    <t>total obra</t>
  </si>
  <si>
    <t>tot AIU</t>
  </si>
  <si>
    <t>KG</t>
  </si>
  <si>
    <t>ITEM: 2,3</t>
  </si>
  <si>
    <t>total</t>
  </si>
  <si>
    <t>APOYO PROFESIONAL SPOPM</t>
  </si>
  <si>
    <t>BASICO I</t>
  </si>
  <si>
    <t xml:space="preserve">CONCRETO 3000 PSI </t>
  </si>
  <si>
    <t>HERRAMIENTA Y EQUIPO</t>
  </si>
  <si>
    <t>Mezcladora</t>
  </si>
  <si>
    <t>Hora</t>
  </si>
  <si>
    <t>Vibrador</t>
  </si>
  <si>
    <t>CEMENTO GRIS TIPO 1</t>
  </si>
  <si>
    <t>AGUA</t>
  </si>
  <si>
    <t>LTS</t>
  </si>
  <si>
    <t>ARENA DE RIO</t>
  </si>
  <si>
    <t>TRITURADO</t>
  </si>
  <si>
    <t>H-H</t>
  </si>
  <si>
    <t>BASICO II</t>
  </si>
  <si>
    <t>MORTERO 1:3</t>
  </si>
  <si>
    <t>BASICO III</t>
  </si>
  <si>
    <t xml:space="preserve">CONCRETO 2500 PSI </t>
  </si>
  <si>
    <t>andamio</t>
  </si>
  <si>
    <t>RETIRO Y DISPOSICION DE MATERIAL SOBRANTE</t>
  </si>
  <si>
    <t>DESMONTE DE CUBIERTA EXISTENTE</t>
  </si>
  <si>
    <t>Andamio multidireccional de carga certificado T-4m</t>
  </si>
  <si>
    <t>ARENA</t>
  </si>
  <si>
    <t>CEMENTO</t>
  </si>
  <si>
    <t xml:space="preserve">COSTOS PUESTO EN ZONA RURAL DISPERSA </t>
  </si>
  <si>
    <t>bulto 50Kg, con transpr</t>
  </si>
  <si>
    <t>viaje de volqueta 6 M3</t>
  </si>
  <si>
    <t>TROMPO</t>
  </si>
  <si>
    <t>capa 2 bultos dia</t>
  </si>
  <si>
    <t>VIBRO</t>
  </si>
  <si>
    <t>alquiler dia</t>
  </si>
  <si>
    <t>ALQUILER EQUIPOS</t>
  </si>
  <si>
    <t>SEMANA 3</t>
  </si>
  <si>
    <t>SEMANA 4</t>
  </si>
  <si>
    <t xml:space="preserve">BASICOS ZONA URBANO </t>
  </si>
  <si>
    <t>Edicion de informes Fotografias</t>
  </si>
  <si>
    <t>1.3 IMPUESTOS DE OBRA</t>
  </si>
  <si>
    <t>Retefuente</t>
  </si>
  <si>
    <t>Impuesto de Timbre nacional (Decreto 175 de 2025)</t>
  </si>
  <si>
    <t>Servicios (reteica) contratos de obra, y consultorias</t>
  </si>
  <si>
    <t xml:space="preserve">Contribucion ciudadana </t>
  </si>
  <si>
    <t>ESTAMPILLAS</t>
  </si>
  <si>
    <t>Estampilla para el bienestar del adulto mayor</t>
  </si>
  <si>
    <t xml:space="preserve">estampilla procultura </t>
  </si>
  <si>
    <t>estampilla para justicia</t>
  </si>
  <si>
    <t>COSTO INDIRECTO (32%)</t>
  </si>
  <si>
    <t>ML</t>
  </si>
  <si>
    <t>lb</t>
  </si>
  <si>
    <t>Herramienta menor</t>
  </si>
  <si>
    <t>ESTRUCTURA METALICA Y CUBIERTA</t>
  </si>
  <si>
    <t xml:space="preserve">Teja duratecho 6,00 * 1,05m </t>
  </si>
  <si>
    <t>Tornillos autoperforantes 2" Hexagonal</t>
  </si>
  <si>
    <t>Tornillo autoperforante 2" Hexagonal</t>
  </si>
  <si>
    <t>Correas</t>
  </si>
  <si>
    <t>Nylon</t>
  </si>
  <si>
    <t>Puntillas</t>
  </si>
  <si>
    <t>thinner</t>
  </si>
  <si>
    <t>gl</t>
  </si>
  <si>
    <t>día</t>
  </si>
  <si>
    <t>carrete</t>
  </si>
  <si>
    <t>ITEM: 1,1</t>
  </si>
  <si>
    <t>ITEM: 1,2</t>
  </si>
  <si>
    <t>dia</t>
  </si>
  <si>
    <t>tasa prodeporte contrato de menor cuantia desde 28 a 280 SMMLV</t>
  </si>
  <si>
    <t>FIC Sena</t>
  </si>
  <si>
    <t>Comunicaciones</t>
  </si>
  <si>
    <t xml:space="preserve">SUMINISTRO, PINTURA E INSTALACION DE CORREAS </t>
  </si>
  <si>
    <t>perfil en G 80*40 1,5mm</t>
  </si>
  <si>
    <t>pintura esmalte con anticorrosivo 2 en 1</t>
  </si>
  <si>
    <t>ADECUACION DE LA INFRAESTRUCTURA DE LA PLANTA DE BENEFICIO ANIMAL MEDIANTE EL MEJORAMIENTO DE CUBIERTA EN EL MUNICIPIO DE SAN MIGUEL PUTUMAYO</t>
  </si>
  <si>
    <t>Costado norte</t>
  </si>
  <si>
    <t>Costado sur</t>
  </si>
  <si>
    <t>Caballete</t>
  </si>
  <si>
    <t>Corrales</t>
  </si>
  <si>
    <t>ING ELEAZAR MASAH MORA ALDANA</t>
  </si>
  <si>
    <t>SUMINISTRO E INSTALACION DE TEJA TRAPEZOIDAL CAL.28</t>
  </si>
  <si>
    <t>CABALLETE EN LÁMINA GALVANIZADA CAL.28</t>
  </si>
  <si>
    <t>Caballete 0,40x3,00m Cal.28 0,45mm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</si>
</sst>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69" formatCode="_(&quot;$&quot;\ * #,##0.000_);_(&quot;$&quot;\ * \(#,##0.000\);_(&quot;$&quot;\ * &quot;-&quot;??_);_(@_)"/>
    <numFmt numFmtId="170" formatCode="_ &quot;$&quot;\ * #,##0.00_ ;_ &quot;$&quot;\ * \-#,##0.00_ ;_ &quot;$&quot;\ * &quot;-&quot;??_ ;_ @_ "/>
    <numFmt numFmtId="171" formatCode="_ &quot;$&quot;\ * #,##0_ ;_ &quot;$&quot;\ * \-#,##0_ ;_ &quot;$&quot;\ * &quot;-&quot;??_ ;_ @_ "/>
    <numFmt numFmtId="172" formatCode="#,##0.0"/>
    <numFmt numFmtId="173" formatCode="_ &quot;$&quot;\ * #,##0_ ;_ &quot;$&quot;\ * \-#,##0_ ;_ &quot;$&quot;\ * &quot;-&quot;_ ;_ @_ "/>
    <numFmt numFmtId="174" formatCode="_(&quot;C$&quot;* #,##0.00_);_(&quot;C$&quot;* \(#,##0.00\);_(&quot;C$&quot;* &quot;-&quot;??_);_(@_)"/>
    <numFmt numFmtId="175" formatCode="0.000"/>
    <numFmt numFmtId="176" formatCode="0.0"/>
    <numFmt numFmtId="177" formatCode="_-[$$-240A]\ * #,##0.00_ ;_-[$$-240A]\ * \-#,##0.00\ ;_-[$$-240A]\ * &quot;-&quot;??_ ;_-@_ "/>
    <numFmt numFmtId="178" formatCode="_(&quot;$&quot;\ * #,##0_);_(&quot;$&quot;\ * \(#,##0\);_(&quot;$&quot;\ * &quot;-&quot;??_);_(@_)"/>
    <numFmt numFmtId="179" formatCode="_-[$$-240A]\ * #,##0_ ;_-[$$-240A]\ * \-#,##0\ ;_-[$$-240A]\ * &quot;-&quot;??_ ;_-@_ "/>
    <numFmt numFmtId="180" formatCode="_-&quot;$&quot;\ * #,##0_-;\-&quot;$&quot;\ * #,##0_-;_-&quot;$&quot;\ * &quot;-&quot;??_-;_-@_-"/>
    <numFmt numFmtId="181" formatCode="0.0%"/>
    <numFmt numFmtId="182" formatCode="_-&quot;$&quot;* #,##0_-;\-&quot;$&quot;* #,##0_-;_-&quot;$&quot;* &quot;-&quot;??_-;_-@_-"/>
    <numFmt numFmtId="183" formatCode="0.000000%"/>
    <numFmt numFmtId="184" formatCode="_-&quot;$&quot;* #,##0.0_-;\-&quot;$&quot;* #,##0.0_-;_-&quot;$&quot;* &quot;-&quot;_-;_-@_-"/>
    <numFmt numFmtId="185" formatCode="#,##0.000"/>
    <numFmt numFmtId="186" formatCode="_-&quot;$&quot;\ * #,##0.0_-;\-&quot;$&quot;\ * #,##0.0_-;_-&quot;$&quot;\ * &quot;-&quot;??_-;_-@_-"/>
    <numFmt numFmtId="187" formatCode="_-&quot;$&quot;* #,##0.00_-;\-&quot;$&quot;* #,##0.00_-;_-&quot;$&quot;* &quot;-&quot;??_-;_-@_-"/>
    <numFmt numFmtId="188" formatCode="_-[$$-240A]\ * #,##0.00_-;\-[$$-240A]\ * #,##0.00_-;_-[$$-240A]\ * &quot;-&quot;??_-;_-@_-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4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1"/>
      <name val="Calibri"/>
      <family val="2"/>
      <scheme val="minor"/>
    </font>
    <font>
      <sz val="9"/>
      <name val="Arial Narrow"/>
      <family val="2"/>
    </font>
    <font>
      <sz val="1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1"/>
      <name val="Arial Narrow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 Narrow"/>
      <family val="2"/>
    </font>
    <font>
      <b/>
      <i/>
      <sz val="10"/>
      <name val="Arial Narrow"/>
      <family val="2"/>
    </font>
    <font>
      <sz val="10"/>
      <color rgb="FFFF0000"/>
      <name val="Arial Narrow"/>
      <family val="2"/>
    </font>
    <font>
      <sz val="11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FF0000"/>
      <name val="Arial Narrow"/>
      <family val="2"/>
    </font>
    <font>
      <b/>
      <i/>
      <sz val="11"/>
      <color theme="1"/>
      <name val="Arial Narrow"/>
      <family val="2"/>
    </font>
    <font>
      <b/>
      <sz val="14"/>
      <name val="Arial Narrow"/>
      <family val="2"/>
    </font>
    <font>
      <b/>
      <i/>
      <sz val="11"/>
      <name val="Arial Narrow"/>
      <family val="2"/>
    </font>
    <font>
      <sz val="10"/>
      <color indexed="8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6" fillId="0" borderId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0" fontId="30" fillId="0" borderId="0"/>
    <xf numFmtId="44" fontId="30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0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31">
    <xf numFmtId="0" fontId="0" fillId="0" borderId="0" xfId="0"/>
    <xf numFmtId="0" fontId="2" fillId="2" borderId="0" xfId="0" applyFont="1" applyFill="1"/>
    <xf numFmtId="0" fontId="0" fillId="3" borderId="0" xfId="0" applyFill="1"/>
    <xf numFmtId="165" fontId="7" fillId="0" borderId="0" xfId="3" applyFont="1" applyFill="1"/>
    <xf numFmtId="0" fontId="8" fillId="0" borderId="0" xfId="0" applyFont="1"/>
    <xf numFmtId="165" fontId="7" fillId="0" borderId="0" xfId="3" applyFont="1"/>
    <xf numFmtId="169" fontId="8" fillId="0" borderId="0" xfId="0" applyNumberFormat="1" applyFont="1"/>
    <xf numFmtId="0" fontId="7" fillId="0" borderId="0" xfId="0" applyFont="1"/>
    <xf numFmtId="165" fontId="8" fillId="0" borderId="0" xfId="0" applyNumberFormat="1" applyFont="1"/>
    <xf numFmtId="0" fontId="13" fillId="0" borderId="0" xfId="0" applyFont="1"/>
    <xf numFmtId="165" fontId="9" fillId="0" borderId="0" xfId="3" applyFont="1"/>
    <xf numFmtId="165" fontId="9" fillId="0" borderId="0" xfId="0" applyNumberFormat="1" applyFont="1"/>
    <xf numFmtId="165" fontId="7" fillId="0" borderId="0" xfId="0" applyNumberFormat="1" applyFont="1"/>
    <xf numFmtId="164" fontId="8" fillId="0" borderId="0" xfId="1" applyFont="1" applyFill="1"/>
    <xf numFmtId="0" fontId="3" fillId="0" borderId="0" xfId="2"/>
    <xf numFmtId="2" fontId="3" fillId="0" borderId="0" xfId="2" applyNumberFormat="1"/>
    <xf numFmtId="0" fontId="3" fillId="0" borderId="0" xfId="2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wrapText="1"/>
    </xf>
    <xf numFmtId="0" fontId="21" fillId="0" borderId="0" xfId="0" applyFont="1"/>
    <xf numFmtId="0" fontId="17" fillId="0" borderId="6" xfId="0" applyFont="1" applyBorder="1" applyAlignment="1">
      <alignment vertical="center"/>
    </xf>
    <xf numFmtId="0" fontId="17" fillId="0" borderId="7" xfId="0" applyFont="1" applyBorder="1" applyAlignment="1">
      <alignment wrapText="1"/>
    </xf>
    <xf numFmtId="0" fontId="17" fillId="0" borderId="0" xfId="0" applyFont="1"/>
    <xf numFmtId="0" fontId="18" fillId="0" borderId="4" xfId="0" applyFont="1" applyBorder="1" applyAlignment="1">
      <alignment vertical="center"/>
    </xf>
    <xf numFmtId="0" fontId="18" fillId="0" borderId="0" xfId="0" applyFont="1" applyAlignment="1">
      <alignment wrapText="1"/>
    </xf>
    <xf numFmtId="0" fontId="18" fillId="0" borderId="0" xfId="0" applyFont="1"/>
    <xf numFmtId="0" fontId="17" fillId="0" borderId="0" xfId="0" applyFont="1" applyAlignment="1">
      <alignment wrapText="1"/>
    </xf>
    <xf numFmtId="175" fontId="18" fillId="0" borderId="0" xfId="0" applyNumberFormat="1" applyFont="1"/>
    <xf numFmtId="2" fontId="18" fillId="0" borderId="4" xfId="0" applyNumberFormat="1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18" fillId="0" borderId="0" xfId="0" applyNumberFormat="1" applyFont="1" applyAlignment="1">
      <alignment wrapText="1"/>
    </xf>
    <xf numFmtId="0" fontId="18" fillId="0" borderId="5" xfId="0" applyFont="1" applyBorder="1"/>
    <xf numFmtId="0" fontId="10" fillId="0" borderId="0" xfId="0" applyFont="1"/>
    <xf numFmtId="0" fontId="18" fillId="0" borderId="9" xfId="0" applyFont="1" applyBorder="1" applyAlignment="1">
      <alignment vertical="center"/>
    </xf>
    <xf numFmtId="0" fontId="18" fillId="0" borderId="10" xfId="0" applyFont="1" applyBorder="1"/>
    <xf numFmtId="0" fontId="18" fillId="0" borderId="11" xfId="0" applyFont="1" applyBorder="1"/>
    <xf numFmtId="0" fontId="21" fillId="0" borderId="4" xfId="0" applyFont="1" applyBorder="1" applyAlignment="1">
      <alignment vertical="center"/>
    </xf>
    <xf numFmtId="0" fontId="21" fillId="0" borderId="5" xfId="0" applyFont="1" applyBorder="1"/>
    <xf numFmtId="0" fontId="18" fillId="0" borderId="21" xfId="0" applyFont="1" applyBorder="1" applyAlignment="1">
      <alignment wrapText="1"/>
    </xf>
    <xf numFmtId="0" fontId="18" fillId="0" borderId="21" xfId="0" applyFont="1" applyBorder="1"/>
    <xf numFmtId="175" fontId="18" fillId="0" borderId="21" xfId="0" applyNumberFormat="1" applyFont="1" applyBorder="1"/>
    <xf numFmtId="0" fontId="18" fillId="0" borderId="10" xfId="0" applyFont="1" applyBorder="1" applyAlignment="1">
      <alignment vertical="center"/>
    </xf>
    <xf numFmtId="2" fontId="18" fillId="0" borderId="0" xfId="0" applyNumberFormat="1" applyFont="1" applyAlignment="1">
      <alignment horizontal="center"/>
    </xf>
    <xf numFmtId="2" fontId="17" fillId="0" borderId="5" xfId="0" applyNumberFormat="1" applyFont="1" applyBorder="1" applyAlignment="1">
      <alignment horizontal="center"/>
    </xf>
    <xf numFmtId="2" fontId="18" fillId="0" borderId="0" xfId="13" applyNumberFormat="1" applyFont="1" applyFill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5" borderId="0" xfId="0" applyFont="1" applyFill="1" applyAlignment="1">
      <alignment horizontal="left" vertical="center" wrapText="1"/>
    </xf>
    <xf numFmtId="0" fontId="17" fillId="5" borderId="0" xfId="0" applyFont="1" applyFill="1" applyAlignment="1">
      <alignment vertical="center"/>
    </xf>
    <xf numFmtId="0" fontId="17" fillId="5" borderId="5" xfId="0" applyFont="1" applyFill="1" applyBorder="1" applyAlignment="1">
      <alignment vertic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2" fontId="18" fillId="0" borderId="0" xfId="0" applyNumberFormat="1" applyFont="1" applyAlignment="1">
      <alignment horizontal="center" vertical="center"/>
    </xf>
    <xf numFmtId="2" fontId="17" fillId="0" borderId="5" xfId="0" applyNumberFormat="1" applyFont="1" applyBorder="1" applyAlignment="1">
      <alignment horizontal="center" vertical="center"/>
    </xf>
    <xf numFmtId="0" fontId="17" fillId="5" borderId="4" xfId="0" applyFont="1" applyFill="1" applyBorder="1" applyAlignment="1">
      <alignment vertical="center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>
      <alignment horizontal="center" vertical="center"/>
    </xf>
    <xf numFmtId="170" fontId="20" fillId="4" borderId="0" xfId="3" applyNumberFormat="1" applyFont="1" applyFill="1" applyBorder="1" applyAlignment="1">
      <alignment horizontal="center" vertical="center"/>
    </xf>
    <xf numFmtId="170" fontId="20" fillId="4" borderId="0" xfId="3" applyNumberFormat="1" applyFont="1" applyFill="1" applyBorder="1" applyAlignment="1">
      <alignment horizontal="left" vertical="center"/>
    </xf>
    <xf numFmtId="0" fontId="3" fillId="4" borderId="0" xfId="2" applyFill="1"/>
    <xf numFmtId="0" fontId="3" fillId="4" borderId="10" xfId="2" applyFill="1" applyBorder="1"/>
    <xf numFmtId="0" fontId="3" fillId="4" borderId="4" xfId="2" applyFill="1" applyBorder="1"/>
    <xf numFmtId="0" fontId="3" fillId="4" borderId="5" xfId="2" applyFill="1" applyBorder="1"/>
    <xf numFmtId="0" fontId="10" fillId="4" borderId="0" xfId="2" applyFont="1" applyFill="1"/>
    <xf numFmtId="0" fontId="10" fillId="4" borderId="5" xfId="2" applyFont="1" applyFill="1" applyBorder="1"/>
    <xf numFmtId="0" fontId="3" fillId="4" borderId="24" xfId="2" applyFill="1" applyBorder="1"/>
    <xf numFmtId="0" fontId="3" fillId="4" borderId="25" xfId="2" applyFill="1" applyBorder="1"/>
    <xf numFmtId="4" fontId="3" fillId="4" borderId="26" xfId="2" applyNumberFormat="1" applyFill="1" applyBorder="1"/>
    <xf numFmtId="0" fontId="3" fillId="4" borderId="27" xfId="2" applyFill="1" applyBorder="1"/>
    <xf numFmtId="0" fontId="3" fillId="4" borderId="28" xfId="2" applyFill="1" applyBorder="1"/>
    <xf numFmtId="4" fontId="3" fillId="4" borderId="21" xfId="2" applyNumberFormat="1" applyFill="1" applyBorder="1"/>
    <xf numFmtId="0" fontId="3" fillId="4" borderId="21" xfId="2" applyFill="1" applyBorder="1"/>
    <xf numFmtId="0" fontId="3" fillId="4" borderId="20" xfId="2" applyFill="1" applyBorder="1"/>
    <xf numFmtId="0" fontId="3" fillId="4" borderId="29" xfId="2" applyFill="1" applyBorder="1"/>
    <xf numFmtId="0" fontId="10" fillId="4" borderId="18" xfId="2" applyFont="1" applyFill="1" applyBorder="1" applyAlignment="1">
      <alignment horizontal="center"/>
    </xf>
    <xf numFmtId="0" fontId="10" fillId="4" borderId="16" xfId="2" applyFont="1" applyFill="1" applyBorder="1" applyAlignment="1">
      <alignment horizontal="center"/>
    </xf>
    <xf numFmtId="0" fontId="3" fillId="4" borderId="15" xfId="2" applyFill="1" applyBorder="1" applyAlignment="1">
      <alignment horizontal="center"/>
    </xf>
    <xf numFmtId="0" fontId="3" fillId="4" borderId="30" xfId="2" applyFill="1" applyBorder="1" applyAlignment="1">
      <alignment horizontal="center"/>
    </xf>
    <xf numFmtId="0" fontId="3" fillId="4" borderId="31" xfId="2" applyFill="1" applyBorder="1" applyAlignment="1">
      <alignment horizontal="center"/>
    </xf>
    <xf numFmtId="0" fontId="3" fillId="4" borderId="16" xfId="2" applyFill="1" applyBorder="1" applyAlignment="1">
      <alignment horizontal="center"/>
    </xf>
    <xf numFmtId="0" fontId="3" fillId="4" borderId="15" xfId="2" applyFill="1" applyBorder="1"/>
    <xf numFmtId="0" fontId="3" fillId="4" borderId="31" xfId="2" applyFill="1" applyBorder="1"/>
    <xf numFmtId="0" fontId="3" fillId="4" borderId="30" xfId="2" applyFill="1" applyBorder="1"/>
    <xf numFmtId="4" fontId="3" fillId="4" borderId="16" xfId="2" applyNumberFormat="1" applyFill="1" applyBorder="1"/>
    <xf numFmtId="4" fontId="3" fillId="4" borderId="30" xfId="2" applyNumberFormat="1" applyFill="1" applyBorder="1"/>
    <xf numFmtId="4" fontId="3" fillId="4" borderId="5" xfId="2" applyNumberFormat="1" applyFill="1" applyBorder="1"/>
    <xf numFmtId="2" fontId="3" fillId="4" borderId="5" xfId="2" applyNumberFormat="1" applyFill="1" applyBorder="1"/>
    <xf numFmtId="0" fontId="3" fillId="4" borderId="16" xfId="2" applyFill="1" applyBorder="1"/>
    <xf numFmtId="0" fontId="3" fillId="4" borderId="32" xfId="2" applyFill="1" applyBorder="1"/>
    <xf numFmtId="4" fontId="3" fillId="4" borderId="0" xfId="2" applyNumberFormat="1" applyFill="1"/>
    <xf numFmtId="2" fontId="3" fillId="4" borderId="17" xfId="2" applyNumberFormat="1" applyFill="1" applyBorder="1"/>
    <xf numFmtId="0" fontId="10" fillId="4" borderId="15" xfId="2" applyFont="1" applyFill="1" applyBorder="1" applyAlignment="1">
      <alignment horizontal="center"/>
    </xf>
    <xf numFmtId="0" fontId="3" fillId="4" borderId="24" xfId="2" applyFill="1" applyBorder="1" applyAlignment="1">
      <alignment horizontal="center"/>
    </xf>
    <xf numFmtId="4" fontId="3" fillId="4" borderId="16" xfId="2" applyNumberFormat="1" applyFill="1" applyBorder="1" applyAlignment="1">
      <alignment horizontal="center"/>
    </xf>
    <xf numFmtId="2" fontId="3" fillId="4" borderId="30" xfId="2" applyNumberFormat="1" applyFill="1" applyBorder="1"/>
    <xf numFmtId="3" fontId="3" fillId="4" borderId="16" xfId="2" applyNumberFormat="1" applyFill="1" applyBorder="1"/>
    <xf numFmtId="172" fontId="3" fillId="4" borderId="16" xfId="2" applyNumberFormat="1" applyFill="1" applyBorder="1"/>
    <xf numFmtId="164" fontId="3" fillId="4" borderId="16" xfId="1" applyFont="1" applyFill="1" applyBorder="1"/>
    <xf numFmtId="9" fontId="3" fillId="4" borderId="16" xfId="2" applyNumberFormat="1" applyFill="1" applyBorder="1"/>
    <xf numFmtId="176" fontId="3" fillId="4" borderId="16" xfId="2" applyNumberFormat="1" applyFill="1" applyBorder="1"/>
    <xf numFmtId="0" fontId="15" fillId="4" borderId="31" xfId="2" applyFont="1" applyFill="1" applyBorder="1" applyAlignment="1">
      <alignment horizontal="center"/>
    </xf>
    <xf numFmtId="0" fontId="15" fillId="4" borderId="16" xfId="2" applyFont="1" applyFill="1" applyBorder="1" applyAlignment="1">
      <alignment horizontal="center"/>
    </xf>
    <xf numFmtId="4" fontId="10" fillId="4" borderId="0" xfId="2" applyNumberFormat="1" applyFont="1" applyFill="1"/>
    <xf numFmtId="0" fontId="3" fillId="4" borderId="18" xfId="2" applyFill="1" applyBorder="1" applyAlignment="1">
      <alignment horizontal="center"/>
    </xf>
    <xf numFmtId="4" fontId="3" fillId="4" borderId="31" xfId="2" applyNumberFormat="1" applyFill="1" applyBorder="1"/>
    <xf numFmtId="3" fontId="3" fillId="4" borderId="31" xfId="2" applyNumberFormat="1" applyFill="1" applyBorder="1"/>
    <xf numFmtId="4" fontId="3" fillId="4" borderId="10" xfId="2" applyNumberFormat="1" applyFill="1" applyBorder="1"/>
    <xf numFmtId="0" fontId="10" fillId="4" borderId="21" xfId="2" applyFont="1" applyFill="1" applyBorder="1"/>
    <xf numFmtId="4" fontId="10" fillId="4" borderId="21" xfId="2" applyNumberFormat="1" applyFont="1" applyFill="1" applyBorder="1"/>
    <xf numFmtId="4" fontId="3" fillId="4" borderId="4" xfId="2" applyNumberFormat="1" applyFill="1" applyBorder="1"/>
    <xf numFmtId="0" fontId="12" fillId="4" borderId="4" xfId="0" applyFont="1" applyFill="1" applyBorder="1" applyAlignment="1">
      <alignment horizontal="left" vertical="center"/>
    </xf>
    <xf numFmtId="0" fontId="12" fillId="4" borderId="0" xfId="0" applyFont="1" applyFill="1"/>
    <xf numFmtId="0" fontId="12" fillId="4" borderId="4" xfId="0" applyFont="1" applyFill="1" applyBorder="1" applyAlignment="1">
      <alignment vertical="center"/>
    </xf>
    <xf numFmtId="0" fontId="12" fillId="4" borderId="10" xfId="0" applyFont="1" applyFill="1" applyBorder="1"/>
    <xf numFmtId="4" fontId="3" fillId="4" borderId="11" xfId="2" applyNumberFormat="1" applyFill="1" applyBorder="1"/>
    <xf numFmtId="3" fontId="12" fillId="4" borderId="9" xfId="2" applyNumberFormat="1" applyFont="1" applyFill="1" applyBorder="1"/>
    <xf numFmtId="177" fontId="3" fillId="4" borderId="16" xfId="2" applyNumberFormat="1" applyFill="1" applyBorder="1"/>
    <xf numFmtId="0" fontId="17" fillId="4" borderId="18" xfId="0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center" vertical="center"/>
    </xf>
    <xf numFmtId="170" fontId="17" fillId="4" borderId="19" xfId="3" applyNumberFormat="1" applyFont="1" applyFill="1" applyBorder="1" applyAlignment="1">
      <alignment horizontal="center" vertical="center"/>
    </xf>
    <xf numFmtId="171" fontId="17" fillId="4" borderId="40" xfId="3" applyNumberFormat="1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vertical="center" wrapText="1"/>
    </xf>
    <xf numFmtId="0" fontId="17" fillId="4" borderId="14" xfId="0" applyFont="1" applyFill="1" applyBorder="1" applyAlignment="1">
      <alignment vertical="center" wrapText="1"/>
    </xf>
    <xf numFmtId="0" fontId="18" fillId="4" borderId="15" xfId="0" applyFont="1" applyFill="1" applyBorder="1" applyAlignment="1">
      <alignment horizontal="center" vertical="center"/>
    </xf>
    <xf numFmtId="4" fontId="18" fillId="4" borderId="16" xfId="0" applyNumberFormat="1" applyFont="1" applyFill="1" applyBorder="1" applyAlignment="1">
      <alignment vertical="center"/>
    </xf>
    <xf numFmtId="4" fontId="18" fillId="4" borderId="16" xfId="0" applyNumberFormat="1" applyFont="1" applyFill="1" applyBorder="1" applyAlignment="1">
      <alignment horizontal="center" vertical="center"/>
    </xf>
    <xf numFmtId="2" fontId="18" fillId="4" borderId="16" xfId="0" applyNumberFormat="1" applyFont="1" applyFill="1" applyBorder="1" applyAlignment="1">
      <alignment horizontal="center" vertical="center"/>
    </xf>
    <xf numFmtId="170" fontId="18" fillId="4" borderId="16" xfId="3" applyNumberFormat="1" applyFont="1" applyFill="1" applyBorder="1" applyAlignment="1">
      <alignment horizontal="center" vertical="center"/>
    </xf>
    <xf numFmtId="165" fontId="18" fillId="4" borderId="17" xfId="3" applyFont="1" applyFill="1" applyBorder="1" applyAlignment="1">
      <alignment horizontal="center" vertical="center"/>
    </xf>
    <xf numFmtId="4" fontId="17" fillId="4" borderId="16" xfId="0" applyNumberFormat="1" applyFont="1" applyFill="1" applyBorder="1" applyAlignment="1">
      <alignment vertical="center"/>
    </xf>
    <xf numFmtId="0" fontId="18" fillId="4" borderId="16" xfId="0" applyFont="1" applyFill="1" applyBorder="1" applyAlignment="1">
      <alignment horizontal="center" vertical="center"/>
    </xf>
    <xf numFmtId="170" fontId="17" fillId="4" borderId="17" xfId="3" applyNumberFormat="1" applyFont="1" applyFill="1" applyBorder="1" applyAlignment="1">
      <alignment horizontal="center" vertical="center"/>
    </xf>
    <xf numFmtId="0" fontId="17" fillId="4" borderId="15" xfId="0" applyFont="1" applyFill="1" applyBorder="1" applyAlignment="1">
      <alignment horizontal="center" vertical="center"/>
    </xf>
    <xf numFmtId="171" fontId="18" fillId="4" borderId="17" xfId="3" applyNumberFormat="1" applyFont="1" applyFill="1" applyBorder="1" applyAlignment="1">
      <alignment horizontal="center" vertical="center"/>
    </xf>
    <xf numFmtId="170" fontId="18" fillId="4" borderId="17" xfId="3" applyNumberFormat="1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4" fontId="18" fillId="4" borderId="13" xfId="0" applyNumberFormat="1" applyFont="1" applyFill="1" applyBorder="1" applyAlignment="1">
      <alignment vertical="center"/>
    </xf>
    <xf numFmtId="0" fontId="18" fillId="4" borderId="13" xfId="0" applyFont="1" applyFill="1" applyBorder="1" applyAlignment="1">
      <alignment horizontal="center" vertical="center"/>
    </xf>
    <xf numFmtId="2" fontId="18" fillId="4" borderId="13" xfId="0" applyNumberFormat="1" applyFont="1" applyFill="1" applyBorder="1" applyAlignment="1">
      <alignment horizontal="center" vertical="center"/>
    </xf>
    <xf numFmtId="170" fontId="18" fillId="4" borderId="13" xfId="3" applyNumberFormat="1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vertical="center" wrapText="1"/>
    </xf>
    <xf numFmtId="0" fontId="18" fillId="4" borderId="13" xfId="0" applyFont="1" applyFill="1" applyBorder="1" applyAlignment="1">
      <alignment horizontal="center" vertical="center" wrapText="1"/>
    </xf>
    <xf numFmtId="2" fontId="18" fillId="4" borderId="13" xfId="0" applyNumberFormat="1" applyFont="1" applyFill="1" applyBorder="1" applyAlignment="1">
      <alignment horizontal="center" vertical="center" wrapText="1"/>
    </xf>
    <xf numFmtId="164" fontId="18" fillId="4" borderId="13" xfId="1" applyFont="1" applyFill="1" applyBorder="1" applyAlignment="1">
      <alignment vertical="center" wrapText="1"/>
    </xf>
    <xf numFmtId="4" fontId="18" fillId="4" borderId="16" xfId="0" applyNumberFormat="1" applyFont="1" applyFill="1" applyBorder="1" applyAlignment="1">
      <alignment vertical="center" wrapText="1"/>
    </xf>
    <xf numFmtId="2" fontId="18" fillId="4" borderId="15" xfId="0" applyNumberFormat="1" applyFont="1" applyFill="1" applyBorder="1" applyAlignment="1">
      <alignment horizontal="center" vertical="center"/>
    </xf>
    <xf numFmtId="2" fontId="17" fillId="4" borderId="15" xfId="0" applyNumberFormat="1" applyFont="1" applyFill="1" applyBorder="1" applyAlignment="1">
      <alignment horizontal="center" vertical="center"/>
    </xf>
    <xf numFmtId="170" fontId="17" fillId="4" borderId="30" xfId="3" applyNumberFormat="1" applyFont="1" applyFill="1" applyBorder="1" applyAlignment="1">
      <alignment horizontal="center" vertical="center"/>
    </xf>
    <xf numFmtId="0" fontId="18" fillId="4" borderId="34" xfId="0" applyFont="1" applyFill="1" applyBorder="1" applyAlignment="1">
      <alignment horizontal="center" vertical="center"/>
    </xf>
    <xf numFmtId="0" fontId="17" fillId="4" borderId="23" xfId="0" applyFont="1" applyFill="1" applyBorder="1" applyAlignment="1">
      <alignment vertical="center" wrapText="1"/>
    </xf>
    <xf numFmtId="170" fontId="17" fillId="4" borderId="35" xfId="3" applyNumberFormat="1" applyFont="1" applyFill="1" applyBorder="1" applyAlignment="1">
      <alignment horizontal="center" vertical="center"/>
    </xf>
    <xf numFmtId="0" fontId="18" fillId="4" borderId="0" xfId="0" applyFont="1" applyFill="1"/>
    <xf numFmtId="0" fontId="18" fillId="4" borderId="0" xfId="0" applyFont="1" applyFill="1" applyAlignment="1">
      <alignment horizontal="center" vertical="center"/>
    </xf>
    <xf numFmtId="0" fontId="18" fillId="4" borderId="0" xfId="0" applyFont="1" applyFill="1" applyAlignment="1">
      <alignment vertical="center"/>
    </xf>
    <xf numFmtId="170" fontId="18" fillId="4" borderId="0" xfId="3" applyNumberFormat="1" applyFont="1" applyFill="1" applyAlignment="1">
      <alignment horizontal="center" vertical="center"/>
    </xf>
    <xf numFmtId="171" fontId="18" fillId="4" borderId="0" xfId="3" applyNumberFormat="1" applyFont="1" applyFill="1" applyAlignment="1">
      <alignment horizontal="center" vertical="center"/>
    </xf>
    <xf numFmtId="171" fontId="18" fillId="4" borderId="43" xfId="3" applyNumberFormat="1" applyFont="1" applyFill="1" applyBorder="1" applyAlignment="1">
      <alignment horizontal="center" vertical="center"/>
    </xf>
    <xf numFmtId="171" fontId="18" fillId="4" borderId="42" xfId="3" applyNumberFormat="1" applyFont="1" applyFill="1" applyBorder="1" applyAlignment="1">
      <alignment horizontal="center" vertical="center"/>
    </xf>
    <xf numFmtId="171" fontId="18" fillId="4" borderId="31" xfId="3" applyNumberFormat="1" applyFont="1" applyFill="1" applyBorder="1" applyAlignment="1">
      <alignment horizontal="center" vertical="center"/>
    </xf>
    <xf numFmtId="171" fontId="18" fillId="4" borderId="38" xfId="3" applyNumberFormat="1" applyFont="1" applyFill="1" applyBorder="1" applyAlignment="1">
      <alignment horizontal="center" vertical="center"/>
    </xf>
    <xf numFmtId="171" fontId="18" fillId="4" borderId="40" xfId="3" applyNumberFormat="1" applyFont="1" applyFill="1" applyBorder="1" applyAlignment="1">
      <alignment horizontal="center" vertical="center"/>
    </xf>
    <xf numFmtId="171" fontId="17" fillId="4" borderId="6" xfId="3" applyNumberFormat="1" applyFont="1" applyFill="1" applyBorder="1" applyAlignment="1">
      <alignment horizontal="center" vertical="center"/>
    </xf>
    <xf numFmtId="171" fontId="17" fillId="4" borderId="44" xfId="3" applyNumberFormat="1" applyFont="1" applyFill="1" applyBorder="1" applyAlignment="1">
      <alignment horizontal="center" vertical="center"/>
    </xf>
    <xf numFmtId="171" fontId="18" fillId="4" borderId="0" xfId="3" applyNumberFormat="1" applyFont="1" applyFill="1" applyBorder="1" applyAlignment="1">
      <alignment horizontal="center" vertical="center"/>
    </xf>
    <xf numFmtId="170" fontId="18" fillId="4" borderId="0" xfId="3" applyNumberFormat="1" applyFont="1" applyFill="1" applyAlignment="1">
      <alignment horizontal="left" vertical="center"/>
    </xf>
    <xf numFmtId="0" fontId="18" fillId="4" borderId="0" xfId="0" applyFont="1" applyFill="1" applyAlignment="1">
      <alignment horizontal="left" vertical="center"/>
    </xf>
    <xf numFmtId="0" fontId="18" fillId="4" borderId="10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left" vertical="center"/>
    </xf>
    <xf numFmtId="170" fontId="18" fillId="4" borderId="10" xfId="3" applyNumberFormat="1" applyFont="1" applyFill="1" applyBorder="1" applyAlignment="1">
      <alignment horizontal="left" vertical="center"/>
    </xf>
    <xf numFmtId="171" fontId="18" fillId="4" borderId="10" xfId="3" applyNumberFormat="1" applyFont="1" applyFill="1" applyBorder="1" applyAlignment="1">
      <alignment horizontal="center" vertical="center"/>
    </xf>
    <xf numFmtId="0" fontId="17" fillId="4" borderId="0" xfId="0" applyFont="1" applyFill="1" applyAlignment="1">
      <alignment horizontal="left" vertical="center"/>
    </xf>
    <xf numFmtId="170" fontId="17" fillId="4" borderId="0" xfId="3" applyNumberFormat="1" applyFont="1" applyFill="1" applyAlignment="1">
      <alignment horizontal="left" vertical="center"/>
    </xf>
    <xf numFmtId="171" fontId="17" fillId="4" borderId="0" xfId="3" applyNumberFormat="1" applyFont="1" applyFill="1" applyAlignment="1">
      <alignment horizontal="center" vertical="center"/>
    </xf>
    <xf numFmtId="4" fontId="22" fillId="4" borderId="16" xfId="0" applyNumberFormat="1" applyFont="1" applyFill="1" applyBorder="1" applyAlignment="1">
      <alignment horizontal="center" vertical="center"/>
    </xf>
    <xf numFmtId="2" fontId="22" fillId="4" borderId="16" xfId="0" applyNumberFormat="1" applyFont="1" applyFill="1" applyBorder="1" applyAlignment="1">
      <alignment horizontal="center" vertical="center"/>
    </xf>
    <xf numFmtId="2" fontId="22" fillId="4" borderId="13" xfId="0" applyNumberFormat="1" applyFont="1" applyFill="1" applyBorder="1" applyAlignment="1">
      <alignment horizontal="center" vertical="center"/>
    </xf>
    <xf numFmtId="2" fontId="22" fillId="4" borderId="13" xfId="0" applyNumberFormat="1" applyFont="1" applyFill="1" applyBorder="1" applyAlignment="1">
      <alignment horizontal="center" vertical="center" wrapText="1"/>
    </xf>
    <xf numFmtId="165" fontId="24" fillId="0" borderId="0" xfId="3" applyFont="1"/>
    <xf numFmtId="0" fontId="24" fillId="0" borderId="0" xfId="0" applyFont="1"/>
    <xf numFmtId="169" fontId="24" fillId="0" borderId="0" xfId="0" applyNumberFormat="1" applyFont="1"/>
    <xf numFmtId="165" fontId="24" fillId="0" borderId="0" xfId="3" applyFont="1" applyFill="1"/>
    <xf numFmtId="171" fontId="19" fillId="0" borderId="0" xfId="3" applyNumberFormat="1" applyFont="1" applyFill="1" applyBorder="1" applyAlignment="1">
      <alignment horizontal="center" vertical="center"/>
    </xf>
    <xf numFmtId="165" fontId="24" fillId="0" borderId="0" xfId="0" applyNumberFormat="1" applyFont="1"/>
    <xf numFmtId="171" fontId="20" fillId="0" borderId="0" xfId="3" applyNumberFormat="1" applyFont="1" applyFill="1" applyAlignment="1">
      <alignment horizontal="center" vertical="center"/>
    </xf>
    <xf numFmtId="165" fontId="25" fillId="0" borderId="0" xfId="3" applyFont="1"/>
    <xf numFmtId="165" fontId="25" fillId="0" borderId="0" xfId="0" applyNumberFormat="1" applyFont="1"/>
    <xf numFmtId="170" fontId="20" fillId="0" borderId="0" xfId="3" applyNumberFormat="1" applyFont="1" applyFill="1" applyAlignment="1">
      <alignment horizontal="center" vertical="center"/>
    </xf>
    <xf numFmtId="165" fontId="20" fillId="0" borderId="0" xfId="14" applyFont="1" applyFill="1" applyAlignment="1">
      <alignment horizontal="center" vertical="center"/>
    </xf>
    <xf numFmtId="168" fontId="26" fillId="0" borderId="0" xfId="13" applyFont="1"/>
    <xf numFmtId="170" fontId="20" fillId="4" borderId="0" xfId="3" applyNumberFormat="1" applyFont="1" applyFill="1" applyAlignment="1">
      <alignment horizontal="center" vertical="center"/>
    </xf>
    <xf numFmtId="0" fontId="24" fillId="0" borderId="0" xfId="0" applyFont="1" applyAlignment="1">
      <alignment horizontal="center"/>
    </xf>
    <xf numFmtId="0" fontId="19" fillId="4" borderId="16" xfId="0" applyFont="1" applyFill="1" applyBorder="1" applyAlignment="1">
      <alignment horizontal="center" vertical="center"/>
    </xf>
    <xf numFmtId="170" fontId="19" fillId="4" borderId="16" xfId="3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 wrapText="1"/>
    </xf>
    <xf numFmtId="170" fontId="19" fillId="4" borderId="0" xfId="3" applyNumberFormat="1" applyFont="1" applyFill="1" applyBorder="1" applyAlignment="1">
      <alignment horizontal="center" vertical="center"/>
    </xf>
    <xf numFmtId="0" fontId="23" fillId="4" borderId="16" xfId="2" applyFont="1" applyFill="1" applyBorder="1"/>
    <xf numFmtId="0" fontId="23" fillId="0" borderId="0" xfId="2" applyFont="1"/>
    <xf numFmtId="0" fontId="23" fillId="4" borderId="4" xfId="2" applyFont="1" applyFill="1" applyBorder="1"/>
    <xf numFmtId="0" fontId="23" fillId="4" borderId="0" xfId="2" applyFont="1" applyFill="1"/>
    <xf numFmtId="4" fontId="23" fillId="4" borderId="21" xfId="2" applyNumberFormat="1" applyFont="1" applyFill="1" applyBorder="1"/>
    <xf numFmtId="0" fontId="23" fillId="4" borderId="21" xfId="2" applyFont="1" applyFill="1" applyBorder="1"/>
    <xf numFmtId="0" fontId="27" fillId="4" borderId="16" xfId="2" applyFont="1" applyFill="1" applyBorder="1" applyAlignment="1">
      <alignment horizontal="center"/>
    </xf>
    <xf numFmtId="4" fontId="23" fillId="4" borderId="16" xfId="2" applyNumberFormat="1" applyFont="1" applyFill="1" applyBorder="1"/>
    <xf numFmtId="4" fontId="23" fillId="4" borderId="0" xfId="2" applyNumberFormat="1" applyFont="1" applyFill="1"/>
    <xf numFmtId="4" fontId="23" fillId="4" borderId="16" xfId="2" applyNumberFormat="1" applyFont="1" applyFill="1" applyBorder="1" applyAlignment="1">
      <alignment horizontal="center"/>
    </xf>
    <xf numFmtId="3" fontId="23" fillId="4" borderId="16" xfId="2" applyNumberFormat="1" applyFont="1" applyFill="1" applyBorder="1"/>
    <xf numFmtId="9" fontId="23" fillId="4" borderId="16" xfId="2" applyNumberFormat="1" applyFont="1" applyFill="1" applyBorder="1"/>
    <xf numFmtId="172" fontId="23" fillId="4" borderId="16" xfId="2" applyNumberFormat="1" applyFont="1" applyFill="1" applyBorder="1"/>
    <xf numFmtId="0" fontId="27" fillId="4" borderId="0" xfId="2" applyFont="1" applyFill="1"/>
    <xf numFmtId="4" fontId="27" fillId="4" borderId="0" xfId="2" applyNumberFormat="1" applyFont="1" applyFill="1"/>
    <xf numFmtId="3" fontId="23" fillId="4" borderId="0" xfId="2" applyNumberFormat="1" applyFont="1" applyFill="1"/>
    <xf numFmtId="2" fontId="23" fillId="4" borderId="16" xfId="2" applyNumberFormat="1" applyFont="1" applyFill="1" applyBorder="1"/>
    <xf numFmtId="2" fontId="23" fillId="4" borderId="0" xfId="2" applyNumberFormat="1" applyFont="1" applyFill="1"/>
    <xf numFmtId="0" fontId="27" fillId="4" borderId="0" xfId="2" applyFont="1" applyFill="1" applyAlignment="1">
      <alignment horizontal="center"/>
    </xf>
    <xf numFmtId="0" fontId="23" fillId="4" borderId="16" xfId="2" applyFont="1" applyFill="1" applyBorder="1" applyAlignment="1">
      <alignment horizontal="center"/>
    </xf>
    <xf numFmtId="0" fontId="23" fillId="0" borderId="0" xfId="2" applyFont="1" applyAlignment="1">
      <alignment horizontal="left"/>
    </xf>
    <xf numFmtId="0" fontId="27" fillId="0" borderId="0" xfId="2" applyFont="1" applyAlignment="1">
      <alignment wrapText="1"/>
    </xf>
    <xf numFmtId="2" fontId="23" fillId="4" borderId="37" xfId="2" applyNumberFormat="1" applyFont="1" applyFill="1" applyBorder="1"/>
    <xf numFmtId="0" fontId="27" fillId="4" borderId="16" xfId="2" applyFont="1" applyFill="1" applyBorder="1"/>
    <xf numFmtId="0" fontId="23" fillId="4" borderId="16" xfId="2" quotePrefix="1" applyFont="1" applyFill="1" applyBorder="1" applyAlignment="1">
      <alignment horizontal="center"/>
    </xf>
    <xf numFmtId="2" fontId="23" fillId="4" borderId="16" xfId="2" applyNumberFormat="1" applyFont="1" applyFill="1" applyBorder="1" applyAlignment="1">
      <alignment horizontal="center"/>
    </xf>
    <xf numFmtId="2" fontId="23" fillId="4" borderId="16" xfId="8" applyNumberFormat="1" applyFont="1" applyFill="1" applyBorder="1" applyAlignment="1">
      <alignment horizontal="center"/>
    </xf>
    <xf numFmtId="2" fontId="23" fillId="4" borderId="16" xfId="8" applyNumberFormat="1" applyFont="1" applyFill="1" applyBorder="1"/>
    <xf numFmtId="0" fontId="23" fillId="4" borderId="16" xfId="8" quotePrefix="1" applyFont="1" applyFill="1" applyBorder="1" applyAlignment="1">
      <alignment horizontal="center"/>
    </xf>
    <xf numFmtId="0" fontId="23" fillId="4" borderId="0" xfId="2" applyFont="1" applyFill="1" applyAlignment="1">
      <alignment horizontal="right"/>
    </xf>
    <xf numFmtId="2" fontId="27" fillId="4" borderId="19" xfId="2" quotePrefix="1" applyNumberFormat="1" applyFont="1" applyFill="1" applyBorder="1" applyAlignment="1">
      <alignment horizontal="center"/>
    </xf>
    <xf numFmtId="2" fontId="27" fillId="4" borderId="16" xfId="2" applyNumberFormat="1" applyFont="1" applyFill="1" applyBorder="1"/>
    <xf numFmtId="2" fontId="27" fillId="4" borderId="16" xfId="2" applyNumberFormat="1" applyFont="1" applyFill="1" applyBorder="1" applyAlignment="1">
      <alignment horizontal="center"/>
    </xf>
    <xf numFmtId="175" fontId="27" fillId="4" borderId="0" xfId="2" applyNumberFormat="1" applyFont="1" applyFill="1"/>
    <xf numFmtId="0" fontId="23" fillId="4" borderId="0" xfId="0" applyFont="1" applyFill="1" applyAlignment="1">
      <alignment vertical="center"/>
    </xf>
    <xf numFmtId="0" fontId="27" fillId="4" borderId="0" xfId="0" applyFont="1" applyFill="1" applyAlignment="1">
      <alignment horizontal="left" vertical="center"/>
    </xf>
    <xf numFmtId="0" fontId="27" fillId="0" borderId="0" xfId="2" applyFont="1"/>
    <xf numFmtId="2" fontId="27" fillId="4" borderId="0" xfId="2" applyNumberFormat="1" applyFont="1" applyFill="1"/>
    <xf numFmtId="0" fontId="23" fillId="4" borderId="37" xfId="2" applyFont="1" applyFill="1" applyBorder="1"/>
    <xf numFmtId="4" fontId="23" fillId="4" borderId="37" xfId="2" applyNumberFormat="1" applyFont="1" applyFill="1" applyBorder="1"/>
    <xf numFmtId="4" fontId="23" fillId="4" borderId="22" xfId="2" applyNumberFormat="1" applyFont="1" applyFill="1" applyBorder="1"/>
    <xf numFmtId="0" fontId="23" fillId="4" borderId="47" xfId="2" applyFont="1" applyFill="1" applyBorder="1"/>
    <xf numFmtId="0" fontId="23" fillId="4" borderId="26" xfId="2" applyFont="1" applyFill="1" applyBorder="1"/>
    <xf numFmtId="3" fontId="23" fillId="4" borderId="21" xfId="2" applyNumberFormat="1" applyFont="1" applyFill="1" applyBorder="1"/>
    <xf numFmtId="178" fontId="24" fillId="0" borderId="0" xfId="3" applyNumberFormat="1" applyFont="1"/>
    <xf numFmtId="0" fontId="28" fillId="0" borderId="0" xfId="0" applyFont="1"/>
    <xf numFmtId="0" fontId="25" fillId="0" borderId="16" xfId="0" applyFont="1" applyBorder="1" applyAlignment="1">
      <alignment horizont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5" fillId="0" borderId="16" xfId="16" applyFont="1" applyBorder="1" applyAlignment="1">
      <alignment horizontal="center" vertical="center"/>
    </xf>
    <xf numFmtId="0" fontId="31" fillId="0" borderId="0" xfId="16" applyFont="1"/>
    <xf numFmtId="14" fontId="25" fillId="0" borderId="16" xfId="16" applyNumberFormat="1" applyFont="1" applyBorder="1" applyAlignment="1">
      <alignment horizontal="center" vertical="center"/>
    </xf>
    <xf numFmtId="0" fontId="24" fillId="0" borderId="0" xfId="16" applyFont="1" applyAlignment="1">
      <alignment vertical="center"/>
    </xf>
    <xf numFmtId="0" fontId="25" fillId="0" borderId="0" xfId="16" applyFont="1" applyAlignment="1">
      <alignment vertical="center"/>
    </xf>
    <xf numFmtId="0" fontId="24" fillId="0" borderId="0" xfId="16" applyFont="1" applyAlignment="1">
      <alignment horizontal="center" wrapText="1"/>
    </xf>
    <xf numFmtId="0" fontId="25" fillId="0" borderId="16" xfId="16" applyFont="1" applyBorder="1" applyAlignment="1">
      <alignment vertical="center"/>
    </xf>
    <xf numFmtId="0" fontId="25" fillId="0" borderId="16" xfId="16" applyFont="1" applyBorder="1" applyAlignment="1">
      <alignment horizontal="left" vertical="center"/>
    </xf>
    <xf numFmtId="10" fontId="31" fillId="0" borderId="0" xfId="16" applyNumberFormat="1" applyFont="1"/>
    <xf numFmtId="0" fontId="24" fillId="0" borderId="16" xfId="16" applyFont="1" applyBorder="1" applyAlignment="1">
      <alignment vertical="center"/>
    </xf>
    <xf numFmtId="44" fontId="24" fillId="0" borderId="16" xfId="17" applyFont="1" applyBorder="1" applyAlignment="1">
      <alignment vertical="center"/>
    </xf>
    <xf numFmtId="0" fontId="25" fillId="0" borderId="16" xfId="16" applyFont="1" applyBorder="1" applyAlignment="1">
      <alignment horizontal="center" vertical="center" wrapText="1"/>
    </xf>
    <xf numFmtId="0" fontId="24" fillId="0" borderId="16" xfId="16" applyFont="1" applyBorder="1"/>
    <xf numFmtId="178" fontId="24" fillId="0" borderId="16" xfId="18" applyNumberFormat="1" applyFont="1" applyBorder="1"/>
    <xf numFmtId="9" fontId="24" fillId="0" borderId="16" xfId="16" applyNumberFormat="1" applyFont="1" applyBorder="1" applyAlignment="1">
      <alignment horizontal="center"/>
    </xf>
    <xf numFmtId="0" fontId="24" fillId="0" borderId="16" xfId="16" applyFont="1" applyBorder="1" applyAlignment="1">
      <alignment horizontal="center"/>
    </xf>
    <xf numFmtId="179" fontId="24" fillId="0" borderId="16" xfId="16" applyNumberFormat="1" applyFont="1" applyBorder="1"/>
    <xf numFmtId="0" fontId="25" fillId="0" borderId="16" xfId="16" applyFont="1" applyBorder="1" applyAlignment="1">
      <alignment vertical="center" wrapText="1"/>
    </xf>
    <xf numFmtId="181" fontId="31" fillId="0" borderId="0" xfId="16" applyNumberFormat="1" applyFont="1"/>
    <xf numFmtId="0" fontId="25" fillId="0" borderId="0" xfId="16" applyFont="1" applyAlignment="1">
      <alignment horizontal="right"/>
    </xf>
    <xf numFmtId="182" fontId="25" fillId="0" borderId="0" xfId="17" applyNumberFormat="1" applyFont="1" applyFill="1" applyBorder="1" applyAlignment="1"/>
    <xf numFmtId="183" fontId="25" fillId="0" borderId="0" xfId="16" applyNumberFormat="1" applyFont="1"/>
    <xf numFmtId="9" fontId="25" fillId="7" borderId="16" xfId="16" applyNumberFormat="1" applyFont="1" applyFill="1" applyBorder="1" applyAlignment="1">
      <alignment horizontal="center"/>
    </xf>
    <xf numFmtId="179" fontId="25" fillId="0" borderId="0" xfId="16" applyNumberFormat="1" applyFont="1" applyAlignment="1">
      <alignment horizontal="center"/>
    </xf>
    <xf numFmtId="9" fontId="25" fillId="0" borderId="0" xfId="16" applyNumberFormat="1" applyFont="1" applyAlignment="1">
      <alignment horizontal="center"/>
    </xf>
    <xf numFmtId="9" fontId="24" fillId="0" borderId="16" xfId="20" applyFont="1" applyBorder="1" applyAlignment="1">
      <alignment horizontal="center"/>
    </xf>
    <xf numFmtId="0" fontId="24" fillId="0" borderId="0" xfId="16" applyFont="1"/>
    <xf numFmtId="0" fontId="24" fillId="0" borderId="21" xfId="16" applyFont="1" applyBorder="1"/>
    <xf numFmtId="0" fontId="25" fillId="0" borderId="16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3" fontId="25" fillId="0" borderId="16" xfId="0" applyNumberFormat="1" applyFont="1" applyBorder="1" applyAlignment="1">
      <alignment horizontal="center" vertical="center" wrapText="1"/>
    </xf>
    <xf numFmtId="14" fontId="25" fillId="0" borderId="16" xfId="0" applyNumberFormat="1" applyFont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" fontId="25" fillId="0" borderId="16" xfId="0" applyNumberFormat="1" applyFont="1" applyBorder="1" applyAlignment="1">
      <alignment vertical="center" wrapText="1"/>
    </xf>
    <xf numFmtId="0" fontId="25" fillId="0" borderId="30" xfId="0" applyFont="1" applyBorder="1" applyAlignment="1">
      <alignment wrapText="1"/>
    </xf>
    <xf numFmtId="4" fontId="25" fillId="0" borderId="20" xfId="0" applyNumberFormat="1" applyFont="1" applyBorder="1" applyAlignment="1">
      <alignment vertical="center"/>
    </xf>
    <xf numFmtId="4" fontId="25" fillId="0" borderId="26" xfId="0" applyNumberFormat="1" applyFont="1" applyBorder="1" applyAlignment="1">
      <alignment vertical="center"/>
    </xf>
    <xf numFmtId="4" fontId="25" fillId="0" borderId="30" xfId="0" applyNumberFormat="1" applyFont="1" applyBorder="1" applyAlignment="1">
      <alignment vertical="center"/>
    </xf>
    <xf numFmtId="4" fontId="25" fillId="0" borderId="16" xfId="0" applyNumberFormat="1" applyFont="1" applyBorder="1" applyAlignment="1">
      <alignment vertical="center"/>
    </xf>
    <xf numFmtId="10" fontId="24" fillId="0" borderId="16" xfId="16" applyNumberFormat="1" applyFont="1" applyBorder="1" applyAlignment="1">
      <alignment horizontal="right" vertical="center"/>
    </xf>
    <xf numFmtId="9" fontId="20" fillId="4" borderId="16" xfId="0" applyNumberFormat="1" applyFont="1" applyFill="1" applyBorder="1" applyAlignment="1">
      <alignment horizontal="right" vertical="center"/>
    </xf>
    <xf numFmtId="0" fontId="20" fillId="0" borderId="13" xfId="0" applyFont="1" applyBorder="1" applyAlignment="1">
      <alignment wrapText="1"/>
    </xf>
    <xf numFmtId="0" fontId="19" fillId="0" borderId="15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168" fontId="19" fillId="0" borderId="0" xfId="13" applyFont="1" applyFill="1"/>
    <xf numFmtId="9" fontId="19" fillId="0" borderId="0" xfId="10" applyFont="1" applyFill="1"/>
    <xf numFmtId="165" fontId="20" fillId="0" borderId="0" xfId="0" applyNumberFormat="1" applyFont="1"/>
    <xf numFmtId="0" fontId="20" fillId="0" borderId="16" xfId="0" applyFont="1" applyBorder="1" applyAlignment="1">
      <alignment horizontal="center"/>
    </xf>
    <xf numFmtId="10" fontId="20" fillId="0" borderId="30" xfId="10" applyNumberFormat="1" applyFont="1" applyFill="1" applyBorder="1" applyAlignment="1">
      <alignment horizontal="right" vertical="center"/>
    </xf>
    <xf numFmtId="0" fontId="20" fillId="0" borderId="19" xfId="0" applyFont="1" applyBorder="1" applyAlignment="1">
      <alignment horizontal="center"/>
    </xf>
    <xf numFmtId="168" fontId="20" fillId="0" borderId="19" xfId="13" applyFont="1" applyFill="1" applyBorder="1" applyAlignment="1">
      <alignment horizontal="center"/>
    </xf>
    <xf numFmtId="178" fontId="20" fillId="0" borderId="19" xfId="14" applyNumberFormat="1" applyFont="1" applyFill="1" applyBorder="1"/>
    <xf numFmtId="178" fontId="33" fillId="0" borderId="0" xfId="3" applyNumberFormat="1" applyFont="1"/>
    <xf numFmtId="165" fontId="33" fillId="0" borderId="0" xfId="3" applyFont="1"/>
    <xf numFmtId="171" fontId="33" fillId="0" borderId="0" xfId="3" applyNumberFormat="1" applyFont="1" applyFill="1" applyAlignment="1">
      <alignment horizontal="center" vertical="center"/>
    </xf>
    <xf numFmtId="0" fontId="19" fillId="8" borderId="15" xfId="0" applyFont="1" applyFill="1" applyBorder="1" applyAlignment="1">
      <alignment horizontal="center"/>
    </xf>
    <xf numFmtId="0" fontId="19" fillId="8" borderId="16" xfId="0" applyFont="1" applyFill="1" applyBorder="1" applyAlignment="1">
      <alignment horizontal="center"/>
    </xf>
    <xf numFmtId="0" fontId="20" fillId="8" borderId="19" xfId="0" applyFont="1" applyFill="1" applyBorder="1" applyAlignment="1">
      <alignment horizontal="center"/>
    </xf>
    <xf numFmtId="168" fontId="20" fillId="8" borderId="19" xfId="13" applyFont="1" applyFill="1" applyBorder="1" applyAlignment="1">
      <alignment horizontal="center"/>
    </xf>
    <xf numFmtId="178" fontId="20" fillId="8" borderId="19" xfId="14" applyNumberFormat="1" applyFont="1" applyFill="1" applyBorder="1"/>
    <xf numFmtId="10" fontId="20" fillId="8" borderId="30" xfId="10" applyNumberFormat="1" applyFont="1" applyFill="1" applyBorder="1" applyAlignment="1">
      <alignment horizontal="right" vertical="center"/>
    </xf>
    <xf numFmtId="178" fontId="31" fillId="0" borderId="0" xfId="14" applyNumberFormat="1" applyFont="1"/>
    <xf numFmtId="178" fontId="31" fillId="0" borderId="0" xfId="16" applyNumberFormat="1" applyFont="1"/>
    <xf numFmtId="0" fontId="24" fillId="0" borderId="4" xfId="0" applyFont="1" applyBorder="1"/>
    <xf numFmtId="0" fontId="20" fillId="8" borderId="18" xfId="0" applyFont="1" applyFill="1" applyBorder="1" applyAlignment="1">
      <alignment horizontal="center"/>
    </xf>
    <xf numFmtId="0" fontId="20" fillId="0" borderId="18" xfId="0" applyFont="1" applyBorder="1" applyAlignment="1">
      <alignment horizontal="center"/>
    </xf>
    <xf numFmtId="4" fontId="20" fillId="0" borderId="4" xfId="0" applyNumberFormat="1" applyFont="1" applyBorder="1" applyAlignment="1">
      <alignment horizontal="center" vertical="center" wrapText="1"/>
    </xf>
    <xf numFmtId="182" fontId="25" fillId="0" borderId="0" xfId="0" applyNumberFormat="1" applyFont="1"/>
    <xf numFmtId="165" fontId="25" fillId="0" borderId="0" xfId="14" applyFont="1" applyBorder="1"/>
    <xf numFmtId="0" fontId="20" fillId="0" borderId="0" xfId="0" applyFont="1" applyAlignment="1">
      <alignment horizontal="center" vertical="center" wrapText="1"/>
    </xf>
    <xf numFmtId="170" fontId="20" fillId="0" borderId="16" xfId="3" applyNumberFormat="1" applyFont="1" applyFill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14" fontId="35" fillId="0" borderId="16" xfId="0" applyNumberFormat="1" applyFont="1" applyBorder="1" applyAlignment="1">
      <alignment horizontal="center" vertical="center"/>
    </xf>
    <xf numFmtId="0" fontId="34" fillId="0" borderId="0" xfId="0" applyFont="1"/>
    <xf numFmtId="0" fontId="23" fillId="4" borderId="47" xfId="2" applyFont="1" applyFill="1" applyBorder="1" applyAlignment="1">
      <alignment horizontal="center" wrapText="1"/>
    </xf>
    <xf numFmtId="0" fontId="23" fillId="4" borderId="0" xfId="2" applyFont="1" applyFill="1" applyAlignment="1">
      <alignment horizontal="center" wrapText="1"/>
    </xf>
    <xf numFmtId="0" fontId="23" fillId="4" borderId="37" xfId="2" applyFont="1" applyFill="1" applyBorder="1" applyAlignment="1">
      <alignment horizontal="center" wrapText="1"/>
    </xf>
    <xf numFmtId="0" fontId="27" fillId="4" borderId="19" xfId="2" applyFont="1" applyFill="1" applyBorder="1" applyAlignment="1">
      <alignment horizontal="center"/>
    </xf>
    <xf numFmtId="0" fontId="23" fillId="4" borderId="19" xfId="2" applyFont="1" applyFill="1" applyBorder="1"/>
    <xf numFmtId="0" fontId="23" fillId="4" borderId="19" xfId="2" applyFont="1" applyFill="1" applyBorder="1" applyAlignment="1">
      <alignment horizontal="center" vertical="center"/>
    </xf>
    <xf numFmtId="4" fontId="23" fillId="4" borderId="19" xfId="2" applyNumberFormat="1" applyFont="1" applyFill="1" applyBorder="1" applyAlignment="1">
      <alignment vertical="center"/>
    </xf>
    <xf numFmtId="0" fontId="23" fillId="4" borderId="16" xfId="2" applyFont="1" applyFill="1" applyBorder="1" applyAlignment="1">
      <alignment horizontal="center" vertical="center"/>
    </xf>
    <xf numFmtId="4" fontId="23" fillId="4" borderId="16" xfId="2" applyNumberFormat="1" applyFont="1" applyFill="1" applyBorder="1" applyAlignment="1">
      <alignment vertical="center"/>
    </xf>
    <xf numFmtId="184" fontId="23" fillId="4" borderId="37" xfId="22" applyNumberFormat="1" applyFont="1" applyFill="1" applyBorder="1"/>
    <xf numFmtId="2" fontId="23" fillId="0" borderId="30" xfId="2" applyNumberFormat="1" applyFont="1" applyBorder="1"/>
    <xf numFmtId="3" fontId="23" fillId="0" borderId="16" xfId="2" applyNumberFormat="1" applyFont="1" applyBorder="1"/>
    <xf numFmtId="4" fontId="23" fillId="0" borderId="16" xfId="2" applyNumberFormat="1" applyFont="1" applyBorder="1"/>
    <xf numFmtId="0" fontId="23" fillId="0" borderId="16" xfId="2" applyFont="1" applyBorder="1"/>
    <xf numFmtId="164" fontId="23" fillId="4" borderId="37" xfId="22" applyNumberFormat="1" applyFont="1" applyFill="1" applyBorder="1"/>
    <xf numFmtId="42" fontId="23" fillId="4" borderId="16" xfId="22" applyFont="1" applyFill="1" applyBorder="1" applyAlignment="1">
      <alignment horizontal="center"/>
    </xf>
    <xf numFmtId="185" fontId="23" fillId="4" borderId="16" xfId="2" applyNumberFormat="1" applyFont="1" applyFill="1" applyBorder="1" applyAlignment="1">
      <alignment horizontal="center"/>
    </xf>
    <xf numFmtId="179" fontId="23" fillId="4" borderId="16" xfId="23" applyNumberFormat="1" applyFont="1" applyFill="1" applyBorder="1"/>
    <xf numFmtId="177" fontId="23" fillId="4" borderId="37" xfId="23" applyNumberFormat="1" applyFont="1" applyFill="1" applyBorder="1"/>
    <xf numFmtId="4" fontId="23" fillId="4" borderId="16" xfId="22" applyNumberFormat="1" applyFont="1" applyFill="1" applyBorder="1"/>
    <xf numFmtId="164" fontId="23" fillId="4" borderId="16" xfId="22" applyNumberFormat="1" applyFont="1" applyFill="1" applyBorder="1"/>
    <xf numFmtId="4" fontId="27" fillId="4" borderId="25" xfId="2" applyNumberFormat="1" applyFont="1" applyFill="1" applyBorder="1"/>
    <xf numFmtId="180" fontId="23" fillId="0" borderId="16" xfId="24" applyNumberFormat="1" applyFont="1" applyBorder="1"/>
    <xf numFmtId="170" fontId="23" fillId="4" borderId="21" xfId="25" applyNumberFormat="1" applyFont="1" applyFill="1" applyBorder="1" applyAlignment="1">
      <alignment horizontal="center" vertical="center"/>
    </xf>
    <xf numFmtId="0" fontId="34" fillId="0" borderId="47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3" fillId="4" borderId="0" xfId="2" applyFont="1" applyFill="1" applyAlignment="1">
      <alignment vertical="center"/>
    </xf>
    <xf numFmtId="0" fontId="23" fillId="4" borderId="37" xfId="2" applyFont="1" applyFill="1" applyBorder="1" applyAlignment="1">
      <alignment vertical="center"/>
    </xf>
    <xf numFmtId="177" fontId="23" fillId="4" borderId="0" xfId="23" applyNumberFormat="1" applyFont="1" applyFill="1" applyBorder="1"/>
    <xf numFmtId="3" fontId="23" fillId="4" borderId="25" xfId="2" applyNumberFormat="1" applyFont="1" applyFill="1" applyBorder="1"/>
    <xf numFmtId="2" fontId="19" fillId="0" borderId="0" xfId="0" applyNumberFormat="1" applyFont="1" applyAlignment="1">
      <alignment horizontal="center" vertical="center" wrapText="1"/>
    </xf>
    <xf numFmtId="165" fontId="20" fillId="0" borderId="16" xfId="14" applyFont="1" applyBorder="1" applyAlignment="1">
      <alignment horizontal="center"/>
    </xf>
    <xf numFmtId="186" fontId="33" fillId="0" borderId="0" xfId="16" applyNumberFormat="1" applyFont="1"/>
    <xf numFmtId="165" fontId="31" fillId="0" borderId="0" xfId="14" applyFont="1"/>
    <xf numFmtId="187" fontId="25" fillId="7" borderId="16" xfId="17" applyNumberFormat="1" applyFont="1" applyFill="1" applyBorder="1" applyAlignment="1">
      <alignment horizontal="left"/>
    </xf>
    <xf numFmtId="177" fontId="24" fillId="0" borderId="16" xfId="16" applyNumberFormat="1" applyFont="1" applyBorder="1"/>
    <xf numFmtId="177" fontId="25" fillId="0" borderId="16" xfId="16" applyNumberFormat="1" applyFont="1" applyBorder="1" applyAlignment="1">
      <alignment vertical="center" wrapText="1"/>
    </xf>
    <xf numFmtId="177" fontId="24" fillId="0" borderId="16" xfId="17" applyNumberFormat="1" applyFont="1" applyBorder="1" applyAlignment="1">
      <alignment vertical="center" wrapText="1"/>
    </xf>
    <xf numFmtId="177" fontId="24" fillId="0" borderId="16" xfId="19" applyNumberFormat="1" applyFont="1" applyBorder="1" applyAlignment="1">
      <alignment vertical="center"/>
    </xf>
    <xf numFmtId="165" fontId="19" fillId="0" borderId="16" xfId="0" applyNumberFormat="1" applyFont="1" applyBorder="1" applyAlignment="1">
      <alignment horizontal="center"/>
    </xf>
    <xf numFmtId="165" fontId="20" fillId="0" borderId="16" xfId="14" applyFont="1" applyFill="1" applyBorder="1"/>
    <xf numFmtId="165" fontId="20" fillId="8" borderId="16" xfId="14" applyFont="1" applyFill="1" applyBorder="1"/>
    <xf numFmtId="165" fontId="19" fillId="0" borderId="16" xfId="0" applyNumberFormat="1" applyFont="1" applyBorder="1"/>
    <xf numFmtId="165" fontId="24" fillId="0" borderId="16" xfId="0" applyNumberFormat="1" applyFont="1" applyBorder="1"/>
    <xf numFmtId="165" fontId="19" fillId="0" borderId="51" xfId="0" applyNumberFormat="1" applyFont="1" applyBorder="1" applyAlignment="1">
      <alignment horizontal="center"/>
    </xf>
    <xf numFmtId="169" fontId="0" fillId="0" borderId="0" xfId="14" applyNumberFormat="1" applyFont="1"/>
    <xf numFmtId="176" fontId="19" fillId="8" borderId="16" xfId="0" applyNumberFormat="1" applyFont="1" applyFill="1" applyBorder="1" applyAlignment="1">
      <alignment horizontal="center" vertical="center"/>
    </xf>
    <xf numFmtId="187" fontId="20" fillId="0" borderId="0" xfId="0" applyNumberFormat="1" applyFont="1" applyAlignment="1">
      <alignment horizontal="center" vertical="center" wrapText="1"/>
    </xf>
    <xf numFmtId="187" fontId="24" fillId="0" borderId="5" xfId="0" applyNumberFormat="1" applyFont="1" applyBorder="1"/>
    <xf numFmtId="187" fontId="24" fillId="0" borderId="0" xfId="0" applyNumberFormat="1" applyFont="1"/>
    <xf numFmtId="187" fontId="20" fillId="0" borderId="0" xfId="0" applyNumberFormat="1" applyFont="1"/>
    <xf numFmtId="170" fontId="25" fillId="0" borderId="16" xfId="0" applyNumberFormat="1" applyFont="1" applyBorder="1" applyAlignment="1">
      <alignment horizontal="center" vertical="center"/>
    </xf>
    <xf numFmtId="170" fontId="24" fillId="0" borderId="0" xfId="0" applyNumberFormat="1" applyFont="1" applyAlignment="1">
      <alignment horizontal="center"/>
    </xf>
    <xf numFmtId="170" fontId="25" fillId="0" borderId="0" xfId="0" applyNumberFormat="1" applyFont="1"/>
    <xf numFmtId="170" fontId="25" fillId="0" borderId="0" xfId="0" applyNumberFormat="1" applyFont="1" applyAlignment="1">
      <alignment horizontal="center"/>
    </xf>
    <xf numFmtId="170" fontId="20" fillId="4" borderId="16" xfId="14" applyNumberFormat="1" applyFont="1" applyFill="1" applyBorder="1" applyAlignment="1">
      <alignment horizontal="center" vertical="center"/>
    </xf>
    <xf numFmtId="170" fontId="19" fillId="4" borderId="16" xfId="14" applyNumberFormat="1" applyFont="1" applyFill="1" applyBorder="1" applyAlignment="1">
      <alignment horizontal="center" vertical="center"/>
    </xf>
    <xf numFmtId="170" fontId="19" fillId="4" borderId="0" xfId="0" applyNumberFormat="1" applyFont="1" applyFill="1" applyAlignment="1">
      <alignment horizontal="center" vertical="center" wrapText="1"/>
    </xf>
    <xf numFmtId="9" fontId="20" fillId="4" borderId="16" xfId="21" applyFont="1" applyFill="1" applyBorder="1" applyAlignment="1">
      <alignment vertical="center"/>
    </xf>
    <xf numFmtId="170" fontId="20" fillId="0" borderId="16" xfId="14" applyNumberFormat="1" applyFont="1" applyFill="1" applyBorder="1" applyAlignment="1">
      <alignment horizontal="center" vertical="center"/>
    </xf>
    <xf numFmtId="165" fontId="34" fillId="0" borderId="0" xfId="14" applyFont="1"/>
    <xf numFmtId="44" fontId="34" fillId="0" borderId="0" xfId="0" applyNumberFormat="1" applyFont="1"/>
    <xf numFmtId="0" fontId="38" fillId="0" borderId="0" xfId="0" applyFont="1"/>
    <xf numFmtId="14" fontId="35" fillId="0" borderId="19" xfId="0" applyNumberFormat="1" applyFont="1" applyBorder="1" applyAlignment="1">
      <alignment horizontal="center" vertical="center"/>
    </xf>
    <xf numFmtId="0" fontId="41" fillId="4" borderId="16" xfId="2" applyFont="1" applyFill="1" applyBorder="1" applyAlignment="1">
      <alignment horizontal="center"/>
    </xf>
    <xf numFmtId="0" fontId="41" fillId="4" borderId="16" xfId="2" applyFont="1" applyFill="1" applyBorder="1"/>
    <xf numFmtId="0" fontId="19" fillId="0" borderId="16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2" fontId="20" fillId="0" borderId="16" xfId="0" applyNumberFormat="1" applyFont="1" applyBorder="1" applyAlignment="1">
      <alignment horizontal="center" vertical="center"/>
    </xf>
    <xf numFmtId="2" fontId="19" fillId="8" borderId="30" xfId="0" applyNumberFormat="1" applyFont="1" applyFill="1" applyBorder="1" applyAlignment="1">
      <alignment horizontal="center" vertical="center" wrapText="1"/>
    </xf>
    <xf numFmtId="181" fontId="19" fillId="0" borderId="30" xfId="10" applyNumberFormat="1" applyFont="1" applyFill="1" applyBorder="1"/>
    <xf numFmtId="181" fontId="20" fillId="0" borderId="30" xfId="13" applyNumberFormat="1" applyFont="1" applyFill="1" applyBorder="1"/>
    <xf numFmtId="181" fontId="19" fillId="0" borderId="30" xfId="21" applyNumberFormat="1" applyFont="1" applyFill="1" applyBorder="1"/>
    <xf numFmtId="9" fontId="19" fillId="0" borderId="65" xfId="21" applyFont="1" applyFill="1" applyBorder="1"/>
    <xf numFmtId="187" fontId="20" fillId="0" borderId="66" xfId="0" applyNumberFormat="1" applyFont="1" applyBorder="1"/>
    <xf numFmtId="187" fontId="20" fillId="8" borderId="66" xfId="0" applyNumberFormat="1" applyFont="1" applyFill="1" applyBorder="1"/>
    <xf numFmtId="187" fontId="20" fillId="0" borderId="67" xfId="0" applyNumberFormat="1" applyFont="1" applyBorder="1" applyAlignment="1">
      <alignment horizontal="center"/>
    </xf>
    <xf numFmtId="187" fontId="20" fillId="8" borderId="67" xfId="0" applyNumberFormat="1" applyFont="1" applyFill="1" applyBorder="1" applyAlignment="1">
      <alignment horizontal="center"/>
    </xf>
    <xf numFmtId="187" fontId="19" fillId="0" borderId="66" xfId="10" applyNumberFormat="1" applyFont="1" applyFill="1" applyBorder="1" applyAlignment="1">
      <alignment horizontal="center"/>
    </xf>
    <xf numFmtId="187" fontId="19" fillId="0" borderId="68" xfId="13" applyNumberFormat="1" applyFont="1" applyFill="1" applyBorder="1" applyAlignment="1">
      <alignment horizontal="right"/>
    </xf>
    <xf numFmtId="0" fontId="20" fillId="0" borderId="20" xfId="0" applyFont="1" applyBorder="1"/>
    <xf numFmtId="187" fontId="19" fillId="0" borderId="69" xfId="0" applyNumberFormat="1" applyFont="1" applyBorder="1" applyAlignment="1">
      <alignment horizontal="center"/>
    </xf>
    <xf numFmtId="0" fontId="24" fillId="0" borderId="16" xfId="0" applyFont="1" applyBorder="1"/>
    <xf numFmtId="177" fontId="24" fillId="0" borderId="16" xfId="0" applyNumberFormat="1" applyFont="1" applyBorder="1"/>
    <xf numFmtId="10" fontId="24" fillId="4" borderId="0" xfId="0" applyNumberFormat="1" applyFont="1" applyFill="1"/>
    <xf numFmtId="177" fontId="24" fillId="0" borderId="16" xfId="0" applyNumberFormat="1" applyFont="1" applyBorder="1" applyAlignment="1">
      <alignment vertical="center"/>
    </xf>
    <xf numFmtId="10" fontId="24" fillId="0" borderId="0" xfId="0" applyNumberFormat="1" applyFont="1"/>
    <xf numFmtId="10" fontId="25" fillId="7" borderId="16" xfId="16" applyNumberFormat="1" applyFont="1" applyFill="1" applyBorder="1"/>
    <xf numFmtId="170" fontId="20" fillId="0" borderId="31" xfId="3" applyNumberFormat="1" applyFont="1" applyFill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3" fontId="25" fillId="0" borderId="16" xfId="0" applyNumberFormat="1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/>
    </xf>
    <xf numFmtId="0" fontId="25" fillId="0" borderId="16" xfId="0" applyFont="1" applyBorder="1" applyAlignment="1">
      <alignment horizontal="center" vertical="center" wrapText="1"/>
    </xf>
    <xf numFmtId="0" fontId="20" fillId="0" borderId="0" xfId="0" applyFont="1" applyBorder="1"/>
    <xf numFmtId="188" fontId="31" fillId="0" borderId="0" xfId="16" applyNumberFormat="1" applyFont="1"/>
    <xf numFmtId="170" fontId="20" fillId="4" borderId="0" xfId="3" applyNumberFormat="1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vertical="center"/>
    </xf>
    <xf numFmtId="0" fontId="10" fillId="0" borderId="4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168" fontId="10" fillId="0" borderId="16" xfId="13" applyFont="1" applyFill="1" applyBorder="1" applyAlignment="1" applyProtection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68" fontId="10" fillId="0" borderId="17" xfId="13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8" fontId="3" fillId="0" borderId="0" xfId="13" applyFont="1" applyFill="1" applyAlignment="1" applyProtection="1">
      <alignment vertical="center"/>
    </xf>
    <xf numFmtId="168" fontId="10" fillId="0" borderId="0" xfId="13" applyFont="1" applyFill="1" applyBorder="1" applyAlignment="1" applyProtection="1">
      <alignment vertical="center"/>
    </xf>
    <xf numFmtId="4" fontId="10" fillId="0" borderId="6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68" fontId="10" fillId="0" borderId="3" xfId="13" applyFont="1" applyFill="1" applyBorder="1" applyAlignment="1" applyProtection="1">
      <alignment vertical="center"/>
    </xf>
    <xf numFmtId="4" fontId="3" fillId="0" borderId="4" xfId="0" applyNumberFormat="1" applyFont="1" applyBorder="1" applyAlignment="1">
      <alignment vertical="center"/>
    </xf>
    <xf numFmtId="4" fontId="3" fillId="0" borderId="16" xfId="0" applyNumberFormat="1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2" fontId="3" fillId="0" borderId="16" xfId="0" applyNumberFormat="1" applyFont="1" applyBorder="1" applyAlignment="1">
      <alignment vertical="center"/>
    </xf>
    <xf numFmtId="168" fontId="3" fillId="0" borderId="16" xfId="13" applyFont="1" applyFill="1" applyBorder="1" applyAlignment="1" applyProtection="1">
      <alignment horizontal="right" vertical="center"/>
    </xf>
    <xf numFmtId="0" fontId="28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4" fontId="3" fillId="0" borderId="16" xfId="0" applyNumberFormat="1" applyFont="1" applyBorder="1" applyAlignment="1">
      <alignment vertical="center" wrapText="1"/>
    </xf>
    <xf numFmtId="0" fontId="10" fillId="0" borderId="53" xfId="0" applyFont="1" applyBorder="1" applyAlignment="1">
      <alignment vertical="center"/>
    </xf>
    <xf numFmtId="0" fontId="10" fillId="0" borderId="54" xfId="0" applyFont="1" applyBorder="1" applyAlignment="1">
      <alignment vertical="center"/>
    </xf>
    <xf numFmtId="168" fontId="10" fillId="0" borderId="55" xfId="13" applyFont="1" applyFill="1" applyBorder="1" applyAlignment="1" applyProtection="1">
      <alignment vertical="center"/>
    </xf>
    <xf numFmtId="0" fontId="10" fillId="0" borderId="16" xfId="0" applyFont="1" applyBorder="1" applyAlignment="1">
      <alignment vertical="center"/>
    </xf>
    <xf numFmtId="168" fontId="10" fillId="0" borderId="16" xfId="13" applyFont="1" applyFill="1" applyBorder="1" applyAlignment="1" applyProtection="1">
      <alignment vertical="center"/>
    </xf>
    <xf numFmtId="168" fontId="3" fillId="0" borderId="16" xfId="13" applyFont="1" applyFill="1" applyBorder="1" applyAlignment="1" applyProtection="1">
      <alignment vertical="center"/>
    </xf>
    <xf numFmtId="168" fontId="3" fillId="0" borderId="17" xfId="13" applyFont="1" applyFill="1" applyBorder="1" applyAlignment="1" applyProtection="1">
      <alignment vertical="center"/>
    </xf>
    <xf numFmtId="0" fontId="20" fillId="4" borderId="0" xfId="2" applyFont="1" applyFill="1"/>
    <xf numFmtId="3" fontId="20" fillId="4" borderId="0" xfId="2" applyNumberFormat="1" applyFont="1" applyFill="1"/>
    <xf numFmtId="4" fontId="20" fillId="4" borderId="0" xfId="2" applyNumberFormat="1" applyFont="1" applyFill="1"/>
    <xf numFmtId="165" fontId="20" fillId="4" borderId="37" xfId="14" applyFont="1" applyFill="1" applyBorder="1"/>
    <xf numFmtId="0" fontId="20" fillId="0" borderId="0" xfId="2" applyFont="1"/>
    <xf numFmtId="4" fontId="19" fillId="4" borderId="47" xfId="2" applyNumberFormat="1" applyFont="1" applyFill="1" applyBorder="1" applyAlignment="1">
      <alignment vertical="center" wrapText="1"/>
    </xf>
    <xf numFmtId="4" fontId="19" fillId="4" borderId="0" xfId="2" applyNumberFormat="1" applyFont="1" applyFill="1" applyAlignment="1">
      <alignment vertical="center" wrapText="1"/>
    </xf>
    <xf numFmtId="4" fontId="19" fillId="4" borderId="37" xfId="2" applyNumberFormat="1" applyFont="1" applyFill="1" applyBorder="1" applyAlignment="1">
      <alignment vertical="center" wrapText="1"/>
    </xf>
    <xf numFmtId="176" fontId="19" fillId="8" borderId="34" xfId="2" applyNumberFormat="1" applyFont="1" applyFill="1" applyBorder="1"/>
    <xf numFmtId="0" fontId="19" fillId="8" borderId="23" xfId="2" applyFont="1" applyFill="1" applyBorder="1"/>
    <xf numFmtId="165" fontId="19" fillId="8" borderId="35" xfId="14" applyFont="1" applyFill="1" applyBorder="1"/>
    <xf numFmtId="0" fontId="20" fillId="4" borderId="47" xfId="2" applyFont="1" applyFill="1" applyBorder="1"/>
    <xf numFmtId="0" fontId="19" fillId="4" borderId="16" xfId="2" applyFont="1" applyFill="1" applyBorder="1" applyAlignment="1">
      <alignment horizontal="center"/>
    </xf>
    <xf numFmtId="0" fontId="20" fillId="4" borderId="16" xfId="2" applyFont="1" applyFill="1" applyBorder="1" applyAlignment="1">
      <alignment horizontal="center"/>
    </xf>
    <xf numFmtId="0" fontId="20" fillId="4" borderId="16" xfId="2" applyFont="1" applyFill="1" applyBorder="1"/>
    <xf numFmtId="4" fontId="20" fillId="4" borderId="16" xfId="2" applyNumberFormat="1" applyFont="1" applyFill="1" applyBorder="1"/>
    <xf numFmtId="185" fontId="20" fillId="4" borderId="16" xfId="2" applyNumberFormat="1" applyFont="1" applyFill="1" applyBorder="1"/>
    <xf numFmtId="177" fontId="20" fillId="4" borderId="16" xfId="13" applyNumberFormat="1" applyFont="1" applyFill="1" applyBorder="1"/>
    <xf numFmtId="0" fontId="20" fillId="4" borderId="26" xfId="2" applyFont="1" applyFill="1" applyBorder="1"/>
    <xf numFmtId="4" fontId="20" fillId="4" borderId="16" xfId="2" applyNumberFormat="1" applyFont="1" applyFill="1" applyBorder="1" applyAlignment="1">
      <alignment horizontal="center"/>
    </xf>
    <xf numFmtId="0" fontId="20" fillId="4" borderId="16" xfId="2" applyFont="1" applyFill="1" applyBorder="1" applyAlignment="1">
      <alignment horizontal="center" vertical="center" wrapText="1"/>
    </xf>
    <xf numFmtId="2" fontId="20" fillId="4" borderId="16" xfId="2" applyNumberFormat="1" applyFont="1" applyFill="1" applyBorder="1" applyAlignment="1">
      <alignment horizontal="center" vertical="center" wrapText="1"/>
    </xf>
    <xf numFmtId="44" fontId="20" fillId="4" borderId="31" xfId="24" applyFont="1" applyFill="1" applyBorder="1"/>
    <xf numFmtId="4" fontId="20" fillId="4" borderId="16" xfId="2" applyNumberFormat="1" applyFont="1" applyFill="1" applyBorder="1" applyAlignment="1">
      <alignment horizontal="center" vertical="center" wrapText="1"/>
    </xf>
    <xf numFmtId="165" fontId="20" fillId="4" borderId="16" xfId="14" applyFont="1" applyFill="1" applyBorder="1" applyAlignment="1">
      <alignment horizontal="center" vertical="center" wrapText="1"/>
    </xf>
    <xf numFmtId="164" fontId="20" fillId="4" borderId="16" xfId="1" applyFont="1" applyFill="1" applyBorder="1"/>
    <xf numFmtId="9" fontId="20" fillId="4" borderId="16" xfId="2" applyNumberFormat="1" applyFont="1" applyFill="1" applyBorder="1"/>
    <xf numFmtId="3" fontId="20" fillId="4" borderId="16" xfId="2" applyNumberFormat="1" applyFont="1" applyFill="1" applyBorder="1"/>
    <xf numFmtId="1" fontId="20" fillId="4" borderId="16" xfId="2" applyNumberFormat="1" applyFont="1" applyFill="1" applyBorder="1"/>
    <xf numFmtId="172" fontId="20" fillId="4" borderId="16" xfId="2" applyNumberFormat="1" applyFont="1" applyFill="1" applyBorder="1"/>
    <xf numFmtId="0" fontId="19" fillId="4" borderId="0" xfId="2" applyFont="1" applyFill="1"/>
    <xf numFmtId="4" fontId="19" fillId="4" borderId="0" xfId="2" applyNumberFormat="1" applyFont="1" applyFill="1"/>
    <xf numFmtId="0" fontId="20" fillId="4" borderId="21" xfId="2" applyFont="1" applyFill="1" applyBorder="1"/>
    <xf numFmtId="4" fontId="20" fillId="4" borderId="21" xfId="2" applyNumberFormat="1" applyFont="1" applyFill="1" applyBorder="1"/>
    <xf numFmtId="3" fontId="19" fillId="4" borderId="47" xfId="2" applyNumberFormat="1" applyFont="1" applyFill="1" applyBorder="1"/>
    <xf numFmtId="3" fontId="20" fillId="4" borderId="47" xfId="2" applyNumberFormat="1" applyFont="1" applyFill="1" applyBorder="1"/>
    <xf numFmtId="3" fontId="20" fillId="4" borderId="21" xfId="2" applyNumberFormat="1" applyFont="1" applyFill="1" applyBorder="1"/>
    <xf numFmtId="165" fontId="20" fillId="4" borderId="22" xfId="14" applyFont="1" applyFill="1" applyBorder="1"/>
    <xf numFmtId="4" fontId="19" fillId="4" borderId="9" xfId="2" applyNumberFormat="1" applyFont="1" applyFill="1" applyBorder="1" applyAlignment="1">
      <alignment vertical="center" wrapText="1"/>
    </xf>
    <xf numFmtId="4" fontId="19" fillId="4" borderId="10" xfId="2" applyNumberFormat="1" applyFont="1" applyFill="1" applyBorder="1" applyAlignment="1">
      <alignment vertical="center" wrapText="1"/>
    </xf>
    <xf numFmtId="4" fontId="19" fillId="4" borderId="11" xfId="2" applyNumberFormat="1" applyFont="1" applyFill="1" applyBorder="1" applyAlignment="1">
      <alignment vertical="center" wrapText="1"/>
    </xf>
    <xf numFmtId="2" fontId="20" fillId="4" borderId="16" xfId="2" applyNumberFormat="1" applyFont="1" applyFill="1" applyBorder="1" applyAlignment="1">
      <alignment horizontal="center" vertical="center"/>
    </xf>
    <xf numFmtId="4" fontId="20" fillId="4" borderId="16" xfId="2" applyNumberFormat="1" applyFont="1" applyFill="1" applyBorder="1" applyAlignment="1">
      <alignment horizontal="center" vertical="center"/>
    </xf>
    <xf numFmtId="44" fontId="20" fillId="4" borderId="16" xfId="24" applyFont="1" applyFill="1" applyBorder="1" applyAlignment="1">
      <alignment vertical="center"/>
    </xf>
    <xf numFmtId="44" fontId="20" fillId="4" borderId="16" xfId="24" applyFont="1" applyFill="1" applyBorder="1" applyAlignment="1">
      <alignment horizontal="center"/>
    </xf>
    <xf numFmtId="2" fontId="20" fillId="4" borderId="16" xfId="2" applyNumberFormat="1" applyFont="1" applyFill="1" applyBorder="1" applyAlignment="1">
      <alignment horizontal="center"/>
    </xf>
    <xf numFmtId="44" fontId="20" fillId="4" borderId="16" xfId="24" applyFont="1" applyFill="1" applyBorder="1"/>
    <xf numFmtId="0" fontId="24" fillId="0" borderId="16" xfId="0" applyFont="1" applyBorder="1" applyAlignment="1">
      <alignment horizontal="center" vertical="center" wrapText="1"/>
    </xf>
    <xf numFmtId="176" fontId="20" fillId="4" borderId="16" xfId="2" applyNumberFormat="1" applyFont="1" applyFill="1" applyBorder="1"/>
    <xf numFmtId="165" fontId="20" fillId="4" borderId="0" xfId="14" applyFont="1" applyFill="1"/>
    <xf numFmtId="0" fontId="19" fillId="8" borderId="35" xfId="2" applyFont="1" applyFill="1" applyBorder="1"/>
    <xf numFmtId="0" fontId="20" fillId="4" borderId="37" xfId="2" applyFont="1" applyFill="1" applyBorder="1"/>
    <xf numFmtId="4" fontId="20" fillId="4" borderId="37" xfId="2" applyNumberFormat="1" applyFont="1" applyFill="1" applyBorder="1"/>
    <xf numFmtId="177" fontId="20" fillId="4" borderId="37" xfId="13" applyNumberFormat="1" applyFont="1" applyFill="1" applyBorder="1"/>
    <xf numFmtId="2" fontId="20" fillId="4" borderId="37" xfId="2" applyNumberFormat="1" applyFont="1" applyFill="1" applyBorder="1"/>
    <xf numFmtId="2" fontId="20" fillId="4" borderId="16" xfId="2" applyNumberFormat="1" applyFont="1" applyFill="1" applyBorder="1"/>
    <xf numFmtId="0" fontId="20" fillId="4" borderId="16" xfId="2" applyFont="1" applyFill="1" applyBorder="1" applyAlignment="1">
      <alignment horizontal="left" vertical="center" wrapText="1"/>
    </xf>
    <xf numFmtId="0" fontId="20" fillId="4" borderId="16" xfId="2" applyFont="1" applyFill="1" applyBorder="1" applyAlignment="1">
      <alignment horizontal="right" vertical="center" wrapText="1"/>
    </xf>
    <xf numFmtId="3" fontId="20" fillId="4" borderId="37" xfId="2" applyNumberFormat="1" applyFont="1" applyFill="1" applyBorder="1"/>
    <xf numFmtId="3" fontId="20" fillId="4" borderId="22" xfId="2" applyNumberFormat="1" applyFont="1" applyFill="1" applyBorder="1"/>
    <xf numFmtId="165" fontId="20" fillId="4" borderId="16" xfId="14" applyFont="1" applyFill="1" applyBorder="1" applyAlignment="1">
      <alignment horizontal="center"/>
    </xf>
    <xf numFmtId="4" fontId="19" fillId="4" borderId="25" xfId="2" applyNumberFormat="1" applyFont="1" applyFill="1" applyBorder="1" applyAlignment="1">
      <alignment vertical="center" wrapText="1"/>
    </xf>
    <xf numFmtId="4" fontId="19" fillId="4" borderId="38" xfId="2" applyNumberFormat="1" applyFont="1" applyFill="1" applyBorder="1" applyAlignment="1">
      <alignment vertical="center" wrapText="1"/>
    </xf>
    <xf numFmtId="4" fontId="19" fillId="4" borderId="47" xfId="2" applyNumberFormat="1" applyFont="1" applyFill="1" applyBorder="1" applyAlignment="1">
      <alignment horizontal="center" vertical="center" wrapText="1"/>
    </xf>
    <xf numFmtId="4" fontId="19" fillId="4" borderId="0" xfId="2" applyNumberFormat="1" applyFont="1" applyFill="1" applyBorder="1" applyAlignment="1">
      <alignment horizontal="center" vertical="center" wrapText="1"/>
    </xf>
    <xf numFmtId="4" fontId="19" fillId="4" borderId="37" xfId="2" applyNumberFormat="1" applyFont="1" applyFill="1" applyBorder="1" applyAlignment="1">
      <alignment horizontal="center" vertical="center" wrapText="1"/>
    </xf>
    <xf numFmtId="0" fontId="20" fillId="4" borderId="0" xfId="2" applyFont="1" applyFill="1" applyBorder="1"/>
    <xf numFmtId="4" fontId="20" fillId="4" borderId="0" xfId="2" applyNumberFormat="1" applyFont="1" applyFill="1" applyBorder="1"/>
    <xf numFmtId="0" fontId="19" fillId="4" borderId="0" xfId="2" applyFont="1" applyFill="1" applyBorder="1"/>
    <xf numFmtId="4" fontId="19" fillId="4" borderId="0" xfId="2" applyNumberFormat="1" applyFont="1" applyFill="1" applyBorder="1"/>
    <xf numFmtId="3" fontId="20" fillId="4" borderId="0" xfId="2" applyNumberFormat="1" applyFont="1" applyFill="1" applyBorder="1"/>
    <xf numFmtId="3" fontId="19" fillId="4" borderId="0" xfId="2" applyNumberFormat="1" applyFont="1" applyFill="1" applyBorder="1"/>
    <xf numFmtId="176" fontId="19" fillId="8" borderId="23" xfId="2" applyNumberFormat="1" applyFont="1" applyFill="1" applyBorder="1"/>
    <xf numFmtId="3" fontId="20" fillId="4" borderId="20" xfId="2" applyNumberFormat="1" applyFont="1" applyFill="1" applyBorder="1"/>
    <xf numFmtId="165" fontId="19" fillId="8" borderId="23" xfId="14" applyFont="1" applyFill="1" applyBorder="1"/>
    <xf numFmtId="4" fontId="19" fillId="4" borderId="59" xfId="2" applyNumberFormat="1" applyFont="1" applyFill="1" applyBorder="1" applyAlignment="1">
      <alignment vertical="center" wrapText="1"/>
    </xf>
    <xf numFmtId="4" fontId="19" fillId="4" borderId="58" xfId="2" applyNumberFormat="1" applyFont="1" applyFill="1" applyBorder="1" applyAlignment="1">
      <alignment vertical="center" wrapText="1"/>
    </xf>
    <xf numFmtId="0" fontId="20" fillId="0" borderId="47" xfId="2" applyFont="1" applyBorder="1"/>
    <xf numFmtId="171" fontId="20" fillId="4" borderId="0" xfId="3" applyNumberFormat="1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4" fontId="11" fillId="4" borderId="1" xfId="2" applyNumberFormat="1" applyFont="1" applyFill="1" applyBorder="1" applyAlignment="1">
      <alignment horizontal="center"/>
    </xf>
    <xf numFmtId="4" fontId="11" fillId="4" borderId="2" xfId="2" applyNumberFormat="1" applyFont="1" applyFill="1" applyBorder="1" applyAlignment="1">
      <alignment horizontal="center"/>
    </xf>
    <xf numFmtId="4" fontId="11" fillId="4" borderId="3" xfId="2" applyNumberFormat="1" applyFont="1" applyFill="1" applyBorder="1" applyAlignment="1">
      <alignment horizontal="center"/>
    </xf>
    <xf numFmtId="4" fontId="10" fillId="4" borderId="4" xfId="2" applyNumberFormat="1" applyFont="1" applyFill="1" applyBorder="1" applyAlignment="1">
      <alignment horizontal="center"/>
    </xf>
    <xf numFmtId="4" fontId="10" fillId="4" borderId="0" xfId="2" applyNumberFormat="1" applyFont="1" applyFill="1" applyAlignment="1">
      <alignment horizontal="center"/>
    </xf>
    <xf numFmtId="4" fontId="10" fillId="4" borderId="5" xfId="2" applyNumberFormat="1" applyFont="1" applyFill="1" applyBorder="1" applyAlignment="1">
      <alignment horizontal="center"/>
    </xf>
    <xf numFmtId="0" fontId="6" fillId="4" borderId="4" xfId="2" applyFont="1" applyFill="1" applyBorder="1" applyAlignment="1">
      <alignment horizontal="center" vertical="center"/>
    </xf>
    <xf numFmtId="0" fontId="6" fillId="4" borderId="0" xfId="2" applyFont="1" applyFill="1" applyAlignment="1">
      <alignment horizontal="center" vertical="center"/>
    </xf>
    <xf numFmtId="0" fontId="6" fillId="4" borderId="5" xfId="2" applyFont="1" applyFill="1" applyBorder="1" applyAlignment="1">
      <alignment horizontal="center" vertical="center"/>
    </xf>
    <xf numFmtId="4" fontId="14" fillId="4" borderId="46" xfId="2" applyNumberFormat="1" applyFont="1" applyFill="1" applyBorder="1" applyAlignment="1">
      <alignment horizontal="center" vertical="center" wrapText="1"/>
    </xf>
    <xf numFmtId="4" fontId="14" fillId="4" borderId="33" xfId="2" applyNumberFormat="1" applyFont="1" applyFill="1" applyBorder="1" applyAlignment="1">
      <alignment horizontal="center" vertical="center" wrapText="1"/>
    </xf>
    <xf numFmtId="4" fontId="14" fillId="4" borderId="45" xfId="2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5" fillId="0" borderId="19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5" fillId="0" borderId="56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4" fontId="25" fillId="0" borderId="26" xfId="0" applyNumberFormat="1" applyFont="1" applyBorder="1" applyAlignment="1">
      <alignment horizontal="center" vertical="center" wrapText="1"/>
    </xf>
    <xf numFmtId="4" fontId="25" fillId="0" borderId="25" xfId="0" applyNumberFormat="1" applyFont="1" applyBorder="1" applyAlignment="1">
      <alignment horizontal="center" vertical="center" wrapText="1"/>
    </xf>
    <xf numFmtId="4" fontId="25" fillId="0" borderId="20" xfId="0" applyNumberFormat="1" applyFont="1" applyBorder="1" applyAlignment="1">
      <alignment horizontal="center" vertical="center" wrapText="1"/>
    </xf>
    <xf numFmtId="4" fontId="25" fillId="0" borderId="21" xfId="0" applyNumberFormat="1" applyFont="1" applyBorder="1" applyAlignment="1">
      <alignment horizontal="center" vertical="center" wrapText="1"/>
    </xf>
    <xf numFmtId="3" fontId="25" fillId="0" borderId="15" xfId="0" applyNumberFormat="1" applyFont="1" applyBorder="1" applyAlignment="1">
      <alignment horizontal="center" vertical="center" wrapText="1"/>
    </xf>
    <xf numFmtId="3" fontId="25" fillId="0" borderId="16" xfId="0" applyNumberFormat="1" applyFont="1" applyBorder="1" applyAlignment="1">
      <alignment horizontal="center" vertical="center" wrapText="1"/>
    </xf>
    <xf numFmtId="3" fontId="25" fillId="0" borderId="17" xfId="0" applyNumberFormat="1" applyFont="1" applyBorder="1" applyAlignment="1">
      <alignment horizontal="center" vertical="center" wrapText="1"/>
    </xf>
    <xf numFmtId="4" fontId="25" fillId="0" borderId="30" xfId="0" applyNumberFormat="1" applyFont="1" applyBorder="1" applyAlignment="1">
      <alignment horizontal="center" vertical="center" wrapText="1"/>
    </xf>
    <xf numFmtId="4" fontId="25" fillId="0" borderId="33" xfId="0" applyNumberFormat="1" applyFont="1" applyBorder="1" applyAlignment="1">
      <alignment horizontal="center" vertical="center" wrapText="1"/>
    </xf>
    <xf numFmtId="4" fontId="25" fillId="0" borderId="16" xfId="0" applyNumberFormat="1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14" fontId="25" fillId="0" borderId="50" xfId="0" applyNumberFormat="1" applyFont="1" applyBorder="1" applyAlignment="1">
      <alignment horizontal="center" vertical="center"/>
    </xf>
    <xf numFmtId="14" fontId="25" fillId="0" borderId="51" xfId="0" applyNumberFormat="1" applyFont="1" applyBorder="1" applyAlignment="1">
      <alignment horizontal="center" vertical="center"/>
    </xf>
    <xf numFmtId="14" fontId="25" fillId="0" borderId="52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9" xfId="0" applyNumberFormat="1" applyFont="1" applyBorder="1" applyAlignment="1">
      <alignment horizontal="center" vertical="center" wrapText="1"/>
    </xf>
    <xf numFmtId="4" fontId="10" fillId="0" borderId="10" xfId="0" applyNumberFormat="1" applyFont="1" applyBorder="1" applyAlignment="1">
      <alignment horizontal="center" vertical="center" wrapText="1"/>
    </xf>
    <xf numFmtId="4" fontId="10" fillId="0" borderId="11" xfId="0" applyNumberFormat="1" applyFont="1" applyBorder="1" applyAlignment="1">
      <alignment horizontal="center" vertical="center" wrapText="1"/>
    </xf>
    <xf numFmtId="4" fontId="10" fillId="7" borderId="6" xfId="0" applyNumberFormat="1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170" fontId="19" fillId="4" borderId="0" xfId="3" applyNumberFormat="1" applyFont="1" applyFill="1" applyBorder="1" applyAlignment="1">
      <alignment horizontal="center" vertical="center"/>
    </xf>
    <xf numFmtId="170" fontId="20" fillId="4" borderId="0" xfId="3" applyNumberFormat="1" applyFont="1" applyFill="1" applyBorder="1" applyAlignment="1">
      <alignment horizontal="center" vertical="center" wrapText="1"/>
    </xf>
    <xf numFmtId="170" fontId="20" fillId="4" borderId="0" xfId="3" applyNumberFormat="1" applyFont="1" applyFill="1" applyBorder="1" applyAlignment="1">
      <alignment horizontal="center" vertical="center"/>
    </xf>
    <xf numFmtId="4" fontId="10" fillId="0" borderId="4" xfId="0" applyNumberFormat="1" applyFont="1" applyBorder="1" applyAlignment="1">
      <alignment horizontal="left" vertical="center" wrapText="1"/>
    </xf>
    <xf numFmtId="4" fontId="10" fillId="0" borderId="0" xfId="0" applyNumberFormat="1" applyFont="1" applyBorder="1" applyAlignment="1">
      <alignment horizontal="left" vertical="center" wrapText="1"/>
    </xf>
    <xf numFmtId="4" fontId="10" fillId="0" borderId="37" xfId="0" applyNumberFormat="1" applyFont="1" applyBorder="1" applyAlignment="1">
      <alignment horizontal="left" vertical="center" wrapText="1"/>
    </xf>
    <xf numFmtId="0" fontId="19" fillId="4" borderId="30" xfId="2" applyFont="1" applyFill="1" applyBorder="1" applyAlignment="1">
      <alignment horizontal="left"/>
    </xf>
    <xf numFmtId="0" fontId="19" fillId="4" borderId="33" xfId="2" applyFont="1" applyFill="1" applyBorder="1" applyAlignment="1">
      <alignment horizontal="left"/>
    </xf>
    <xf numFmtId="0" fontId="19" fillId="4" borderId="31" xfId="2" applyFont="1" applyFill="1" applyBorder="1" applyAlignment="1">
      <alignment horizontal="left"/>
    </xf>
    <xf numFmtId="4" fontId="19" fillId="4" borderId="26" xfId="2" applyNumberFormat="1" applyFont="1" applyFill="1" applyBorder="1" applyAlignment="1">
      <alignment horizontal="center" vertical="center" wrapText="1"/>
    </xf>
    <xf numFmtId="4" fontId="19" fillId="4" borderId="25" xfId="2" applyNumberFormat="1" applyFont="1" applyFill="1" applyBorder="1" applyAlignment="1">
      <alignment horizontal="center" vertical="center" wrapText="1"/>
    </xf>
    <xf numFmtId="4" fontId="19" fillId="4" borderId="38" xfId="2" applyNumberFormat="1" applyFont="1" applyFill="1" applyBorder="1" applyAlignment="1">
      <alignment horizontal="center" vertical="center" wrapText="1"/>
    </xf>
    <xf numFmtId="4" fontId="19" fillId="8" borderId="60" xfId="2" applyNumberFormat="1" applyFont="1" applyFill="1" applyBorder="1" applyAlignment="1">
      <alignment horizontal="center"/>
    </xf>
    <xf numFmtId="4" fontId="19" fillId="8" borderId="7" xfId="2" applyNumberFormat="1" applyFont="1" applyFill="1" applyBorder="1" applyAlignment="1">
      <alignment horizontal="center"/>
    </xf>
    <xf numFmtId="4" fontId="19" fillId="8" borderId="61" xfId="2" applyNumberFormat="1" applyFont="1" applyFill="1" applyBorder="1" applyAlignment="1">
      <alignment horizontal="center"/>
    </xf>
    <xf numFmtId="0" fontId="20" fillId="4" borderId="30" xfId="2" applyFont="1" applyFill="1" applyBorder="1" applyAlignment="1">
      <alignment horizontal="center"/>
    </xf>
    <xf numFmtId="0" fontId="20" fillId="4" borderId="31" xfId="2" applyFont="1" applyFill="1" applyBorder="1" applyAlignment="1">
      <alignment horizontal="center"/>
    </xf>
    <xf numFmtId="0" fontId="20" fillId="4" borderId="30" xfId="2" applyFont="1" applyFill="1" applyBorder="1" applyAlignment="1">
      <alignment horizontal="left"/>
    </xf>
    <xf numFmtId="0" fontId="20" fillId="4" borderId="31" xfId="2" applyFont="1" applyFill="1" applyBorder="1" applyAlignment="1">
      <alignment horizontal="left"/>
    </xf>
    <xf numFmtId="4" fontId="20" fillId="4" borderId="30" xfId="2" applyNumberFormat="1" applyFont="1" applyFill="1" applyBorder="1" applyAlignment="1">
      <alignment horizontal="left"/>
    </xf>
    <xf numFmtId="4" fontId="20" fillId="4" borderId="31" xfId="2" applyNumberFormat="1" applyFont="1" applyFill="1" applyBorder="1" applyAlignment="1">
      <alignment horizontal="left"/>
    </xf>
    <xf numFmtId="4" fontId="20" fillId="4" borderId="30" xfId="2" applyNumberFormat="1" applyFont="1" applyFill="1" applyBorder="1" applyAlignment="1">
      <alignment horizontal="center"/>
    </xf>
    <xf numFmtId="4" fontId="20" fillId="4" borderId="31" xfId="2" applyNumberFormat="1" applyFont="1" applyFill="1" applyBorder="1" applyAlignment="1">
      <alignment horizontal="center"/>
    </xf>
    <xf numFmtId="0" fontId="19" fillId="4" borderId="26" xfId="2" applyFont="1" applyFill="1" applyBorder="1" applyAlignment="1">
      <alignment horizontal="center" vertical="center"/>
    </xf>
    <xf numFmtId="0" fontId="19" fillId="4" borderId="38" xfId="2" applyFont="1" applyFill="1" applyBorder="1" applyAlignment="1">
      <alignment horizontal="center" vertical="center"/>
    </xf>
    <xf numFmtId="0" fontId="19" fillId="4" borderId="47" xfId="2" applyFont="1" applyFill="1" applyBorder="1" applyAlignment="1">
      <alignment horizontal="center" vertical="center"/>
    </xf>
    <xf numFmtId="0" fontId="19" fillId="4" borderId="37" xfId="2" applyFont="1" applyFill="1" applyBorder="1" applyAlignment="1">
      <alignment horizontal="center" vertical="center"/>
    </xf>
    <xf numFmtId="0" fontId="19" fillId="4" borderId="20" xfId="2" applyFont="1" applyFill="1" applyBorder="1" applyAlignment="1">
      <alignment horizontal="center" vertical="center"/>
    </xf>
    <xf numFmtId="0" fontId="19" fillId="4" borderId="22" xfId="2" applyFont="1" applyFill="1" applyBorder="1" applyAlignment="1">
      <alignment horizontal="center" vertical="center"/>
    </xf>
    <xf numFmtId="0" fontId="25" fillId="0" borderId="30" xfId="0" applyFont="1" applyBorder="1" applyAlignment="1">
      <alignment horizontal="center"/>
    </xf>
    <xf numFmtId="0" fontId="25" fillId="0" borderId="31" xfId="0" applyFont="1" applyBorder="1" applyAlignment="1">
      <alignment horizontal="center"/>
    </xf>
    <xf numFmtId="0" fontId="20" fillId="4" borderId="26" xfId="2" applyFont="1" applyFill="1" applyBorder="1" applyAlignment="1">
      <alignment horizontal="center"/>
    </xf>
    <xf numFmtId="0" fontId="20" fillId="4" borderId="38" xfId="2" applyFont="1" applyFill="1" applyBorder="1" applyAlignment="1">
      <alignment horizontal="center"/>
    </xf>
    <xf numFmtId="0" fontId="20" fillId="4" borderId="47" xfId="2" applyFont="1" applyFill="1" applyBorder="1" applyAlignment="1">
      <alignment horizontal="center"/>
    </xf>
    <xf numFmtId="0" fontId="20" fillId="4" borderId="37" xfId="2" applyFont="1" applyFill="1" applyBorder="1" applyAlignment="1">
      <alignment horizontal="center"/>
    </xf>
    <xf numFmtId="0" fontId="20" fillId="4" borderId="20" xfId="2" applyFont="1" applyFill="1" applyBorder="1" applyAlignment="1">
      <alignment horizontal="center"/>
    </xf>
    <xf numFmtId="0" fontId="20" fillId="4" borderId="22" xfId="2" applyFont="1" applyFill="1" applyBorder="1" applyAlignment="1">
      <alignment horizontal="center"/>
    </xf>
    <xf numFmtId="4" fontId="25" fillId="0" borderId="38" xfId="0" applyNumberFormat="1" applyFont="1" applyBorder="1" applyAlignment="1">
      <alignment horizontal="center" vertical="center" wrapText="1"/>
    </xf>
    <xf numFmtId="4" fontId="25" fillId="0" borderId="22" xfId="0" applyNumberFormat="1" applyFont="1" applyBorder="1" applyAlignment="1">
      <alignment horizontal="center" vertical="center" wrapText="1"/>
    </xf>
    <xf numFmtId="3" fontId="25" fillId="0" borderId="19" xfId="0" applyNumberFormat="1" applyFont="1" applyBorder="1" applyAlignment="1">
      <alignment horizontal="center" vertical="center" wrapText="1"/>
    </xf>
    <xf numFmtId="3" fontId="25" fillId="0" borderId="13" xfId="0" applyNumberFormat="1" applyFont="1" applyBorder="1" applyAlignment="1">
      <alignment horizontal="center" vertical="center" wrapText="1"/>
    </xf>
    <xf numFmtId="4" fontId="25" fillId="0" borderId="31" xfId="0" applyNumberFormat="1" applyFont="1" applyBorder="1" applyAlignment="1">
      <alignment horizontal="center" vertical="center" wrapText="1"/>
    </xf>
    <xf numFmtId="4" fontId="19" fillId="4" borderId="19" xfId="2" applyNumberFormat="1" applyFont="1" applyFill="1" applyBorder="1" applyAlignment="1">
      <alignment horizontal="center" vertical="center" wrapText="1"/>
    </xf>
    <xf numFmtId="4" fontId="19" fillId="4" borderId="13" xfId="2" applyNumberFormat="1" applyFont="1" applyFill="1" applyBorder="1" applyAlignment="1">
      <alignment horizontal="center" vertical="center" wrapText="1"/>
    </xf>
    <xf numFmtId="4" fontId="20" fillId="4" borderId="26" xfId="2" applyNumberFormat="1" applyFont="1" applyFill="1" applyBorder="1" applyAlignment="1">
      <alignment horizontal="center" vertical="center" wrapText="1"/>
    </xf>
    <xf numFmtId="4" fontId="20" fillId="4" borderId="38" xfId="2" applyNumberFormat="1" applyFont="1" applyFill="1" applyBorder="1" applyAlignment="1">
      <alignment horizontal="center" vertical="center" wrapText="1"/>
    </xf>
    <xf numFmtId="4" fontId="20" fillId="4" borderId="20" xfId="2" applyNumberFormat="1" applyFont="1" applyFill="1" applyBorder="1" applyAlignment="1">
      <alignment horizontal="center" vertical="center" wrapText="1"/>
    </xf>
    <xf numFmtId="4" fontId="20" fillId="4" borderId="22" xfId="2" applyNumberFormat="1" applyFont="1" applyFill="1" applyBorder="1" applyAlignment="1">
      <alignment horizontal="center" vertical="center" wrapText="1"/>
    </xf>
    <xf numFmtId="0" fontId="19" fillId="4" borderId="16" xfId="2" applyFont="1" applyFill="1" applyBorder="1" applyAlignment="1">
      <alignment horizontal="left"/>
    </xf>
    <xf numFmtId="0" fontId="20" fillId="4" borderId="16" xfId="2" applyFont="1" applyFill="1" applyBorder="1" applyAlignment="1">
      <alignment horizontal="center"/>
    </xf>
    <xf numFmtId="4" fontId="19" fillId="4" borderId="6" xfId="2" applyNumberFormat="1" applyFont="1" applyFill="1" applyBorder="1" applyAlignment="1">
      <alignment horizontal="center" vertical="center" wrapText="1"/>
    </xf>
    <xf numFmtId="4" fontId="19" fillId="4" borderId="7" xfId="2" applyNumberFormat="1" applyFont="1" applyFill="1" applyBorder="1" applyAlignment="1">
      <alignment horizontal="center" vertical="center" wrapText="1"/>
    </xf>
    <xf numFmtId="4" fontId="19" fillId="4" borderId="8" xfId="2" applyNumberFormat="1" applyFont="1" applyFill="1" applyBorder="1" applyAlignment="1">
      <alignment horizontal="center" vertical="center" wrapText="1"/>
    </xf>
    <xf numFmtId="4" fontId="19" fillId="4" borderId="47" xfId="2" applyNumberFormat="1" applyFont="1" applyFill="1" applyBorder="1" applyAlignment="1">
      <alignment horizontal="center" vertical="center" wrapText="1"/>
    </xf>
    <xf numFmtId="4" fontId="19" fillId="4" borderId="0" xfId="2" applyNumberFormat="1" applyFont="1" applyFill="1" applyBorder="1" applyAlignment="1">
      <alignment horizontal="center" vertical="center" wrapText="1"/>
    </xf>
    <xf numFmtId="4" fontId="19" fillId="4" borderId="37" xfId="2" applyNumberFormat="1" applyFont="1" applyFill="1" applyBorder="1" applyAlignment="1">
      <alignment horizontal="center" vertical="center" wrapText="1"/>
    </xf>
    <xf numFmtId="4" fontId="19" fillId="4" borderId="0" xfId="2" applyNumberFormat="1" applyFont="1" applyFill="1" applyAlignment="1">
      <alignment horizontal="center" vertical="center" wrapText="1"/>
    </xf>
    <xf numFmtId="0" fontId="20" fillId="4" borderId="30" xfId="2" applyFont="1" applyFill="1" applyBorder="1" applyAlignment="1">
      <alignment horizontal="left" vertical="center" wrapText="1"/>
    </xf>
    <xf numFmtId="0" fontId="20" fillId="4" borderId="31" xfId="2" applyFont="1" applyFill="1" applyBorder="1" applyAlignment="1">
      <alignment horizontal="left" vertical="center" wrapText="1"/>
    </xf>
    <xf numFmtId="4" fontId="19" fillId="4" borderId="30" xfId="2" applyNumberFormat="1" applyFont="1" applyFill="1" applyBorder="1" applyAlignment="1">
      <alignment horizontal="center" vertical="center" wrapText="1"/>
    </xf>
    <xf numFmtId="4" fontId="19" fillId="4" borderId="33" xfId="2" applyNumberFormat="1" applyFont="1" applyFill="1" applyBorder="1" applyAlignment="1">
      <alignment horizontal="center" vertical="center" wrapText="1"/>
    </xf>
    <xf numFmtId="4" fontId="19" fillId="4" borderId="31" xfId="2" applyNumberFormat="1" applyFont="1" applyFill="1" applyBorder="1" applyAlignment="1">
      <alignment horizontal="center" vertical="center" wrapText="1"/>
    </xf>
    <xf numFmtId="0" fontId="42" fillId="0" borderId="30" xfId="2" applyFont="1" applyBorder="1" applyAlignment="1">
      <alignment horizontal="left"/>
    </xf>
    <xf numFmtId="0" fontId="42" fillId="0" borderId="31" xfId="2" applyFont="1" applyBorder="1" applyAlignment="1">
      <alignment horizontal="left"/>
    </xf>
    <xf numFmtId="0" fontId="18" fillId="4" borderId="0" xfId="0" applyFont="1" applyFill="1" applyAlignment="1">
      <alignment horizontal="left" vertical="center"/>
    </xf>
    <xf numFmtId="171" fontId="17" fillId="4" borderId="41" xfId="3" applyNumberFormat="1" applyFont="1" applyFill="1" applyBorder="1" applyAlignment="1">
      <alignment horizontal="center" vertical="center"/>
    </xf>
    <xf numFmtId="171" fontId="17" fillId="4" borderId="36" xfId="3" applyNumberFormat="1" applyFont="1" applyFill="1" applyBorder="1" applyAlignment="1">
      <alignment horizontal="center" vertical="center"/>
    </xf>
    <xf numFmtId="171" fontId="17" fillId="4" borderId="39" xfId="3" applyNumberFormat="1" applyFont="1" applyFill="1" applyBorder="1" applyAlignment="1">
      <alignment horizontal="center" vertical="center"/>
    </xf>
    <xf numFmtId="4" fontId="17" fillId="4" borderId="6" xfId="0" applyNumberFormat="1" applyFont="1" applyFill="1" applyBorder="1" applyAlignment="1">
      <alignment horizontal="center" vertical="center" wrapText="1"/>
    </xf>
    <xf numFmtId="4" fontId="17" fillId="4" borderId="7" xfId="0" applyNumberFormat="1" applyFont="1" applyFill="1" applyBorder="1" applyAlignment="1">
      <alignment horizontal="center" vertical="center" wrapText="1"/>
    </xf>
    <xf numFmtId="4" fontId="17" fillId="4" borderId="8" xfId="0" applyNumberFormat="1" applyFont="1" applyFill="1" applyBorder="1" applyAlignment="1">
      <alignment horizontal="center" vertical="center" wrapText="1"/>
    </xf>
    <xf numFmtId="4" fontId="17" fillId="4" borderId="1" xfId="0" applyNumberFormat="1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28" xfId="0" applyNumberFormat="1" applyFont="1" applyFill="1" applyBorder="1" applyAlignment="1">
      <alignment horizontal="center" vertical="center" wrapText="1"/>
    </xf>
    <xf numFmtId="4" fontId="17" fillId="4" borderId="21" xfId="0" applyNumberFormat="1" applyFont="1" applyFill="1" applyBorder="1" applyAlignment="1">
      <alignment horizontal="center" vertical="center" wrapText="1"/>
    </xf>
    <xf numFmtId="4" fontId="17" fillId="4" borderId="29" xfId="0" applyNumberFormat="1" applyFont="1" applyFill="1" applyBorder="1" applyAlignment="1">
      <alignment horizontal="center" vertical="center" wrapText="1"/>
    </xf>
    <xf numFmtId="171" fontId="17" fillId="4" borderId="3" xfId="3" applyNumberFormat="1" applyFont="1" applyFill="1" applyBorder="1" applyAlignment="1">
      <alignment horizontal="center" vertical="center"/>
    </xf>
    <xf numFmtId="171" fontId="17" fillId="4" borderId="5" xfId="3" applyNumberFormat="1" applyFont="1" applyFill="1" applyBorder="1" applyAlignment="1">
      <alignment horizontal="center" vertical="center"/>
    </xf>
    <xf numFmtId="171" fontId="17" fillId="4" borderId="11" xfId="3" applyNumberFormat="1" applyFont="1" applyFill="1" applyBorder="1" applyAlignment="1">
      <alignment horizontal="center" vertical="center"/>
    </xf>
    <xf numFmtId="0" fontId="17" fillId="5" borderId="0" xfId="0" applyFont="1" applyFill="1" applyAlignment="1">
      <alignment horizontal="left" vertical="center" wrapText="1"/>
    </xf>
    <xf numFmtId="0" fontId="17" fillId="5" borderId="5" xfId="0" applyFont="1" applyFill="1" applyBorder="1" applyAlignment="1">
      <alignment horizontal="left" vertical="center" wrapText="1"/>
    </xf>
    <xf numFmtId="4" fontId="10" fillId="0" borderId="6" xfId="2" applyNumberFormat="1" applyFont="1" applyBorder="1" applyAlignment="1">
      <alignment horizontal="center" vertical="center" wrapText="1"/>
    </xf>
    <xf numFmtId="4" fontId="10" fillId="0" borderId="7" xfId="2" applyNumberFormat="1" applyFont="1" applyBorder="1" applyAlignment="1">
      <alignment horizontal="center" vertical="center" wrapText="1"/>
    </xf>
    <xf numFmtId="4" fontId="10" fillId="0" borderId="8" xfId="2" applyNumberFormat="1" applyFont="1" applyBorder="1" applyAlignment="1">
      <alignment horizontal="center" vertical="center" wrapText="1"/>
    </xf>
    <xf numFmtId="4" fontId="4" fillId="0" borderId="1" xfId="2" applyNumberFormat="1" applyFont="1" applyBorder="1" applyAlignment="1">
      <alignment horizontal="center"/>
    </xf>
    <xf numFmtId="4" fontId="4" fillId="0" borderId="2" xfId="2" applyNumberFormat="1" applyFont="1" applyBorder="1" applyAlignment="1">
      <alignment horizontal="center"/>
    </xf>
    <xf numFmtId="4" fontId="4" fillId="0" borderId="3" xfId="2" applyNumberFormat="1" applyFont="1" applyBorder="1" applyAlignment="1">
      <alignment horizontal="center"/>
    </xf>
    <xf numFmtId="4" fontId="5" fillId="0" borderId="4" xfId="2" applyNumberFormat="1" applyFont="1" applyBorder="1" applyAlignment="1">
      <alignment horizontal="center"/>
    </xf>
    <xf numFmtId="4" fontId="5" fillId="0" borderId="0" xfId="2" applyNumberFormat="1" applyFont="1" applyAlignment="1">
      <alignment horizontal="center"/>
    </xf>
    <xf numFmtId="4" fontId="5" fillId="0" borderId="5" xfId="2" applyNumberFormat="1" applyFont="1" applyBorder="1" applyAlignment="1">
      <alignment horizontal="center"/>
    </xf>
    <xf numFmtId="0" fontId="10" fillId="5" borderId="6" xfId="2" applyFont="1" applyFill="1" applyBorder="1" applyAlignment="1">
      <alignment horizontal="center" vertical="center"/>
    </xf>
    <xf numFmtId="0" fontId="10" fillId="5" borderId="7" xfId="2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/>
    </xf>
    <xf numFmtId="0" fontId="32" fillId="4" borderId="30" xfId="0" applyFont="1" applyFill="1" applyBorder="1" applyAlignment="1">
      <alignment horizontal="right" vertical="center"/>
    </xf>
    <xf numFmtId="0" fontId="32" fillId="4" borderId="33" xfId="0" applyFont="1" applyFill="1" applyBorder="1" applyAlignment="1">
      <alignment horizontal="right" vertical="center"/>
    </xf>
    <xf numFmtId="0" fontId="32" fillId="4" borderId="31" xfId="0" applyFont="1" applyFill="1" applyBorder="1" applyAlignment="1">
      <alignment horizontal="right" vertical="center"/>
    </xf>
    <xf numFmtId="4" fontId="20" fillId="0" borderId="30" xfId="0" applyNumberFormat="1" applyFont="1" applyBorder="1" applyAlignment="1">
      <alignment horizontal="left" vertical="top"/>
    </xf>
    <xf numFmtId="4" fontId="20" fillId="0" borderId="31" xfId="0" applyNumberFormat="1" applyFont="1" applyBorder="1" applyAlignment="1">
      <alignment horizontal="left" vertical="top"/>
    </xf>
    <xf numFmtId="9" fontId="19" fillId="4" borderId="30" xfId="0" applyNumberFormat="1" applyFont="1" applyFill="1" applyBorder="1" applyAlignment="1">
      <alignment horizontal="right" vertical="center"/>
    </xf>
    <xf numFmtId="9" fontId="19" fillId="4" borderId="33" xfId="0" applyNumberFormat="1" applyFont="1" applyFill="1" applyBorder="1" applyAlignment="1">
      <alignment horizontal="right" vertical="center"/>
    </xf>
    <xf numFmtId="9" fontId="19" fillId="4" borderId="31" xfId="0" applyNumberFormat="1" applyFont="1" applyFill="1" applyBorder="1" applyAlignment="1">
      <alignment horizontal="right" vertical="center"/>
    </xf>
    <xf numFmtId="0" fontId="19" fillId="4" borderId="30" xfId="0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31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left" vertical="center"/>
    </xf>
    <xf numFmtId="0" fontId="19" fillId="4" borderId="30" xfId="0" applyFont="1" applyFill="1" applyBorder="1" applyAlignment="1">
      <alignment horizontal="right" vertical="center" wrapText="1"/>
    </xf>
    <xf numFmtId="0" fontId="19" fillId="4" borderId="33" xfId="0" applyFont="1" applyFill="1" applyBorder="1" applyAlignment="1">
      <alignment horizontal="right" vertical="center" wrapText="1"/>
    </xf>
    <xf numFmtId="0" fontId="19" fillId="4" borderId="31" xfId="0" applyFont="1" applyFill="1" applyBorder="1" applyAlignment="1">
      <alignment horizontal="right" vertical="center" wrapText="1"/>
    </xf>
    <xf numFmtId="0" fontId="20" fillId="4" borderId="16" xfId="0" applyFont="1" applyFill="1" applyBorder="1" applyAlignment="1">
      <alignment horizontal="right" vertical="center"/>
    </xf>
    <xf numFmtId="4" fontId="19" fillId="8" borderId="30" xfId="0" applyNumberFormat="1" applyFont="1" applyFill="1" applyBorder="1" applyAlignment="1">
      <alignment horizontal="center" vertical="center"/>
    </xf>
    <xf numFmtId="4" fontId="19" fillId="8" borderId="33" xfId="0" applyNumberFormat="1" applyFont="1" applyFill="1" applyBorder="1" applyAlignment="1">
      <alignment horizontal="center" vertical="center"/>
    </xf>
    <xf numFmtId="4" fontId="19" fillId="8" borderId="31" xfId="0" applyNumberFormat="1" applyFont="1" applyFill="1" applyBorder="1" applyAlignment="1">
      <alignment horizontal="center" vertical="center"/>
    </xf>
    <xf numFmtId="4" fontId="20" fillId="0" borderId="30" xfId="0" applyNumberFormat="1" applyFont="1" applyBorder="1" applyAlignment="1">
      <alignment horizontal="left" vertical="top" wrapText="1"/>
    </xf>
    <xf numFmtId="4" fontId="20" fillId="0" borderId="31" xfId="0" applyNumberFormat="1" applyFont="1" applyBorder="1" applyAlignment="1">
      <alignment horizontal="left" vertical="top" wrapText="1"/>
    </xf>
    <xf numFmtId="0" fontId="20" fillId="0" borderId="16" xfId="0" applyFont="1" applyBorder="1" applyAlignment="1">
      <alignment horizontal="left" vertical="center"/>
    </xf>
    <xf numFmtId="0" fontId="24" fillId="0" borderId="26" xfId="0" applyFont="1" applyBorder="1" applyAlignment="1">
      <alignment horizontal="center"/>
    </xf>
    <xf numFmtId="0" fontId="24" fillId="0" borderId="38" xfId="0" applyFont="1" applyBorder="1" applyAlignment="1">
      <alignment horizontal="center"/>
    </xf>
    <xf numFmtId="0" fontId="24" fillId="0" borderId="47" xfId="0" applyFont="1" applyBorder="1" applyAlignment="1">
      <alignment horizontal="center"/>
    </xf>
    <xf numFmtId="0" fontId="24" fillId="0" borderId="37" xfId="0" applyFont="1" applyBorder="1" applyAlignment="1">
      <alignment horizontal="center"/>
    </xf>
    <xf numFmtId="0" fontId="24" fillId="0" borderId="20" xfId="0" applyFont="1" applyBorder="1" applyAlignment="1">
      <alignment horizontal="center"/>
    </xf>
    <xf numFmtId="0" fontId="24" fillId="0" borderId="22" xfId="0" applyFont="1" applyBorder="1" applyAlignment="1">
      <alignment horizontal="center"/>
    </xf>
    <xf numFmtId="0" fontId="20" fillId="0" borderId="30" xfId="0" applyFont="1" applyBorder="1" applyAlignment="1">
      <alignment horizontal="left" vertical="center"/>
    </xf>
    <xf numFmtId="0" fontId="20" fillId="0" borderId="31" xfId="0" applyFont="1" applyBorder="1" applyAlignment="1">
      <alignment horizontal="left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170" fontId="25" fillId="0" borderId="19" xfId="0" applyNumberFormat="1" applyFont="1" applyBorder="1" applyAlignment="1">
      <alignment horizontal="center"/>
    </xf>
    <xf numFmtId="170" fontId="25" fillId="0" borderId="48" xfId="0" applyNumberFormat="1" applyFont="1" applyBorder="1" applyAlignment="1">
      <alignment horizontal="center"/>
    </xf>
    <xf numFmtId="170" fontId="25" fillId="0" borderId="13" xfId="0" applyNumberFormat="1" applyFont="1" applyBorder="1" applyAlignment="1">
      <alignment horizontal="center"/>
    </xf>
    <xf numFmtId="4" fontId="25" fillId="0" borderId="19" xfId="0" applyNumberFormat="1" applyFont="1" applyBorder="1" applyAlignment="1">
      <alignment horizontal="center" vertical="center" wrapText="1"/>
    </xf>
    <xf numFmtId="4" fontId="25" fillId="0" borderId="13" xfId="0" applyNumberFormat="1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/>
    </xf>
    <xf numFmtId="0" fontId="25" fillId="0" borderId="7" xfId="0" applyFont="1" applyBorder="1" applyAlignment="1">
      <alignment horizontal="center"/>
    </xf>
    <xf numFmtId="0" fontId="25" fillId="0" borderId="8" xfId="0" applyFont="1" applyBorder="1" applyAlignment="1">
      <alignment horizontal="center"/>
    </xf>
    <xf numFmtId="0" fontId="19" fillId="4" borderId="16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5" fillId="0" borderId="0" xfId="16" applyFont="1" applyAlignment="1">
      <alignment horizontal="center" wrapText="1"/>
    </xf>
    <xf numFmtId="0" fontId="25" fillId="6" borderId="30" xfId="16" applyFont="1" applyFill="1" applyBorder="1" applyAlignment="1">
      <alignment horizontal="center" vertical="center"/>
    </xf>
    <xf numFmtId="0" fontId="25" fillId="6" borderId="33" xfId="16" applyFont="1" applyFill="1" applyBorder="1" applyAlignment="1">
      <alignment horizontal="center" vertical="center"/>
    </xf>
    <xf numFmtId="0" fontId="25" fillId="6" borderId="31" xfId="16" applyFont="1" applyFill="1" applyBorder="1" applyAlignment="1">
      <alignment horizontal="center" vertical="center"/>
    </xf>
    <xf numFmtId="0" fontId="24" fillId="0" borderId="19" xfId="16" applyFont="1" applyBorder="1" applyAlignment="1">
      <alignment horizontal="center" vertical="center"/>
    </xf>
    <xf numFmtId="0" fontId="24" fillId="0" borderId="48" xfId="16" applyFont="1" applyBorder="1" applyAlignment="1">
      <alignment horizontal="center" vertical="center"/>
    </xf>
    <xf numFmtId="0" fontId="24" fillId="0" borderId="13" xfId="16" applyFont="1" applyBorder="1" applyAlignment="1">
      <alignment horizontal="center" vertical="center"/>
    </xf>
    <xf numFmtId="0" fontId="25" fillId="0" borderId="26" xfId="16" applyFont="1" applyBorder="1" applyAlignment="1">
      <alignment horizontal="center" vertical="center" wrapText="1"/>
    </xf>
    <xf numFmtId="0" fontId="25" fillId="0" borderId="38" xfId="16" applyFont="1" applyBorder="1" applyAlignment="1">
      <alignment horizontal="center" vertical="center" wrapText="1"/>
    </xf>
    <xf numFmtId="0" fontId="25" fillId="0" borderId="20" xfId="16" applyFont="1" applyBorder="1" applyAlignment="1">
      <alignment horizontal="center" vertical="center" wrapText="1"/>
    </xf>
    <xf numFmtId="0" fontId="25" fillId="0" borderId="22" xfId="16" applyFont="1" applyBorder="1" applyAlignment="1">
      <alignment horizontal="center" vertical="center" wrapText="1"/>
    </xf>
    <xf numFmtId="0" fontId="24" fillId="0" borderId="19" xfId="16" applyFont="1" applyBorder="1" applyAlignment="1">
      <alignment horizontal="center"/>
    </xf>
    <xf numFmtId="0" fontId="24" fillId="0" borderId="48" xfId="16" applyFont="1" applyBorder="1" applyAlignment="1">
      <alignment horizontal="center"/>
    </xf>
    <xf numFmtId="0" fontId="24" fillId="0" borderId="13" xfId="16" applyFont="1" applyBorder="1" applyAlignment="1">
      <alignment horizontal="center"/>
    </xf>
    <xf numFmtId="0" fontId="25" fillId="0" borderId="19" xfId="16" applyFont="1" applyBorder="1" applyAlignment="1">
      <alignment horizontal="center" vertical="center" wrapText="1"/>
    </xf>
    <xf numFmtId="0" fontId="25" fillId="0" borderId="13" xfId="16" applyFont="1" applyBorder="1" applyAlignment="1">
      <alignment horizontal="center" vertical="center" wrapText="1"/>
    </xf>
    <xf numFmtId="0" fontId="25" fillId="0" borderId="16" xfId="16" applyFont="1" applyBorder="1" applyAlignment="1">
      <alignment horizontal="center" vertical="center"/>
    </xf>
    <xf numFmtId="0" fontId="25" fillId="0" borderId="30" xfId="16" applyFont="1" applyBorder="1" applyAlignment="1">
      <alignment horizontal="center" vertical="center"/>
    </xf>
    <xf numFmtId="0" fontId="25" fillId="0" borderId="31" xfId="16" applyFont="1" applyBorder="1" applyAlignment="1">
      <alignment horizontal="center" vertical="center"/>
    </xf>
    <xf numFmtId="0" fontId="24" fillId="0" borderId="30" xfId="16" applyFont="1" applyBorder="1" applyAlignment="1">
      <alignment horizontal="center" vertical="center"/>
    </xf>
    <xf numFmtId="0" fontId="24" fillId="0" borderId="31" xfId="16" applyFont="1" applyBorder="1" applyAlignment="1">
      <alignment horizontal="center" vertical="center"/>
    </xf>
    <xf numFmtId="0" fontId="25" fillId="0" borderId="26" xfId="16" applyFont="1" applyBorder="1" applyAlignment="1">
      <alignment horizontal="center" vertical="center"/>
    </xf>
    <xf numFmtId="0" fontId="25" fillId="0" borderId="38" xfId="16" applyFont="1" applyBorder="1" applyAlignment="1">
      <alignment horizontal="center" vertical="center"/>
    </xf>
    <xf numFmtId="0" fontId="25" fillId="0" borderId="20" xfId="16" applyFont="1" applyBorder="1" applyAlignment="1">
      <alignment horizontal="center" vertical="center"/>
    </xf>
    <xf numFmtId="0" fontId="25" fillId="0" borderId="22" xfId="16" applyFont="1" applyBorder="1" applyAlignment="1">
      <alignment horizontal="center" vertical="center"/>
    </xf>
    <xf numFmtId="0" fontId="25" fillId="6" borderId="16" xfId="16" applyFont="1" applyFill="1" applyBorder="1" applyAlignment="1">
      <alignment horizontal="center"/>
    </xf>
    <xf numFmtId="0" fontId="25" fillId="0" borderId="30" xfId="16" applyFont="1" applyBorder="1" applyAlignment="1">
      <alignment horizontal="left" vertical="center" wrapText="1"/>
    </xf>
    <xf numFmtId="0" fontId="25" fillId="0" borderId="31" xfId="16" applyFont="1" applyBorder="1" applyAlignment="1">
      <alignment horizontal="left" vertical="center" wrapText="1"/>
    </xf>
    <xf numFmtId="0" fontId="24" fillId="0" borderId="30" xfId="16" applyFont="1" applyBorder="1" applyAlignment="1">
      <alignment horizontal="left" vertical="center" wrapText="1"/>
    </xf>
    <xf numFmtId="0" fontId="24" fillId="0" borderId="31" xfId="16" applyFont="1" applyBorder="1" applyAlignment="1">
      <alignment horizontal="left" vertical="center" wrapText="1"/>
    </xf>
    <xf numFmtId="0" fontId="24" fillId="0" borderId="16" xfId="16" applyFont="1" applyBorder="1" applyAlignment="1">
      <alignment horizontal="center" vertical="center"/>
    </xf>
    <xf numFmtId="44" fontId="24" fillId="0" borderId="16" xfId="17" applyFont="1" applyBorder="1" applyAlignment="1">
      <alignment horizontal="center" vertical="center"/>
    </xf>
    <xf numFmtId="0" fontId="25" fillId="0" borderId="16" xfId="16" applyFont="1" applyBorder="1" applyAlignment="1">
      <alignment horizontal="left" wrapText="1"/>
    </xf>
    <xf numFmtId="0" fontId="24" fillId="0" borderId="30" xfId="16" applyFont="1" applyBorder="1" applyAlignment="1">
      <alignment horizontal="left" wrapText="1"/>
    </xf>
    <xf numFmtId="0" fontId="24" fillId="0" borderId="31" xfId="16" applyFont="1" applyBorder="1" applyAlignment="1">
      <alignment horizontal="left" wrapText="1"/>
    </xf>
    <xf numFmtId="0" fontId="24" fillId="0" borderId="30" xfId="0" applyFont="1" applyBorder="1" applyAlignment="1">
      <alignment wrapText="1"/>
    </xf>
    <xf numFmtId="0" fontId="24" fillId="0" borderId="31" xfId="0" applyFont="1" applyBorder="1" applyAlignment="1">
      <alignment wrapText="1"/>
    </xf>
    <xf numFmtId="0" fontId="25" fillId="0" borderId="30" xfId="0" applyFont="1" applyBorder="1" applyAlignment="1">
      <alignment horizontal="left" wrapText="1"/>
    </xf>
    <xf numFmtId="0" fontId="25" fillId="0" borderId="31" xfId="0" applyFont="1" applyBorder="1" applyAlignment="1">
      <alignment horizontal="left" wrapText="1"/>
    </xf>
    <xf numFmtId="0" fontId="24" fillId="0" borderId="30" xfId="0" applyFont="1" applyBorder="1" applyAlignment="1">
      <alignment horizontal="left" wrapText="1"/>
    </xf>
    <xf numFmtId="0" fontId="24" fillId="0" borderId="31" xfId="0" applyFont="1" applyBorder="1" applyAlignment="1">
      <alignment horizontal="left" wrapText="1"/>
    </xf>
    <xf numFmtId="0" fontId="24" fillId="0" borderId="16" xfId="0" applyFont="1" applyBorder="1" applyAlignment="1">
      <alignment horizontal="left" wrapText="1"/>
    </xf>
    <xf numFmtId="0" fontId="24" fillId="0" borderId="16" xfId="16" applyFont="1" applyBorder="1" applyAlignment="1">
      <alignment horizontal="left"/>
    </xf>
    <xf numFmtId="177" fontId="24" fillId="0" borderId="30" xfId="16" applyNumberFormat="1" applyFont="1" applyBorder="1" applyAlignment="1">
      <alignment horizontal="center" vertical="center" wrapText="1"/>
    </xf>
    <xf numFmtId="177" fontId="24" fillId="0" borderId="31" xfId="16" applyNumberFormat="1" applyFont="1" applyBorder="1" applyAlignment="1">
      <alignment horizontal="center" vertical="center" wrapText="1"/>
    </xf>
    <xf numFmtId="0" fontId="25" fillId="7" borderId="16" xfId="16" applyFont="1" applyFill="1" applyBorder="1" applyAlignment="1">
      <alignment horizontal="right"/>
    </xf>
    <xf numFmtId="0" fontId="25" fillId="0" borderId="30" xfId="16" applyFont="1" applyBorder="1" applyAlignment="1">
      <alignment horizontal="center" vertical="center" wrapText="1"/>
    </xf>
    <xf numFmtId="0" fontId="25" fillId="0" borderId="31" xfId="16" applyFont="1" applyBorder="1" applyAlignment="1">
      <alignment horizontal="center" vertical="center" wrapText="1"/>
    </xf>
    <xf numFmtId="177" fontId="25" fillId="7" borderId="16" xfId="16" applyNumberFormat="1" applyFont="1" applyFill="1" applyBorder="1" applyAlignment="1">
      <alignment horizontal="center"/>
    </xf>
    <xf numFmtId="0" fontId="25" fillId="0" borderId="30" xfId="16" applyFont="1" applyBorder="1" applyAlignment="1">
      <alignment horizontal="left"/>
    </xf>
    <xf numFmtId="0" fontId="25" fillId="0" borderId="33" xfId="16" applyFont="1" applyBorder="1" applyAlignment="1">
      <alignment horizontal="left"/>
    </xf>
    <xf numFmtId="0" fontId="25" fillId="0" borderId="31" xfId="16" applyFont="1" applyBorder="1" applyAlignment="1">
      <alignment horizontal="left"/>
    </xf>
    <xf numFmtId="0" fontId="24" fillId="0" borderId="30" xfId="16" applyFont="1" applyBorder="1" applyAlignment="1">
      <alignment horizontal="left"/>
    </xf>
    <xf numFmtId="0" fontId="24" fillId="0" borderId="31" xfId="16" applyFont="1" applyBorder="1" applyAlignment="1">
      <alignment horizontal="left"/>
    </xf>
    <xf numFmtId="0" fontId="25" fillId="7" borderId="16" xfId="16" applyFont="1" applyFill="1" applyBorder="1" applyAlignment="1">
      <alignment horizontal="center"/>
    </xf>
    <xf numFmtId="177" fontId="25" fillId="7" borderId="30" xfId="16" applyNumberFormat="1" applyFont="1" applyFill="1" applyBorder="1" applyAlignment="1">
      <alignment horizontal="center"/>
    </xf>
    <xf numFmtId="177" fontId="25" fillId="7" borderId="31" xfId="16" applyNumberFormat="1" applyFont="1" applyFill="1" applyBorder="1" applyAlignment="1">
      <alignment horizontal="center"/>
    </xf>
    <xf numFmtId="0" fontId="25" fillId="0" borderId="16" xfId="16" applyFont="1" applyBorder="1" applyAlignment="1">
      <alignment horizontal="right"/>
    </xf>
    <xf numFmtId="177" fontId="25" fillId="0" borderId="16" xfId="19" applyNumberFormat="1" applyFont="1" applyBorder="1" applyAlignment="1">
      <alignment horizontal="center"/>
    </xf>
    <xf numFmtId="177" fontId="25" fillId="0" borderId="16" xfId="16" applyNumberFormat="1" applyFont="1" applyBorder="1" applyAlignment="1">
      <alignment horizontal="center"/>
    </xf>
    <xf numFmtId="0" fontId="25" fillId="0" borderId="0" xfId="16" applyFont="1" applyAlignment="1">
      <alignment horizontal="center"/>
    </xf>
    <xf numFmtId="0" fontId="24" fillId="0" borderId="0" xfId="16" applyFont="1" applyAlignment="1">
      <alignment horizontal="center"/>
    </xf>
    <xf numFmtId="0" fontId="25" fillId="0" borderId="16" xfId="0" applyFont="1" applyBorder="1" applyAlignment="1">
      <alignment horizontal="center"/>
    </xf>
    <xf numFmtId="0" fontId="24" fillId="0" borderId="16" xfId="0" applyFont="1" applyBorder="1" applyAlignment="1">
      <alignment horizontal="center"/>
    </xf>
    <xf numFmtId="0" fontId="27" fillId="4" borderId="30" xfId="2" applyFont="1" applyFill="1" applyBorder="1" applyAlignment="1">
      <alignment horizontal="center"/>
    </xf>
    <xf numFmtId="0" fontId="27" fillId="4" borderId="31" xfId="2" applyFont="1" applyFill="1" applyBorder="1" applyAlignment="1">
      <alignment horizontal="center"/>
    </xf>
    <xf numFmtId="0" fontId="23" fillId="4" borderId="30" xfId="8" applyFont="1" applyFill="1" applyBorder="1" applyAlignment="1">
      <alignment horizontal="left"/>
    </xf>
    <xf numFmtId="0" fontId="23" fillId="4" borderId="31" xfId="8" applyFont="1" applyFill="1" applyBorder="1" applyAlignment="1">
      <alignment horizontal="left"/>
    </xf>
    <xf numFmtId="0" fontId="23" fillId="4" borderId="30" xfId="2" applyFont="1" applyFill="1" applyBorder="1" applyAlignment="1">
      <alignment horizontal="left"/>
    </xf>
    <xf numFmtId="0" fontId="23" fillId="4" borderId="31" xfId="2" applyFont="1" applyFill="1" applyBorder="1" applyAlignment="1">
      <alignment horizontal="left"/>
    </xf>
    <xf numFmtId="175" fontId="23" fillId="4" borderId="0" xfId="2" applyNumberFormat="1" applyFont="1" applyFill="1" applyAlignment="1">
      <alignment horizontal="left" wrapText="1"/>
    </xf>
    <xf numFmtId="0" fontId="27" fillId="4" borderId="24" xfId="2" applyFont="1" applyFill="1" applyBorder="1" applyAlignment="1">
      <alignment horizontal="center" vertical="top"/>
    </xf>
    <xf numFmtId="0" fontId="27" fillId="4" borderId="25" xfId="2" applyFont="1" applyFill="1" applyBorder="1" applyAlignment="1">
      <alignment horizontal="center" vertical="top"/>
    </xf>
    <xf numFmtId="0" fontId="27" fillId="4" borderId="38" xfId="2" applyFont="1" applyFill="1" applyBorder="1" applyAlignment="1">
      <alignment horizontal="center" vertical="top"/>
    </xf>
    <xf numFmtId="175" fontId="27" fillId="4" borderId="0" xfId="2" applyNumberFormat="1" applyFont="1" applyFill="1" applyAlignment="1">
      <alignment horizontal="left" wrapText="1"/>
    </xf>
    <xf numFmtId="187" fontId="25" fillId="0" borderId="62" xfId="0" applyNumberFormat="1" applyFont="1" applyBorder="1" applyAlignment="1">
      <alignment horizontal="center"/>
    </xf>
    <xf numFmtId="187" fontId="25" fillId="0" borderId="3" xfId="0" applyNumberFormat="1" applyFont="1" applyBorder="1" applyAlignment="1">
      <alignment horizontal="center"/>
    </xf>
    <xf numFmtId="187" fontId="25" fillId="0" borderId="47" xfId="0" applyNumberFormat="1" applyFont="1" applyBorder="1" applyAlignment="1">
      <alignment horizontal="center"/>
    </xf>
    <xf numFmtId="187" fontId="25" fillId="0" borderId="5" xfId="0" applyNumberFormat="1" applyFont="1" applyBorder="1" applyAlignment="1">
      <alignment horizontal="center"/>
    </xf>
    <xf numFmtId="187" fontId="25" fillId="0" borderId="59" xfId="0" applyNumberFormat="1" applyFont="1" applyBorder="1" applyAlignment="1">
      <alignment horizontal="center"/>
    </xf>
    <xf numFmtId="187" fontId="25" fillId="0" borderId="11" xfId="0" applyNumberFormat="1" applyFont="1" applyBorder="1" applyAlignment="1">
      <alignment horizontal="center"/>
    </xf>
    <xf numFmtId="4" fontId="20" fillId="0" borderId="1" xfId="0" applyNumberFormat="1" applyFont="1" applyBorder="1" applyAlignment="1">
      <alignment horizontal="center" vertical="center" wrapText="1"/>
    </xf>
    <xf numFmtId="4" fontId="20" fillId="0" borderId="2" xfId="0" applyNumberFormat="1" applyFont="1" applyBorder="1" applyAlignment="1">
      <alignment horizontal="center" vertical="center" wrapText="1"/>
    </xf>
    <xf numFmtId="4" fontId="20" fillId="0" borderId="3" xfId="0" applyNumberFormat="1" applyFont="1" applyBorder="1" applyAlignment="1">
      <alignment horizontal="center" vertical="center" wrapText="1"/>
    </xf>
    <xf numFmtId="4" fontId="20" fillId="0" borderId="9" xfId="0" applyNumberFormat="1" applyFont="1" applyBorder="1" applyAlignment="1">
      <alignment horizontal="center" vertical="center" wrapText="1"/>
    </xf>
    <xf numFmtId="4" fontId="20" fillId="0" borderId="10" xfId="0" applyNumberFormat="1" applyFont="1" applyBorder="1" applyAlignment="1">
      <alignment horizontal="center" vertical="center" wrapText="1"/>
    </xf>
    <xf numFmtId="4" fontId="20" fillId="0" borderId="11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5" fillId="0" borderId="56" xfId="0" applyFont="1" applyBorder="1" applyAlignment="1">
      <alignment horizontal="center"/>
    </xf>
    <xf numFmtId="4" fontId="25" fillId="0" borderId="51" xfId="0" applyNumberFormat="1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/>
    </xf>
    <xf numFmtId="0" fontId="25" fillId="0" borderId="43" xfId="0" applyFont="1" applyBorder="1" applyAlignment="1">
      <alignment horizontal="center"/>
    </xf>
    <xf numFmtId="3" fontId="25" fillId="0" borderId="25" xfId="0" applyNumberFormat="1" applyFont="1" applyBorder="1" applyAlignment="1">
      <alignment horizontal="center" vertical="center" wrapText="1"/>
    </xf>
    <xf numFmtId="3" fontId="25" fillId="0" borderId="38" xfId="0" applyNumberFormat="1" applyFont="1" applyBorder="1" applyAlignment="1">
      <alignment horizontal="center" vertical="center" wrapText="1"/>
    </xf>
    <xf numFmtId="3" fontId="25" fillId="0" borderId="21" xfId="0" applyNumberFormat="1" applyFont="1" applyBorder="1" applyAlignment="1">
      <alignment horizontal="center" vertical="center" wrapText="1"/>
    </xf>
    <xf numFmtId="3" fontId="25" fillId="0" borderId="22" xfId="0" applyNumberFormat="1" applyFont="1" applyBorder="1" applyAlignment="1">
      <alignment horizontal="center" vertical="center" wrapText="1"/>
    </xf>
    <xf numFmtId="3" fontId="25" fillId="0" borderId="31" xfId="0" applyNumberFormat="1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/>
    </xf>
    <xf numFmtId="14" fontId="25" fillId="0" borderId="57" xfId="0" applyNumberFormat="1" applyFont="1" applyBorder="1" applyAlignment="1">
      <alignment horizontal="center" vertical="center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15" xfId="0" applyFont="1" applyFill="1" applyBorder="1" applyAlignment="1">
      <alignment horizontal="right" vertical="center"/>
    </xf>
    <xf numFmtId="0" fontId="20" fillId="0" borderId="30" xfId="0" applyFont="1" applyBorder="1" applyAlignment="1">
      <alignment horizontal="left"/>
    </xf>
    <xf numFmtId="0" fontId="20" fillId="0" borderId="31" xfId="0" applyFont="1" applyBorder="1" applyAlignment="1">
      <alignment horizontal="left"/>
    </xf>
    <xf numFmtId="4" fontId="19" fillId="8" borderId="30" xfId="0" applyNumberFormat="1" applyFont="1" applyFill="1" applyBorder="1" applyAlignment="1">
      <alignment horizontal="left"/>
    </xf>
    <xf numFmtId="4" fontId="19" fillId="8" borderId="31" xfId="0" applyNumberFormat="1" applyFont="1" applyFill="1" applyBorder="1" applyAlignment="1">
      <alignment horizontal="left"/>
    </xf>
    <xf numFmtId="4" fontId="20" fillId="0" borderId="30" xfId="0" applyNumberFormat="1" applyFont="1" applyBorder="1" applyAlignment="1">
      <alignment horizontal="left" wrapText="1"/>
    </xf>
    <xf numFmtId="4" fontId="20" fillId="0" borderId="31" xfId="0" applyNumberFormat="1" applyFont="1" applyBorder="1" applyAlignment="1">
      <alignment horizontal="left" wrapText="1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left"/>
    </xf>
    <xf numFmtId="0" fontId="24" fillId="0" borderId="63" xfId="0" applyFont="1" applyBorder="1" applyAlignment="1">
      <alignment horizontal="center"/>
    </xf>
    <xf numFmtId="0" fontId="24" fillId="0" borderId="58" xfId="0" applyFont="1" applyBorder="1" applyAlignment="1">
      <alignment horizontal="center"/>
    </xf>
    <xf numFmtId="0" fontId="19" fillId="4" borderId="15" xfId="0" applyFont="1" applyFill="1" applyBorder="1" applyAlignment="1">
      <alignment horizontal="right" vertical="center" wrapText="1"/>
    </xf>
    <xf numFmtId="0" fontId="19" fillId="4" borderId="16" xfId="0" applyFont="1" applyFill="1" applyBorder="1" applyAlignment="1">
      <alignment horizontal="right" vertical="center" wrapText="1"/>
    </xf>
    <xf numFmtId="0" fontId="19" fillId="0" borderId="30" xfId="0" applyFont="1" applyBorder="1" applyAlignment="1">
      <alignment horizontal="center"/>
    </xf>
    <xf numFmtId="0" fontId="19" fillId="0" borderId="31" xfId="0" applyFont="1" applyBorder="1" applyAlignment="1">
      <alignment horizontal="center"/>
    </xf>
    <xf numFmtId="0" fontId="20" fillId="0" borderId="13" xfId="0" applyFont="1" applyBorder="1" applyAlignment="1">
      <alignment horizontal="center" wrapText="1"/>
    </xf>
    <xf numFmtId="0" fontId="24" fillId="0" borderId="1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5" fillId="0" borderId="56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4" fontId="25" fillId="0" borderId="59" xfId="0" applyNumberFormat="1" applyFont="1" applyBorder="1" applyAlignment="1">
      <alignment horizontal="center" vertical="center" wrapText="1"/>
    </xf>
    <xf numFmtId="4" fontId="25" fillId="0" borderId="58" xfId="0" applyNumberFormat="1" applyFont="1" applyBorder="1" applyAlignment="1">
      <alignment horizontal="center" vertical="center" wrapText="1"/>
    </xf>
    <xf numFmtId="0" fontId="19" fillId="8" borderId="31" xfId="0" applyFont="1" applyFill="1" applyBorder="1" applyAlignment="1">
      <alignment horizontal="left"/>
    </xf>
    <xf numFmtId="0" fontId="19" fillId="4" borderId="50" xfId="0" applyFont="1" applyFill="1" applyBorder="1" applyAlignment="1">
      <alignment horizontal="right" vertical="center" wrapText="1"/>
    </xf>
    <xf numFmtId="0" fontId="19" fillId="4" borderId="51" xfId="0" applyFont="1" applyFill="1" applyBorder="1" applyAlignment="1">
      <alignment horizontal="right" vertical="center" wrapText="1"/>
    </xf>
    <xf numFmtId="0" fontId="19" fillId="0" borderId="0" xfId="5" applyFont="1" applyAlignment="1">
      <alignment horizontal="center" vertical="center"/>
    </xf>
    <xf numFmtId="0" fontId="39" fillId="0" borderId="6" xfId="0" applyFont="1" applyBorder="1" applyAlignment="1">
      <alignment horizontal="center"/>
    </xf>
    <xf numFmtId="0" fontId="39" fillId="0" borderId="7" xfId="0" applyFont="1" applyBorder="1" applyAlignment="1">
      <alignment horizontal="center"/>
    </xf>
    <xf numFmtId="0" fontId="39" fillId="0" borderId="8" xfId="0" applyFont="1" applyBorder="1" applyAlignment="1">
      <alignment horizontal="center"/>
    </xf>
    <xf numFmtId="0" fontId="23" fillId="4" borderId="30" xfId="2" applyFont="1" applyFill="1" applyBorder="1" applyAlignment="1">
      <alignment horizontal="center"/>
    </xf>
    <xf numFmtId="0" fontId="23" fillId="4" borderId="31" xfId="2" applyFont="1" applyFill="1" applyBorder="1" applyAlignment="1">
      <alignment horizontal="center"/>
    </xf>
    <xf numFmtId="0" fontId="35" fillId="0" borderId="16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23" fillId="4" borderId="1" xfId="2" applyFont="1" applyFill="1" applyBorder="1" applyAlignment="1">
      <alignment horizontal="center" vertical="center" wrapText="1"/>
    </xf>
    <xf numFmtId="0" fontId="23" fillId="4" borderId="2" xfId="2" applyFont="1" applyFill="1" applyBorder="1" applyAlignment="1">
      <alignment horizontal="center" vertical="center" wrapText="1"/>
    </xf>
    <xf numFmtId="0" fontId="23" fillId="4" borderId="3" xfId="2" applyFont="1" applyFill="1" applyBorder="1" applyAlignment="1">
      <alignment horizontal="center" vertical="center" wrapText="1"/>
    </xf>
    <xf numFmtId="0" fontId="23" fillId="4" borderId="4" xfId="2" applyFont="1" applyFill="1" applyBorder="1" applyAlignment="1">
      <alignment horizontal="center" vertical="center" wrapText="1"/>
    </xf>
    <xf numFmtId="0" fontId="23" fillId="4" borderId="0" xfId="2" applyFont="1" applyFill="1" applyAlignment="1">
      <alignment horizontal="center" vertical="center" wrapText="1"/>
    </xf>
    <xf numFmtId="0" fontId="23" fillId="4" borderId="5" xfId="2" applyFont="1" applyFill="1" applyBorder="1" applyAlignment="1">
      <alignment horizontal="center" vertical="center" wrapText="1"/>
    </xf>
    <xf numFmtId="0" fontId="23" fillId="4" borderId="9" xfId="2" applyFont="1" applyFill="1" applyBorder="1" applyAlignment="1">
      <alignment horizontal="center" vertical="center" wrapText="1"/>
    </xf>
    <xf numFmtId="0" fontId="23" fillId="4" borderId="10" xfId="2" applyFont="1" applyFill="1" applyBorder="1" applyAlignment="1">
      <alignment horizontal="center" vertical="center" wrapText="1"/>
    </xf>
    <xf numFmtId="0" fontId="23" fillId="4" borderId="11" xfId="2" applyFont="1" applyFill="1" applyBorder="1" applyAlignment="1">
      <alignment horizontal="center" vertical="center" wrapText="1"/>
    </xf>
    <xf numFmtId="0" fontId="40" fillId="9" borderId="6" xfId="2" applyFont="1" applyFill="1" applyBorder="1" applyAlignment="1">
      <alignment horizontal="center" wrapText="1"/>
    </xf>
    <xf numFmtId="0" fontId="40" fillId="9" borderId="7" xfId="2" applyFont="1" applyFill="1" applyBorder="1" applyAlignment="1">
      <alignment horizontal="center" wrapText="1"/>
    </xf>
    <xf numFmtId="0" fontId="40" fillId="9" borderId="8" xfId="2" applyFont="1" applyFill="1" applyBorder="1" applyAlignment="1">
      <alignment horizontal="center" wrapText="1"/>
    </xf>
    <xf numFmtId="0" fontId="27" fillId="4" borderId="47" xfId="2" applyFont="1" applyFill="1" applyBorder="1" applyAlignment="1">
      <alignment horizontal="center" vertical="center"/>
    </xf>
    <xf numFmtId="0" fontId="27" fillId="4" borderId="0" xfId="2" applyFont="1" applyFill="1" applyAlignment="1">
      <alignment horizontal="center" vertical="center"/>
    </xf>
    <xf numFmtId="0" fontId="27" fillId="4" borderId="37" xfId="2" applyFont="1" applyFill="1" applyBorder="1" applyAlignment="1">
      <alignment horizontal="center" vertical="center"/>
    </xf>
    <xf numFmtId="4" fontId="41" fillId="4" borderId="30" xfId="2" applyNumberFormat="1" applyFont="1" applyFill="1" applyBorder="1" applyAlignment="1">
      <alignment horizontal="center" wrapText="1"/>
    </xf>
    <xf numFmtId="4" fontId="41" fillId="4" borderId="33" xfId="2" applyNumberFormat="1" applyFont="1" applyFill="1" applyBorder="1" applyAlignment="1">
      <alignment horizontal="center" wrapText="1"/>
    </xf>
    <xf numFmtId="4" fontId="41" fillId="4" borderId="31" xfId="2" applyNumberFormat="1" applyFont="1" applyFill="1" applyBorder="1" applyAlignment="1">
      <alignment horizontal="center" wrapText="1"/>
    </xf>
    <xf numFmtId="0" fontId="27" fillId="4" borderId="30" xfId="2" applyFont="1" applyFill="1" applyBorder="1" applyAlignment="1">
      <alignment horizontal="left"/>
    </xf>
    <xf numFmtId="0" fontId="27" fillId="4" borderId="33" xfId="2" applyFont="1" applyFill="1" applyBorder="1" applyAlignment="1">
      <alignment horizontal="left"/>
    </xf>
    <xf numFmtId="0" fontId="27" fillId="4" borderId="31" xfId="2" applyFont="1" applyFill="1" applyBorder="1" applyAlignment="1">
      <alignment horizontal="left"/>
    </xf>
    <xf numFmtId="0" fontId="34" fillId="0" borderId="19" xfId="0" applyFont="1" applyBorder="1" applyAlignment="1">
      <alignment horizontal="center" vertical="center"/>
    </xf>
    <xf numFmtId="0" fontId="34" fillId="0" borderId="48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0" fontId="36" fillId="0" borderId="30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23" fillId="4" borderId="30" xfId="2" applyFont="1" applyFill="1" applyBorder="1" applyAlignment="1">
      <alignment horizontal="left" vertical="center"/>
    </xf>
    <xf numFmtId="0" fontId="23" fillId="4" borderId="31" xfId="2" applyFont="1" applyFill="1" applyBorder="1" applyAlignment="1">
      <alignment horizontal="left" vertical="center"/>
    </xf>
    <xf numFmtId="2" fontId="23" fillId="0" borderId="30" xfId="2" applyNumberFormat="1" applyFont="1" applyBorder="1" applyAlignment="1">
      <alignment horizontal="left"/>
    </xf>
    <xf numFmtId="2" fontId="23" fillId="0" borderId="31" xfId="2" applyNumberFormat="1" applyFont="1" applyBorder="1" applyAlignment="1">
      <alignment horizontal="left"/>
    </xf>
    <xf numFmtId="0" fontId="25" fillId="0" borderId="21" xfId="0" applyFont="1" applyBorder="1" applyAlignment="1">
      <alignment horizontal="center" vertical="center"/>
    </xf>
    <xf numFmtId="0" fontId="23" fillId="4" borderId="47" xfId="2" applyFont="1" applyFill="1" applyBorder="1" applyAlignment="1">
      <alignment horizontal="center" wrapText="1"/>
    </xf>
    <xf numFmtId="0" fontId="23" fillId="4" borderId="0" xfId="2" applyFont="1" applyFill="1" applyAlignment="1">
      <alignment horizontal="center" wrapText="1"/>
    </xf>
    <xf numFmtId="0" fontId="23" fillId="4" borderId="37" xfId="2" applyFont="1" applyFill="1" applyBorder="1" applyAlignment="1">
      <alignment horizontal="center" wrapText="1"/>
    </xf>
    <xf numFmtId="0" fontId="23" fillId="4" borderId="26" xfId="2" applyFont="1" applyFill="1" applyBorder="1" applyAlignment="1">
      <alignment horizontal="left" vertical="center"/>
    </xf>
    <xf numFmtId="0" fontId="23" fillId="4" borderId="38" xfId="2" applyFont="1" applyFill="1" applyBorder="1" applyAlignment="1">
      <alignment horizontal="left" vertical="center"/>
    </xf>
    <xf numFmtId="0" fontId="35" fillId="0" borderId="26" xfId="0" applyFont="1" applyBorder="1" applyAlignment="1">
      <alignment horizontal="center" vertical="center" wrapText="1"/>
    </xf>
    <xf numFmtId="0" fontId="35" fillId="0" borderId="38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5" fillId="0" borderId="22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/>
    </xf>
    <xf numFmtId="0" fontId="35" fillId="0" borderId="48" xfId="0" applyFont="1" applyBorder="1" applyAlignment="1">
      <alignment horizontal="center" vertical="center"/>
    </xf>
  </cellXfs>
  <cellStyles count="33">
    <cellStyle name="Millares" xfId="13" builtinId="3"/>
    <cellStyle name="Millares 2" xfId="4"/>
    <cellStyle name="Millares 2 2" xfId="6"/>
    <cellStyle name="Millares 2 3" xfId="26"/>
    <cellStyle name="Millares 3" xfId="23"/>
    <cellStyle name="Millares 3 2" xfId="31"/>
    <cellStyle name="Millares 4" xfId="19"/>
    <cellStyle name="Millares 4 2" xfId="29"/>
    <cellStyle name="Moneda" xfId="14" builtinId="4"/>
    <cellStyle name="Moneda [0]" xfId="1" builtinId="7"/>
    <cellStyle name="Moneda [0] 2" xfId="11"/>
    <cellStyle name="Moneda [0] 3" xfId="22"/>
    <cellStyle name="Moneda [0] 3 2" xfId="30"/>
    <cellStyle name="Moneda 2" xfId="3"/>
    <cellStyle name="Moneda 2 2" xfId="18"/>
    <cellStyle name="Moneda 2 2 2" xfId="28"/>
    <cellStyle name="Moneda 2 5" xfId="25"/>
    <cellStyle name="Moneda 3" xfId="7"/>
    <cellStyle name="Moneda 4" xfId="12"/>
    <cellStyle name="Moneda 5" xfId="17"/>
    <cellStyle name="Moneda 5 2" xfId="27"/>
    <cellStyle name="Moneda 6" xfId="24"/>
    <cellStyle name="Moneda 6 2" xfId="32"/>
    <cellStyle name="Normal" xfId="0" builtinId="0"/>
    <cellStyle name="Normal 10" xfId="8"/>
    <cellStyle name="Normal 2" xfId="2"/>
    <cellStyle name="Normal 2 4" xfId="15"/>
    <cellStyle name="Normal 3" xfId="5"/>
    <cellStyle name="Normal 3 2" xfId="9"/>
    <cellStyle name="Normal 4" xfId="16"/>
    <cellStyle name="Porcentaje" xfId="21" builtinId="5"/>
    <cellStyle name="Porcentaje 2" xfId="20"/>
    <cellStyle name="Porcentaje 2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4.jpeg"/><Relationship Id="rId1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28575</xdr:rowOff>
    </xdr:from>
    <xdr:to>
      <xdr:col>0</xdr:col>
      <xdr:colOff>1171575</xdr:colOff>
      <xdr:row>5</xdr:row>
      <xdr:rowOff>141497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04E2F1-F1C3-42CE-8FC3-E5398E325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28575"/>
          <a:ext cx="952500" cy="922547"/>
        </a:xfrm>
        <a:prstGeom prst="rect">
          <a:avLst/>
        </a:prstGeom>
      </xdr:spPr>
    </xdr:pic>
    <xdr:clientData/>
  </xdr:twoCellAnchor>
  <xdr:twoCellAnchor editAs="oneCell">
    <xdr:from>
      <xdr:col>7</xdr:col>
      <xdr:colOff>171450</xdr:colOff>
      <xdr:row>0</xdr:row>
      <xdr:rowOff>85725</xdr:rowOff>
    </xdr:from>
    <xdr:to>
      <xdr:col>8</xdr:col>
      <xdr:colOff>748259</xdr:colOff>
      <xdr:row>5</xdr:row>
      <xdr:rowOff>61578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BFCA5283-EE21-46F9-8A65-7E6226DE59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772275" y="85725"/>
          <a:ext cx="1214984" cy="78547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0</xdr:row>
      <xdr:rowOff>37695</xdr:rowOff>
    </xdr:from>
    <xdr:ext cx="896745" cy="895756"/>
    <xdr:pic>
      <xdr:nvPicPr>
        <xdr:cNvPr id="35" name="Imagen 34">
          <a:extLst>
            <a:ext uri="{FF2B5EF4-FFF2-40B4-BE49-F238E27FC236}">
              <a16:creationId xmlns:a16="http://schemas.microsoft.com/office/drawing/2014/main" id="{B8CCC7BF-D801-4F8C-A86B-DB63B681B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37695"/>
          <a:ext cx="896745" cy="895756"/>
        </a:xfrm>
        <a:prstGeom prst="rect">
          <a:avLst/>
        </a:prstGeom>
      </xdr:spPr>
    </xdr:pic>
    <xdr:clientData/>
  </xdr:oneCellAnchor>
  <xdr:twoCellAnchor editAs="oneCell">
    <xdr:from>
      <xdr:col>6</xdr:col>
      <xdr:colOff>285750</xdr:colOff>
      <xdr:row>0</xdr:row>
      <xdr:rowOff>49445</xdr:rowOff>
    </xdr:from>
    <xdr:to>
      <xdr:col>7</xdr:col>
      <xdr:colOff>676948</xdr:colOff>
      <xdr:row>5</xdr:row>
      <xdr:rowOff>115585</xdr:rowOff>
    </xdr:to>
    <xdr:pic>
      <xdr:nvPicPr>
        <xdr:cNvPr id="13" name="Imagen 12" descr="logo PDET descarga">
          <a:extLst>
            <a:ext uri="{FF2B5EF4-FFF2-40B4-BE49-F238E27FC236}">
              <a16:creationId xmlns:a16="http://schemas.microsoft.com/office/drawing/2014/main" id="{6C230895-4AE8-4D12-86E8-26DDD42BC7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572250" y="211370"/>
          <a:ext cx="1257973" cy="8757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257175</xdr:colOff>
      <xdr:row>57</xdr:row>
      <xdr:rowOff>57044</xdr:rowOff>
    </xdr:from>
    <xdr:ext cx="856379" cy="855435"/>
    <xdr:pic>
      <xdr:nvPicPr>
        <xdr:cNvPr id="12" name="Imagen 11">
          <a:extLst>
            <a:ext uri="{FF2B5EF4-FFF2-40B4-BE49-F238E27FC236}">
              <a16:creationId xmlns:a16="http://schemas.microsoft.com/office/drawing/2014/main" id="{B8CCC7BF-D801-4F8C-A86B-DB63B681B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9286769"/>
          <a:ext cx="856379" cy="855435"/>
        </a:xfrm>
        <a:prstGeom prst="rect">
          <a:avLst/>
        </a:prstGeom>
      </xdr:spPr>
    </xdr:pic>
    <xdr:clientData/>
  </xdr:oneCellAnchor>
  <xdr:twoCellAnchor editAs="oneCell">
    <xdr:from>
      <xdr:col>6</xdr:col>
      <xdr:colOff>293009</xdr:colOff>
      <xdr:row>57</xdr:row>
      <xdr:rowOff>85624</xdr:rowOff>
    </xdr:from>
    <xdr:to>
      <xdr:col>7</xdr:col>
      <xdr:colOff>684207</xdr:colOff>
      <xdr:row>62</xdr:row>
      <xdr:rowOff>151764</xdr:rowOff>
    </xdr:to>
    <xdr:pic>
      <xdr:nvPicPr>
        <xdr:cNvPr id="15" name="Imagen 14" descr="logo PDET descarga">
          <a:extLst>
            <a:ext uri="{FF2B5EF4-FFF2-40B4-BE49-F238E27FC236}">
              <a16:creationId xmlns:a16="http://schemas.microsoft.com/office/drawing/2014/main" id="{6C230895-4AE8-4D12-86E8-26DDD42BC7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255659" y="9315349"/>
          <a:ext cx="1257973" cy="8757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257280</xdr:colOff>
      <xdr:row>113</xdr:row>
      <xdr:rowOff>85725</xdr:rowOff>
    </xdr:from>
    <xdr:ext cx="856274" cy="855330"/>
    <xdr:pic>
      <xdr:nvPicPr>
        <xdr:cNvPr id="16" name="Imagen 15">
          <a:extLst>
            <a:ext uri="{FF2B5EF4-FFF2-40B4-BE49-F238E27FC236}">
              <a16:creationId xmlns:a16="http://schemas.microsoft.com/office/drawing/2014/main" id="{B8CCC7BF-D801-4F8C-A86B-DB63B681B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280" y="18221325"/>
          <a:ext cx="856274" cy="855330"/>
        </a:xfrm>
        <a:prstGeom prst="rect">
          <a:avLst/>
        </a:prstGeom>
      </xdr:spPr>
    </xdr:pic>
    <xdr:clientData/>
  </xdr:oneCellAnchor>
  <xdr:twoCellAnchor editAs="oneCell">
    <xdr:from>
      <xdr:col>6</xdr:col>
      <xdr:colOff>264434</xdr:colOff>
      <xdr:row>113</xdr:row>
      <xdr:rowOff>47524</xdr:rowOff>
    </xdr:from>
    <xdr:to>
      <xdr:col>7</xdr:col>
      <xdr:colOff>655632</xdr:colOff>
      <xdr:row>118</xdr:row>
      <xdr:rowOff>113664</xdr:rowOff>
    </xdr:to>
    <xdr:pic>
      <xdr:nvPicPr>
        <xdr:cNvPr id="17" name="Imagen 16" descr="logo PDET descarga">
          <a:extLst>
            <a:ext uri="{FF2B5EF4-FFF2-40B4-BE49-F238E27FC236}">
              <a16:creationId xmlns:a16="http://schemas.microsoft.com/office/drawing/2014/main" id="{6C230895-4AE8-4D12-86E8-26DDD42BC7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227084" y="18506974"/>
          <a:ext cx="1257973" cy="8757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190500</xdr:colOff>
      <xdr:row>170</xdr:row>
      <xdr:rowOff>19050</xdr:rowOff>
    </xdr:from>
    <xdr:ext cx="951629" cy="950580"/>
    <xdr:pic>
      <xdr:nvPicPr>
        <xdr:cNvPr id="18" name="Imagen 17">
          <a:extLst>
            <a:ext uri="{FF2B5EF4-FFF2-40B4-BE49-F238E27FC236}">
              <a16:creationId xmlns:a16="http://schemas.microsoft.com/office/drawing/2014/main" id="{B8CCC7BF-D801-4F8C-A86B-DB63B681B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27384375"/>
          <a:ext cx="951629" cy="950580"/>
        </a:xfrm>
        <a:prstGeom prst="rect">
          <a:avLst/>
        </a:prstGeom>
      </xdr:spPr>
    </xdr:pic>
    <xdr:clientData/>
  </xdr:oneCellAnchor>
  <xdr:twoCellAnchor editAs="oneCell">
    <xdr:from>
      <xdr:col>6</xdr:col>
      <xdr:colOff>293009</xdr:colOff>
      <xdr:row>170</xdr:row>
      <xdr:rowOff>47524</xdr:rowOff>
    </xdr:from>
    <xdr:to>
      <xdr:col>7</xdr:col>
      <xdr:colOff>684207</xdr:colOff>
      <xdr:row>175</xdr:row>
      <xdr:rowOff>113664</xdr:rowOff>
    </xdr:to>
    <xdr:pic>
      <xdr:nvPicPr>
        <xdr:cNvPr id="19" name="Imagen 18" descr="logo PDET descarga">
          <a:extLst>
            <a:ext uri="{FF2B5EF4-FFF2-40B4-BE49-F238E27FC236}">
              <a16:creationId xmlns:a16="http://schemas.microsoft.com/office/drawing/2014/main" id="{6C230895-4AE8-4D12-86E8-26DDD42BC7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255659" y="27412849"/>
          <a:ext cx="1257973" cy="8757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190500</xdr:colOff>
      <xdr:row>228</xdr:row>
      <xdr:rowOff>19050</xdr:rowOff>
    </xdr:from>
    <xdr:ext cx="951629" cy="950580"/>
    <xdr:pic>
      <xdr:nvPicPr>
        <xdr:cNvPr id="20" name="Imagen 19">
          <a:extLst>
            <a:ext uri="{FF2B5EF4-FFF2-40B4-BE49-F238E27FC236}">
              <a16:creationId xmlns:a16="http://schemas.microsoft.com/office/drawing/2014/main" id="{B8CCC7BF-D801-4F8C-A86B-DB63B681B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36452175"/>
          <a:ext cx="951629" cy="950580"/>
        </a:xfrm>
        <a:prstGeom prst="rect">
          <a:avLst/>
        </a:prstGeom>
      </xdr:spPr>
    </xdr:pic>
    <xdr:clientData/>
  </xdr:oneCellAnchor>
  <xdr:twoCellAnchor editAs="oneCell">
    <xdr:from>
      <xdr:col>6</xdr:col>
      <xdr:colOff>293009</xdr:colOff>
      <xdr:row>228</xdr:row>
      <xdr:rowOff>47524</xdr:rowOff>
    </xdr:from>
    <xdr:to>
      <xdr:col>7</xdr:col>
      <xdr:colOff>684207</xdr:colOff>
      <xdr:row>233</xdr:row>
      <xdr:rowOff>113664</xdr:rowOff>
    </xdr:to>
    <xdr:pic>
      <xdr:nvPicPr>
        <xdr:cNvPr id="21" name="Imagen 20" descr="logo PDET descarga">
          <a:extLst>
            <a:ext uri="{FF2B5EF4-FFF2-40B4-BE49-F238E27FC236}">
              <a16:creationId xmlns:a16="http://schemas.microsoft.com/office/drawing/2014/main" id="{6C230895-4AE8-4D12-86E8-26DDD42BC7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255659" y="36480649"/>
          <a:ext cx="1257973" cy="8757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142875</xdr:colOff>
      <xdr:row>0</xdr:row>
      <xdr:rowOff>76201</xdr:rowOff>
    </xdr:from>
    <xdr:to>
      <xdr:col>20</xdr:col>
      <xdr:colOff>1447800</xdr:colOff>
      <xdr:row>5</xdr:row>
      <xdr:rowOff>79665</xdr:rowOff>
    </xdr:to>
    <xdr:pic>
      <xdr:nvPicPr>
        <xdr:cNvPr id="2" name="1 Imagen" descr="C:\Users\Despacho\Downloads\LOGO ALCALDIA BEYER PEÑA 2020-2023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76201"/>
          <a:ext cx="1304925" cy="8191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35</xdr:col>
      <xdr:colOff>228600</xdr:colOff>
      <xdr:row>2</xdr:row>
      <xdr:rowOff>114300</xdr:rowOff>
    </xdr:from>
    <xdr:to>
      <xdr:col>36</xdr:col>
      <xdr:colOff>681718</xdr:colOff>
      <xdr:row>6</xdr:row>
      <xdr:rowOff>54552</xdr:rowOff>
    </xdr:to>
    <xdr:pic>
      <xdr:nvPicPr>
        <xdr:cNvPr id="4" name="2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28600" y="485775"/>
          <a:ext cx="1215118" cy="6000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76200</xdr:colOff>
      <xdr:row>0</xdr:row>
      <xdr:rowOff>70485</xdr:rowOff>
    </xdr:from>
    <xdr:to>
      <xdr:col>1</xdr:col>
      <xdr:colOff>592456</xdr:colOff>
      <xdr:row>5</xdr:row>
      <xdr:rowOff>142463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5065E5-C8D4-4E1A-8750-4E1D28972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70485"/>
          <a:ext cx="935356" cy="881603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0</xdr:row>
      <xdr:rowOff>118110</xdr:rowOff>
    </xdr:from>
    <xdr:to>
      <xdr:col>6</xdr:col>
      <xdr:colOff>1160602</xdr:colOff>
      <xdr:row>5</xdr:row>
      <xdr:rowOff>71666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CF1C057C-6A47-3718-0529-A8D889FA3F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5695950" y="118110"/>
          <a:ext cx="1084402" cy="76318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159185</xdr:colOff>
      <xdr:row>0</xdr:row>
      <xdr:rowOff>68580</xdr:rowOff>
    </xdr:from>
    <xdr:to>
      <xdr:col>0</xdr:col>
      <xdr:colOff>1163320</xdr:colOff>
      <xdr:row>5</xdr:row>
      <xdr:rowOff>175260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AECFD0F-47E7-2DDF-E709-4FFCF289E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185" y="68580"/>
          <a:ext cx="1004135" cy="973455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</xdr:colOff>
      <xdr:row>0</xdr:row>
      <xdr:rowOff>76200</xdr:rowOff>
    </xdr:from>
    <xdr:to>
      <xdr:col>6</xdr:col>
      <xdr:colOff>24072</xdr:colOff>
      <xdr:row>5</xdr:row>
      <xdr:rowOff>83820</xdr:rowOff>
    </xdr:to>
    <xdr:pic>
      <xdr:nvPicPr>
        <xdr:cNvPr id="2" name="Imagen 1" descr="logo PDET descarga">
          <a:extLst>
            <a:ext uri="{FF2B5EF4-FFF2-40B4-BE49-F238E27FC236}">
              <a16:creationId xmlns:a16="http://schemas.microsoft.com/office/drawing/2014/main" id="{9BF6FEE6-6E1E-4E59-B5BA-A4715FFE97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92240" y="76200"/>
          <a:ext cx="1304232" cy="8991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</xdr:colOff>
      <xdr:row>0</xdr:row>
      <xdr:rowOff>67733</xdr:rowOff>
    </xdr:from>
    <xdr:to>
      <xdr:col>1</xdr:col>
      <xdr:colOff>633197</xdr:colOff>
      <xdr:row>4</xdr:row>
      <xdr:rowOff>194733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762C05F-D624-4F67-A7E2-0E66B1FD0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800" y="67733"/>
          <a:ext cx="1234330" cy="1126067"/>
        </a:xfrm>
        <a:prstGeom prst="rect">
          <a:avLst/>
        </a:prstGeom>
      </xdr:spPr>
    </xdr:pic>
    <xdr:clientData/>
  </xdr:twoCellAnchor>
  <xdr:twoCellAnchor editAs="oneCell">
    <xdr:from>
      <xdr:col>4</xdr:col>
      <xdr:colOff>702734</xdr:colOff>
      <xdr:row>0</xdr:row>
      <xdr:rowOff>194734</xdr:rowOff>
    </xdr:from>
    <xdr:to>
      <xdr:col>5</xdr:col>
      <xdr:colOff>1430866</xdr:colOff>
      <xdr:row>5</xdr:row>
      <xdr:rowOff>118534</xdr:rowOff>
    </xdr:to>
    <xdr:pic>
      <xdr:nvPicPr>
        <xdr:cNvPr id="4" name="Imagen 3" descr="logo PDET descarga">
          <a:extLst>
            <a:ext uri="{FF2B5EF4-FFF2-40B4-BE49-F238E27FC236}">
              <a16:creationId xmlns:a16="http://schemas.microsoft.com/office/drawing/2014/main" id="{6D5B774C-901F-4942-A1AE-7FB63E0BB5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5467" y="194734"/>
          <a:ext cx="1507066" cy="112606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0</xdr:row>
      <xdr:rowOff>72906</xdr:rowOff>
    </xdr:from>
    <xdr:to>
      <xdr:col>11</xdr:col>
      <xdr:colOff>621542</xdr:colOff>
      <xdr:row>5</xdr:row>
      <xdr:rowOff>60702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2524B3AA-68A4-4311-811B-9915C103ECA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9448800" y="72906"/>
          <a:ext cx="1250192" cy="79742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219074</xdr:colOff>
      <xdr:row>0</xdr:row>
      <xdr:rowOff>72891</xdr:rowOff>
    </xdr:from>
    <xdr:to>
      <xdr:col>1</xdr:col>
      <xdr:colOff>805986</xdr:colOff>
      <xdr:row>5</xdr:row>
      <xdr:rowOff>104775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616EB04-9D25-4812-93A3-9CBBAD990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4" y="72891"/>
          <a:ext cx="901237" cy="84150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130628</xdr:colOff>
      <xdr:row>0</xdr:row>
      <xdr:rowOff>76200</xdr:rowOff>
    </xdr:from>
    <xdr:to>
      <xdr:col>0</xdr:col>
      <xdr:colOff>1235528</xdr:colOff>
      <xdr:row>5</xdr:row>
      <xdr:rowOff>158903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1B694ED-4A33-4C7B-885E-57B7601B9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28" y="76200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0</xdr:col>
      <xdr:colOff>43543</xdr:colOff>
      <xdr:row>52</xdr:row>
      <xdr:rowOff>43543</xdr:rowOff>
    </xdr:from>
    <xdr:to>
      <xdr:col>0</xdr:col>
      <xdr:colOff>1148443</xdr:colOff>
      <xdr:row>57</xdr:row>
      <xdr:rowOff>126246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61FF90E-E706-4877-81E8-0B16F66AD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43" y="9339943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0</xdr:col>
      <xdr:colOff>119744</xdr:colOff>
      <xdr:row>102</xdr:row>
      <xdr:rowOff>76199</xdr:rowOff>
    </xdr:from>
    <xdr:to>
      <xdr:col>0</xdr:col>
      <xdr:colOff>1224644</xdr:colOff>
      <xdr:row>107</xdr:row>
      <xdr:rowOff>158902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C37A801-DC8D-4F5F-BBB2-815D47D29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744" y="18531839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0</xdr:row>
      <xdr:rowOff>83820</xdr:rowOff>
    </xdr:from>
    <xdr:to>
      <xdr:col>7</xdr:col>
      <xdr:colOff>1196382</xdr:colOff>
      <xdr:row>5</xdr:row>
      <xdr:rowOff>15240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D92D237C-7297-4B9D-B1E5-046AF4E10D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086600" y="8382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1226862</xdr:colOff>
      <xdr:row>56</xdr:row>
      <xdr:rowOff>114300</xdr:rowOff>
    </xdr:to>
    <xdr:pic>
      <xdr:nvPicPr>
        <xdr:cNvPr id="6" name="Imagen 5" descr="logo PDET descarga">
          <a:extLst>
            <a:ext uri="{FF2B5EF4-FFF2-40B4-BE49-F238E27FC236}">
              <a16:creationId xmlns:a16="http://schemas.microsoft.com/office/drawing/2014/main" id="{65F0113E-2AEC-47A6-8B2B-21D2D2C6CA3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17080" y="929640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0</xdr:colOff>
      <xdr:row>102</xdr:row>
      <xdr:rowOff>0</xdr:rowOff>
    </xdr:from>
    <xdr:to>
      <xdr:col>7</xdr:col>
      <xdr:colOff>1226862</xdr:colOff>
      <xdr:row>106</xdr:row>
      <xdr:rowOff>114300</xdr:rowOff>
    </xdr:to>
    <xdr:pic>
      <xdr:nvPicPr>
        <xdr:cNvPr id="7" name="Imagen 6" descr="logo PDET descarga">
          <a:extLst>
            <a:ext uri="{FF2B5EF4-FFF2-40B4-BE49-F238E27FC236}">
              <a16:creationId xmlns:a16="http://schemas.microsoft.com/office/drawing/2014/main" id="{A06ADAB2-B942-4D3D-B022-429B7161A8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17080" y="1845564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n&#225;lisis%20Unitarios%20-%20Franc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PUS%20-%20Nuevo%20Amanec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RETERAS\carreteras\VIAS%20VASCULARES\UNITARIO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partido\Carpetas%20Compartidas\PLANEACION\JANETH%20GUERRERO\Documents%20and%20Settings\Administrador\Escritorio\LICITACIONES%202009\LA%20CRUZ%20TAJUMBINA\Programcion%20la%20Cruz%20tajumbina\AP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dministrador\Escritorio\LICITACIONES%202009\LA%20CRUZ%20TAJUMBINA\Programcion%20la%20Cruz%20tajumbina\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partido\Carpetas%20Compartidas\PLANEACION\JANETH%20GUERRERO\PROGRAMACION%202007\PROPUESTA%20ORQUIDEAS\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ACION%202007\PROPUESTA%20ORQUIDEAS\APU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OGRAMACION%202007/PROPUESTA%20ORQUIDEAS/AP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NIERO2\My%20Documents\Mis%20documentos\Andres\Presupuestos\Administra%20UQ%20V%201.0\Administra%20Planeaci&#243;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mestre%209%20IX\Concreto%20II\Muro\Dise&#241;o%20muro%20contencion\APUS%20Y%20PRESUPUESTO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Escritorio/LICITACIONES%202009/LA%20CRUZ%20TAJUMBINA/Programcion%20la%20Cruz%20tajumbina/AP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ecios unitarios"/>
      <sheetName val="Análisis - Resumido"/>
      <sheetName val="Base"/>
      <sheetName val="Datos"/>
      <sheetName val="46W9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prestacional"/>
      <sheetName val="Cuadrillas"/>
      <sheetName val="APUS Preliminares"/>
      <sheetName val="APUS Alcantarillado"/>
      <sheetName val="precios unitarios"/>
      <sheetName val="precios unitarios (2)"/>
      <sheetName val="cantidades de obra"/>
      <sheetName val="INSUMOS"/>
      <sheetName val="valor total"/>
      <sheetName val="genéricos"/>
      <sheetName val="Ite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A.P.U."/>
      <sheetName val="A.P.U. (2)"/>
      <sheetName val="RESUMEN VIAS"/>
      <sheetName val="Hoja1"/>
      <sheetName val="COSTOS POR KM"/>
      <sheetName val="RESUMEN UNITARIOS"/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EO TOTAL OBRA"/>
      <sheetName val="COSTOS OFICINA"/>
      <sheetName val="Format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</sheetNames>
    <sheetDataSet>
      <sheetData sheetId="0" refreshError="1">
        <row r="4">
          <cell r="D4">
            <v>7</v>
          </cell>
        </row>
        <row r="169">
          <cell r="D169">
            <v>1601.38</v>
          </cell>
        </row>
        <row r="181">
          <cell r="D181">
            <v>4189.9000000000005</v>
          </cell>
        </row>
        <row r="275">
          <cell r="D275">
            <v>18375</v>
          </cell>
        </row>
        <row r="688">
          <cell r="D688">
            <v>1046.32</v>
          </cell>
        </row>
        <row r="793">
          <cell r="D793">
            <v>3849.9982399999999</v>
          </cell>
        </row>
        <row r="932">
          <cell r="D932">
            <v>880.00000000000011</v>
          </cell>
        </row>
        <row r="1404">
          <cell r="D1404">
            <v>17241.37931034483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9.7999954223632813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20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62.5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74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274.949951171875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8.55999755859375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427.3076171875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3636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1212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181.7999267578125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181.7999267578125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54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14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249.5999755859375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200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16968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175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16260.9921875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175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1236.037109375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808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1854.056640625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1346.666015625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55045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685.39990234375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8904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1251.19921875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441.268798828125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125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881.67919921875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125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535.2998046875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650.44970703125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50.853485107421875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165.0499267578125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53.529998779296875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75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107.05999755859375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600.5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808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25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1111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25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46965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825.14990234375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1224.119140625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650.44970703125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9.7999954223632813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20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62.5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74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274.949951171875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8.55999755859375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427.3076171875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3636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1212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181.7999267578125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181.7999267578125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54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14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249.5999755859375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200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16968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175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16260.9921875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175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1236.037109375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808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1854.056640625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1346.666015625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55045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685.39990234375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8904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1251.19921875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441.268798828125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125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881.67919921875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125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535.2998046875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650.44970703125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50.853485107421875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165.0499267578125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53.529998779296875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75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107.05999755859375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600.5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808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25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1111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25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46965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825.14990234375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1224.119140625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650.44970703125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 t="str">
            <v/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 t="str">
            <v/>
          </cell>
          <cell r="F26">
            <v>0</v>
          </cell>
          <cell r="G26">
            <v>0</v>
          </cell>
        </row>
        <row r="27">
          <cell r="D27" t="str">
            <v/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 t="str">
            <v/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 t="str">
            <v/>
          </cell>
          <cell r="F74">
            <v>0</v>
          </cell>
          <cell r="G74">
            <v>0</v>
          </cell>
        </row>
        <row r="75">
          <cell r="D75" t="str">
            <v/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 t="str">
            <v/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 t="str">
            <v/>
          </cell>
          <cell r="F122">
            <v>0</v>
          </cell>
          <cell r="G122">
            <v>0</v>
          </cell>
        </row>
        <row r="123">
          <cell r="D123" t="str">
            <v/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 t="str">
            <v/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 t="str">
            <v/>
          </cell>
          <cell r="F170">
            <v>0</v>
          </cell>
          <cell r="G170">
            <v>0</v>
          </cell>
        </row>
        <row r="171">
          <cell r="D171" t="str">
            <v/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 t="str">
            <v/>
          </cell>
          <cell r="F203">
            <v>0</v>
          </cell>
          <cell r="G203">
            <v>0</v>
          </cell>
        </row>
        <row r="204">
          <cell r="D204" t="str">
            <v/>
          </cell>
          <cell r="F204">
            <v>0</v>
          </cell>
          <cell r="G204">
            <v>0</v>
          </cell>
        </row>
        <row r="205">
          <cell r="D205" t="str">
            <v/>
          </cell>
          <cell r="F205">
            <v>0</v>
          </cell>
          <cell r="G205">
            <v>0</v>
          </cell>
        </row>
        <row r="206">
          <cell r="D206" t="str">
            <v/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 t="str">
            <v/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 t="str">
            <v/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 t="str">
            <v/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 t="str">
            <v/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 t="str">
            <v/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 t="str">
            <v/>
          </cell>
          <cell r="F468">
            <v>0</v>
          </cell>
          <cell r="G468">
            <v>0</v>
          </cell>
        </row>
        <row r="469">
          <cell r="D469" t="str">
            <v/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 t="str">
            <v/>
          </cell>
          <cell r="E481">
            <v>0</v>
          </cell>
          <cell r="G481">
            <v>0</v>
          </cell>
        </row>
        <row r="482">
          <cell r="D482" t="str">
            <v/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 t="str">
            <v/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 t="str">
            <v/>
          </cell>
          <cell r="E530">
            <v>0</v>
          </cell>
          <cell r="G530">
            <v>0</v>
          </cell>
        </row>
        <row r="531">
          <cell r="D531" t="str">
            <v/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 t="str">
            <v/>
          </cell>
          <cell r="F565">
            <v>0</v>
          </cell>
          <cell r="G565">
            <v>0</v>
          </cell>
        </row>
        <row r="566">
          <cell r="D566" t="str">
            <v/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 t="str">
            <v/>
          </cell>
          <cell r="E578">
            <v>0</v>
          </cell>
          <cell r="G578">
            <v>0</v>
          </cell>
        </row>
        <row r="579">
          <cell r="D579" t="str">
            <v/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 t="str">
            <v/>
          </cell>
          <cell r="F613">
            <v>0</v>
          </cell>
          <cell r="G613">
            <v>0</v>
          </cell>
        </row>
        <row r="614">
          <cell r="D614" t="str">
            <v/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 t="str">
            <v/>
          </cell>
          <cell r="E626">
            <v>0</v>
          </cell>
          <cell r="G626">
            <v>0</v>
          </cell>
        </row>
        <row r="627">
          <cell r="D627" t="str">
            <v/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 t="str">
            <v/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 t="str">
            <v/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 t="str">
            <v/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 t="str">
            <v/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 t="str">
            <v/>
          </cell>
          <cell r="E756">
            <v>0</v>
          </cell>
          <cell r="F756">
            <v>0</v>
          </cell>
          <cell r="G756">
            <v>0</v>
          </cell>
        </row>
        <row r="757">
          <cell r="D757" t="str">
            <v/>
          </cell>
          <cell r="E757">
            <v>0</v>
          </cell>
          <cell r="F757">
            <v>0</v>
          </cell>
          <cell r="G757">
            <v>0</v>
          </cell>
        </row>
        <row r="758">
          <cell r="D758" t="str">
            <v/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 t="str">
            <v/>
          </cell>
          <cell r="E770">
            <v>0</v>
          </cell>
          <cell r="G770">
            <v>0</v>
          </cell>
        </row>
        <row r="771">
          <cell r="D771" t="str">
            <v/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 t="str">
            <v/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 t="str">
            <v/>
          </cell>
          <cell r="E823">
            <v>0</v>
          </cell>
          <cell r="G823">
            <v>0</v>
          </cell>
        </row>
        <row r="824">
          <cell r="D824" t="str">
            <v/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 t="str">
            <v/>
          </cell>
          <cell r="E858">
            <v>0</v>
          </cell>
          <cell r="F858">
            <v>0</v>
          </cell>
          <cell r="G858">
            <v>0</v>
          </cell>
        </row>
        <row r="859">
          <cell r="D859" t="str">
            <v/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 t="str">
            <v/>
          </cell>
          <cell r="E871">
            <v>0</v>
          </cell>
          <cell r="G871">
            <v>0</v>
          </cell>
        </row>
        <row r="872">
          <cell r="D872" t="str">
            <v/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 t="str">
            <v/>
          </cell>
          <cell r="E906">
            <v>0</v>
          </cell>
          <cell r="F906">
            <v>0</v>
          </cell>
          <cell r="G906">
            <v>0</v>
          </cell>
        </row>
        <row r="907">
          <cell r="D907" t="str">
            <v/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 t="str">
            <v/>
          </cell>
          <cell r="E919">
            <v>0</v>
          </cell>
          <cell r="G919">
            <v>0</v>
          </cell>
        </row>
        <row r="920">
          <cell r="D920" t="str">
            <v/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 t="str">
            <v/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 t="str">
            <v/>
          </cell>
          <cell r="E966">
            <v>0</v>
          </cell>
          <cell r="G966">
            <v>0</v>
          </cell>
        </row>
        <row r="967">
          <cell r="D967" t="str">
            <v/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 t="str">
            <v/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 t="str">
            <v/>
          </cell>
          <cell r="E1014">
            <v>0</v>
          </cell>
          <cell r="G1014">
            <v>0</v>
          </cell>
        </row>
        <row r="1015">
          <cell r="D1015" t="str">
            <v/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 t="str">
            <v/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 t="str">
            <v/>
          </cell>
          <cell r="E1062">
            <v>0</v>
          </cell>
          <cell r="G1062">
            <v>0</v>
          </cell>
        </row>
        <row r="1063">
          <cell r="D1063" t="str">
            <v/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 t="str">
            <v/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 t="str">
            <v/>
          </cell>
          <cell r="E1111">
            <v>0</v>
          </cell>
          <cell r="G1111">
            <v>0</v>
          </cell>
        </row>
        <row r="1112">
          <cell r="D1112" t="str">
            <v/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 t="str">
            <v/>
          </cell>
          <cell r="F1145">
            <v>0</v>
          </cell>
          <cell r="G1145">
            <v>0</v>
          </cell>
        </row>
        <row r="1146">
          <cell r="D1146" t="str">
            <v/>
          </cell>
          <cell r="F1146">
            <v>0</v>
          </cell>
          <cell r="G1146">
            <v>0</v>
          </cell>
        </row>
        <row r="1147">
          <cell r="D1147" t="str">
            <v/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 t="str">
            <v/>
          </cell>
          <cell r="E1159">
            <v>0</v>
          </cell>
          <cell r="G1159">
            <v>0</v>
          </cell>
        </row>
        <row r="1160">
          <cell r="D1160" t="str">
            <v/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 t="str">
            <v/>
          </cell>
          <cell r="F1193">
            <v>0</v>
          </cell>
          <cell r="G1193">
            <v>0</v>
          </cell>
        </row>
        <row r="1194">
          <cell r="D1194" t="str">
            <v/>
          </cell>
          <cell r="F1194">
            <v>0</v>
          </cell>
          <cell r="G1194">
            <v>0</v>
          </cell>
        </row>
        <row r="1195">
          <cell r="D1195" t="str">
            <v/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 t="str">
            <v/>
          </cell>
          <cell r="E1207">
            <v>0</v>
          </cell>
          <cell r="G1207">
            <v>0</v>
          </cell>
        </row>
        <row r="1208">
          <cell r="D1208" t="str">
            <v/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 t="str">
            <v/>
          </cell>
          <cell r="F1242">
            <v>0</v>
          </cell>
          <cell r="G1242">
            <v>0</v>
          </cell>
        </row>
        <row r="1243">
          <cell r="D1243" t="str">
            <v/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 t="str">
            <v/>
          </cell>
          <cell r="E1255">
            <v>0</v>
          </cell>
          <cell r="G1255">
            <v>0</v>
          </cell>
        </row>
        <row r="1256">
          <cell r="D1256" t="str">
            <v/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 t="str">
            <v/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 t="str">
            <v/>
          </cell>
          <cell r="E1306">
            <v>0</v>
          </cell>
          <cell r="G1306">
            <v>0</v>
          </cell>
        </row>
        <row r="1307">
          <cell r="D1307" t="str">
            <v/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DAT PROY"/>
      <sheetName val="PLANTILLA APU"/>
      <sheetName val="APUS"/>
      <sheetName val="APUS Res"/>
      <sheetName val="COST DIR"/>
      <sheetName val="PORC PART CAP"/>
      <sheetName val="PORC PART ITEM"/>
      <sheetName val="ADMIN"/>
      <sheetName val="PRESUP"/>
      <sheetName val="Ing insumo"/>
      <sheetName val="Ing cap"/>
      <sheetName val="Ing MO"/>
      <sheetName val="Ing MyE"/>
      <sheetName val="Ing unid"/>
      <sheetName val="Capitulos"/>
      <sheetName val="Unidades"/>
      <sheetName val="Insumos"/>
      <sheetName val="Maqui Equip"/>
      <sheetName val="Mano Obra"/>
      <sheetName val="Ins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">
          <cell r="B1" t="str">
            <v>Nombre</v>
          </cell>
        </row>
        <row r="2">
          <cell r="B2">
            <v>0</v>
          </cell>
        </row>
        <row r="3">
          <cell r="B3" t="str">
            <v>Act. Preliminares - Limpieza Terreno</v>
          </cell>
        </row>
        <row r="4">
          <cell r="B4" t="str">
            <v>Cableado Estructurado</v>
          </cell>
        </row>
        <row r="5">
          <cell r="B5" t="str">
            <v>Carpintería de Madera</v>
          </cell>
        </row>
        <row r="6">
          <cell r="B6" t="str">
            <v>Carpintería Metálica</v>
          </cell>
        </row>
        <row r="7">
          <cell r="B7" t="str">
            <v>Cielosrasos</v>
          </cell>
        </row>
        <row r="8">
          <cell r="B8" t="str">
            <v>Cimentación y Estructura</v>
          </cell>
        </row>
        <row r="9">
          <cell r="B9" t="str">
            <v>Cubiertas</v>
          </cell>
        </row>
        <row r="10">
          <cell r="B10" t="str">
            <v>Enchapes y Accesorios</v>
          </cell>
        </row>
        <row r="11">
          <cell r="B11" t="str">
            <v>Equipos Especiales</v>
          </cell>
        </row>
        <row r="12">
          <cell r="B12" t="str">
            <v>Inst. Eléctricas, TV. y Sonido</v>
          </cell>
        </row>
        <row r="13">
          <cell r="B13" t="str">
            <v>Inst. Gas</v>
          </cell>
        </row>
        <row r="14">
          <cell r="B14" t="str">
            <v>Inst. Hidráulicas, Sanitarias y Latonería</v>
          </cell>
        </row>
        <row r="15">
          <cell r="B15" t="str">
            <v>Mampostería</v>
          </cell>
        </row>
        <row r="16">
          <cell r="B16" t="str">
            <v>Morteros, Concretos, y Ensayos</v>
          </cell>
        </row>
        <row r="17">
          <cell r="B17" t="str">
            <v>Pañetes, Repellos y Revoques</v>
          </cell>
        </row>
        <row r="18">
          <cell r="B18" t="str">
            <v>Pintura</v>
          </cell>
        </row>
        <row r="19">
          <cell r="B19" t="str">
            <v>Pisos</v>
          </cell>
        </row>
        <row r="20">
          <cell r="B20" t="str">
            <v>Redes Servicios y Desagües</v>
          </cell>
        </row>
        <row r="21">
          <cell r="B21" t="str">
            <v>Urbanismo y Obras Exteriores</v>
          </cell>
        </row>
        <row r="22">
          <cell r="B22" t="str">
            <v>Varios</v>
          </cell>
        </row>
        <row r="23">
          <cell r="B23" t="str">
            <v>Vias</v>
          </cell>
        </row>
        <row r="24">
          <cell r="B24" t="str">
            <v>Vidrios y Cerraduras</v>
          </cell>
        </row>
      </sheetData>
      <sheetData sheetId="16">
        <row r="1">
          <cell r="A1" t="str">
            <v>Descripcion</v>
          </cell>
        </row>
        <row r="2">
          <cell r="A2">
            <v>0</v>
          </cell>
        </row>
        <row r="3">
          <cell r="A3" t="str">
            <v>Arroba</v>
          </cell>
        </row>
        <row r="4">
          <cell r="A4" t="str">
            <v>Bolsa</v>
          </cell>
        </row>
        <row r="5">
          <cell r="A5" t="str">
            <v>bolsa metro cúbico</v>
          </cell>
        </row>
        <row r="6">
          <cell r="A6" t="str">
            <v>Bulto</v>
          </cell>
        </row>
        <row r="7">
          <cell r="A7" t="str">
            <v>Caja por 7</v>
          </cell>
        </row>
        <row r="8">
          <cell r="A8" t="str">
            <v>Día</v>
          </cell>
        </row>
        <row r="9">
          <cell r="A9" t="str">
            <v>Especial</v>
          </cell>
        </row>
        <row r="10">
          <cell r="A10" t="str">
            <v>frasco</v>
          </cell>
        </row>
        <row r="11">
          <cell r="A11" t="str">
            <v>Frasco</v>
          </cell>
        </row>
        <row r="12">
          <cell r="A12" t="str">
            <v>Galón</v>
          </cell>
        </row>
        <row r="13">
          <cell r="A13" t="str">
            <v>galón</v>
          </cell>
        </row>
        <row r="14">
          <cell r="A14" t="str">
            <v>Global</v>
          </cell>
        </row>
        <row r="15">
          <cell r="A15" t="str">
            <v>Hora</v>
          </cell>
        </row>
        <row r="16">
          <cell r="A16" t="str">
            <v>Hora Cuadrilla</v>
          </cell>
        </row>
        <row r="17">
          <cell r="A17" t="str">
            <v>Hora Hombre</v>
          </cell>
        </row>
        <row r="18">
          <cell r="A18" t="str">
            <v>juego</v>
          </cell>
        </row>
        <row r="19">
          <cell r="A19" t="str">
            <v>Juego</v>
          </cell>
        </row>
        <row r="20">
          <cell r="A20" t="str">
            <v>Kilo</v>
          </cell>
        </row>
        <row r="21">
          <cell r="A21" t="str">
            <v>Kilo Watio</v>
          </cell>
        </row>
        <row r="22">
          <cell r="A22" t="str">
            <v>Kilogramo</v>
          </cell>
        </row>
        <row r="23">
          <cell r="A23" t="str">
            <v>Lamina</v>
          </cell>
        </row>
        <row r="24">
          <cell r="A24" t="str">
            <v>Libra</v>
          </cell>
        </row>
        <row r="25">
          <cell r="A25" t="str">
            <v>Litro</v>
          </cell>
        </row>
        <row r="26">
          <cell r="A26" t="str">
            <v>mes</v>
          </cell>
        </row>
        <row r="27">
          <cell r="A27" t="str">
            <v>Mes</v>
          </cell>
        </row>
        <row r="28">
          <cell r="A28" t="str">
            <v>Metro</v>
          </cell>
        </row>
        <row r="29">
          <cell r="A29" t="str">
            <v>Metro Cuadrado</v>
          </cell>
        </row>
        <row r="30">
          <cell r="A30" t="str">
            <v>Metro Cúbico</v>
          </cell>
        </row>
        <row r="31">
          <cell r="A31" t="str">
            <v>metro cúbico - kilómetro</v>
          </cell>
        </row>
        <row r="32">
          <cell r="A32" t="str">
            <v>metro lineal</v>
          </cell>
        </row>
        <row r="33">
          <cell r="A33" t="str">
            <v>Par</v>
          </cell>
        </row>
        <row r="34">
          <cell r="A34" t="str">
            <v>pie</v>
          </cell>
        </row>
        <row r="35">
          <cell r="A35" t="str">
            <v>pie cuadrado</v>
          </cell>
        </row>
        <row r="36">
          <cell r="A36" t="str">
            <v>pie cúbico</v>
          </cell>
        </row>
        <row r="37">
          <cell r="A37" t="str">
            <v>Porcentaje</v>
          </cell>
        </row>
        <row r="38">
          <cell r="A38" t="str">
            <v>Quintal</v>
          </cell>
        </row>
        <row r="39">
          <cell r="A39" t="str">
            <v>Rollo</v>
          </cell>
        </row>
        <row r="40">
          <cell r="A40" t="str">
            <v>Sección</v>
          </cell>
        </row>
        <row r="41">
          <cell r="A41" t="str">
            <v>Semana</v>
          </cell>
        </row>
        <row r="42">
          <cell r="A42" t="str">
            <v>sin desc</v>
          </cell>
        </row>
        <row r="43">
          <cell r="A43" t="str">
            <v>sin desc</v>
          </cell>
        </row>
        <row r="44">
          <cell r="A44" t="str">
            <v>Tarifa Hora</v>
          </cell>
        </row>
        <row r="45">
          <cell r="A45" t="str">
            <v>Tonelada</v>
          </cell>
        </row>
        <row r="46">
          <cell r="A46" t="str">
            <v>Unidad</v>
          </cell>
        </row>
        <row r="47">
          <cell r="A47" t="str">
            <v>unidad</v>
          </cell>
        </row>
        <row r="48">
          <cell r="A48" t="str">
            <v>Viaje</v>
          </cell>
        </row>
      </sheetData>
      <sheetData sheetId="17">
        <row r="1">
          <cell r="B1" t="str">
            <v>Descripcion Insumo</v>
          </cell>
        </row>
      </sheetData>
      <sheetData sheetId="18">
        <row r="1">
          <cell r="B1" t="str">
            <v>Maquinaria y Equipo</v>
          </cell>
        </row>
        <row r="2">
          <cell r="B2">
            <v>0</v>
          </cell>
        </row>
        <row r="3">
          <cell r="B3" t="str">
            <v>ABSORCIÓN DE BLOQUES, LADRILLOS F</v>
          </cell>
        </row>
        <row r="4">
          <cell r="B4" t="str">
            <v>ANDAMIO COLGANTE 40mt.</v>
          </cell>
        </row>
        <row r="5">
          <cell r="B5" t="str">
            <v>ANDAMIO TUBULAR (SECC.)</v>
          </cell>
        </row>
        <row r="6">
          <cell r="B6" t="str">
            <v>ANDAMIO TUBULAR (SECC.)</v>
          </cell>
        </row>
        <row r="7">
          <cell r="B7" t="str">
            <v>APISONADOR CANGURO</v>
          </cell>
        </row>
        <row r="8">
          <cell r="B8" t="str">
            <v>AUTOBOMBA PARA CONCRETO</v>
          </cell>
        </row>
        <row r="9">
          <cell r="B9" t="str">
            <v>BALDE PARA PLUMA ADICIONAL</v>
          </cell>
        </row>
        <row r="10">
          <cell r="B10" t="str">
            <v>BANDA PARA REMOVER ESCOMBROS</v>
          </cell>
        </row>
        <row r="11">
          <cell r="B11" t="str">
            <v>BARANDA PROTECTORA /CAMARA</v>
          </cell>
        </row>
        <row r="12">
          <cell r="B12" t="str">
            <v>BENITIN DE 2.5 TONELADAS</v>
          </cell>
        </row>
        <row r="13">
          <cell r="B13" t="str">
            <v>BOMBA ESTACIONARIA DE CONCRETO</v>
          </cell>
        </row>
        <row r="14">
          <cell r="B14" t="str">
            <v>BULLDOZER D-6 CATERPILLAR</v>
          </cell>
        </row>
        <row r="15">
          <cell r="B15" t="str">
            <v>CAMION 3 TONELADAS REDES</v>
          </cell>
        </row>
        <row r="16">
          <cell r="B16" t="str">
            <v>CAMION DE 4.5 TONELADAS</v>
          </cell>
        </row>
        <row r="17">
          <cell r="B17" t="str">
            <v>CAMION DE 8.0 TONELADAS</v>
          </cell>
        </row>
        <row r="18">
          <cell r="B18" t="str">
            <v>CAMPERO</v>
          </cell>
        </row>
        <row r="19">
          <cell r="B19" t="str">
            <v>CARGADOR .50 M3 SOBRE LLANTAS</v>
          </cell>
        </row>
        <row r="20">
          <cell r="B20" t="str">
            <v>CARGADOR BOBCAT+Oper.       753</v>
          </cell>
        </row>
        <row r="21">
          <cell r="B21" t="str">
            <v>CARGADOR BOBCAT+Oper.       853</v>
          </cell>
        </row>
        <row r="22">
          <cell r="B22" t="str">
            <v>CARGADOR RETROEXCAVADOR</v>
          </cell>
        </row>
        <row r="23">
          <cell r="B23" t="str">
            <v>CERCHA METALICA DE 3MT</v>
          </cell>
        </row>
        <row r="24">
          <cell r="B24" t="str">
            <v>CERCHAS METALICAS (3 METROS)</v>
          </cell>
        </row>
        <row r="25">
          <cell r="B25" t="str">
            <v>CILINDRO PRUEBA CONCRETO (Alq)</v>
          </cell>
        </row>
        <row r="26">
          <cell r="B26" t="str">
            <v>CILINDRO VIBRATORIO 3 TON</v>
          </cell>
        </row>
        <row r="27">
          <cell r="B27" t="str">
            <v>CINTURON DE SEGURIDAD</v>
          </cell>
        </row>
        <row r="28">
          <cell r="B28" t="str">
            <v>COMPACTADOR DINAMAR</v>
          </cell>
        </row>
        <row r="29">
          <cell r="B29" t="str">
            <v>COMPRESOR 2 MARTILLOS 185 PCM</v>
          </cell>
        </row>
        <row r="30">
          <cell r="B30" t="str">
            <v>COMPRESOR 2 MARTILLOS 185 PCM</v>
          </cell>
        </row>
        <row r="31">
          <cell r="B31" t="str">
            <v>COMPRESOR 250 PCM</v>
          </cell>
        </row>
        <row r="32">
          <cell r="B32" t="str">
            <v>COMPRESOR DE 375 CPM S/C</v>
          </cell>
        </row>
        <row r="33">
          <cell r="B33" t="str">
            <v>COMPRESOR DE 375 CPM S/C</v>
          </cell>
        </row>
        <row r="34">
          <cell r="B34" t="str">
            <v>COMPRESOR DE 750 CPM S/C</v>
          </cell>
        </row>
        <row r="35">
          <cell r="B35" t="str">
            <v>COMPRESOR DE 750 CPM S/C</v>
          </cell>
        </row>
        <row r="36">
          <cell r="B36" t="str">
            <v>COMPRESOR Oper.+Comb</v>
          </cell>
        </row>
        <row r="37">
          <cell r="B37" t="str">
            <v>COMPRESOR Oper.+Comb</v>
          </cell>
        </row>
        <row r="38">
          <cell r="B38" t="str">
            <v>COMPRESOR Oper.+Comb</v>
          </cell>
        </row>
        <row r="39">
          <cell r="B39" t="str">
            <v>CONO DE ABRAHAMS (SLUM Concr)</v>
          </cell>
        </row>
        <row r="40">
          <cell r="B40" t="str">
            <v>CONO DE ABRAMS (Alquiler)</v>
          </cell>
        </row>
        <row r="41">
          <cell r="B41" t="str">
            <v>CORTADORA DE LADRILLO</v>
          </cell>
        </row>
        <row r="42">
          <cell r="B42" t="str">
            <v>CORTADORA LADRILLO (POR CORTE)</v>
          </cell>
        </row>
        <row r="43">
          <cell r="B43" t="str">
            <v>CORTADORA SIN DISCO</v>
          </cell>
        </row>
        <row r="44">
          <cell r="B44" t="str">
            <v>CORTADORA SIN DISCO</v>
          </cell>
        </row>
        <row r="45">
          <cell r="B45" t="str">
            <v>CORTE DE NÚCLEOS DE CONCRETO</v>
          </cell>
        </row>
        <row r="46">
          <cell r="B46" t="str">
            <v>CRUCETAS CORTAS</v>
          </cell>
        </row>
        <row r="47">
          <cell r="B47" t="str">
            <v>CRUCETAS CORTAS y/o LARGAS</v>
          </cell>
        </row>
        <row r="48">
          <cell r="B48" t="str">
            <v>CRUCETAS LARGAS</v>
          </cell>
        </row>
        <row r="49">
          <cell r="B49" t="str">
            <v>DISEÑO DE MEZCLA ASFÁLTICA,</v>
          </cell>
        </row>
        <row r="50">
          <cell r="B50" t="str">
            <v>DISEÑO DE MEZCLAS DE MORTERO.</v>
          </cell>
        </row>
        <row r="51">
          <cell r="B51" t="str">
            <v>DISEÑO DE UNA MEZCLA DE</v>
          </cell>
        </row>
        <row r="52">
          <cell r="B52" t="str">
            <v>ELEVADOR 1000 KILOS</v>
          </cell>
        </row>
        <row r="53">
          <cell r="B53" t="str">
            <v>ELEVADOR 250 KILOS</v>
          </cell>
        </row>
        <row r="54">
          <cell r="B54" t="str">
            <v>EQUIPO DE COMPACTACION</v>
          </cell>
        </row>
        <row r="55">
          <cell r="B55" t="str">
            <v>EQUIPO DE COMPACTACION</v>
          </cell>
        </row>
        <row r="56">
          <cell r="B56" t="str">
            <v>EQUIPO DE TOPOGRAFIA</v>
          </cell>
        </row>
        <row r="57">
          <cell r="B57" t="str">
            <v>EQUIPO SOLDADURA ELECTRICA</v>
          </cell>
        </row>
        <row r="58">
          <cell r="B58" t="str">
            <v>ESCALERA EXTENCIBLE EN AL. DE 6</v>
          </cell>
        </row>
        <row r="59">
          <cell r="B59" t="str">
            <v>ESCALERILLA Trans. VERTICAL</v>
          </cell>
        </row>
        <row r="60">
          <cell r="B60" t="str">
            <v>ESFUERZO CORTANTE EN MALLAS</v>
          </cell>
        </row>
        <row r="61">
          <cell r="B61" t="str">
            <v>ESTABILIDAD MARSHALL (1 BRIQUETA)</v>
          </cell>
        </row>
        <row r="62">
          <cell r="B62" t="str">
            <v>EXCAVACION MECANICA Y RETIRO</v>
          </cell>
        </row>
        <row r="63">
          <cell r="B63" t="str">
            <v>EXCAVADORA HIDRAUL.PC-60+Oper.</v>
          </cell>
        </row>
        <row r="64">
          <cell r="B64" t="str">
            <v>EXTRACCIÓN DE ANCLAJES O</v>
          </cell>
        </row>
        <row r="65">
          <cell r="B65" t="str">
            <v>FORCLAMPS</v>
          </cell>
        </row>
        <row r="66">
          <cell r="B66" t="str">
            <v>FORMALETA ENTREPISO 1 SEMANA</v>
          </cell>
        </row>
        <row r="67">
          <cell r="B67" t="str">
            <v>FORMALETA ENTREPISO 4 SEMANAS</v>
          </cell>
        </row>
        <row r="68">
          <cell r="B68" t="str">
            <v>FORMALETA ENTREPISO POR M2</v>
          </cell>
        </row>
        <row r="69">
          <cell r="B69" t="str">
            <v>FORMALETA SARDINEL ML</v>
          </cell>
        </row>
        <row r="70">
          <cell r="B70" t="str">
            <v>GRUA AUTODESPLEGABLE+OPERARIO</v>
          </cell>
        </row>
        <row r="71">
          <cell r="B71" t="str">
            <v>GRUA EXTENSION PARA POSTES</v>
          </cell>
        </row>
        <row r="72">
          <cell r="B72" t="str">
            <v>GRUA HIDRAULICA (CARRO)</v>
          </cell>
        </row>
        <row r="73">
          <cell r="B73" t="str">
            <v>GRUA POTAIN 428 BRAZO 40 MTS</v>
          </cell>
        </row>
        <row r="74">
          <cell r="B74" t="str">
            <v>HERRAMIENTA MENOR (% Mano d Obra)</v>
          </cell>
        </row>
        <row r="75">
          <cell r="B75" t="str">
            <v>JUEGO DE RUEDAS PARA ANDAMIO(4)</v>
          </cell>
        </row>
        <row r="76">
          <cell r="B76" t="str">
            <v>JUEGO POLEAS ANTENAYA</v>
          </cell>
        </row>
        <row r="77">
          <cell r="B77" t="str">
            <v>LLAVES TENSORAS</v>
          </cell>
        </row>
        <row r="78">
          <cell r="B78" t="str">
            <v>MARTILLO ROMPEDOR</v>
          </cell>
        </row>
        <row r="79">
          <cell r="B79" t="str">
            <v>MARTILLO ROTATORIO</v>
          </cell>
        </row>
        <row r="80">
          <cell r="B80" t="str">
            <v>MEZCLADORA DE CONCRETO</v>
          </cell>
        </row>
        <row r="81">
          <cell r="B81" t="str">
            <v>MICRO AIRINCLUSOR DE AIRE</v>
          </cell>
        </row>
        <row r="82">
          <cell r="B82" t="str">
            <v>MICRO AIRINCLUSOR DE AIRE</v>
          </cell>
        </row>
        <row r="83">
          <cell r="B83" t="str">
            <v>MINICARGADOR BOBCAT</v>
          </cell>
        </row>
        <row r="84">
          <cell r="B84" t="str">
            <v>MINICARGADOR BOBCAT</v>
          </cell>
        </row>
        <row r="85">
          <cell r="B85" t="str">
            <v>MONTACARGAS</v>
          </cell>
        </row>
        <row r="86">
          <cell r="B86" t="str">
            <v>MORDAZA 0.60 mt CON CUÑA</v>
          </cell>
        </row>
        <row r="87">
          <cell r="B87" t="str">
            <v>MORDAZA 0.80 mt CON CUÑA</v>
          </cell>
        </row>
        <row r="88">
          <cell r="B88" t="str">
            <v>MORDAZA 1.00 mt CON CUÑA</v>
          </cell>
        </row>
        <row r="89">
          <cell r="B89" t="str">
            <v>MORDAZA 2.40 mt CON CUÑA</v>
          </cell>
        </row>
        <row r="90">
          <cell r="B90" t="str">
            <v>MORDAZAS ALQUILADAS (24 dias)</v>
          </cell>
        </row>
        <row r="91">
          <cell r="B91" t="str">
            <v>MOTOBOMBA A GASOLINA DE 2"</v>
          </cell>
        </row>
        <row r="92">
          <cell r="B92" t="str">
            <v>MOTOBOMBA ELECTRICA DE 2"</v>
          </cell>
        </row>
        <row r="93">
          <cell r="B93" t="str">
            <v>PALA DRAGA SOBRE ORUGA</v>
          </cell>
        </row>
        <row r="94">
          <cell r="B94" t="str">
            <v>PARAL TELESCOPICO (UN)</v>
          </cell>
        </row>
        <row r="95">
          <cell r="B95" t="str">
            <v>PARAL TELESCOPICO (UN)</v>
          </cell>
        </row>
        <row r="96">
          <cell r="B96" t="str">
            <v>PARALES - MES</v>
          </cell>
        </row>
        <row r="97">
          <cell r="B97" t="str">
            <v>PARALES - SEMANA</v>
          </cell>
        </row>
        <row r="98">
          <cell r="B98" t="str">
            <v>PERFORACIÓN CON EQUIPO</v>
          </cell>
        </row>
        <row r="99">
          <cell r="B99" t="str">
            <v>PERROS FIJOS Y GIRATORIOS</v>
          </cell>
        </row>
        <row r="100">
          <cell r="B100" t="str">
            <v>PESCANTE PARA ANDAMIO</v>
          </cell>
        </row>
        <row r="101">
          <cell r="B101" t="str">
            <v>PISON DE MANO</v>
          </cell>
        </row>
        <row r="102">
          <cell r="B102" t="str">
            <v>PLANCHONES ALQUILADOS</v>
          </cell>
        </row>
        <row r="103">
          <cell r="B103" t="str">
            <v>PLANCHONES MADERA</v>
          </cell>
        </row>
        <row r="104">
          <cell r="B104" t="str">
            <v>PLANCHONES METALICOS</v>
          </cell>
        </row>
        <row r="105">
          <cell r="B105" t="str">
            <v>PLUMA 250 KG ELECTRICA Trif.</v>
          </cell>
        </row>
        <row r="106">
          <cell r="B106" t="str">
            <v>PLUMA ELECTRICA</v>
          </cell>
        </row>
        <row r="107">
          <cell r="B107" t="str">
            <v>PLUMA ELECTRICA 250 kg</v>
          </cell>
        </row>
        <row r="108">
          <cell r="B108" t="str">
            <v>PLUMA ELECTRICA/ DIA</v>
          </cell>
        </row>
        <row r="109">
          <cell r="B109" t="str">
            <v>PULIDORA MANUAL SIN DISCO</v>
          </cell>
        </row>
        <row r="110">
          <cell r="B110" t="str">
            <v>PULIDORA MANUAL SIN DISCO</v>
          </cell>
        </row>
        <row r="111">
          <cell r="B111" t="str">
            <v>RANA A GASOLINA DE 50X74 CM</v>
          </cell>
        </row>
        <row r="112">
          <cell r="B112" t="str">
            <v>RANA Ó VIBROCOMPACTADOR</v>
          </cell>
        </row>
        <row r="113">
          <cell r="B113" t="str">
            <v>RANA VIBROCOMPACTADORA/DIA</v>
          </cell>
        </row>
        <row r="114">
          <cell r="B114" t="str">
            <v>RANA VIBROCOMPACTADORA/DIA</v>
          </cell>
        </row>
        <row r="115">
          <cell r="B115" t="str">
            <v>RETROEXCAVADORA JCB 814</v>
          </cell>
        </row>
        <row r="116">
          <cell r="B116" t="str">
            <v>RODILLO D/PINTAS Y SONDEO</v>
          </cell>
        </row>
        <row r="117">
          <cell r="B117" t="str">
            <v>RODILLO VIBRATORIO "BENITIN"</v>
          </cell>
        </row>
        <row r="118">
          <cell r="B118" t="str">
            <v>RUEDAS</v>
          </cell>
        </row>
        <row r="119">
          <cell r="B119" t="str">
            <v>RUEDAS PARA ANDAMIO TUBULAR</v>
          </cell>
        </row>
        <row r="120">
          <cell r="B120" t="str">
            <v>TABLERO EN PINO PATULA</v>
          </cell>
        </row>
        <row r="121">
          <cell r="B121" t="str">
            <v>TABLERO METALICO (1.40 x 0.60)</v>
          </cell>
        </row>
        <row r="122">
          <cell r="B122" t="str">
            <v>TALADRO ROTOMARTILLO HASTA 3/4"</v>
          </cell>
        </row>
        <row r="123">
          <cell r="B123" t="str">
            <v>TALADRO ROTOMARTILLO HASTA 3/4"</v>
          </cell>
        </row>
        <row r="124">
          <cell r="B124" t="str">
            <v>TORREGRUA (DIFERENTES TAMAÑOS)</v>
          </cell>
        </row>
        <row r="125">
          <cell r="B125" t="str">
            <v>TRAYLER O GATO PARA CABLES</v>
          </cell>
        </row>
        <row r="126">
          <cell r="B126" t="str">
            <v>TRINQUETE</v>
          </cell>
        </row>
        <row r="127">
          <cell r="B127" t="str">
            <v>VENTAS CONO DE ABRAMS PARA</v>
          </cell>
        </row>
        <row r="128">
          <cell r="B128" t="str">
            <v>VIBRADOR A GASOLINA</v>
          </cell>
        </row>
        <row r="129">
          <cell r="B129" t="str">
            <v>VIBRADOR ELECTRICO</v>
          </cell>
        </row>
        <row r="130">
          <cell r="B130" t="str">
            <v>VIBRO DYNAPAC 2.5 TONELADAS</v>
          </cell>
        </row>
        <row r="131">
          <cell r="B131" t="str">
            <v>VIBRO DYNAPAC 2.5 TONELADAS</v>
          </cell>
        </row>
        <row r="132">
          <cell r="B132" t="str">
            <v>VIBRO INGERSOLL RAND 3</v>
          </cell>
        </row>
        <row r="133">
          <cell r="B133" t="str">
            <v>VIBRO INGERSOLL RAND 3</v>
          </cell>
        </row>
        <row r="134">
          <cell r="B134" t="str">
            <v>VIBRO REX 7 TONELADAS</v>
          </cell>
        </row>
        <row r="135">
          <cell r="B135" t="str">
            <v>VIBROCOMPACTADORA ELECTRICA</v>
          </cell>
        </row>
        <row r="136">
          <cell r="B136" t="str">
            <v>VOLQUETA (VIAJE 6M3 Max.3O KM)</v>
          </cell>
        </row>
        <row r="137">
          <cell r="B137" t="str">
            <v>VOLQUETA (VIAJE 6M3.)</v>
          </cell>
        </row>
      </sheetData>
      <sheetData sheetId="19">
        <row r="1">
          <cell r="B1" t="str">
            <v>Cuadrilla</v>
          </cell>
        </row>
        <row r="2">
          <cell r="B2">
            <v>0</v>
          </cell>
        </row>
        <row r="3">
          <cell r="B3" t="str">
            <v>0:0:1</v>
          </cell>
        </row>
      </sheetData>
      <sheetData sheetId="2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 prest"/>
      <sheetName val="Cuadrillas"/>
      <sheetName val="Costos"/>
      <sheetName val="A.I.U."/>
      <sheetName val="% Sena"/>
      <sheetName val="Camp"/>
      <sheetName val="Valla"/>
      <sheetName val="Soport"/>
      <sheetName val="Cinta"/>
      <sheetName val="Barric"/>
      <sheetName val="Señal"/>
      <sheetName val="Localiz"/>
      <sheetName val="Descap"/>
      <sheetName val="Exc cimie"/>
      <sheetName val="Exc. Manual"/>
      <sheetName val="Arm.Acero"/>
      <sheetName val="Perfil Talud"/>
      <sheetName val="Form Base Vastago"/>
      <sheetName val="Form h&gt;2.80m"/>
      <sheetName val="Coloc conc"/>
      <sheetName val="Conc altura"/>
      <sheetName val="Llenos comp"/>
      <sheetName val="Ret Mater"/>
      <sheetName val="Propuesta"/>
      <sheetName val="Demarc."/>
      <sheetName val="Conc 2500"/>
      <sheetName val="Conc 3000"/>
      <sheetName val="Mater"/>
      <sheetName val="Flujo"/>
      <sheetName val="Cronog"/>
      <sheetName val="FINDE2"/>
      <sheetName val="Insum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M58"/>
  <sheetViews>
    <sheetView view="pageBreakPreview" zoomScale="70" zoomScaleNormal="70" zoomScaleSheetLayoutView="70" workbookViewId="0">
      <selection activeCell="G17" sqref="G17"/>
    </sheetView>
  </sheetViews>
  <sheetFormatPr baseColWidth="10" defaultColWidth="11.42578125" defaultRowHeight="12.75" x14ac:dyDescent="0.2"/>
  <cols>
    <col min="1" max="1" width="8.28515625" style="60" customWidth="1"/>
    <col min="2" max="2" width="39.28515625" style="60" customWidth="1"/>
    <col min="3" max="3" width="11.42578125" style="60"/>
    <col min="4" max="4" width="11.7109375" style="60" bestFit="1" customWidth="1"/>
    <col min="5" max="6" width="11.42578125" style="60"/>
    <col min="7" max="7" width="12.7109375" style="60" bestFit="1" customWidth="1"/>
    <col min="8" max="8" width="13.42578125" style="60" customWidth="1"/>
    <col min="9" max="16384" width="11.42578125" style="14"/>
  </cols>
  <sheetData>
    <row r="1" spans="1:8" ht="15.75" x14ac:dyDescent="0.25">
      <c r="A1" s="533" t="s">
        <v>0</v>
      </c>
      <c r="B1" s="534"/>
      <c r="C1" s="534"/>
      <c r="D1" s="534"/>
      <c r="E1" s="534"/>
      <c r="F1" s="534"/>
      <c r="G1" s="534"/>
      <c r="H1" s="535"/>
    </row>
    <row r="2" spans="1:8" x14ac:dyDescent="0.2">
      <c r="A2" s="536" t="s">
        <v>1</v>
      </c>
      <c r="B2" s="537"/>
      <c r="C2" s="537"/>
      <c r="D2" s="537"/>
      <c r="E2" s="537"/>
      <c r="F2" s="537"/>
      <c r="G2" s="537"/>
      <c r="H2" s="538"/>
    </row>
    <row r="3" spans="1:8" x14ac:dyDescent="0.2">
      <c r="A3" s="536" t="s">
        <v>65</v>
      </c>
      <c r="B3" s="537"/>
      <c r="C3" s="537"/>
      <c r="D3" s="537"/>
      <c r="E3" s="537"/>
      <c r="F3" s="537"/>
      <c r="G3" s="537"/>
      <c r="H3" s="538"/>
    </row>
    <row r="4" spans="1:8" x14ac:dyDescent="0.2">
      <c r="A4" s="62"/>
      <c r="E4" s="64"/>
      <c r="F4" s="64"/>
      <c r="G4" s="64"/>
      <c r="H4" s="65"/>
    </row>
    <row r="5" spans="1:8" ht="15" customHeight="1" x14ac:dyDescent="0.2">
      <c r="A5" s="539" t="s">
        <v>159</v>
      </c>
      <c r="B5" s="540"/>
      <c r="C5" s="540"/>
      <c r="D5" s="540"/>
      <c r="E5" s="540"/>
      <c r="F5" s="540"/>
      <c r="G5" s="540"/>
      <c r="H5" s="541"/>
    </row>
    <row r="6" spans="1:8" x14ac:dyDescent="0.2">
      <c r="A6" s="110"/>
      <c r="H6" s="63"/>
    </row>
    <row r="7" spans="1:8" ht="47.25" customHeight="1" x14ac:dyDescent="0.2">
      <c r="A7" s="542" t="e">
        <f>+Presupuesto!#REF!</f>
        <v>#REF!</v>
      </c>
      <c r="B7" s="543"/>
      <c r="C7" s="543"/>
      <c r="D7" s="543"/>
      <c r="E7" s="543"/>
      <c r="F7" s="543"/>
      <c r="G7" s="543"/>
      <c r="H7" s="544"/>
    </row>
    <row r="8" spans="1:8" x14ac:dyDescent="0.2">
      <c r="A8" s="62"/>
      <c r="H8" s="63"/>
    </row>
    <row r="9" spans="1:8" x14ac:dyDescent="0.2">
      <c r="A9" s="66" t="s">
        <v>27</v>
      </c>
      <c r="B9" s="67"/>
      <c r="C9" s="67"/>
      <c r="D9" s="67"/>
      <c r="E9" s="67"/>
      <c r="F9" s="67"/>
      <c r="G9" s="68"/>
      <c r="H9" s="69"/>
    </row>
    <row r="10" spans="1:8" x14ac:dyDescent="0.2">
      <c r="A10" s="70"/>
      <c r="B10" s="71" t="s">
        <v>164</v>
      </c>
      <c r="C10" s="72"/>
      <c r="D10" s="72"/>
      <c r="E10" s="72"/>
      <c r="F10" s="72"/>
      <c r="G10" s="73" t="s">
        <v>28</v>
      </c>
      <c r="H10" s="74" t="s">
        <v>17</v>
      </c>
    </row>
    <row r="11" spans="1:8" x14ac:dyDescent="0.2">
      <c r="A11" s="62"/>
      <c r="H11" s="63"/>
    </row>
    <row r="12" spans="1:8" x14ac:dyDescent="0.2">
      <c r="A12" s="75" t="s">
        <v>29</v>
      </c>
      <c r="B12" s="76" t="s">
        <v>30</v>
      </c>
      <c r="H12" s="63"/>
    </row>
    <row r="13" spans="1:8" x14ac:dyDescent="0.2">
      <c r="A13" s="77"/>
      <c r="B13" s="78" t="s">
        <v>31</v>
      </c>
      <c r="C13" s="79"/>
      <c r="D13" s="78" t="s">
        <v>32</v>
      </c>
      <c r="E13" s="80" t="s">
        <v>33</v>
      </c>
      <c r="F13" s="78" t="s">
        <v>34</v>
      </c>
      <c r="G13" s="80" t="s">
        <v>35</v>
      </c>
      <c r="H13" s="63"/>
    </row>
    <row r="14" spans="1:8" x14ac:dyDescent="0.2">
      <c r="A14" s="81"/>
      <c r="B14" s="78" t="s">
        <v>67</v>
      </c>
      <c r="C14" s="82"/>
      <c r="D14" s="83"/>
      <c r="E14" s="84"/>
      <c r="F14" s="85">
        <v>0.1</v>
      </c>
      <c r="G14" s="117">
        <f>H34*F14</f>
        <v>5130.9000000000005</v>
      </c>
      <c r="H14" s="86"/>
    </row>
    <row r="15" spans="1:8" x14ac:dyDescent="0.2">
      <c r="A15" s="81"/>
      <c r="B15" s="83"/>
      <c r="C15" s="82"/>
      <c r="D15" s="83"/>
      <c r="E15" s="84"/>
      <c r="F15" s="85"/>
      <c r="G15" s="84"/>
      <c r="H15" s="86"/>
    </row>
    <row r="16" spans="1:8" x14ac:dyDescent="0.2">
      <c r="A16" s="81"/>
      <c r="B16" s="83"/>
      <c r="C16" s="82"/>
      <c r="D16" s="83"/>
      <c r="E16" s="84"/>
      <c r="F16" s="85"/>
      <c r="G16" s="84"/>
      <c r="H16" s="87"/>
    </row>
    <row r="17" spans="1:13" x14ac:dyDescent="0.2">
      <c r="A17" s="81"/>
      <c r="B17" s="83"/>
      <c r="C17" s="82"/>
      <c r="D17" s="83"/>
      <c r="E17" s="84"/>
      <c r="F17" s="85"/>
      <c r="G17" s="84"/>
      <c r="H17" s="87"/>
    </row>
    <row r="18" spans="1:13" x14ac:dyDescent="0.2">
      <c r="A18" s="81"/>
      <c r="B18" s="83"/>
      <c r="C18" s="82"/>
      <c r="D18" s="88"/>
      <c r="E18" s="84"/>
      <c r="F18" s="84"/>
      <c r="G18" s="84"/>
      <c r="H18" s="87"/>
    </row>
    <row r="19" spans="1:13" x14ac:dyDescent="0.2">
      <c r="A19" s="89"/>
      <c r="B19" s="83"/>
      <c r="C19" s="82"/>
      <c r="D19" s="88"/>
      <c r="E19" s="84"/>
      <c r="F19" s="84"/>
      <c r="G19" s="84"/>
      <c r="H19" s="87"/>
    </row>
    <row r="20" spans="1:13" x14ac:dyDescent="0.2">
      <c r="A20" s="66"/>
      <c r="E20" s="90" t="s">
        <v>36</v>
      </c>
      <c r="F20" s="90"/>
      <c r="G20" s="90"/>
      <c r="H20" s="117">
        <f>ROUND(SUM(G14:G19),0)</f>
        <v>5131</v>
      </c>
      <c r="M20" s="16"/>
    </row>
    <row r="21" spans="1:13" x14ac:dyDescent="0.2">
      <c r="A21" s="92" t="s">
        <v>37</v>
      </c>
      <c r="B21" s="76" t="s">
        <v>38</v>
      </c>
      <c r="E21" s="90"/>
      <c r="F21" s="90"/>
      <c r="G21" s="90"/>
      <c r="H21" s="87"/>
    </row>
    <row r="22" spans="1:13" x14ac:dyDescent="0.2">
      <c r="A22" s="93"/>
      <c r="B22" s="78" t="s">
        <v>31</v>
      </c>
      <c r="C22" s="82"/>
      <c r="D22" s="83" t="s">
        <v>12</v>
      </c>
      <c r="E22" s="94" t="s">
        <v>39</v>
      </c>
      <c r="F22" s="94" t="s">
        <v>40</v>
      </c>
      <c r="G22" s="94" t="s">
        <v>35</v>
      </c>
      <c r="H22" s="87"/>
    </row>
    <row r="23" spans="1:13" x14ac:dyDescent="0.2">
      <c r="A23" s="81"/>
      <c r="B23" s="83" t="s">
        <v>132</v>
      </c>
      <c r="C23" s="82"/>
      <c r="D23" s="95" t="s">
        <v>130</v>
      </c>
      <c r="E23" s="96">
        <v>420</v>
      </c>
      <c r="F23" s="84">
        <v>650</v>
      </c>
      <c r="G23" s="117">
        <f>+F23*E23</f>
        <v>273000</v>
      </c>
      <c r="H23" s="87"/>
    </row>
    <row r="24" spans="1:13" x14ac:dyDescent="0.2">
      <c r="A24" s="81"/>
      <c r="B24" s="95" t="s">
        <v>133</v>
      </c>
      <c r="C24" s="82"/>
      <c r="D24" s="95" t="s">
        <v>17</v>
      </c>
      <c r="E24" s="84">
        <v>0.67</v>
      </c>
      <c r="F24" s="84">
        <v>60000</v>
      </c>
      <c r="G24" s="117">
        <f t="shared" ref="G24" si="0">+F24*E24</f>
        <v>40200</v>
      </c>
      <c r="H24" s="87"/>
    </row>
    <row r="25" spans="1:13" x14ac:dyDescent="0.2">
      <c r="A25" s="81"/>
      <c r="B25" s="95" t="s">
        <v>134</v>
      </c>
      <c r="C25" s="82"/>
      <c r="D25" s="95" t="s">
        <v>17</v>
      </c>
      <c r="E25" s="84">
        <v>0.67</v>
      </c>
      <c r="F25" s="84">
        <v>70000</v>
      </c>
      <c r="G25" s="117">
        <f>--E25*F25</f>
        <v>46900</v>
      </c>
      <c r="H25" s="87"/>
    </row>
    <row r="26" spans="1:13" x14ac:dyDescent="0.2">
      <c r="A26" s="81"/>
      <c r="B26" s="83" t="s">
        <v>135</v>
      </c>
      <c r="C26" s="82"/>
      <c r="D26" s="83" t="s">
        <v>136</v>
      </c>
      <c r="E26" s="84">
        <v>210</v>
      </c>
      <c r="F26" s="84">
        <v>50</v>
      </c>
      <c r="G26" s="117">
        <f>--E26*F26</f>
        <v>10500</v>
      </c>
      <c r="H26" s="87"/>
    </row>
    <row r="27" spans="1:13" x14ac:dyDescent="0.2">
      <c r="A27" s="81"/>
      <c r="B27" s="83"/>
      <c r="C27" s="82"/>
      <c r="D27" s="88"/>
      <c r="E27" s="84"/>
      <c r="F27" s="84"/>
      <c r="G27" s="84"/>
      <c r="H27" s="87"/>
    </row>
    <row r="28" spans="1:13" x14ac:dyDescent="0.2">
      <c r="A28" s="66" t="s">
        <v>41</v>
      </c>
      <c r="E28" s="90" t="s">
        <v>42</v>
      </c>
      <c r="F28" s="90"/>
      <c r="G28" s="90"/>
      <c r="H28" s="117">
        <f>(SUM(G23:G26))</f>
        <v>370600</v>
      </c>
    </row>
    <row r="29" spans="1:13" x14ac:dyDescent="0.2">
      <c r="A29" s="92" t="s">
        <v>43</v>
      </c>
      <c r="B29" s="76" t="s">
        <v>44</v>
      </c>
      <c r="E29" s="90"/>
      <c r="F29" s="90"/>
      <c r="G29" s="90"/>
      <c r="H29" s="87"/>
    </row>
    <row r="30" spans="1:13" x14ac:dyDescent="0.2">
      <c r="A30" s="81" t="s">
        <v>45</v>
      </c>
      <c r="B30" s="80" t="s">
        <v>31</v>
      </c>
      <c r="C30" s="80" t="s">
        <v>46</v>
      </c>
      <c r="D30" s="80" t="s">
        <v>47</v>
      </c>
      <c r="E30" s="94" t="s">
        <v>48</v>
      </c>
      <c r="F30" s="84" t="s">
        <v>49</v>
      </c>
      <c r="G30" s="84" t="s">
        <v>35</v>
      </c>
      <c r="H30" s="87"/>
    </row>
    <row r="31" spans="1:13" x14ac:dyDescent="0.2">
      <c r="A31" s="81">
        <v>6</v>
      </c>
      <c r="B31" s="88" t="s">
        <v>69</v>
      </c>
      <c r="C31" s="98">
        <v>30000</v>
      </c>
      <c r="D31" s="99">
        <v>0.75</v>
      </c>
      <c r="E31" s="96">
        <f>+(A31*C31)+(A31*C31*D31)</f>
        <v>315000</v>
      </c>
      <c r="F31" s="100">
        <v>7.5035875572971067</v>
      </c>
      <c r="G31" s="117">
        <f>(E31)/(F31)</f>
        <v>41979.919284565163</v>
      </c>
      <c r="H31" s="87"/>
    </row>
    <row r="32" spans="1:13" x14ac:dyDescent="0.2">
      <c r="A32" s="81">
        <v>1</v>
      </c>
      <c r="B32" s="88" t="s">
        <v>68</v>
      </c>
      <c r="C32" s="98">
        <v>40000</v>
      </c>
      <c r="D32" s="99">
        <v>0.75</v>
      </c>
      <c r="E32" s="96">
        <f>(A32*C32)+(D32*C32*A32)</f>
        <v>70000</v>
      </c>
      <c r="F32" s="100">
        <f>--F31</f>
        <v>7.5035875572971067</v>
      </c>
      <c r="G32" s="117">
        <f>E32/F32</f>
        <v>9328.8709521255914</v>
      </c>
      <c r="H32" s="87"/>
    </row>
    <row r="33" spans="1:8" x14ac:dyDescent="0.2">
      <c r="A33" s="81"/>
      <c r="B33" s="88"/>
      <c r="C33" s="88"/>
      <c r="D33" s="88"/>
      <c r="E33" s="84"/>
      <c r="F33" s="84"/>
      <c r="G33" s="84"/>
      <c r="H33" s="87"/>
    </row>
    <row r="34" spans="1:8" x14ac:dyDescent="0.2">
      <c r="A34" s="66"/>
      <c r="E34" s="90" t="s">
        <v>50</v>
      </c>
      <c r="F34" s="90"/>
      <c r="G34" s="90"/>
      <c r="H34" s="117">
        <f>ROUND(SUM(G31)+(G32),0)</f>
        <v>51309</v>
      </c>
    </row>
    <row r="35" spans="1:8" x14ac:dyDescent="0.2">
      <c r="A35" s="92" t="s">
        <v>51</v>
      </c>
      <c r="B35" s="76" t="s">
        <v>18</v>
      </c>
      <c r="E35" s="90"/>
      <c r="F35" s="90"/>
      <c r="G35" s="90"/>
      <c r="H35" s="87"/>
    </row>
    <row r="36" spans="1:8" x14ac:dyDescent="0.2">
      <c r="A36" s="81"/>
      <c r="B36" s="88" t="s">
        <v>31</v>
      </c>
      <c r="C36" s="101" t="s">
        <v>12</v>
      </c>
      <c r="D36" s="102" t="s">
        <v>13</v>
      </c>
      <c r="E36" s="102" t="s">
        <v>52</v>
      </c>
      <c r="F36" s="102"/>
      <c r="G36" s="84" t="s">
        <v>53</v>
      </c>
      <c r="H36" s="87"/>
    </row>
    <row r="37" spans="1:8" x14ac:dyDescent="0.2">
      <c r="A37" s="81"/>
      <c r="B37" s="88"/>
      <c r="C37" s="97"/>
      <c r="D37" s="88"/>
      <c r="E37" s="84"/>
      <c r="F37" s="84"/>
      <c r="G37" s="84"/>
      <c r="H37" s="87"/>
    </row>
    <row r="38" spans="1:8" x14ac:dyDescent="0.2">
      <c r="A38" s="81"/>
      <c r="B38" s="88"/>
      <c r="C38" s="96"/>
      <c r="D38" s="88"/>
      <c r="E38" s="84"/>
      <c r="F38" s="84"/>
      <c r="G38" s="84"/>
      <c r="H38" s="87"/>
    </row>
    <row r="39" spans="1:8" x14ac:dyDescent="0.2">
      <c r="A39" s="81"/>
      <c r="B39" s="88"/>
      <c r="C39" s="88"/>
      <c r="D39" s="88"/>
      <c r="E39" s="84"/>
      <c r="F39" s="84"/>
      <c r="G39" s="84"/>
      <c r="H39" s="87"/>
    </row>
    <row r="40" spans="1:8" x14ac:dyDescent="0.2">
      <c r="A40" s="66"/>
      <c r="E40" s="90" t="s">
        <v>50</v>
      </c>
      <c r="F40" s="90"/>
      <c r="G40" s="90"/>
      <c r="H40" s="91">
        <f>ROUND(SUM(G37)+(G38),0)</f>
        <v>0</v>
      </c>
    </row>
    <row r="41" spans="1:8" x14ac:dyDescent="0.2">
      <c r="A41" s="62"/>
      <c r="E41" s="90"/>
      <c r="F41" s="90"/>
      <c r="G41" s="90"/>
      <c r="H41" s="87"/>
    </row>
    <row r="42" spans="1:8" x14ac:dyDescent="0.2">
      <c r="A42" s="62"/>
      <c r="D42" s="64" t="s">
        <v>54</v>
      </c>
      <c r="E42" s="103"/>
      <c r="F42" s="103"/>
      <c r="G42" s="103"/>
      <c r="H42" s="117">
        <f>SUM(H20:H41)</f>
        <v>427040</v>
      </c>
    </row>
    <row r="43" spans="1:8" x14ac:dyDescent="0.2">
      <c r="A43" s="62"/>
      <c r="E43" s="90"/>
      <c r="F43" s="90"/>
      <c r="G43" s="90"/>
      <c r="H43" s="87"/>
    </row>
    <row r="44" spans="1:8" x14ac:dyDescent="0.2">
      <c r="A44" s="92" t="s">
        <v>55</v>
      </c>
      <c r="B44" s="76" t="s">
        <v>56</v>
      </c>
      <c r="E44" s="90"/>
      <c r="F44" s="90"/>
      <c r="G44" s="90"/>
      <c r="H44" s="87"/>
    </row>
    <row r="45" spans="1:8" x14ac:dyDescent="0.2">
      <c r="A45" s="104"/>
      <c r="B45" s="80" t="s">
        <v>31</v>
      </c>
      <c r="C45" s="80" t="s">
        <v>57</v>
      </c>
      <c r="D45" s="83" t="s">
        <v>58</v>
      </c>
      <c r="E45" s="105"/>
      <c r="F45" s="85" t="s">
        <v>59</v>
      </c>
      <c r="G45" s="105"/>
      <c r="H45" s="87"/>
    </row>
    <row r="46" spans="1:8" x14ac:dyDescent="0.2">
      <c r="A46" s="89"/>
      <c r="B46" s="80" t="s">
        <v>60</v>
      </c>
      <c r="C46" s="99">
        <v>0.23</v>
      </c>
      <c r="D46" s="83"/>
      <c r="E46" s="106"/>
      <c r="F46" s="83"/>
      <c r="G46" s="117">
        <f>+H42*C46</f>
        <v>98219.199999999997</v>
      </c>
      <c r="H46" s="87"/>
    </row>
    <row r="47" spans="1:8" x14ac:dyDescent="0.2">
      <c r="A47" s="89"/>
      <c r="B47" s="80" t="s">
        <v>61</v>
      </c>
      <c r="C47" s="99">
        <v>0.04</v>
      </c>
      <c r="D47" s="83"/>
      <c r="E47" s="106"/>
      <c r="F47" s="83"/>
      <c r="G47" s="117">
        <f>+H42*C47</f>
        <v>17081.599999999999</v>
      </c>
      <c r="H47" s="87"/>
    </row>
    <row r="48" spans="1:8" x14ac:dyDescent="0.2">
      <c r="A48" s="89"/>
      <c r="B48" s="80" t="s">
        <v>62</v>
      </c>
      <c r="C48" s="99">
        <v>0.03</v>
      </c>
      <c r="D48" s="83"/>
      <c r="E48" s="106"/>
      <c r="F48" s="83"/>
      <c r="G48" s="117">
        <f>+H42*C48</f>
        <v>12811.199999999999</v>
      </c>
      <c r="H48" s="87"/>
    </row>
    <row r="49" spans="1:9" x14ac:dyDescent="0.2">
      <c r="A49" s="62"/>
      <c r="D49" s="64" t="s">
        <v>63</v>
      </c>
      <c r="E49" s="103"/>
      <c r="F49" s="103"/>
      <c r="G49" s="103"/>
      <c r="H49" s="117">
        <f>SUM(G45:G48)</f>
        <v>128111.99999999999</v>
      </c>
    </row>
    <row r="50" spans="1:9" x14ac:dyDescent="0.2">
      <c r="A50" s="62"/>
      <c r="E50" s="90"/>
      <c r="F50" s="90"/>
      <c r="G50" s="90"/>
      <c r="H50" s="87"/>
      <c r="I50" s="15"/>
    </row>
    <row r="51" spans="1:9" x14ac:dyDescent="0.2">
      <c r="A51" s="62"/>
      <c r="D51" s="64" t="s">
        <v>64</v>
      </c>
      <c r="E51" s="103"/>
      <c r="F51" s="103"/>
      <c r="G51" s="90"/>
      <c r="H51" s="117">
        <f>H42+H49</f>
        <v>555152</v>
      </c>
    </row>
    <row r="52" spans="1:9" x14ac:dyDescent="0.2">
      <c r="A52" s="62"/>
      <c r="D52" s="64"/>
      <c r="E52" s="103"/>
      <c r="F52" s="103"/>
      <c r="G52" s="90"/>
      <c r="H52" s="87"/>
    </row>
    <row r="53" spans="1:9" x14ac:dyDescent="0.2">
      <c r="A53" s="62"/>
      <c r="D53" s="64"/>
      <c r="E53" s="103"/>
      <c r="F53" s="103"/>
      <c r="G53" s="90"/>
      <c r="H53" s="87"/>
    </row>
    <row r="54" spans="1:9" x14ac:dyDescent="0.2">
      <c r="A54" s="62"/>
      <c r="E54" s="103"/>
      <c r="F54" s="103"/>
      <c r="G54" s="90"/>
      <c r="H54" s="87"/>
    </row>
    <row r="55" spans="1:9" x14ac:dyDescent="0.2">
      <c r="A55" s="70"/>
      <c r="B55" s="72"/>
      <c r="D55" s="108"/>
      <c r="E55" s="109"/>
      <c r="F55" s="109"/>
      <c r="G55" s="71"/>
      <c r="H55" s="87"/>
    </row>
    <row r="56" spans="1:9" ht="15" x14ac:dyDescent="0.2">
      <c r="A56" s="111" t="e">
        <f>+Presupuesto!#REF!</f>
        <v>#REF!</v>
      </c>
      <c r="D56" s="112" t="str">
        <f>+Presupuesto!A34</f>
        <v>ARQ. GUILLERMO YAMID VALLEJOS BENAVIDES</v>
      </c>
      <c r="E56" s="103"/>
      <c r="F56" s="103"/>
      <c r="G56" s="90"/>
      <c r="H56" s="87"/>
    </row>
    <row r="57" spans="1:9" ht="15" x14ac:dyDescent="0.2">
      <c r="A57" s="113" t="e">
        <f>+Presupuesto!#REF!</f>
        <v>#REF!</v>
      </c>
      <c r="D57" s="112" t="str">
        <f>+Presupuesto!A35</f>
        <v>SECRETARIO DE PLANEACION Y OBRAS PUBLICAS</v>
      </c>
      <c r="E57" s="103"/>
      <c r="F57" s="103"/>
      <c r="G57" s="90"/>
      <c r="H57" s="87"/>
    </row>
    <row r="58" spans="1:9" ht="15.75" thickBot="1" x14ac:dyDescent="0.25">
      <c r="A58" s="116" t="e">
        <f>APU!#REF!</f>
        <v>#REF!</v>
      </c>
      <c r="B58" s="61"/>
      <c r="C58" s="61"/>
      <c r="D58" s="114" t="str">
        <f>+Presupuesto!A36</f>
        <v>SAN MIGUEL - PUTUMAYO</v>
      </c>
      <c r="E58" s="107"/>
      <c r="F58" s="107"/>
      <c r="G58" s="107"/>
      <c r="H58" s="115"/>
    </row>
  </sheetData>
  <mergeCells count="5">
    <mergeCell ref="A1:H1"/>
    <mergeCell ref="A2:H2"/>
    <mergeCell ref="A3:H3"/>
    <mergeCell ref="A5:H5"/>
    <mergeCell ref="A7:H7"/>
  </mergeCells>
  <pageMargins left="0.7" right="0.7" top="0.75" bottom="0.75" header="0.3" footer="0.3"/>
  <pageSetup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view="pageBreakPreview" topLeftCell="A22" zoomScaleNormal="100" zoomScaleSheetLayoutView="100" workbookViewId="0">
      <selection activeCell="B66" sqref="B66"/>
    </sheetView>
  </sheetViews>
  <sheetFormatPr baseColWidth="10" defaultRowHeight="15" x14ac:dyDescent="0.25"/>
  <cols>
    <col min="1" max="1" width="20.140625" style="429" customWidth="1"/>
    <col min="2" max="2" width="40.85546875" style="429" bestFit="1" customWidth="1"/>
    <col min="3" max="3" width="7.7109375" style="429" customWidth="1"/>
    <col min="4" max="4" width="8" style="429" customWidth="1"/>
    <col min="5" max="5" width="8.85546875" style="429" customWidth="1"/>
    <col min="6" max="7" width="6.7109375" style="429" customWidth="1"/>
    <col min="8" max="8" width="9.5703125" style="429" bestFit="1" customWidth="1"/>
    <col min="9" max="9" width="13.5703125" style="429" customWidth="1"/>
    <col min="10" max="16384" width="11.42578125" style="429"/>
  </cols>
  <sheetData>
    <row r="1" spans="1:9" ht="12.75" customHeight="1" x14ac:dyDescent="0.25">
      <c r="A1" s="548"/>
      <c r="B1" s="550" t="s">
        <v>223</v>
      </c>
      <c r="C1" s="552" t="s">
        <v>224</v>
      </c>
      <c r="D1" s="553"/>
      <c r="E1" s="554">
        <v>103</v>
      </c>
      <c r="F1" s="555"/>
      <c r="G1" s="556"/>
      <c r="H1" s="557"/>
      <c r="I1" s="558"/>
    </row>
    <row r="2" spans="1:9" ht="12.75" customHeight="1" x14ac:dyDescent="0.25">
      <c r="A2" s="548"/>
      <c r="B2" s="551"/>
      <c r="C2" s="563" t="s">
        <v>194</v>
      </c>
      <c r="D2" s="564"/>
      <c r="E2" s="567">
        <v>51</v>
      </c>
      <c r="F2" s="568"/>
      <c r="G2" s="569"/>
      <c r="H2" s="559"/>
      <c r="I2" s="560"/>
    </row>
    <row r="3" spans="1:9" ht="12.75" customHeight="1" x14ac:dyDescent="0.25">
      <c r="A3" s="548"/>
      <c r="B3" s="415" t="s">
        <v>195</v>
      </c>
      <c r="C3" s="565"/>
      <c r="D3" s="566"/>
      <c r="E3" s="567"/>
      <c r="F3" s="568"/>
      <c r="G3" s="569"/>
      <c r="H3" s="559"/>
      <c r="I3" s="560"/>
    </row>
    <row r="4" spans="1:9" ht="12.75" customHeight="1" x14ac:dyDescent="0.25">
      <c r="A4" s="548"/>
      <c r="B4" s="275" t="s">
        <v>196</v>
      </c>
      <c r="C4" s="570" t="s">
        <v>197</v>
      </c>
      <c r="D4" s="571"/>
      <c r="E4" s="567">
        <v>1</v>
      </c>
      <c r="F4" s="568"/>
      <c r="G4" s="569"/>
      <c r="H4" s="559"/>
      <c r="I4" s="560"/>
    </row>
    <row r="5" spans="1:9" ht="12.75" customHeight="1" x14ac:dyDescent="0.25">
      <c r="A5" s="548"/>
      <c r="B5" s="572" t="s">
        <v>198</v>
      </c>
      <c r="C5" s="572" t="s">
        <v>199</v>
      </c>
      <c r="D5" s="570"/>
      <c r="E5" s="573" t="s">
        <v>200</v>
      </c>
      <c r="F5" s="574"/>
      <c r="G5" s="575"/>
      <c r="H5" s="559"/>
      <c r="I5" s="560"/>
    </row>
    <row r="6" spans="1:9" ht="12.75" customHeight="1" thickBot="1" x14ac:dyDescent="0.3">
      <c r="A6" s="549"/>
      <c r="B6" s="572"/>
      <c r="C6" s="572"/>
      <c r="D6" s="570"/>
      <c r="E6" s="576">
        <v>44216</v>
      </c>
      <c r="F6" s="577"/>
      <c r="G6" s="578"/>
      <c r="H6" s="561"/>
      <c r="I6" s="562"/>
    </row>
    <row r="7" spans="1:9" ht="12.75" customHeight="1" thickBot="1" x14ac:dyDescent="0.3">
      <c r="A7" s="244"/>
      <c r="B7" s="245"/>
      <c r="C7" s="245"/>
      <c r="D7" s="245"/>
      <c r="E7" s="280"/>
      <c r="F7" s="280"/>
      <c r="G7" s="280"/>
      <c r="H7" s="280"/>
      <c r="I7" s="281"/>
    </row>
    <row r="8" spans="1:9" ht="12.75" customHeight="1" x14ac:dyDescent="0.25">
      <c r="A8" s="579" t="str">
        <f>Presupuesto!A8</f>
        <v>ADECUACION DE LA INFRAESTRUCTURA DE LA PLANTA DE BENEFICIO ANIMAL MEDIANTE EL MEJORAMIENTO DE CUBIERTA EN EL MUNICIPIO DE SAN MIGUEL PUTUMAYO</v>
      </c>
      <c r="B8" s="580"/>
      <c r="C8" s="580"/>
      <c r="D8" s="580"/>
      <c r="E8" s="580"/>
      <c r="F8" s="580"/>
      <c r="G8" s="580"/>
      <c r="H8" s="580"/>
      <c r="I8" s="581"/>
    </row>
    <row r="9" spans="1:9" ht="12.75" customHeight="1" thickBot="1" x14ac:dyDescent="0.3">
      <c r="A9" s="582"/>
      <c r="B9" s="583"/>
      <c r="C9" s="583"/>
      <c r="D9" s="583"/>
      <c r="E9" s="583"/>
      <c r="F9" s="583"/>
      <c r="G9" s="583"/>
      <c r="H9" s="583"/>
      <c r="I9" s="584"/>
    </row>
    <row r="10" spans="1:9" ht="12.75" customHeight="1" thickBot="1" x14ac:dyDescent="0.3">
      <c r="A10" s="244"/>
      <c r="B10" s="245"/>
      <c r="C10" s="245"/>
      <c r="D10" s="245"/>
      <c r="E10" s="280"/>
      <c r="F10" s="280"/>
      <c r="G10" s="280"/>
      <c r="H10" s="280"/>
      <c r="I10" s="281"/>
    </row>
    <row r="11" spans="1:9" ht="12.75" customHeight="1" thickBot="1" x14ac:dyDescent="0.3">
      <c r="A11" s="545" t="s">
        <v>2</v>
      </c>
      <c r="B11" s="546"/>
      <c r="C11" s="546"/>
      <c r="D11" s="546"/>
      <c r="E11" s="546"/>
      <c r="F11" s="546"/>
      <c r="G11" s="546"/>
      <c r="H11" s="546"/>
      <c r="I11" s="547"/>
    </row>
    <row r="12" spans="1:9" ht="12.75" customHeight="1" thickBot="1" x14ac:dyDescent="0.3">
      <c r="A12" s="430"/>
      <c r="B12" s="431"/>
      <c r="C12" s="431"/>
      <c r="D12" s="431"/>
      <c r="E12" s="431"/>
      <c r="F12" s="431"/>
      <c r="G12" s="431"/>
      <c r="H12" s="431"/>
      <c r="I12" s="432"/>
    </row>
    <row r="13" spans="1:9" ht="12.75" customHeight="1" thickBot="1" x14ac:dyDescent="0.3">
      <c r="A13" s="585" t="str">
        <f>Presupuesto!B14</f>
        <v>PRELIMINARES</v>
      </c>
      <c r="B13" s="586"/>
      <c r="C13" s="586"/>
      <c r="D13" s="586"/>
      <c r="E13" s="586"/>
      <c r="F13" s="586"/>
      <c r="G13" s="586"/>
      <c r="H13" s="586"/>
      <c r="I13" s="587"/>
    </row>
    <row r="14" spans="1:9" ht="12.75" customHeight="1" x14ac:dyDescent="0.25">
      <c r="A14" s="430"/>
      <c r="B14" s="430"/>
      <c r="C14" s="430"/>
      <c r="D14" s="430"/>
      <c r="E14" s="430"/>
      <c r="F14" s="430"/>
      <c r="G14" s="430"/>
      <c r="H14" s="430"/>
      <c r="I14" s="433"/>
    </row>
    <row r="15" spans="1:9" ht="12.75" customHeight="1" thickBot="1" x14ac:dyDescent="0.3">
      <c r="A15" s="430" t="s">
        <v>302</v>
      </c>
      <c r="B15" s="431"/>
      <c r="C15" s="431"/>
      <c r="D15" s="431"/>
      <c r="E15" s="431"/>
      <c r="F15" s="431"/>
      <c r="G15" s="431"/>
      <c r="H15" s="431"/>
      <c r="I15" s="431"/>
    </row>
    <row r="16" spans="1:9" ht="12.75" customHeight="1" thickBot="1" x14ac:dyDescent="0.3">
      <c r="A16" s="434" t="str">
        <f>Presupuesto!B15</f>
        <v>DESMONTE DE CUBIERTA EXISTENTE</v>
      </c>
      <c r="B16" s="435"/>
      <c r="C16" s="435"/>
      <c r="D16" s="436"/>
      <c r="E16" s="436"/>
      <c r="F16" s="436"/>
      <c r="G16" s="436"/>
      <c r="H16" s="436"/>
      <c r="I16" s="437" t="str">
        <f>Presupuesto!D15</f>
        <v>M2</v>
      </c>
    </row>
    <row r="17" spans="1:11" ht="12.75" customHeight="1" x14ac:dyDescent="0.25">
      <c r="A17" s="423" t="s">
        <v>179</v>
      </c>
      <c r="B17" s="424" t="s">
        <v>180</v>
      </c>
      <c r="C17" s="424" t="s">
        <v>181</v>
      </c>
      <c r="D17" s="424" t="s">
        <v>182</v>
      </c>
      <c r="E17" s="424" t="s">
        <v>183</v>
      </c>
      <c r="F17" s="424" t="s">
        <v>184</v>
      </c>
      <c r="G17" s="424" t="s">
        <v>185</v>
      </c>
      <c r="H17" s="424" t="s">
        <v>186</v>
      </c>
      <c r="I17" s="425" t="s">
        <v>187</v>
      </c>
    </row>
    <row r="18" spans="1:11" ht="12.75" customHeight="1" x14ac:dyDescent="0.25">
      <c r="A18" s="438"/>
      <c r="B18" s="439" t="s">
        <v>312</v>
      </c>
      <c r="C18" s="439">
        <v>1</v>
      </c>
      <c r="D18" s="439">
        <v>20.43</v>
      </c>
      <c r="E18" s="440">
        <v>5.77</v>
      </c>
      <c r="F18" s="440"/>
      <c r="G18" s="441">
        <f>C18*D18*E18</f>
        <v>117.88109999999999</v>
      </c>
      <c r="H18" s="441"/>
      <c r="I18" s="442">
        <f>G18</f>
        <v>117.88109999999999</v>
      </c>
      <c r="K18" s="443"/>
    </row>
    <row r="19" spans="1:11" ht="12.75" customHeight="1" x14ac:dyDescent="0.25">
      <c r="A19" s="444"/>
      <c r="B19" s="445" t="s">
        <v>313</v>
      </c>
      <c r="C19" s="439">
        <v>1</v>
      </c>
      <c r="D19" s="439">
        <v>20.43</v>
      </c>
      <c r="E19" s="440">
        <v>7.31</v>
      </c>
      <c r="F19" s="440"/>
      <c r="G19" s="441">
        <f>+C19*D19*E19</f>
        <v>149.3433</v>
      </c>
      <c r="H19" s="441"/>
      <c r="I19" s="442">
        <f>G19</f>
        <v>149.3433</v>
      </c>
      <c r="K19" s="443"/>
    </row>
    <row r="20" spans="1:11" ht="12.75" customHeight="1" x14ac:dyDescent="0.25">
      <c r="A20" s="444"/>
      <c r="B20" s="445"/>
      <c r="C20" s="439"/>
      <c r="D20" s="439"/>
      <c r="E20" s="440"/>
      <c r="F20" s="440"/>
      <c r="G20" s="441"/>
      <c r="H20" s="441"/>
      <c r="I20" s="442"/>
    </row>
    <row r="21" spans="1:11" ht="12.75" customHeight="1" thickBot="1" x14ac:dyDescent="0.3">
      <c r="A21" s="446" t="s">
        <v>242</v>
      </c>
      <c r="B21" s="447"/>
      <c r="C21" s="447"/>
      <c r="D21" s="447"/>
      <c r="E21" s="447"/>
      <c r="F21" s="447"/>
      <c r="G21" s="447"/>
      <c r="H21" s="447"/>
      <c r="I21" s="448">
        <f>ROUND((SUM(I18:I20)),2)</f>
        <v>267.22000000000003</v>
      </c>
    </row>
    <row r="22" spans="1:11" ht="12.75" customHeight="1" x14ac:dyDescent="0.25">
      <c r="A22" s="431"/>
      <c r="B22" s="431"/>
      <c r="C22" s="431"/>
      <c r="D22" s="431"/>
      <c r="E22" s="431"/>
      <c r="F22" s="431"/>
      <c r="G22" s="431"/>
      <c r="H22" s="431"/>
      <c r="I22" s="431"/>
    </row>
    <row r="23" spans="1:11" ht="12.75" customHeight="1" thickBot="1" x14ac:dyDescent="0.3">
      <c r="A23" s="430" t="s">
        <v>303</v>
      </c>
      <c r="B23" s="431"/>
      <c r="C23" s="431"/>
      <c r="D23" s="431"/>
      <c r="E23" s="431"/>
      <c r="F23" s="431"/>
      <c r="G23" s="431"/>
      <c r="H23" s="431"/>
      <c r="I23" s="431"/>
    </row>
    <row r="24" spans="1:11" ht="12.75" customHeight="1" thickBot="1" x14ac:dyDescent="0.3">
      <c r="A24" s="434" t="str">
        <f>+Presupuesto!B16</f>
        <v>RETIRO Y DISPOSICION DE MATERIAL SOBRANTE</v>
      </c>
      <c r="B24" s="435"/>
      <c r="C24" s="435"/>
      <c r="D24" s="436"/>
      <c r="E24" s="436"/>
      <c r="F24" s="436"/>
      <c r="G24" s="436"/>
      <c r="H24" s="436"/>
      <c r="I24" s="437" t="str">
        <f>+Presupuesto!D16</f>
        <v>M2</v>
      </c>
    </row>
    <row r="25" spans="1:11" ht="12.75" customHeight="1" x14ac:dyDescent="0.25">
      <c r="A25" s="423" t="s">
        <v>179</v>
      </c>
      <c r="B25" s="424" t="s">
        <v>180</v>
      </c>
      <c r="C25" s="424" t="s">
        <v>181</v>
      </c>
      <c r="D25" s="424" t="s">
        <v>182</v>
      </c>
      <c r="E25" s="424" t="s">
        <v>183</v>
      </c>
      <c r="F25" s="424" t="s">
        <v>184</v>
      </c>
      <c r="G25" s="424" t="s">
        <v>185</v>
      </c>
      <c r="H25" s="424" t="s">
        <v>186</v>
      </c>
      <c r="I25" s="425" t="s">
        <v>187</v>
      </c>
    </row>
    <row r="26" spans="1:11" ht="12.75" customHeight="1" x14ac:dyDescent="0.25">
      <c r="A26" s="444"/>
      <c r="B26" s="439" t="s">
        <v>312</v>
      </c>
      <c r="C26" s="439">
        <v>1</v>
      </c>
      <c r="D26" s="439">
        <f>D18</f>
        <v>20.43</v>
      </c>
      <c r="E26" s="440">
        <v>5.77</v>
      </c>
      <c r="F26" s="440"/>
      <c r="G26" s="441">
        <f>C27*D26*E26</f>
        <v>117.88109999999999</v>
      </c>
      <c r="H26" s="441"/>
      <c r="I26" s="442">
        <f t="shared" ref="I26" si="0">G26</f>
        <v>117.88109999999999</v>
      </c>
    </row>
    <row r="27" spans="1:11" ht="12.75" customHeight="1" x14ac:dyDescent="0.25">
      <c r="A27" s="444"/>
      <c r="B27" s="445" t="s">
        <v>313</v>
      </c>
      <c r="C27" s="439">
        <v>1</v>
      </c>
      <c r="D27" s="439">
        <v>20.43</v>
      </c>
      <c r="E27" s="440">
        <v>7.31</v>
      </c>
      <c r="F27" s="440"/>
      <c r="G27" s="441">
        <f>+C27*D27*E27</f>
        <v>149.3433</v>
      </c>
      <c r="H27" s="441"/>
      <c r="I27" s="442">
        <f>+G27</f>
        <v>149.3433</v>
      </c>
    </row>
    <row r="28" spans="1:11" ht="12.75" customHeight="1" x14ac:dyDescent="0.25">
      <c r="A28" s="444"/>
      <c r="B28" s="449"/>
      <c r="C28" s="449"/>
      <c r="D28" s="449"/>
      <c r="E28" s="449"/>
      <c r="F28" s="449"/>
      <c r="G28" s="449"/>
      <c r="H28" s="449"/>
    </row>
    <row r="29" spans="1:11" ht="12.75" customHeight="1" thickBot="1" x14ac:dyDescent="0.3">
      <c r="A29" s="446" t="s">
        <v>242</v>
      </c>
      <c r="B29" s="431"/>
      <c r="C29" s="431"/>
      <c r="D29" s="431"/>
      <c r="E29" s="431"/>
      <c r="F29" s="431"/>
      <c r="G29" s="431"/>
      <c r="H29" s="431"/>
      <c r="I29" s="448">
        <f>ROUND((SUM(I26:I28)),2)</f>
        <v>267.22000000000003</v>
      </c>
    </row>
    <row r="30" spans="1:11" ht="12.75" customHeight="1" thickBot="1" x14ac:dyDescent="0.3">
      <c r="A30" s="431"/>
      <c r="B30" s="435"/>
      <c r="C30" s="435"/>
      <c r="D30" s="436"/>
      <c r="E30" s="436"/>
      <c r="F30" s="436"/>
      <c r="G30" s="436"/>
      <c r="H30" s="436"/>
    </row>
    <row r="31" spans="1:11" ht="12.75" customHeight="1" thickBot="1" x14ac:dyDescent="0.3">
      <c r="A31" s="585" t="str">
        <f>Presupuesto!B18</f>
        <v>ESTRUCTURA METALICA Y CUBIERTA</v>
      </c>
      <c r="B31" s="586"/>
      <c r="C31" s="586"/>
      <c r="D31" s="586"/>
      <c r="E31" s="586"/>
      <c r="F31" s="586"/>
      <c r="G31" s="586"/>
      <c r="H31" s="586"/>
      <c r="I31" s="587"/>
    </row>
    <row r="32" spans="1:11" ht="12.75" customHeight="1" x14ac:dyDescent="0.25">
      <c r="A32" s="426"/>
      <c r="B32" s="427"/>
      <c r="C32" s="427"/>
      <c r="D32" s="427"/>
      <c r="E32" s="427"/>
      <c r="F32" s="427"/>
      <c r="G32" s="427"/>
      <c r="H32" s="427"/>
      <c r="I32" s="427"/>
    </row>
    <row r="33" spans="1:9" ht="12.75" customHeight="1" x14ac:dyDescent="0.25">
      <c r="A33" s="430" t="s">
        <v>232</v>
      </c>
      <c r="B33" s="430"/>
      <c r="C33" s="430"/>
      <c r="D33" s="430"/>
      <c r="E33" s="430"/>
      <c r="F33" s="430"/>
      <c r="G33" s="430"/>
      <c r="H33" s="430"/>
      <c r="I33" s="433"/>
    </row>
    <row r="34" spans="1:9" ht="12.75" customHeight="1" thickBot="1" x14ac:dyDescent="0.3">
      <c r="A34" s="591" t="str">
        <f>Presupuesto!B19</f>
        <v xml:space="preserve">SUMINISTRO, PINTURA E INSTALACION DE CORREAS </v>
      </c>
      <c r="B34" s="592"/>
      <c r="C34" s="592"/>
      <c r="D34" s="592"/>
      <c r="E34" s="592"/>
      <c r="F34" s="592"/>
      <c r="G34" s="592"/>
      <c r="H34" s="593"/>
      <c r="I34" s="450" t="str">
        <f>Presupuesto!D19</f>
        <v>ML</v>
      </c>
    </row>
    <row r="35" spans="1:9" ht="12.75" customHeight="1" x14ac:dyDescent="0.25">
      <c r="A35" s="423" t="s">
        <v>179</v>
      </c>
      <c r="B35" s="424" t="s">
        <v>180</v>
      </c>
      <c r="C35" s="424" t="s">
        <v>181</v>
      </c>
      <c r="D35" s="424" t="s">
        <v>182</v>
      </c>
      <c r="E35" s="424" t="s">
        <v>183</v>
      </c>
      <c r="F35" s="424" t="s">
        <v>184</v>
      </c>
      <c r="G35" s="424" t="s">
        <v>185</v>
      </c>
      <c r="H35" s="424" t="s">
        <v>186</v>
      </c>
      <c r="I35" s="428" t="s">
        <v>187</v>
      </c>
    </row>
    <row r="36" spans="1:9" ht="12.75" customHeight="1" x14ac:dyDescent="0.25">
      <c r="B36" s="445" t="s">
        <v>295</v>
      </c>
      <c r="C36" s="439">
        <v>10</v>
      </c>
      <c r="D36" s="439">
        <f>D27</f>
        <v>20.43</v>
      </c>
      <c r="E36" s="440"/>
      <c r="F36" s="440"/>
      <c r="G36" s="441"/>
      <c r="H36" s="440"/>
      <c r="I36" s="451">
        <f>C36*D36</f>
        <v>204.3</v>
      </c>
    </row>
    <row r="37" spans="1:9" ht="12.75" customHeight="1" x14ac:dyDescent="0.25">
      <c r="A37" s="444"/>
      <c r="B37" s="439"/>
      <c r="C37" s="439"/>
      <c r="D37" s="439"/>
      <c r="E37" s="440"/>
      <c r="F37" s="440"/>
      <c r="G37" s="441"/>
      <c r="H37" s="440"/>
      <c r="I37" s="452"/>
    </row>
    <row r="38" spans="1:9" ht="12.75" customHeight="1" thickBot="1" x14ac:dyDescent="0.3">
      <c r="A38" s="446" t="s">
        <v>242</v>
      </c>
      <c r="B38" s="447"/>
      <c r="C38" s="447"/>
      <c r="D38" s="447"/>
      <c r="E38" s="447"/>
      <c r="F38" s="447"/>
      <c r="G38" s="447"/>
      <c r="H38" s="447"/>
      <c r="I38" s="448">
        <f>ROUND((SUM(I36:I37)),2)</f>
        <v>204.3</v>
      </c>
    </row>
    <row r="39" spans="1:9" ht="12.75" customHeight="1" x14ac:dyDescent="0.25">
      <c r="A39" s="430"/>
      <c r="B39" s="430"/>
      <c r="C39" s="430"/>
      <c r="D39" s="430"/>
      <c r="E39" s="430"/>
      <c r="F39" s="430"/>
      <c r="G39" s="430"/>
      <c r="H39" s="430"/>
      <c r="I39" s="433"/>
    </row>
    <row r="40" spans="1:9" ht="12.75" customHeight="1" x14ac:dyDescent="0.25">
      <c r="A40" s="430" t="s">
        <v>233</v>
      </c>
      <c r="B40" s="430"/>
      <c r="C40" s="430"/>
      <c r="D40" s="430"/>
      <c r="E40" s="430"/>
      <c r="F40" s="430"/>
      <c r="G40" s="430"/>
      <c r="H40" s="430"/>
      <c r="I40" s="433"/>
    </row>
    <row r="41" spans="1:9" ht="12.75" customHeight="1" thickBot="1" x14ac:dyDescent="0.3">
      <c r="A41" s="591" t="str">
        <f>Presupuesto!B20</f>
        <v>SUMINISTRO E INSTALACION DE TEJA TRAPEZOIDAL CAL.28</v>
      </c>
      <c r="B41" s="592"/>
      <c r="C41" s="592"/>
      <c r="D41" s="592"/>
      <c r="E41" s="592"/>
      <c r="F41" s="592"/>
      <c r="G41" s="592"/>
      <c r="H41" s="593"/>
      <c r="I41" s="450" t="str">
        <f>Presupuesto!D20</f>
        <v>M2</v>
      </c>
    </row>
    <row r="42" spans="1:9" ht="12.75" customHeight="1" x14ac:dyDescent="0.25">
      <c r="A42" s="423" t="s">
        <v>179</v>
      </c>
      <c r="B42" s="424" t="s">
        <v>180</v>
      </c>
      <c r="C42" s="424" t="s">
        <v>181</v>
      </c>
      <c r="D42" s="424" t="s">
        <v>182</v>
      </c>
      <c r="E42" s="424" t="s">
        <v>183</v>
      </c>
      <c r="F42" s="424" t="s">
        <v>184</v>
      </c>
      <c r="G42" s="424" t="s">
        <v>185</v>
      </c>
      <c r="H42" s="424" t="s">
        <v>186</v>
      </c>
      <c r="I42" s="428" t="s">
        <v>187</v>
      </c>
    </row>
    <row r="43" spans="1:9" ht="12.75" customHeight="1" x14ac:dyDescent="0.25">
      <c r="B43" s="439" t="s">
        <v>312</v>
      </c>
      <c r="C43" s="439">
        <v>1</v>
      </c>
      <c r="D43" s="439">
        <v>20.43</v>
      </c>
      <c r="E43" s="440">
        <v>5.77</v>
      </c>
      <c r="F43" s="440"/>
      <c r="G43" s="441">
        <f>+C43*D43*E43</f>
        <v>117.88109999999999</v>
      </c>
      <c r="H43" s="440"/>
      <c r="I43" s="451">
        <f>+G43</f>
        <v>117.88109999999999</v>
      </c>
    </row>
    <row r="44" spans="1:9" ht="12.75" customHeight="1" x14ac:dyDescent="0.25">
      <c r="B44" s="445" t="s">
        <v>313</v>
      </c>
      <c r="C44" s="439">
        <v>1</v>
      </c>
      <c r="D44" s="439">
        <v>20.43</v>
      </c>
      <c r="E44" s="440">
        <v>7.31</v>
      </c>
      <c r="F44" s="440"/>
      <c r="G44" s="441">
        <f>+C44*D44*E44</f>
        <v>149.3433</v>
      </c>
      <c r="H44" s="440"/>
      <c r="I44" s="451">
        <f>+G44</f>
        <v>149.3433</v>
      </c>
    </row>
    <row r="45" spans="1:9" ht="12.75" customHeight="1" x14ac:dyDescent="0.25">
      <c r="A45" s="444"/>
      <c r="B45" s="445" t="s">
        <v>315</v>
      </c>
      <c r="C45" s="439">
        <v>1</v>
      </c>
      <c r="D45" s="439">
        <v>9.8000000000000007</v>
      </c>
      <c r="E45" s="440">
        <v>8.9</v>
      </c>
      <c r="F45" s="440"/>
      <c r="G45" s="441">
        <f>+C45*D45*E45</f>
        <v>87.220000000000013</v>
      </c>
      <c r="H45" s="441"/>
      <c r="I45" s="442">
        <f t="shared" ref="I45" si="1">G45</f>
        <v>87.220000000000013</v>
      </c>
    </row>
    <row r="46" spans="1:9" ht="12.75" customHeight="1" x14ac:dyDescent="0.25">
      <c r="A46" s="444"/>
      <c r="B46" s="445"/>
      <c r="C46" s="439"/>
      <c r="D46" s="439"/>
      <c r="E46" s="440"/>
      <c r="F46" s="440"/>
      <c r="G46" s="441"/>
      <c r="H46" s="441"/>
      <c r="I46" s="442">
        <f>G46</f>
        <v>0</v>
      </c>
    </row>
    <row r="47" spans="1:9" ht="12.75" customHeight="1" thickBot="1" x14ac:dyDescent="0.3">
      <c r="A47" s="446" t="s">
        <v>242</v>
      </c>
      <c r="B47" s="447"/>
      <c r="C47" s="447"/>
      <c r="D47" s="447"/>
      <c r="E47" s="447"/>
      <c r="F47" s="447"/>
      <c r="G47" s="447"/>
      <c r="H47" s="447"/>
      <c r="I47" s="448">
        <f>ROUND((SUM(I43:I46)),2)</f>
        <v>354.44</v>
      </c>
    </row>
    <row r="48" spans="1:9" ht="12.75" customHeight="1" x14ac:dyDescent="0.25">
      <c r="A48" s="430"/>
      <c r="B48" s="430"/>
      <c r="C48" s="430"/>
      <c r="D48" s="430"/>
      <c r="E48" s="430"/>
      <c r="F48" s="430"/>
      <c r="G48" s="430"/>
      <c r="H48" s="430"/>
      <c r="I48" s="433"/>
    </row>
    <row r="49" spans="1:9" ht="12.75" customHeight="1" x14ac:dyDescent="0.25">
      <c r="A49" s="430" t="s">
        <v>241</v>
      </c>
      <c r="B49" s="430"/>
      <c r="C49" s="430"/>
      <c r="D49" s="430"/>
      <c r="E49" s="430"/>
      <c r="F49" s="430"/>
      <c r="G49" s="430"/>
      <c r="H49" s="430"/>
      <c r="I49" s="433"/>
    </row>
    <row r="50" spans="1:9" ht="12.75" customHeight="1" thickBot="1" x14ac:dyDescent="0.3">
      <c r="A50" s="591" t="str">
        <f>+Presupuesto!B21</f>
        <v>CABALLETE EN LÁMINA GALVANIZADA CAL.28</v>
      </c>
      <c r="B50" s="592"/>
      <c r="C50" s="592"/>
      <c r="D50" s="592"/>
      <c r="E50" s="592"/>
      <c r="F50" s="592"/>
      <c r="G50" s="592"/>
      <c r="H50" s="593"/>
      <c r="I50" s="450" t="str">
        <f>Presupuesto!D21</f>
        <v>ML</v>
      </c>
    </row>
    <row r="51" spans="1:9" ht="12.75" customHeight="1" x14ac:dyDescent="0.25">
      <c r="A51" s="423" t="s">
        <v>179</v>
      </c>
      <c r="B51" s="424" t="s">
        <v>180</v>
      </c>
      <c r="C51" s="424" t="s">
        <v>181</v>
      </c>
      <c r="D51" s="424" t="s">
        <v>182</v>
      </c>
      <c r="E51" s="424" t="s">
        <v>183</v>
      </c>
      <c r="F51" s="424" t="s">
        <v>184</v>
      </c>
      <c r="G51" s="424" t="s">
        <v>185</v>
      </c>
      <c r="H51" s="424" t="s">
        <v>186</v>
      </c>
      <c r="I51" s="428" t="s">
        <v>187</v>
      </c>
    </row>
    <row r="52" spans="1:9" ht="12.75" customHeight="1" x14ac:dyDescent="0.25">
      <c r="B52" s="445" t="s">
        <v>314</v>
      </c>
      <c r="C52" s="439">
        <v>7</v>
      </c>
      <c r="D52" s="439">
        <v>3</v>
      </c>
      <c r="E52" s="440"/>
      <c r="F52" s="440"/>
      <c r="G52" s="441"/>
      <c r="H52" s="440"/>
      <c r="I52" s="451">
        <f>C52*D52</f>
        <v>21</v>
      </c>
    </row>
    <row r="53" spans="1:9" ht="12.75" customHeight="1" x14ac:dyDescent="0.25">
      <c r="B53" s="445"/>
      <c r="C53" s="439"/>
      <c r="D53" s="439"/>
      <c r="E53" s="440"/>
      <c r="F53" s="440"/>
      <c r="G53" s="441"/>
      <c r="H53" s="441"/>
      <c r="I53" s="451"/>
    </row>
    <row r="54" spans="1:9" ht="12.75" customHeight="1" thickBot="1" x14ac:dyDescent="0.3">
      <c r="A54" s="446" t="s">
        <v>242</v>
      </c>
      <c r="B54" s="447"/>
      <c r="C54" s="447"/>
      <c r="D54" s="447"/>
      <c r="E54" s="447"/>
      <c r="F54" s="447"/>
      <c r="G54" s="447"/>
      <c r="H54" s="447"/>
      <c r="I54" s="448">
        <f>ROUND((SUM(I52:I53)),2)</f>
        <v>21</v>
      </c>
    </row>
    <row r="55" spans="1:9" ht="12.75" customHeight="1" x14ac:dyDescent="0.25"/>
    <row r="56" spans="1:9" ht="12.75" customHeight="1" x14ac:dyDescent="0.25"/>
    <row r="57" spans="1:9" ht="12.75" customHeight="1" x14ac:dyDescent="0.25"/>
    <row r="58" spans="1:9" ht="12.75" customHeight="1" x14ac:dyDescent="0.25"/>
    <row r="59" spans="1:9" ht="12.75" customHeight="1" x14ac:dyDescent="0.25">
      <c r="B59" s="588" t="s">
        <v>228</v>
      </c>
      <c r="C59" s="588"/>
      <c r="D59" s="588"/>
      <c r="E59" s="588"/>
      <c r="F59" s="588"/>
      <c r="G59" s="588"/>
      <c r="H59" s="588"/>
    </row>
    <row r="60" spans="1:9" ht="12.75" customHeight="1" x14ac:dyDescent="0.25">
      <c r="B60" s="589" t="s">
        <v>176</v>
      </c>
      <c r="C60" s="589"/>
      <c r="D60" s="589"/>
      <c r="E60" s="589"/>
      <c r="F60" s="589"/>
      <c r="G60" s="589"/>
      <c r="H60" s="589"/>
    </row>
    <row r="61" spans="1:9" ht="12.75" customHeight="1" x14ac:dyDescent="0.25">
      <c r="B61" s="590" t="s">
        <v>152</v>
      </c>
      <c r="C61" s="590"/>
      <c r="D61" s="590"/>
      <c r="E61" s="590"/>
      <c r="F61" s="590"/>
      <c r="G61" s="590"/>
      <c r="H61" s="590"/>
    </row>
  </sheetData>
  <mergeCells count="23">
    <mergeCell ref="A13:I13"/>
    <mergeCell ref="B59:H59"/>
    <mergeCell ref="B60:H60"/>
    <mergeCell ref="B61:H61"/>
    <mergeCell ref="A34:H34"/>
    <mergeCell ref="A41:H41"/>
    <mergeCell ref="A50:H50"/>
    <mergeCell ref="A31:I31"/>
    <mergeCell ref="A11:I11"/>
    <mergeCell ref="A1:A6"/>
    <mergeCell ref="B1:B2"/>
    <mergeCell ref="C1:D1"/>
    <mergeCell ref="E1:G1"/>
    <mergeCell ref="H1:I6"/>
    <mergeCell ref="C2:D3"/>
    <mergeCell ref="E2:G3"/>
    <mergeCell ref="C4:D4"/>
    <mergeCell ref="E4:G4"/>
    <mergeCell ref="B5:B6"/>
    <mergeCell ref="C5:D6"/>
    <mergeCell ref="E5:G5"/>
    <mergeCell ref="E6:G6"/>
    <mergeCell ref="A8:I9"/>
  </mergeCells>
  <phoneticPr fontId="29" type="noConversion"/>
  <pageMargins left="0.70866141732283472" right="0.70866141732283472" top="0.74803149606299213" bottom="0.74803149606299213" header="0.31496062992125984" footer="0.31496062992125984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-0.249977111117893"/>
  </sheetPr>
  <dimension ref="A1:AA286"/>
  <sheetViews>
    <sheetView showGridLines="0" view="pageBreakPreview" topLeftCell="A223" zoomScaleNormal="89" zoomScaleSheetLayoutView="100" workbookViewId="0">
      <selection activeCell="A239" sqref="A239:H239"/>
    </sheetView>
  </sheetViews>
  <sheetFormatPr baseColWidth="10" defaultColWidth="11.42578125" defaultRowHeight="17.100000000000001" customHeight="1" x14ac:dyDescent="0.2"/>
  <cols>
    <col min="1" max="1" width="6.140625" style="453" customWidth="1"/>
    <col min="2" max="2" width="13.5703125" style="453" customWidth="1"/>
    <col min="3" max="3" width="33.42578125" style="453" customWidth="1"/>
    <col min="4" max="5" width="11.42578125" style="453"/>
    <col min="6" max="6" width="13.42578125" style="453" bestFit="1" customWidth="1"/>
    <col min="7" max="7" width="13" style="453" customWidth="1"/>
    <col min="8" max="8" width="13.28515625" style="502" customWidth="1"/>
    <col min="9" max="9" width="11.42578125" style="457"/>
    <col min="10" max="10" width="12" style="457" bestFit="1" customWidth="1"/>
    <col min="11" max="16384" width="11.42578125" style="457"/>
  </cols>
  <sheetData>
    <row r="1" spans="1:8" ht="12.75" customHeight="1" x14ac:dyDescent="0.2">
      <c r="A1" s="611"/>
      <c r="B1" s="612"/>
      <c r="C1" s="550" t="s">
        <v>223</v>
      </c>
      <c r="D1" s="617" t="s">
        <v>224</v>
      </c>
      <c r="E1" s="618"/>
      <c r="F1" s="417">
        <v>103</v>
      </c>
      <c r="G1" s="619"/>
      <c r="H1" s="620"/>
    </row>
    <row r="2" spans="1:8" ht="12.75" customHeight="1" x14ac:dyDescent="0.2">
      <c r="A2" s="613"/>
      <c r="B2" s="614"/>
      <c r="C2" s="551"/>
      <c r="D2" s="563" t="s">
        <v>194</v>
      </c>
      <c r="E2" s="625"/>
      <c r="F2" s="627">
        <v>51</v>
      </c>
      <c r="G2" s="621"/>
      <c r="H2" s="622"/>
    </row>
    <row r="3" spans="1:8" ht="12.75" customHeight="1" x14ac:dyDescent="0.2">
      <c r="A3" s="613"/>
      <c r="B3" s="614"/>
      <c r="C3" s="415" t="s">
        <v>195</v>
      </c>
      <c r="D3" s="565"/>
      <c r="E3" s="626"/>
      <c r="F3" s="628"/>
      <c r="G3" s="621"/>
      <c r="H3" s="622"/>
    </row>
    <row r="4" spans="1:8" ht="12.75" customHeight="1" x14ac:dyDescent="0.2">
      <c r="A4" s="613"/>
      <c r="B4" s="614"/>
      <c r="C4" s="275" t="s">
        <v>196</v>
      </c>
      <c r="D4" s="570" t="s">
        <v>197</v>
      </c>
      <c r="E4" s="629"/>
      <c r="F4" s="416">
        <v>1</v>
      </c>
      <c r="G4" s="621"/>
      <c r="H4" s="622"/>
    </row>
    <row r="5" spans="1:8" ht="12.75" customHeight="1" x14ac:dyDescent="0.2">
      <c r="A5" s="613"/>
      <c r="B5" s="614"/>
      <c r="C5" s="630" t="s">
        <v>198</v>
      </c>
      <c r="D5" s="632" t="s">
        <v>199</v>
      </c>
      <c r="E5" s="633"/>
      <c r="F5" s="415" t="s">
        <v>200</v>
      </c>
      <c r="G5" s="621"/>
      <c r="H5" s="622"/>
    </row>
    <row r="6" spans="1:8" ht="12.75" customHeight="1" x14ac:dyDescent="0.2">
      <c r="A6" s="615"/>
      <c r="B6" s="616"/>
      <c r="C6" s="631"/>
      <c r="D6" s="634"/>
      <c r="E6" s="635"/>
      <c r="F6" s="277">
        <v>44216</v>
      </c>
      <c r="G6" s="623"/>
      <c r="H6" s="624"/>
    </row>
    <row r="7" spans="1:8" ht="12.75" customHeight="1" x14ac:dyDescent="0.2">
      <c r="A7" s="530"/>
      <c r="B7" s="514"/>
      <c r="C7" s="514"/>
      <c r="D7" s="514"/>
      <c r="E7" s="514"/>
      <c r="F7" s="514"/>
      <c r="G7" s="514"/>
      <c r="H7" s="515"/>
    </row>
    <row r="8" spans="1:8" ht="12.75" customHeight="1" x14ac:dyDescent="0.2">
      <c r="A8" s="641" t="str">
        <f>Presupuesto!A8</f>
        <v>ADECUACION DE LA INFRAESTRUCTURA DE LA PLANTA DE BENEFICIO ANIMAL MEDIANTE EL MEJORAMIENTO DE CUBIERTA EN EL MUNICIPIO DE SAN MIGUEL PUTUMAYO</v>
      </c>
      <c r="B8" s="642"/>
      <c r="C8" s="642"/>
      <c r="D8" s="642"/>
      <c r="E8" s="642"/>
      <c r="F8" s="642"/>
      <c r="G8" s="642"/>
      <c r="H8" s="643"/>
    </row>
    <row r="9" spans="1:8" ht="12.75" customHeight="1" x14ac:dyDescent="0.2">
      <c r="A9" s="641"/>
      <c r="B9" s="642"/>
      <c r="C9" s="642"/>
      <c r="D9" s="642"/>
      <c r="E9" s="642"/>
      <c r="F9" s="642"/>
      <c r="G9" s="642"/>
      <c r="H9" s="643"/>
    </row>
    <row r="10" spans="1:8" ht="12.75" customHeight="1" x14ac:dyDescent="0.2">
      <c r="A10" s="516"/>
      <c r="B10" s="517"/>
      <c r="C10" s="517"/>
      <c r="D10" s="517"/>
      <c r="E10" s="517"/>
      <c r="F10" s="517"/>
      <c r="G10" s="517"/>
      <c r="H10" s="518"/>
    </row>
    <row r="11" spans="1:8" ht="12.75" customHeight="1" x14ac:dyDescent="0.2">
      <c r="A11" s="647" t="s">
        <v>26</v>
      </c>
      <c r="B11" s="648"/>
      <c r="C11" s="648"/>
      <c r="D11" s="648"/>
      <c r="E11" s="648"/>
      <c r="F11" s="648"/>
      <c r="G11" s="648"/>
      <c r="H11" s="649"/>
    </row>
    <row r="12" spans="1:8" ht="12.75" customHeight="1" thickBot="1" x14ac:dyDescent="0.25">
      <c r="A12" s="528"/>
      <c r="B12" s="492"/>
      <c r="C12" s="492"/>
      <c r="D12" s="492"/>
      <c r="E12" s="492"/>
      <c r="F12" s="492"/>
      <c r="G12" s="492"/>
      <c r="H12" s="529"/>
    </row>
    <row r="13" spans="1:8" ht="12.75" customHeight="1" thickBot="1" x14ac:dyDescent="0.25">
      <c r="A13" s="525">
        <f>Presupuesto!A15</f>
        <v>1.1000000000000001</v>
      </c>
      <c r="B13" s="600" t="str">
        <f>Presupuesto!B15</f>
        <v>DESMONTE DE CUBIERTA EXISTENTE</v>
      </c>
      <c r="C13" s="601"/>
      <c r="D13" s="601"/>
      <c r="E13" s="601"/>
      <c r="F13" s="602"/>
      <c r="G13" s="462" t="s">
        <v>28</v>
      </c>
      <c r="H13" s="527" t="str">
        <f>Presupuesto!D15</f>
        <v>M2</v>
      </c>
    </row>
    <row r="14" spans="1:8" ht="12.75" customHeight="1" x14ac:dyDescent="0.2">
      <c r="A14" s="464"/>
      <c r="B14" s="519"/>
      <c r="C14" s="519"/>
      <c r="D14" s="519"/>
      <c r="E14" s="519"/>
      <c r="F14" s="519"/>
      <c r="G14" s="519"/>
      <c r="H14" s="456"/>
    </row>
    <row r="15" spans="1:8" ht="12.75" customHeight="1" x14ac:dyDescent="0.2">
      <c r="A15" s="465" t="s">
        <v>29</v>
      </c>
      <c r="B15" s="594" t="s">
        <v>30</v>
      </c>
      <c r="C15" s="595"/>
      <c r="D15" s="595"/>
      <c r="E15" s="595"/>
      <c r="F15" s="595"/>
      <c r="G15" s="596"/>
      <c r="H15" s="456"/>
    </row>
    <row r="16" spans="1:8" ht="12.75" customHeight="1" x14ac:dyDescent="0.2">
      <c r="A16" s="466"/>
      <c r="B16" s="603" t="s">
        <v>31</v>
      </c>
      <c r="C16" s="604"/>
      <c r="D16" s="466" t="s">
        <v>32</v>
      </c>
      <c r="E16" s="466" t="s">
        <v>33</v>
      </c>
      <c r="F16" s="466" t="s">
        <v>34</v>
      </c>
      <c r="G16" s="466" t="s">
        <v>35</v>
      </c>
      <c r="H16" s="456"/>
    </row>
    <row r="17" spans="1:8" ht="12.75" customHeight="1" x14ac:dyDescent="0.2">
      <c r="A17" s="467"/>
      <c r="B17" s="603" t="s">
        <v>67</v>
      </c>
      <c r="C17" s="604"/>
      <c r="D17" s="467"/>
      <c r="E17" s="468"/>
      <c r="F17" s="469">
        <v>0.1</v>
      </c>
      <c r="G17" s="470">
        <f>ROUND((H34*F17),2)</f>
        <v>300</v>
      </c>
      <c r="H17" s="456"/>
    </row>
    <row r="18" spans="1:8" ht="12.75" customHeight="1" x14ac:dyDescent="0.2">
      <c r="A18" s="467"/>
      <c r="B18" s="603" t="s">
        <v>260</v>
      </c>
      <c r="C18" s="604"/>
      <c r="D18" s="467" t="s">
        <v>300</v>
      </c>
      <c r="E18" s="468">
        <v>5000</v>
      </c>
      <c r="F18" s="468">
        <v>3</v>
      </c>
      <c r="G18" s="468">
        <f>ROUND((E18*F18),2)</f>
        <v>15000</v>
      </c>
      <c r="H18" s="456"/>
    </row>
    <row r="19" spans="1:8" ht="12.75" customHeight="1" x14ac:dyDescent="0.2">
      <c r="A19" s="467"/>
      <c r="B19" s="603"/>
      <c r="C19" s="604"/>
      <c r="D19" s="467"/>
      <c r="E19" s="468"/>
      <c r="F19" s="468"/>
      <c r="G19" s="468"/>
      <c r="H19" s="456"/>
    </row>
    <row r="20" spans="1:8" ht="12.75" customHeight="1" x14ac:dyDescent="0.2">
      <c r="A20" s="471"/>
      <c r="B20" s="519"/>
      <c r="C20" s="519"/>
      <c r="D20" s="519"/>
      <c r="E20" s="520" t="s">
        <v>36</v>
      </c>
      <c r="F20" s="520"/>
      <c r="G20" s="520"/>
      <c r="H20" s="456">
        <f>SUM(G17:G19)</f>
        <v>15300</v>
      </c>
    </row>
    <row r="21" spans="1:8" ht="12.75" customHeight="1" x14ac:dyDescent="0.2">
      <c r="A21" s="465" t="s">
        <v>37</v>
      </c>
      <c r="B21" s="594" t="s">
        <v>38</v>
      </c>
      <c r="C21" s="595"/>
      <c r="D21" s="595"/>
      <c r="E21" s="595"/>
      <c r="F21" s="595"/>
      <c r="G21" s="596"/>
      <c r="H21" s="456"/>
    </row>
    <row r="22" spans="1:8" ht="12.75" customHeight="1" x14ac:dyDescent="0.2">
      <c r="A22" s="466"/>
      <c r="B22" s="603" t="s">
        <v>31</v>
      </c>
      <c r="C22" s="604"/>
      <c r="D22" s="467" t="s">
        <v>12</v>
      </c>
      <c r="E22" s="472" t="s">
        <v>39</v>
      </c>
      <c r="F22" s="472" t="s">
        <v>40</v>
      </c>
      <c r="G22" s="472" t="s">
        <v>35</v>
      </c>
      <c r="H22" s="456"/>
    </row>
    <row r="23" spans="1:8" ht="12.75" customHeight="1" x14ac:dyDescent="0.2">
      <c r="A23" s="467"/>
      <c r="B23" s="645"/>
      <c r="C23" s="646"/>
      <c r="D23" s="473"/>
      <c r="E23" s="474"/>
      <c r="F23" s="475"/>
      <c r="G23" s="468">
        <f>ROUND((E23*F23),2)</f>
        <v>0</v>
      </c>
      <c r="H23" s="456"/>
    </row>
    <row r="24" spans="1:8" ht="12.75" customHeight="1" x14ac:dyDescent="0.2">
      <c r="A24" s="467"/>
      <c r="B24" s="645"/>
      <c r="C24" s="646"/>
      <c r="D24" s="473"/>
      <c r="E24" s="473"/>
      <c r="F24" s="475"/>
      <c r="G24" s="468">
        <f>ROUND((E24*F24),2)</f>
        <v>0</v>
      </c>
      <c r="H24" s="456"/>
    </row>
    <row r="25" spans="1:8" ht="12.75" customHeight="1" x14ac:dyDescent="0.2">
      <c r="A25" s="467"/>
      <c r="B25" s="607"/>
      <c r="C25" s="608"/>
      <c r="D25" s="473"/>
      <c r="E25" s="476"/>
      <c r="F25" s="477"/>
      <c r="G25" s="468"/>
      <c r="H25" s="456"/>
    </row>
    <row r="26" spans="1:8" ht="12.75" customHeight="1" x14ac:dyDescent="0.2">
      <c r="A26" s="467"/>
      <c r="B26" s="607"/>
      <c r="C26" s="608"/>
      <c r="D26" s="474"/>
      <c r="E26" s="476"/>
      <c r="F26" s="477"/>
      <c r="G26" s="468"/>
      <c r="H26" s="456"/>
    </row>
    <row r="27" spans="1:8" ht="12.75" customHeight="1" x14ac:dyDescent="0.2">
      <c r="A27" s="467"/>
      <c r="B27" s="609"/>
      <c r="C27" s="610"/>
      <c r="D27" s="467"/>
      <c r="E27" s="468"/>
      <c r="F27" s="468"/>
      <c r="G27" s="468"/>
      <c r="H27" s="456"/>
    </row>
    <row r="28" spans="1:8" ht="12.75" customHeight="1" x14ac:dyDescent="0.2">
      <c r="A28" s="471" t="s">
        <v>41</v>
      </c>
      <c r="B28" s="519"/>
      <c r="C28" s="519"/>
      <c r="D28" s="519"/>
      <c r="E28" s="520" t="s">
        <v>42</v>
      </c>
      <c r="F28" s="520"/>
      <c r="G28" s="520"/>
      <c r="H28" s="456">
        <f>(SUM(G23:G26))</f>
        <v>0</v>
      </c>
    </row>
    <row r="29" spans="1:8" ht="12.75" customHeight="1" x14ac:dyDescent="0.2">
      <c r="A29" s="465" t="s">
        <v>43</v>
      </c>
      <c r="B29" s="594" t="s">
        <v>44</v>
      </c>
      <c r="C29" s="595"/>
      <c r="D29" s="595"/>
      <c r="E29" s="595"/>
      <c r="F29" s="595"/>
      <c r="G29" s="596"/>
      <c r="H29" s="456"/>
    </row>
    <row r="30" spans="1:8" ht="12.75" customHeight="1" x14ac:dyDescent="0.2">
      <c r="A30" s="467" t="s">
        <v>45</v>
      </c>
      <c r="B30" s="466" t="s">
        <v>31</v>
      </c>
      <c r="C30" s="466" t="s">
        <v>46</v>
      </c>
      <c r="D30" s="466" t="s">
        <v>47</v>
      </c>
      <c r="E30" s="472" t="s">
        <v>48</v>
      </c>
      <c r="F30" s="468" t="s">
        <v>34</v>
      </c>
      <c r="G30" s="468" t="s">
        <v>35</v>
      </c>
      <c r="H30" s="456"/>
    </row>
    <row r="31" spans="1:8" ht="12.75" customHeight="1" x14ac:dyDescent="0.2">
      <c r="A31" s="467">
        <v>2</v>
      </c>
      <c r="B31" s="467" t="s">
        <v>188</v>
      </c>
      <c r="C31" s="478">
        <v>60000</v>
      </c>
      <c r="D31" s="479">
        <v>0.75</v>
      </c>
      <c r="E31" s="480">
        <f>+(A31*C31)+(A31*C31*D31)</f>
        <v>210000</v>
      </c>
      <c r="F31" s="481">
        <v>70</v>
      </c>
      <c r="G31" s="470">
        <f>ROUND(((E31)/(F31)),2)</f>
        <v>3000</v>
      </c>
      <c r="H31" s="456"/>
    </row>
    <row r="32" spans="1:8" ht="12.75" customHeight="1" x14ac:dyDescent="0.2">
      <c r="A32" s="467"/>
      <c r="B32" s="467"/>
      <c r="C32" s="478"/>
      <c r="D32" s="479"/>
      <c r="E32" s="480"/>
      <c r="F32" s="481"/>
      <c r="G32" s="470"/>
      <c r="H32" s="456"/>
    </row>
    <row r="33" spans="1:8" ht="12.75" customHeight="1" x14ac:dyDescent="0.2">
      <c r="A33" s="467"/>
      <c r="B33" s="467"/>
      <c r="C33" s="467"/>
      <c r="D33" s="467"/>
      <c r="E33" s="468"/>
      <c r="F33" s="468"/>
      <c r="G33" s="468"/>
      <c r="H33" s="456"/>
    </row>
    <row r="34" spans="1:8" ht="12.75" customHeight="1" x14ac:dyDescent="0.2">
      <c r="A34" s="471"/>
      <c r="B34" s="519"/>
      <c r="C34" s="519"/>
      <c r="D34" s="519"/>
      <c r="E34" s="520" t="s">
        <v>50</v>
      </c>
      <c r="F34" s="520"/>
      <c r="G34" s="520"/>
      <c r="H34" s="456">
        <f>SUM(G31)+(G32)</f>
        <v>3000</v>
      </c>
    </row>
    <row r="35" spans="1:8" ht="12.75" customHeight="1" x14ac:dyDescent="0.2">
      <c r="A35" s="465" t="s">
        <v>51</v>
      </c>
      <c r="B35" s="594" t="s">
        <v>18</v>
      </c>
      <c r="C35" s="595"/>
      <c r="D35" s="595"/>
      <c r="E35" s="595"/>
      <c r="F35" s="595"/>
      <c r="G35" s="596"/>
      <c r="H35" s="456"/>
    </row>
    <row r="36" spans="1:8" ht="12.75" customHeight="1" x14ac:dyDescent="0.2">
      <c r="A36" s="467"/>
      <c r="B36" s="467" t="s">
        <v>31</v>
      </c>
      <c r="C36" s="466" t="s">
        <v>12</v>
      </c>
      <c r="D36" s="466" t="s">
        <v>13</v>
      </c>
      <c r="E36" s="466" t="s">
        <v>52</v>
      </c>
      <c r="F36" s="466"/>
      <c r="G36" s="468" t="s">
        <v>53</v>
      </c>
      <c r="H36" s="456"/>
    </row>
    <row r="37" spans="1:8" ht="12.75" customHeight="1" x14ac:dyDescent="0.2">
      <c r="A37" s="467"/>
      <c r="B37" s="467"/>
      <c r="C37" s="482"/>
      <c r="D37" s="467"/>
      <c r="E37" s="468"/>
      <c r="F37" s="468"/>
      <c r="G37" s="468"/>
      <c r="H37" s="456"/>
    </row>
    <row r="38" spans="1:8" ht="12.75" customHeight="1" x14ac:dyDescent="0.2">
      <c r="A38" s="467"/>
      <c r="B38" s="467"/>
      <c r="C38" s="480"/>
      <c r="D38" s="467"/>
      <c r="E38" s="468"/>
      <c r="F38" s="468"/>
      <c r="G38" s="468"/>
      <c r="H38" s="456"/>
    </row>
    <row r="39" spans="1:8" ht="12.75" customHeight="1" x14ac:dyDescent="0.2">
      <c r="A39" s="467"/>
      <c r="B39" s="467"/>
      <c r="C39" s="467"/>
      <c r="D39" s="467"/>
      <c r="E39" s="468"/>
      <c r="F39" s="468"/>
      <c r="G39" s="468"/>
      <c r="H39" s="456"/>
    </row>
    <row r="40" spans="1:8" ht="12.75" customHeight="1" x14ac:dyDescent="0.2">
      <c r="A40" s="471"/>
      <c r="B40" s="519"/>
      <c r="C40" s="519"/>
      <c r="D40" s="519"/>
      <c r="E40" s="520" t="s">
        <v>50</v>
      </c>
      <c r="F40" s="520"/>
      <c r="G40" s="520"/>
      <c r="H40" s="456">
        <f>ROUND(SUM(G37)+(G38),0)</f>
        <v>0</v>
      </c>
    </row>
    <row r="41" spans="1:8" ht="12.75" customHeight="1" x14ac:dyDescent="0.2">
      <c r="A41" s="464"/>
      <c r="B41" s="519"/>
      <c r="C41" s="519"/>
      <c r="D41" s="519"/>
      <c r="E41" s="520"/>
      <c r="F41" s="520"/>
      <c r="G41" s="520"/>
      <c r="H41" s="456"/>
    </row>
    <row r="42" spans="1:8" ht="12.75" customHeight="1" x14ac:dyDescent="0.2">
      <c r="A42" s="464"/>
      <c r="B42" s="519"/>
      <c r="C42" s="519"/>
      <c r="D42" s="521" t="s">
        <v>54</v>
      </c>
      <c r="E42" s="522"/>
      <c r="F42" s="522"/>
      <c r="G42" s="522"/>
      <c r="H42" s="456">
        <f>ROUND((SUM(H20:H41)),2)</f>
        <v>18300</v>
      </c>
    </row>
    <row r="43" spans="1:8" ht="12.75" customHeight="1" x14ac:dyDescent="0.2">
      <c r="A43" s="464"/>
      <c r="B43" s="519"/>
      <c r="C43" s="519"/>
      <c r="D43" s="519"/>
      <c r="E43" s="520"/>
      <c r="F43" s="520"/>
      <c r="G43" s="520"/>
      <c r="H43" s="456"/>
    </row>
    <row r="44" spans="1:8" ht="12.75" customHeight="1" x14ac:dyDescent="0.2">
      <c r="A44" s="465" t="s">
        <v>55</v>
      </c>
      <c r="B44" s="594" t="s">
        <v>56</v>
      </c>
      <c r="C44" s="595"/>
      <c r="D44" s="595"/>
      <c r="E44" s="595"/>
      <c r="F44" s="595"/>
      <c r="G44" s="596"/>
      <c r="H44" s="456"/>
    </row>
    <row r="45" spans="1:8" ht="12.75" customHeight="1" x14ac:dyDescent="0.2">
      <c r="A45" s="466"/>
      <c r="B45" s="466" t="s">
        <v>31</v>
      </c>
      <c r="C45" s="466" t="s">
        <v>57</v>
      </c>
      <c r="D45" s="467" t="s">
        <v>58</v>
      </c>
      <c r="E45" s="468"/>
      <c r="F45" s="468" t="s">
        <v>59</v>
      </c>
      <c r="G45" s="468"/>
      <c r="H45" s="456"/>
    </row>
    <row r="46" spans="1:8" ht="12.75" customHeight="1" x14ac:dyDescent="0.2">
      <c r="A46" s="467"/>
      <c r="B46" s="466" t="s">
        <v>60</v>
      </c>
      <c r="C46" s="479">
        <v>0.27</v>
      </c>
      <c r="D46" s="467"/>
      <c r="E46" s="480"/>
      <c r="F46" s="467"/>
      <c r="G46" s="470">
        <f>ROUND((H42*C46),2)</f>
        <v>4941</v>
      </c>
      <c r="H46" s="456"/>
    </row>
    <row r="47" spans="1:8" ht="12.75" customHeight="1" x14ac:dyDescent="0.2">
      <c r="A47" s="467"/>
      <c r="B47" s="466" t="s">
        <v>61</v>
      </c>
      <c r="C47" s="479">
        <v>0.02</v>
      </c>
      <c r="D47" s="467"/>
      <c r="E47" s="480"/>
      <c r="F47" s="467"/>
      <c r="G47" s="470">
        <f>ROUND((H42*C47),2)</f>
        <v>366</v>
      </c>
      <c r="H47" s="456"/>
    </row>
    <row r="48" spans="1:8" ht="12.75" customHeight="1" x14ac:dyDescent="0.2">
      <c r="A48" s="467"/>
      <c r="B48" s="466" t="s">
        <v>62</v>
      </c>
      <c r="C48" s="479">
        <v>0.03</v>
      </c>
      <c r="D48" s="467"/>
      <c r="E48" s="480"/>
      <c r="F48" s="467"/>
      <c r="G48" s="470">
        <f>ROUND((H42*C48),2)</f>
        <v>549</v>
      </c>
      <c r="H48" s="456"/>
    </row>
    <row r="49" spans="1:27" ht="12.75" customHeight="1" x14ac:dyDescent="0.2">
      <c r="A49" s="464"/>
      <c r="B49" s="519"/>
      <c r="C49" s="519"/>
      <c r="D49" s="521" t="s">
        <v>63</v>
      </c>
      <c r="E49" s="522"/>
      <c r="F49" s="522"/>
      <c r="G49" s="522"/>
      <c r="H49" s="456">
        <f>SUM(G45:G48)</f>
        <v>5856</v>
      </c>
    </row>
    <row r="50" spans="1:27" ht="12.75" customHeight="1" x14ac:dyDescent="0.2">
      <c r="A50" s="464"/>
      <c r="B50" s="519"/>
      <c r="C50" s="519"/>
      <c r="D50" s="519"/>
      <c r="E50" s="520"/>
      <c r="F50" s="520"/>
      <c r="G50" s="520"/>
      <c r="H50" s="456"/>
    </row>
    <row r="51" spans="1:27" ht="12.75" customHeight="1" x14ac:dyDescent="0.2">
      <c r="A51" s="464"/>
      <c r="B51" s="519"/>
      <c r="C51" s="519"/>
      <c r="D51" s="521" t="s">
        <v>64</v>
      </c>
      <c r="E51" s="522"/>
      <c r="F51" s="522"/>
      <c r="G51" s="520"/>
      <c r="H51" s="456">
        <f>H42+H49</f>
        <v>24156</v>
      </c>
    </row>
    <row r="52" spans="1:27" ht="12.75" customHeight="1" x14ac:dyDescent="0.2">
      <c r="A52" s="464"/>
      <c r="B52" s="519"/>
      <c r="C52" s="519"/>
      <c r="D52" s="521"/>
      <c r="E52" s="522"/>
      <c r="F52" s="522"/>
      <c r="G52" s="520"/>
      <c r="H52" s="456"/>
    </row>
    <row r="53" spans="1:27" ht="12.75" customHeight="1" x14ac:dyDescent="0.2">
      <c r="A53" s="464"/>
      <c r="B53" s="519"/>
      <c r="C53" s="519"/>
      <c r="D53" s="519"/>
      <c r="E53" s="522"/>
      <c r="F53" s="522"/>
      <c r="G53" s="520"/>
      <c r="H53" s="456"/>
    </row>
    <row r="54" spans="1:27" ht="12.75" customHeight="1" x14ac:dyDescent="0.2">
      <c r="A54" s="464"/>
      <c r="B54" s="519"/>
      <c r="C54" s="519"/>
      <c r="D54" s="519"/>
      <c r="E54" s="421"/>
      <c r="F54" s="531"/>
      <c r="G54" s="520"/>
      <c r="H54" s="456"/>
    </row>
    <row r="55" spans="1:27" ht="12.75" customHeight="1" x14ac:dyDescent="0.2">
      <c r="A55" s="487" t="s">
        <v>316</v>
      </c>
      <c r="B55" s="523"/>
      <c r="C55" s="519"/>
      <c r="D55" s="519"/>
      <c r="E55" s="524" t="str">
        <f>Presupuesto!A34</f>
        <v>ARQ. GUILLERMO YAMID VALLEJOS BENAVIDES</v>
      </c>
      <c r="F55" s="523"/>
      <c r="G55" s="523"/>
      <c r="H55" s="456"/>
    </row>
    <row r="56" spans="1:27" ht="12.75" customHeight="1" x14ac:dyDescent="0.2">
      <c r="A56" s="464" t="s">
        <v>243</v>
      </c>
      <c r="B56" s="523"/>
      <c r="C56" s="519"/>
      <c r="D56" s="519"/>
      <c r="E56" s="523" t="str">
        <f>Presupuesto!A35</f>
        <v>SECRETARIO DE PLANEACION Y OBRAS PUBLICAS</v>
      </c>
      <c r="F56" s="523"/>
      <c r="G56" s="523"/>
      <c r="H56" s="456"/>
    </row>
    <row r="57" spans="1:27" ht="12.75" customHeight="1" x14ac:dyDescent="0.2">
      <c r="A57" s="526" t="s">
        <v>152</v>
      </c>
      <c r="B57" s="489"/>
      <c r="C57" s="485"/>
      <c r="D57" s="485"/>
      <c r="E57" s="489" t="str">
        <f>Presupuesto!A36</f>
        <v>SAN MIGUEL - PUTUMAYO</v>
      </c>
      <c r="F57" s="489"/>
      <c r="G57" s="489"/>
      <c r="H57" s="490"/>
    </row>
    <row r="58" spans="1:27" ht="12.75" customHeight="1" x14ac:dyDescent="0.2">
      <c r="A58" s="611"/>
      <c r="B58" s="612"/>
      <c r="C58" s="550" t="s">
        <v>223</v>
      </c>
      <c r="D58" s="617" t="s">
        <v>224</v>
      </c>
      <c r="E58" s="618"/>
      <c r="F58" s="417">
        <v>103</v>
      </c>
      <c r="G58" s="637"/>
      <c r="H58" s="637"/>
      <c r="Q58" s="242"/>
      <c r="R58" s="242"/>
      <c r="S58" s="242"/>
      <c r="T58" s="242"/>
      <c r="U58" s="242"/>
      <c r="V58" s="242"/>
      <c r="W58" s="242"/>
      <c r="X58" s="242"/>
      <c r="Y58" s="242"/>
      <c r="Z58" s="242"/>
      <c r="AA58" s="242"/>
    </row>
    <row r="59" spans="1:27" ht="12.75" customHeight="1" x14ac:dyDescent="0.2">
      <c r="A59" s="613"/>
      <c r="B59" s="614"/>
      <c r="C59" s="551"/>
      <c r="D59" s="563" t="s">
        <v>194</v>
      </c>
      <c r="E59" s="625"/>
      <c r="F59" s="627">
        <v>51</v>
      </c>
      <c r="G59" s="637"/>
      <c r="H59" s="637"/>
      <c r="Q59" s="242"/>
      <c r="R59" s="242"/>
      <c r="S59" s="242"/>
      <c r="T59" s="242"/>
      <c r="U59" s="242"/>
      <c r="V59" s="242"/>
      <c r="W59" s="242"/>
      <c r="X59" s="242"/>
      <c r="Y59" s="242"/>
      <c r="Z59" s="242"/>
      <c r="AA59" s="242"/>
    </row>
    <row r="60" spans="1:27" ht="12.75" customHeight="1" x14ac:dyDescent="0.2">
      <c r="A60" s="613"/>
      <c r="B60" s="614"/>
      <c r="C60" s="415" t="s">
        <v>195</v>
      </c>
      <c r="D60" s="565"/>
      <c r="E60" s="626"/>
      <c r="F60" s="628"/>
      <c r="G60" s="637"/>
      <c r="H60" s="637"/>
      <c r="Q60" s="242"/>
      <c r="R60" s="242"/>
      <c r="S60" s="242"/>
      <c r="T60" s="242"/>
      <c r="U60" s="242"/>
      <c r="V60" s="242"/>
      <c r="W60" s="242"/>
      <c r="X60" s="242"/>
      <c r="Y60" s="242"/>
      <c r="Z60" s="242"/>
      <c r="AA60" s="242"/>
    </row>
    <row r="61" spans="1:27" ht="12.75" customHeight="1" x14ac:dyDescent="0.2">
      <c r="A61" s="613"/>
      <c r="B61" s="614"/>
      <c r="C61" s="275" t="s">
        <v>196</v>
      </c>
      <c r="D61" s="570" t="s">
        <v>197</v>
      </c>
      <c r="E61" s="629"/>
      <c r="F61" s="416">
        <v>1</v>
      </c>
      <c r="G61" s="637"/>
      <c r="H61" s="637"/>
      <c r="Q61" s="242"/>
      <c r="R61" s="242"/>
      <c r="S61" s="242"/>
      <c r="T61" s="242"/>
      <c r="U61" s="242"/>
      <c r="V61" s="242"/>
      <c r="W61" s="242"/>
      <c r="X61" s="242"/>
      <c r="Y61" s="242"/>
      <c r="Z61" s="242"/>
      <c r="AA61" s="242"/>
    </row>
    <row r="62" spans="1:27" ht="12.75" customHeight="1" x14ac:dyDescent="0.2">
      <c r="A62" s="613"/>
      <c r="B62" s="614"/>
      <c r="C62" s="630" t="s">
        <v>198</v>
      </c>
      <c r="D62" s="632" t="s">
        <v>199</v>
      </c>
      <c r="E62" s="633"/>
      <c r="F62" s="415" t="s">
        <v>200</v>
      </c>
      <c r="G62" s="637"/>
      <c r="H62" s="637"/>
      <c r="Q62" s="242"/>
      <c r="R62" s="242"/>
      <c r="S62" s="242"/>
      <c r="T62" s="242"/>
      <c r="U62" s="242"/>
      <c r="V62" s="242"/>
      <c r="W62" s="242"/>
      <c r="X62" s="242"/>
      <c r="Y62" s="242"/>
      <c r="Z62" s="242"/>
      <c r="AA62" s="242"/>
    </row>
    <row r="63" spans="1:27" ht="12.75" customHeight="1" x14ac:dyDescent="0.2">
      <c r="A63" s="615"/>
      <c r="B63" s="616"/>
      <c r="C63" s="631"/>
      <c r="D63" s="634"/>
      <c r="E63" s="635"/>
      <c r="F63" s="277">
        <v>44216</v>
      </c>
      <c r="G63" s="637"/>
      <c r="H63" s="637"/>
      <c r="Q63" s="242"/>
      <c r="R63" s="242"/>
      <c r="S63" s="242"/>
      <c r="T63" s="242"/>
      <c r="U63" s="242"/>
      <c r="V63" s="242"/>
      <c r="W63" s="242"/>
      <c r="X63" s="242"/>
      <c r="Y63" s="242"/>
      <c r="Z63" s="242"/>
      <c r="AA63" s="242"/>
    </row>
    <row r="64" spans="1:27" ht="12.75" customHeight="1" x14ac:dyDescent="0.2">
      <c r="A64" s="641"/>
      <c r="B64" s="644"/>
      <c r="C64" s="644"/>
      <c r="D64" s="644"/>
      <c r="E64" s="644"/>
      <c r="F64" s="644"/>
      <c r="G64" s="644"/>
      <c r="H64" s="643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</row>
    <row r="65" spans="1:27" ht="12.75" customHeight="1" x14ac:dyDescent="0.2">
      <c r="A65" s="641" t="str">
        <f>+Presupuesto!A8</f>
        <v>ADECUACION DE LA INFRAESTRUCTURA DE LA PLANTA DE BENEFICIO ANIMAL MEDIANTE EL MEJORAMIENTO DE CUBIERTA EN EL MUNICIPIO DE SAN MIGUEL PUTUMAYO</v>
      </c>
      <c r="B65" s="642"/>
      <c r="C65" s="642"/>
      <c r="D65" s="642"/>
      <c r="E65" s="642"/>
      <c r="F65" s="642"/>
      <c r="G65" s="642"/>
      <c r="H65" s="643"/>
      <c r="Q65" s="242"/>
      <c r="R65" s="242"/>
      <c r="S65" s="242"/>
      <c r="T65" s="242"/>
      <c r="U65" s="242"/>
      <c r="V65" s="242"/>
      <c r="W65" s="242"/>
      <c r="X65" s="242"/>
      <c r="Y65" s="242"/>
      <c r="Z65" s="242"/>
      <c r="AA65" s="242"/>
    </row>
    <row r="66" spans="1:27" ht="12.75" customHeight="1" x14ac:dyDescent="0.2">
      <c r="A66" s="641"/>
      <c r="B66" s="642"/>
      <c r="C66" s="642"/>
      <c r="D66" s="642"/>
      <c r="E66" s="642"/>
      <c r="F66" s="642"/>
      <c r="G66" s="642"/>
      <c r="H66" s="643"/>
      <c r="Q66" s="242"/>
      <c r="R66" s="242"/>
      <c r="S66" s="242"/>
      <c r="T66" s="242"/>
      <c r="U66" s="242"/>
      <c r="V66" s="242"/>
      <c r="W66" s="242"/>
      <c r="X66" s="242"/>
      <c r="Y66" s="242"/>
      <c r="Z66" s="242"/>
      <c r="AA66" s="242"/>
    </row>
    <row r="67" spans="1:27" ht="12.75" customHeight="1" thickBot="1" x14ac:dyDescent="0.25">
      <c r="A67" s="491"/>
      <c r="B67" s="492"/>
      <c r="C67" s="492"/>
      <c r="D67" s="492"/>
      <c r="E67" s="492"/>
      <c r="F67" s="492"/>
      <c r="G67" s="492"/>
      <c r="H67" s="493"/>
      <c r="Q67" s="242"/>
      <c r="R67" s="242"/>
      <c r="S67" s="242"/>
      <c r="T67" s="242"/>
      <c r="U67" s="242"/>
      <c r="V67" s="242"/>
      <c r="W67" s="242"/>
      <c r="X67" s="242"/>
      <c r="Y67" s="242"/>
      <c r="Z67" s="242"/>
      <c r="AA67" s="242"/>
    </row>
    <row r="68" spans="1:27" ht="12.75" customHeight="1" thickBot="1" x14ac:dyDescent="0.25">
      <c r="A68" s="638" t="s">
        <v>26</v>
      </c>
      <c r="B68" s="639"/>
      <c r="C68" s="639"/>
      <c r="D68" s="639"/>
      <c r="E68" s="639"/>
      <c r="F68" s="639"/>
      <c r="G68" s="639"/>
      <c r="H68" s="640"/>
      <c r="Q68" s="242"/>
      <c r="R68" s="242"/>
      <c r="S68" s="242"/>
      <c r="T68" s="242"/>
      <c r="U68" s="242"/>
      <c r="V68" s="242"/>
      <c r="W68" s="242"/>
      <c r="X68" s="242"/>
      <c r="Y68" s="242"/>
      <c r="Z68" s="242"/>
      <c r="AA68" s="242"/>
    </row>
    <row r="69" spans="1:27" ht="12.75" customHeight="1" thickBot="1" x14ac:dyDescent="0.25">
      <c r="A69" s="464"/>
      <c r="H69" s="456"/>
      <c r="Q69" s="242"/>
      <c r="R69" s="242"/>
      <c r="S69" s="242"/>
      <c r="T69" s="242"/>
      <c r="U69" s="242"/>
      <c r="V69" s="242"/>
      <c r="W69" s="242"/>
      <c r="X69" s="242"/>
      <c r="Y69" s="242"/>
      <c r="Z69" s="242"/>
      <c r="AA69" s="242"/>
    </row>
    <row r="70" spans="1:27" ht="12.75" customHeight="1" thickBot="1" x14ac:dyDescent="0.25">
      <c r="A70" s="461">
        <f>+Presupuesto!A16</f>
        <v>1.2</v>
      </c>
      <c r="B70" s="600" t="str">
        <f>+Presupuesto!B16</f>
        <v>RETIRO Y DISPOSICION DE MATERIAL SOBRANTE</v>
      </c>
      <c r="C70" s="601"/>
      <c r="D70" s="601"/>
      <c r="E70" s="601"/>
      <c r="F70" s="602"/>
      <c r="G70" s="462" t="s">
        <v>28</v>
      </c>
      <c r="H70" s="463" t="str">
        <f>+Presupuesto!D16</f>
        <v>M2</v>
      </c>
      <c r="Q70" s="242"/>
      <c r="R70" s="242"/>
      <c r="S70" s="242"/>
      <c r="T70" s="242"/>
      <c r="U70" s="242"/>
      <c r="V70" s="242"/>
      <c r="W70" s="242"/>
      <c r="X70" s="242"/>
      <c r="Y70" s="242"/>
      <c r="Z70" s="242"/>
      <c r="AA70" s="242"/>
    </row>
    <row r="71" spans="1:27" ht="12.75" customHeight="1" x14ac:dyDescent="0.2">
      <c r="A71" s="464"/>
      <c r="H71" s="456"/>
      <c r="Q71" s="242"/>
      <c r="R71" s="242"/>
      <c r="S71" s="242"/>
      <c r="T71" s="242"/>
      <c r="U71" s="242"/>
      <c r="V71" s="242"/>
      <c r="W71" s="242"/>
      <c r="X71" s="242"/>
      <c r="Y71" s="242"/>
      <c r="Z71" s="242"/>
      <c r="AA71" s="242"/>
    </row>
    <row r="72" spans="1:27" ht="12.75" customHeight="1" x14ac:dyDescent="0.2">
      <c r="A72" s="465" t="s">
        <v>29</v>
      </c>
      <c r="B72" s="636" t="s">
        <v>30</v>
      </c>
      <c r="C72" s="636"/>
      <c r="D72" s="636"/>
      <c r="E72" s="636"/>
      <c r="F72" s="636"/>
      <c r="G72" s="636"/>
      <c r="H72" s="456"/>
      <c r="Q72" s="242"/>
      <c r="R72" s="242"/>
      <c r="S72" s="242"/>
      <c r="T72" s="242"/>
      <c r="U72" s="242"/>
      <c r="V72" s="242"/>
      <c r="W72" s="242"/>
      <c r="X72" s="242"/>
      <c r="Y72" s="242"/>
      <c r="Z72" s="242"/>
      <c r="AA72" s="242"/>
    </row>
    <row r="73" spans="1:27" ht="12.75" customHeight="1" x14ac:dyDescent="0.2">
      <c r="A73" s="466"/>
      <c r="B73" s="603" t="s">
        <v>31</v>
      </c>
      <c r="C73" s="604"/>
      <c r="D73" s="466" t="s">
        <v>32</v>
      </c>
      <c r="E73" s="466" t="s">
        <v>33</v>
      </c>
      <c r="F73" s="466" t="s">
        <v>34</v>
      </c>
      <c r="G73" s="466" t="s">
        <v>35</v>
      </c>
      <c r="H73" s="456"/>
      <c r="Q73" s="242"/>
      <c r="R73" s="242"/>
      <c r="S73" s="242"/>
      <c r="T73" s="242"/>
      <c r="U73" s="242"/>
      <c r="V73" s="242"/>
      <c r="W73" s="242"/>
      <c r="X73" s="242"/>
      <c r="Y73" s="242"/>
      <c r="Z73" s="242"/>
      <c r="AA73" s="242"/>
    </row>
    <row r="74" spans="1:27" ht="12.75" customHeight="1" x14ac:dyDescent="0.2">
      <c r="A74" s="467"/>
      <c r="B74" s="605" t="s">
        <v>67</v>
      </c>
      <c r="C74" s="606"/>
      <c r="D74" s="467"/>
      <c r="E74" s="468"/>
      <c r="F74" s="468">
        <v>0.1</v>
      </c>
      <c r="G74" s="470">
        <f>ROUND((H91*F74),2)</f>
        <v>525</v>
      </c>
      <c r="H74" s="456"/>
      <c r="Q74" s="242"/>
      <c r="R74" s="242"/>
      <c r="S74" s="242"/>
      <c r="T74" s="242"/>
      <c r="U74" s="242"/>
      <c r="V74" s="242"/>
      <c r="W74" s="242"/>
      <c r="X74" s="242"/>
      <c r="Y74" s="242"/>
      <c r="Z74" s="242"/>
      <c r="AA74" s="242"/>
    </row>
    <row r="75" spans="1:27" ht="12.75" customHeight="1" x14ac:dyDescent="0.2">
      <c r="A75" s="467"/>
      <c r="B75" s="603"/>
      <c r="C75" s="604"/>
      <c r="D75" s="467"/>
      <c r="E75" s="468"/>
      <c r="F75" s="468"/>
      <c r="G75" s="468"/>
      <c r="H75" s="456"/>
    </row>
    <row r="76" spans="1:27" ht="12.75" customHeight="1" x14ac:dyDescent="0.2">
      <c r="A76" s="467"/>
      <c r="B76" s="603"/>
      <c r="C76" s="604"/>
      <c r="D76" s="467"/>
      <c r="E76" s="468"/>
      <c r="F76" s="468"/>
      <c r="G76" s="468"/>
      <c r="H76" s="456"/>
    </row>
    <row r="77" spans="1:27" ht="12.75" customHeight="1" x14ac:dyDescent="0.2">
      <c r="A77" s="471"/>
      <c r="E77" s="455" t="s">
        <v>36</v>
      </c>
      <c r="F77" s="455"/>
      <c r="G77" s="455"/>
      <c r="H77" s="456">
        <f>SUM(G74:G76)</f>
        <v>525</v>
      </c>
    </row>
    <row r="78" spans="1:27" ht="12.75" customHeight="1" x14ac:dyDescent="0.2">
      <c r="A78" s="465" t="s">
        <v>37</v>
      </c>
      <c r="B78" s="636" t="s">
        <v>38</v>
      </c>
      <c r="C78" s="636"/>
      <c r="D78" s="636"/>
      <c r="E78" s="636"/>
      <c r="F78" s="636"/>
      <c r="G78" s="636"/>
      <c r="H78" s="456"/>
    </row>
    <row r="79" spans="1:27" ht="12.75" customHeight="1" x14ac:dyDescent="0.2">
      <c r="A79" s="466"/>
      <c r="B79" s="603" t="s">
        <v>31</v>
      </c>
      <c r="C79" s="604"/>
      <c r="D79" s="467" t="s">
        <v>12</v>
      </c>
      <c r="E79" s="472" t="s">
        <v>39</v>
      </c>
      <c r="F79" s="472" t="s">
        <v>40</v>
      </c>
      <c r="G79" s="472" t="s">
        <v>35</v>
      </c>
      <c r="H79" s="456"/>
    </row>
    <row r="80" spans="1:27" ht="12.75" customHeight="1" x14ac:dyDescent="0.2">
      <c r="A80" s="467"/>
      <c r="B80" s="650"/>
      <c r="C80" s="651"/>
      <c r="D80" s="494"/>
      <c r="E80" s="495"/>
      <c r="F80" s="496"/>
      <c r="G80" s="468"/>
      <c r="H80" s="456"/>
    </row>
    <row r="81" spans="1:8" ht="12.75" customHeight="1" x14ac:dyDescent="0.2">
      <c r="A81" s="467"/>
      <c r="B81" s="605"/>
      <c r="C81" s="606"/>
      <c r="D81" s="466"/>
      <c r="E81" s="472"/>
      <c r="F81" s="497"/>
      <c r="G81" s="468"/>
      <c r="H81" s="456"/>
    </row>
    <row r="82" spans="1:8" ht="12.75" customHeight="1" x14ac:dyDescent="0.2">
      <c r="A82" s="467"/>
      <c r="B82" s="605"/>
      <c r="C82" s="606"/>
      <c r="D82" s="498"/>
      <c r="E82" s="472"/>
      <c r="F82" s="499"/>
      <c r="G82" s="468"/>
      <c r="H82" s="456"/>
    </row>
    <row r="83" spans="1:8" ht="12.75" customHeight="1" x14ac:dyDescent="0.2">
      <c r="A83" s="467"/>
      <c r="B83" s="605"/>
      <c r="C83" s="606"/>
      <c r="D83" s="498"/>
      <c r="E83" s="472"/>
      <c r="F83" s="499"/>
      <c r="G83" s="468"/>
      <c r="H83" s="456"/>
    </row>
    <row r="84" spans="1:8" ht="12.75" customHeight="1" x14ac:dyDescent="0.2">
      <c r="A84" s="467"/>
      <c r="B84" s="605"/>
      <c r="C84" s="606"/>
      <c r="D84" s="500"/>
      <c r="E84" s="472"/>
      <c r="F84" s="499"/>
      <c r="G84" s="468"/>
      <c r="H84" s="456"/>
    </row>
    <row r="85" spans="1:8" ht="12.75" customHeight="1" x14ac:dyDescent="0.2">
      <c r="A85" s="471" t="s">
        <v>41</v>
      </c>
      <c r="E85" s="455" t="s">
        <v>42</v>
      </c>
      <c r="F85" s="455"/>
      <c r="G85" s="455"/>
      <c r="H85" s="456">
        <f>(SUM(G80:G84))</f>
        <v>0</v>
      </c>
    </row>
    <row r="86" spans="1:8" ht="12.75" customHeight="1" x14ac:dyDescent="0.2">
      <c r="A86" s="465" t="s">
        <v>43</v>
      </c>
      <c r="B86" s="636" t="s">
        <v>44</v>
      </c>
      <c r="C86" s="636"/>
      <c r="D86" s="636"/>
      <c r="E86" s="636"/>
      <c r="F86" s="636"/>
      <c r="G86" s="636"/>
      <c r="H86" s="456"/>
    </row>
    <row r="87" spans="1:8" ht="12.75" customHeight="1" x14ac:dyDescent="0.2">
      <c r="A87" s="467" t="s">
        <v>45</v>
      </c>
      <c r="B87" s="466" t="s">
        <v>31</v>
      </c>
      <c r="C87" s="466" t="s">
        <v>46</v>
      </c>
      <c r="D87" s="466" t="s">
        <v>47</v>
      </c>
      <c r="E87" s="472" t="s">
        <v>48</v>
      </c>
      <c r="F87" s="468" t="s">
        <v>34</v>
      </c>
      <c r="G87" s="468" t="s">
        <v>35</v>
      </c>
      <c r="H87" s="456"/>
    </row>
    <row r="88" spans="1:8" ht="12.75" customHeight="1" x14ac:dyDescent="0.2">
      <c r="A88" s="467">
        <v>2</v>
      </c>
      <c r="B88" s="467" t="s">
        <v>188</v>
      </c>
      <c r="C88" s="478">
        <v>60000</v>
      </c>
      <c r="D88" s="479">
        <v>0.75</v>
      </c>
      <c r="E88" s="480">
        <f>+(A88*C88)+(A88*C88*D88)</f>
        <v>210000</v>
      </c>
      <c r="F88" s="501">
        <v>40</v>
      </c>
      <c r="G88" s="470">
        <f>ROUND(((E88)/(F88)),2)</f>
        <v>5250</v>
      </c>
      <c r="H88" s="456"/>
    </row>
    <row r="89" spans="1:8" ht="12.75" customHeight="1" x14ac:dyDescent="0.2">
      <c r="A89" s="467"/>
      <c r="B89" s="467"/>
      <c r="C89" s="478"/>
      <c r="D89" s="479"/>
      <c r="E89" s="480"/>
      <c r="F89" s="501"/>
      <c r="G89" s="470"/>
      <c r="H89" s="456"/>
    </row>
    <row r="90" spans="1:8" ht="12.75" customHeight="1" x14ac:dyDescent="0.2">
      <c r="A90" s="467"/>
      <c r="B90" s="467"/>
      <c r="C90" s="467"/>
      <c r="D90" s="467"/>
      <c r="E90" s="468"/>
      <c r="F90" s="468"/>
      <c r="G90" s="468"/>
      <c r="H90" s="456"/>
    </row>
    <row r="91" spans="1:8" ht="12.75" customHeight="1" x14ac:dyDescent="0.2">
      <c r="A91" s="471"/>
      <c r="E91" s="455" t="s">
        <v>50</v>
      </c>
      <c r="F91" s="455"/>
      <c r="G91" s="455"/>
      <c r="H91" s="456">
        <f>SUM(G88)+(G89)</f>
        <v>5250</v>
      </c>
    </row>
    <row r="92" spans="1:8" ht="12.75" customHeight="1" x14ac:dyDescent="0.2">
      <c r="A92" s="465" t="s">
        <v>51</v>
      </c>
      <c r="B92" s="636" t="s">
        <v>18</v>
      </c>
      <c r="C92" s="636"/>
      <c r="D92" s="636"/>
      <c r="E92" s="636"/>
      <c r="F92" s="636"/>
      <c r="G92" s="636"/>
      <c r="H92" s="456"/>
    </row>
    <row r="93" spans="1:8" ht="12.75" customHeight="1" x14ac:dyDescent="0.2">
      <c r="A93" s="467"/>
      <c r="B93" s="467" t="s">
        <v>31</v>
      </c>
      <c r="C93" s="466" t="s">
        <v>12</v>
      </c>
      <c r="D93" s="466" t="s">
        <v>13</v>
      </c>
      <c r="E93" s="466" t="s">
        <v>52</v>
      </c>
      <c r="F93" s="466"/>
      <c r="G93" s="468" t="s">
        <v>53</v>
      </c>
      <c r="H93" s="456"/>
    </row>
    <row r="94" spans="1:8" ht="12.75" customHeight="1" x14ac:dyDescent="0.2">
      <c r="A94" s="467"/>
      <c r="B94" s="482"/>
      <c r="C94" s="467"/>
      <c r="D94" s="457"/>
      <c r="E94" s="468"/>
      <c r="F94" s="468"/>
      <c r="G94" s="468"/>
      <c r="H94" s="456"/>
    </row>
    <row r="95" spans="1:8" ht="12.75" customHeight="1" x14ac:dyDescent="0.2">
      <c r="A95" s="467"/>
      <c r="B95" s="467"/>
      <c r="C95" s="480"/>
      <c r="D95" s="467"/>
      <c r="E95" s="468"/>
      <c r="F95" s="468"/>
      <c r="G95" s="468"/>
      <c r="H95" s="456"/>
    </row>
    <row r="96" spans="1:8" ht="12.75" customHeight="1" x14ac:dyDescent="0.2">
      <c r="A96" s="467"/>
      <c r="B96" s="467"/>
      <c r="C96" s="467"/>
      <c r="D96" s="467"/>
      <c r="E96" s="468"/>
      <c r="F96" s="468"/>
      <c r="G96" s="468"/>
      <c r="H96" s="456"/>
    </row>
    <row r="97" spans="1:8" ht="12.75" customHeight="1" x14ac:dyDescent="0.2">
      <c r="A97" s="471"/>
      <c r="E97" s="455" t="s">
        <v>50</v>
      </c>
      <c r="F97" s="455"/>
      <c r="G97" s="455"/>
      <c r="H97" s="456">
        <f>ROUND(SUM(G94)+(G95),0)</f>
        <v>0</v>
      </c>
    </row>
    <row r="98" spans="1:8" ht="12.75" customHeight="1" x14ac:dyDescent="0.2">
      <c r="A98" s="464"/>
      <c r="E98" s="455"/>
      <c r="F98" s="455"/>
      <c r="G98" s="455"/>
      <c r="H98" s="456"/>
    </row>
    <row r="99" spans="1:8" ht="12.75" customHeight="1" x14ac:dyDescent="0.2">
      <c r="A99" s="464"/>
      <c r="D99" s="483" t="s">
        <v>54</v>
      </c>
      <c r="E99" s="484"/>
      <c r="F99" s="484"/>
      <c r="G99" s="484"/>
      <c r="H99" s="456">
        <f>ROUND((SUM(H77:H98)),2)</f>
        <v>5775</v>
      </c>
    </row>
    <row r="100" spans="1:8" ht="12.75" customHeight="1" x14ac:dyDescent="0.2">
      <c r="A100" s="464"/>
      <c r="E100" s="455"/>
      <c r="F100" s="455"/>
      <c r="G100" s="455"/>
      <c r="H100" s="456"/>
    </row>
    <row r="101" spans="1:8" ht="12.75" customHeight="1" x14ac:dyDescent="0.2">
      <c r="A101" s="465" t="s">
        <v>55</v>
      </c>
      <c r="B101" s="636" t="s">
        <v>56</v>
      </c>
      <c r="C101" s="636"/>
      <c r="D101" s="636"/>
      <c r="E101" s="636"/>
      <c r="F101" s="636"/>
      <c r="G101" s="636"/>
      <c r="H101" s="456"/>
    </row>
    <row r="102" spans="1:8" ht="12.75" customHeight="1" x14ac:dyDescent="0.2">
      <c r="A102" s="466"/>
      <c r="B102" s="466" t="s">
        <v>31</v>
      </c>
      <c r="C102" s="466" t="s">
        <v>57</v>
      </c>
      <c r="D102" s="467" t="s">
        <v>58</v>
      </c>
      <c r="E102" s="468"/>
      <c r="F102" s="468" t="s">
        <v>59</v>
      </c>
      <c r="G102" s="468"/>
      <c r="H102" s="456"/>
    </row>
    <row r="103" spans="1:8" ht="12.75" customHeight="1" x14ac:dyDescent="0.2">
      <c r="A103" s="467"/>
      <c r="B103" s="466" t="s">
        <v>60</v>
      </c>
      <c r="C103" s="479">
        <v>0.27</v>
      </c>
      <c r="D103" s="467"/>
      <c r="E103" s="480"/>
      <c r="F103" s="467"/>
      <c r="G103" s="470">
        <f>ROUND((H99*C103),2)</f>
        <v>1559.25</v>
      </c>
      <c r="H103" s="456"/>
    </row>
    <row r="104" spans="1:8" ht="12.75" customHeight="1" x14ac:dyDescent="0.2">
      <c r="A104" s="467"/>
      <c r="B104" s="466" t="s">
        <v>61</v>
      </c>
      <c r="C104" s="479">
        <v>0.02</v>
      </c>
      <c r="D104" s="467"/>
      <c r="E104" s="480"/>
      <c r="F104" s="467"/>
      <c r="G104" s="470">
        <f>ROUND((H99*C104),2)</f>
        <v>115.5</v>
      </c>
      <c r="H104" s="456"/>
    </row>
    <row r="105" spans="1:8" ht="12.75" customHeight="1" x14ac:dyDescent="0.2">
      <c r="A105" s="467"/>
      <c r="B105" s="466" t="s">
        <v>62</v>
      </c>
      <c r="C105" s="479">
        <v>0.03</v>
      </c>
      <c r="D105" s="467"/>
      <c r="E105" s="480"/>
      <c r="F105" s="467"/>
      <c r="G105" s="470">
        <f>ROUND((H99*C105),2)</f>
        <v>173.25</v>
      </c>
      <c r="H105" s="456"/>
    </row>
    <row r="106" spans="1:8" ht="12.75" customHeight="1" x14ac:dyDescent="0.2">
      <c r="A106" s="464"/>
      <c r="D106" s="483" t="s">
        <v>63</v>
      </c>
      <c r="E106" s="484"/>
      <c r="F106" s="484"/>
      <c r="G106" s="484"/>
      <c r="H106" s="456">
        <f>SUM(G102:G105)</f>
        <v>1848</v>
      </c>
    </row>
    <row r="107" spans="1:8" ht="12.75" customHeight="1" x14ac:dyDescent="0.2">
      <c r="A107" s="464"/>
      <c r="E107" s="455"/>
      <c r="F107" s="455"/>
      <c r="G107" s="455"/>
      <c r="H107" s="456"/>
    </row>
    <row r="108" spans="1:8" ht="12.75" customHeight="1" x14ac:dyDescent="0.2">
      <c r="A108" s="464"/>
      <c r="D108" s="483" t="s">
        <v>64</v>
      </c>
      <c r="E108" s="484"/>
      <c r="F108" s="484"/>
      <c r="G108" s="455"/>
      <c r="H108" s="456">
        <f>H99+H106</f>
        <v>7623</v>
      </c>
    </row>
    <row r="109" spans="1:8" ht="12.75" customHeight="1" x14ac:dyDescent="0.2">
      <c r="A109" s="464"/>
      <c r="D109" s="483"/>
      <c r="E109" s="484"/>
      <c r="F109" s="484"/>
      <c r="G109" s="455"/>
      <c r="H109" s="456"/>
    </row>
    <row r="110" spans="1:8" ht="12.75" customHeight="1" x14ac:dyDescent="0.2">
      <c r="A110" s="464"/>
      <c r="B110" s="519"/>
      <c r="E110" s="421"/>
      <c r="F110" s="531"/>
      <c r="G110" s="520"/>
      <c r="H110" s="456"/>
    </row>
    <row r="111" spans="1:8" ht="12.75" customHeight="1" x14ac:dyDescent="0.2">
      <c r="A111" s="487" t="str">
        <f>A55</f>
        <v>ING ELEAZAR MASAH MORA ALDANA</v>
      </c>
      <c r="B111" s="523"/>
      <c r="C111" s="519"/>
      <c r="E111" s="522" t="str">
        <f>Presupuesto!A34</f>
        <v>ARQ. GUILLERMO YAMID VALLEJOS BENAVIDES</v>
      </c>
      <c r="F111" s="520"/>
      <c r="G111" s="520"/>
      <c r="H111" s="456"/>
    </row>
    <row r="112" spans="1:8" ht="12.75" customHeight="1" x14ac:dyDescent="0.2">
      <c r="A112" s="488" t="str">
        <f>A56</f>
        <v>APOYO PROFESIONAL SPOPM</v>
      </c>
      <c r="B112" s="454"/>
      <c r="E112" s="455" t="str">
        <f>Presupuesto!A35</f>
        <v>SECRETARIO DE PLANEACION Y OBRAS PUBLICAS</v>
      </c>
      <c r="F112" s="455"/>
      <c r="G112" s="455"/>
      <c r="H112" s="456"/>
    </row>
    <row r="113" spans="1:8" ht="12.75" customHeight="1" x14ac:dyDescent="0.2">
      <c r="A113" s="526" t="str">
        <f>A57</f>
        <v>SAN MIGUEL - PUTUMAYO</v>
      </c>
      <c r="B113" s="489"/>
      <c r="C113" s="485"/>
      <c r="D113" s="485"/>
      <c r="E113" s="486" t="str">
        <f>Presupuesto!A36</f>
        <v>SAN MIGUEL - PUTUMAYO</v>
      </c>
      <c r="F113" s="486"/>
      <c r="G113" s="486"/>
      <c r="H113" s="490"/>
    </row>
    <row r="114" spans="1:8" ht="12.75" customHeight="1" x14ac:dyDescent="0.2">
      <c r="A114" s="611"/>
      <c r="B114" s="612"/>
      <c r="C114" s="550" t="s">
        <v>223</v>
      </c>
      <c r="D114" s="617" t="s">
        <v>224</v>
      </c>
      <c r="E114" s="618"/>
      <c r="F114" s="417">
        <v>103</v>
      </c>
      <c r="G114" s="619"/>
      <c r="H114" s="620"/>
    </row>
    <row r="115" spans="1:8" ht="12.75" customHeight="1" x14ac:dyDescent="0.2">
      <c r="A115" s="613"/>
      <c r="B115" s="614"/>
      <c r="C115" s="551"/>
      <c r="D115" s="563" t="s">
        <v>194</v>
      </c>
      <c r="E115" s="625"/>
      <c r="F115" s="627">
        <v>51</v>
      </c>
      <c r="G115" s="621"/>
      <c r="H115" s="622"/>
    </row>
    <row r="116" spans="1:8" ht="12.75" customHeight="1" x14ac:dyDescent="0.2">
      <c r="A116" s="613"/>
      <c r="B116" s="614"/>
      <c r="C116" s="415" t="s">
        <v>195</v>
      </c>
      <c r="D116" s="565"/>
      <c r="E116" s="626"/>
      <c r="F116" s="628"/>
      <c r="G116" s="621"/>
      <c r="H116" s="622"/>
    </row>
    <row r="117" spans="1:8" ht="12.75" customHeight="1" x14ac:dyDescent="0.2">
      <c r="A117" s="613"/>
      <c r="B117" s="614"/>
      <c r="C117" s="275" t="s">
        <v>196</v>
      </c>
      <c r="D117" s="570" t="s">
        <v>197</v>
      </c>
      <c r="E117" s="629"/>
      <c r="F117" s="416">
        <v>1</v>
      </c>
      <c r="G117" s="621"/>
      <c r="H117" s="622"/>
    </row>
    <row r="118" spans="1:8" ht="12.75" customHeight="1" x14ac:dyDescent="0.2">
      <c r="A118" s="613"/>
      <c r="B118" s="614"/>
      <c r="C118" s="630" t="s">
        <v>198</v>
      </c>
      <c r="D118" s="632" t="s">
        <v>199</v>
      </c>
      <c r="E118" s="633"/>
      <c r="F118" s="415" t="s">
        <v>200</v>
      </c>
      <c r="G118" s="621"/>
      <c r="H118" s="622"/>
    </row>
    <row r="119" spans="1:8" ht="12.75" customHeight="1" x14ac:dyDescent="0.2">
      <c r="A119" s="615"/>
      <c r="B119" s="616"/>
      <c r="C119" s="631"/>
      <c r="D119" s="634"/>
      <c r="E119" s="635"/>
      <c r="F119" s="277">
        <v>44216</v>
      </c>
      <c r="G119" s="623"/>
      <c r="H119" s="624"/>
    </row>
    <row r="120" spans="1:8" ht="12.75" customHeight="1" x14ac:dyDescent="0.2">
      <c r="A120" s="597"/>
      <c r="B120" s="598"/>
      <c r="C120" s="598"/>
      <c r="D120" s="598"/>
      <c r="E120" s="598"/>
      <c r="F120" s="598"/>
      <c r="G120" s="598"/>
      <c r="H120" s="599"/>
    </row>
    <row r="121" spans="1:8" ht="12.75" customHeight="1" x14ac:dyDescent="0.2">
      <c r="A121" s="641" t="str">
        <f>+Presupuesto!A8</f>
        <v>ADECUACION DE LA INFRAESTRUCTURA DE LA PLANTA DE BENEFICIO ANIMAL MEDIANTE EL MEJORAMIENTO DE CUBIERTA EN EL MUNICIPIO DE SAN MIGUEL PUTUMAYO</v>
      </c>
      <c r="B121" s="642"/>
      <c r="C121" s="642"/>
      <c r="D121" s="642"/>
      <c r="E121" s="642"/>
      <c r="F121" s="642"/>
      <c r="G121" s="642"/>
      <c r="H121" s="643"/>
    </row>
    <row r="122" spans="1:8" ht="12.75" customHeight="1" x14ac:dyDescent="0.2">
      <c r="A122" s="641"/>
      <c r="B122" s="642"/>
      <c r="C122" s="642"/>
      <c r="D122" s="642"/>
      <c r="E122" s="642"/>
      <c r="F122" s="642"/>
      <c r="G122" s="642"/>
      <c r="H122" s="643"/>
    </row>
    <row r="123" spans="1:8" ht="12.75" customHeight="1" thickBot="1" x14ac:dyDescent="0.25">
      <c r="A123" s="516"/>
      <c r="B123" s="517"/>
      <c r="C123" s="517"/>
      <c r="D123" s="517"/>
      <c r="E123" s="517"/>
      <c r="F123" s="517"/>
      <c r="G123" s="517"/>
      <c r="H123" s="518"/>
    </row>
    <row r="124" spans="1:8" ht="12.75" customHeight="1" thickBot="1" x14ac:dyDescent="0.25">
      <c r="A124" s="638" t="s">
        <v>26</v>
      </c>
      <c r="B124" s="639"/>
      <c r="C124" s="639"/>
      <c r="D124" s="639"/>
      <c r="E124" s="639"/>
      <c r="F124" s="639"/>
      <c r="G124" s="639"/>
      <c r="H124" s="640"/>
    </row>
    <row r="125" spans="1:8" ht="12.75" customHeight="1" thickBot="1" x14ac:dyDescent="0.25">
      <c r="A125" s="528"/>
      <c r="B125" s="492"/>
      <c r="C125" s="492"/>
      <c r="D125" s="492"/>
      <c r="E125" s="492"/>
      <c r="F125" s="492"/>
      <c r="G125" s="492"/>
      <c r="H125" s="529"/>
    </row>
    <row r="126" spans="1:8" ht="12.75" customHeight="1" thickBot="1" x14ac:dyDescent="0.25">
      <c r="A126" s="461">
        <f>Presupuesto!A19</f>
        <v>2.1</v>
      </c>
      <c r="B126" s="600" t="str">
        <f>Presupuesto!B19</f>
        <v xml:space="preserve">SUMINISTRO, PINTURA E INSTALACION DE CORREAS </v>
      </c>
      <c r="C126" s="601"/>
      <c r="D126" s="601"/>
      <c r="E126" s="601"/>
      <c r="F126" s="602"/>
      <c r="G126" s="462" t="s">
        <v>28</v>
      </c>
      <c r="H126" s="503" t="str">
        <f>Presupuesto!D19</f>
        <v>ML</v>
      </c>
    </row>
    <row r="127" spans="1:8" ht="12.75" customHeight="1" x14ac:dyDescent="0.2">
      <c r="A127" s="464"/>
      <c r="H127" s="504"/>
    </row>
    <row r="128" spans="1:8" ht="12.75" customHeight="1" x14ac:dyDescent="0.2">
      <c r="A128" s="465" t="s">
        <v>29</v>
      </c>
      <c r="B128" s="594" t="s">
        <v>30</v>
      </c>
      <c r="C128" s="595"/>
      <c r="D128" s="595"/>
      <c r="E128" s="595"/>
      <c r="F128" s="595"/>
      <c r="G128" s="596"/>
      <c r="H128" s="504"/>
    </row>
    <row r="129" spans="1:8" ht="12.75" customHeight="1" x14ac:dyDescent="0.2">
      <c r="A129" s="466"/>
      <c r="B129" s="603" t="s">
        <v>31</v>
      </c>
      <c r="C129" s="604"/>
      <c r="D129" s="466" t="s">
        <v>32</v>
      </c>
      <c r="E129" s="466" t="s">
        <v>33</v>
      </c>
      <c r="F129" s="466" t="s">
        <v>34</v>
      </c>
      <c r="G129" s="466" t="s">
        <v>35</v>
      </c>
      <c r="H129" s="504"/>
    </row>
    <row r="130" spans="1:8" ht="12.75" customHeight="1" x14ac:dyDescent="0.2">
      <c r="A130" s="467"/>
      <c r="B130" s="603" t="s">
        <v>290</v>
      </c>
      <c r="C130" s="604"/>
      <c r="D130" s="467"/>
      <c r="E130" s="468"/>
      <c r="F130" s="468">
        <v>0.1</v>
      </c>
      <c r="G130" s="470">
        <f>H147*F130</f>
        <v>5129.310344827587</v>
      </c>
      <c r="H130" s="505"/>
    </row>
    <row r="131" spans="1:8" ht="12.75" customHeight="1" x14ac:dyDescent="0.2">
      <c r="A131" s="467"/>
      <c r="B131" s="605" t="s">
        <v>263</v>
      </c>
      <c r="C131" s="606"/>
      <c r="D131" s="467" t="s">
        <v>300</v>
      </c>
      <c r="E131" s="468">
        <v>5000</v>
      </c>
      <c r="F131" s="468">
        <v>0.15</v>
      </c>
      <c r="G131" s="468">
        <f>E131*F131</f>
        <v>750</v>
      </c>
      <c r="H131" s="505"/>
    </row>
    <row r="132" spans="1:8" ht="12.75" customHeight="1" x14ac:dyDescent="0.2">
      <c r="A132" s="471"/>
      <c r="E132" s="455" t="s">
        <v>36</v>
      </c>
      <c r="F132" s="455"/>
      <c r="G132" s="455"/>
      <c r="H132" s="506">
        <f>SUM(G130:G131)</f>
        <v>5879.310344827587</v>
      </c>
    </row>
    <row r="133" spans="1:8" ht="12.75" customHeight="1" x14ac:dyDescent="0.2">
      <c r="A133" s="465" t="s">
        <v>37</v>
      </c>
      <c r="B133" s="594" t="s">
        <v>38</v>
      </c>
      <c r="C133" s="595"/>
      <c r="D133" s="595"/>
      <c r="E133" s="595"/>
      <c r="F133" s="595"/>
      <c r="G133" s="596"/>
      <c r="H133" s="507"/>
    </row>
    <row r="134" spans="1:8" ht="12.75" customHeight="1" x14ac:dyDescent="0.2">
      <c r="A134" s="466"/>
      <c r="B134" s="603" t="s">
        <v>31</v>
      </c>
      <c r="C134" s="604"/>
      <c r="D134" s="467" t="s">
        <v>12</v>
      </c>
      <c r="E134" s="472" t="s">
        <v>39</v>
      </c>
      <c r="F134" s="472" t="s">
        <v>40</v>
      </c>
      <c r="G134" s="472" t="s">
        <v>35</v>
      </c>
      <c r="H134" s="507"/>
    </row>
    <row r="135" spans="1:8" ht="12.75" customHeight="1" x14ac:dyDescent="0.2">
      <c r="A135" s="467"/>
      <c r="B135" s="607" t="s">
        <v>310</v>
      </c>
      <c r="C135" s="608"/>
      <c r="D135" s="508" t="s">
        <v>299</v>
      </c>
      <c r="E135" s="468">
        <v>0.02</v>
      </c>
      <c r="F135" s="468">
        <v>85000</v>
      </c>
      <c r="G135" s="468">
        <f>E135*F135</f>
        <v>1700</v>
      </c>
      <c r="H135" s="507"/>
    </row>
    <row r="136" spans="1:8" ht="12.75" customHeight="1" x14ac:dyDescent="0.2">
      <c r="A136" s="467"/>
      <c r="B136" s="607" t="s">
        <v>298</v>
      </c>
      <c r="C136" s="608"/>
      <c r="D136" s="509" t="s">
        <v>299</v>
      </c>
      <c r="E136" s="510">
        <v>5.0000000000000001E-3</v>
      </c>
      <c r="F136" s="477">
        <v>30000</v>
      </c>
      <c r="G136" s="468">
        <f t="shared" ref="G136:G137" si="0">E136*F136</f>
        <v>150</v>
      </c>
      <c r="H136" s="507"/>
    </row>
    <row r="137" spans="1:8" ht="12.75" customHeight="1" x14ac:dyDescent="0.2">
      <c r="A137" s="467"/>
      <c r="B137" s="607" t="s">
        <v>309</v>
      </c>
      <c r="C137" s="608"/>
      <c r="D137" s="509" t="s">
        <v>75</v>
      </c>
      <c r="E137" s="510">
        <v>1</v>
      </c>
      <c r="F137" s="477">
        <v>12000</v>
      </c>
      <c r="G137" s="468">
        <f t="shared" si="0"/>
        <v>12000</v>
      </c>
      <c r="H137" s="507"/>
    </row>
    <row r="138" spans="1:8" ht="12.75" customHeight="1" x14ac:dyDescent="0.2">
      <c r="A138" s="467"/>
      <c r="B138" s="607" t="s">
        <v>296</v>
      </c>
      <c r="C138" s="608"/>
      <c r="D138" s="508" t="s">
        <v>301</v>
      </c>
      <c r="E138" s="468">
        <v>0.01</v>
      </c>
      <c r="F138" s="468">
        <v>9000</v>
      </c>
      <c r="G138" s="468">
        <f>ROUND((E138*F138),0)</f>
        <v>90</v>
      </c>
      <c r="H138" s="507"/>
    </row>
    <row r="139" spans="1:8" ht="12.75" customHeight="1" x14ac:dyDescent="0.2">
      <c r="A139" s="467"/>
      <c r="B139" s="607" t="s">
        <v>297</v>
      </c>
      <c r="C139" s="608"/>
      <c r="D139" s="508" t="s">
        <v>289</v>
      </c>
      <c r="E139" s="508">
        <v>0.01</v>
      </c>
      <c r="F139" s="508">
        <v>5500</v>
      </c>
      <c r="G139" s="468">
        <f t="shared" ref="G139" si="1">ROUND((E139*F139),2)</f>
        <v>55</v>
      </c>
      <c r="H139" s="507"/>
    </row>
    <row r="140" spans="1:8" ht="12.75" customHeight="1" x14ac:dyDescent="0.2">
      <c r="A140" s="467"/>
      <c r="B140" s="609"/>
      <c r="C140" s="610"/>
      <c r="D140" s="467"/>
      <c r="E140" s="480"/>
      <c r="F140" s="468"/>
      <c r="G140" s="468"/>
      <c r="H140" s="507"/>
    </row>
    <row r="141" spans="1:8" ht="12.75" customHeight="1" x14ac:dyDescent="0.2">
      <c r="A141" s="471" t="s">
        <v>41</v>
      </c>
      <c r="E141" s="455" t="s">
        <v>42</v>
      </c>
      <c r="F141" s="455"/>
      <c r="G141" s="455"/>
      <c r="H141" s="456">
        <f>(SUM(G135:G140))</f>
        <v>13995</v>
      </c>
    </row>
    <row r="142" spans="1:8" ht="12.75" customHeight="1" x14ac:dyDescent="0.2">
      <c r="A142" s="465" t="s">
        <v>43</v>
      </c>
      <c r="B142" s="594" t="s">
        <v>44</v>
      </c>
      <c r="C142" s="595"/>
      <c r="D142" s="595"/>
      <c r="E142" s="595"/>
      <c r="F142" s="595"/>
      <c r="G142" s="596"/>
      <c r="H142" s="507"/>
    </row>
    <row r="143" spans="1:8" ht="12.75" customHeight="1" x14ac:dyDescent="0.2">
      <c r="A143" s="467" t="s">
        <v>45</v>
      </c>
      <c r="B143" s="466" t="s">
        <v>31</v>
      </c>
      <c r="C143" s="466" t="s">
        <v>46</v>
      </c>
      <c r="D143" s="466" t="s">
        <v>47</v>
      </c>
      <c r="E143" s="472" t="s">
        <v>48</v>
      </c>
      <c r="F143" s="468" t="s">
        <v>34</v>
      </c>
      <c r="G143" s="468" t="s">
        <v>35</v>
      </c>
      <c r="H143" s="507"/>
    </row>
    <row r="144" spans="1:8" ht="12.75" customHeight="1" x14ac:dyDescent="0.2">
      <c r="A144" s="467">
        <v>1</v>
      </c>
      <c r="B144" s="467" t="s">
        <v>188</v>
      </c>
      <c r="C144" s="478">
        <v>60000</v>
      </c>
      <c r="D144" s="479">
        <v>0.75</v>
      </c>
      <c r="E144" s="480">
        <f>+(A144*C144)+(A144*C144*D144)</f>
        <v>105000</v>
      </c>
      <c r="F144" s="481">
        <v>5.8</v>
      </c>
      <c r="G144" s="470">
        <f>(E144)/(F144)</f>
        <v>18103.448275862069</v>
      </c>
      <c r="H144" s="507"/>
    </row>
    <row r="145" spans="1:12" ht="12.75" customHeight="1" x14ac:dyDescent="0.2">
      <c r="A145" s="467">
        <v>1</v>
      </c>
      <c r="B145" s="467" t="s">
        <v>231</v>
      </c>
      <c r="C145" s="478">
        <v>110000</v>
      </c>
      <c r="D145" s="479">
        <v>0.75</v>
      </c>
      <c r="E145" s="480">
        <f>+(A145*C145)+(A145*C145*D145)</f>
        <v>192500</v>
      </c>
      <c r="F145" s="481">
        <v>5.8</v>
      </c>
      <c r="G145" s="470">
        <f>(E145)/(F145)</f>
        <v>33189.655172413797</v>
      </c>
      <c r="H145" s="507"/>
      <c r="L145" s="457">
        <f>60000/8</f>
        <v>7500</v>
      </c>
    </row>
    <row r="146" spans="1:12" ht="12.75" customHeight="1" x14ac:dyDescent="0.2">
      <c r="A146" s="467"/>
      <c r="B146" s="467"/>
      <c r="C146" s="467"/>
      <c r="D146" s="467"/>
      <c r="E146" s="468"/>
      <c r="F146" s="468"/>
      <c r="G146" s="468"/>
      <c r="H146" s="507"/>
    </row>
    <row r="147" spans="1:12" ht="12.75" customHeight="1" x14ac:dyDescent="0.2">
      <c r="A147" s="471"/>
      <c r="E147" s="455" t="s">
        <v>50</v>
      </c>
      <c r="F147" s="455"/>
      <c r="G147" s="455"/>
      <c r="H147" s="506">
        <f>SUM(G144)+(G145)</f>
        <v>51293.10344827587</v>
      </c>
    </row>
    <row r="148" spans="1:12" ht="12.75" customHeight="1" x14ac:dyDescent="0.2">
      <c r="A148" s="465" t="s">
        <v>51</v>
      </c>
      <c r="B148" s="594" t="s">
        <v>18</v>
      </c>
      <c r="C148" s="595"/>
      <c r="D148" s="595"/>
      <c r="E148" s="595"/>
      <c r="F148" s="595"/>
      <c r="G148" s="596"/>
      <c r="H148" s="507"/>
    </row>
    <row r="149" spans="1:12" ht="12.75" customHeight="1" x14ac:dyDescent="0.2">
      <c r="A149" s="467"/>
      <c r="B149" s="467" t="s">
        <v>31</v>
      </c>
      <c r="C149" s="466" t="s">
        <v>12</v>
      </c>
      <c r="D149" s="466" t="s">
        <v>13</v>
      </c>
      <c r="E149" s="466" t="s">
        <v>52</v>
      </c>
      <c r="F149" s="466"/>
      <c r="G149" s="468" t="s">
        <v>53</v>
      </c>
      <c r="H149" s="507"/>
    </row>
    <row r="150" spans="1:12" ht="12.75" customHeight="1" x14ac:dyDescent="0.2">
      <c r="A150" s="467"/>
      <c r="B150" s="467"/>
      <c r="C150" s="482"/>
      <c r="D150" s="467"/>
      <c r="E150" s="468"/>
      <c r="F150" s="468"/>
      <c r="G150" s="468"/>
      <c r="H150" s="507"/>
    </row>
    <row r="151" spans="1:12" ht="12.75" customHeight="1" x14ac:dyDescent="0.2">
      <c r="A151" s="467"/>
      <c r="B151" s="467"/>
      <c r="C151" s="480"/>
      <c r="D151" s="467"/>
      <c r="E151" s="468"/>
      <c r="F151" s="468"/>
      <c r="G151" s="468"/>
      <c r="H151" s="507"/>
    </row>
    <row r="152" spans="1:12" ht="12.75" customHeight="1" x14ac:dyDescent="0.2">
      <c r="A152" s="467"/>
      <c r="B152" s="467"/>
      <c r="C152" s="467"/>
      <c r="D152" s="467"/>
      <c r="E152" s="468"/>
      <c r="F152" s="468"/>
      <c r="G152" s="468"/>
      <c r="H152" s="507"/>
    </row>
    <row r="153" spans="1:12" ht="12.75" customHeight="1" x14ac:dyDescent="0.2">
      <c r="A153" s="471"/>
      <c r="E153" s="455" t="s">
        <v>50</v>
      </c>
      <c r="F153" s="455"/>
      <c r="G153" s="455"/>
      <c r="H153" s="507">
        <f>ROUND(SUM(G150)+(G151),0)</f>
        <v>0</v>
      </c>
    </row>
    <row r="154" spans="1:12" ht="12.75" customHeight="1" x14ac:dyDescent="0.2">
      <c r="A154" s="464"/>
      <c r="E154" s="455"/>
      <c r="F154" s="455"/>
      <c r="G154" s="455"/>
      <c r="H154" s="507"/>
    </row>
    <row r="155" spans="1:12" ht="12.75" customHeight="1" x14ac:dyDescent="0.2">
      <c r="A155" s="464"/>
      <c r="D155" s="483" t="s">
        <v>54</v>
      </c>
      <c r="E155" s="484"/>
      <c r="F155" s="484"/>
      <c r="G155" s="484"/>
      <c r="H155" s="506">
        <f>ROUND(SUM(H132:H154),2)</f>
        <v>71167.41</v>
      </c>
    </row>
    <row r="156" spans="1:12" ht="12.75" customHeight="1" x14ac:dyDescent="0.2">
      <c r="A156" s="464"/>
      <c r="E156" s="455"/>
      <c r="F156" s="455"/>
      <c r="G156" s="455"/>
      <c r="H156" s="507"/>
    </row>
    <row r="157" spans="1:12" ht="12.75" customHeight="1" x14ac:dyDescent="0.2">
      <c r="A157" s="465" t="s">
        <v>55</v>
      </c>
      <c r="B157" s="594" t="s">
        <v>56</v>
      </c>
      <c r="C157" s="595"/>
      <c r="D157" s="595"/>
      <c r="E157" s="595"/>
      <c r="F157" s="595"/>
      <c r="G157" s="596"/>
      <c r="H157" s="507"/>
    </row>
    <row r="158" spans="1:12" ht="12.75" customHeight="1" x14ac:dyDescent="0.2">
      <c r="A158" s="466"/>
      <c r="B158" s="466" t="s">
        <v>31</v>
      </c>
      <c r="C158" s="466" t="s">
        <v>57</v>
      </c>
      <c r="D158" s="467" t="s">
        <v>58</v>
      </c>
      <c r="E158" s="468"/>
      <c r="F158" s="468" t="s">
        <v>59</v>
      </c>
      <c r="G158" s="468"/>
      <c r="H158" s="507"/>
    </row>
    <row r="159" spans="1:12" ht="12.75" customHeight="1" x14ac:dyDescent="0.2">
      <c r="A159" s="467"/>
      <c r="B159" s="466" t="s">
        <v>60</v>
      </c>
      <c r="C159" s="479">
        <v>0.27</v>
      </c>
      <c r="D159" s="467"/>
      <c r="E159" s="480"/>
      <c r="F159" s="467"/>
      <c r="G159" s="470">
        <f>+H155*C159</f>
        <v>19215.200700000001</v>
      </c>
      <c r="H159" s="507"/>
    </row>
    <row r="160" spans="1:12" ht="12.75" customHeight="1" x14ac:dyDescent="0.2">
      <c r="A160" s="467"/>
      <c r="B160" s="466" t="s">
        <v>61</v>
      </c>
      <c r="C160" s="479">
        <v>0.02</v>
      </c>
      <c r="D160" s="467"/>
      <c r="E160" s="480"/>
      <c r="F160" s="467"/>
      <c r="G160" s="470">
        <f>+H155*C160</f>
        <v>1423.3482000000001</v>
      </c>
      <c r="H160" s="507"/>
    </row>
    <row r="161" spans="1:8" ht="12.75" customHeight="1" x14ac:dyDescent="0.2">
      <c r="A161" s="467"/>
      <c r="B161" s="466" t="s">
        <v>62</v>
      </c>
      <c r="C161" s="479">
        <v>0.03</v>
      </c>
      <c r="D161" s="467"/>
      <c r="E161" s="480"/>
      <c r="F161" s="467"/>
      <c r="G161" s="470">
        <f>+H155*C161</f>
        <v>2135.0223000000001</v>
      </c>
      <c r="H161" s="507"/>
    </row>
    <row r="162" spans="1:8" ht="12.75" customHeight="1" x14ac:dyDescent="0.2">
      <c r="A162" s="464"/>
      <c r="D162" s="483" t="s">
        <v>63</v>
      </c>
      <c r="E162" s="484"/>
      <c r="F162" s="484"/>
      <c r="G162" s="484"/>
      <c r="H162" s="506">
        <f>SUM(G158:G161)</f>
        <v>22773.571200000002</v>
      </c>
    </row>
    <row r="163" spans="1:8" ht="12.75" customHeight="1" x14ac:dyDescent="0.2">
      <c r="A163" s="464"/>
      <c r="E163" s="455"/>
      <c r="F163" s="455"/>
      <c r="G163" s="455"/>
      <c r="H163" s="507"/>
    </row>
    <row r="164" spans="1:8" ht="12.75" customHeight="1" x14ac:dyDescent="0.2">
      <c r="A164" s="464"/>
      <c r="D164" s="483" t="s">
        <v>64</v>
      </c>
      <c r="E164" s="484"/>
      <c r="F164" s="484"/>
      <c r="G164" s="455"/>
      <c r="H164" s="506">
        <f>H155+H162</f>
        <v>93940.981200000009</v>
      </c>
    </row>
    <row r="165" spans="1:8" ht="12.75" customHeight="1" x14ac:dyDescent="0.2">
      <c r="A165" s="464"/>
      <c r="D165" s="483"/>
      <c r="E165" s="484"/>
      <c r="F165" s="484"/>
      <c r="G165" s="455"/>
      <c r="H165" s="507"/>
    </row>
    <row r="166" spans="1:8" ht="12.75" customHeight="1" x14ac:dyDescent="0.2">
      <c r="A166" s="464"/>
      <c r="E166" s="484"/>
      <c r="F166" s="484"/>
      <c r="G166" s="455"/>
      <c r="H166" s="507"/>
    </row>
    <row r="167" spans="1:8" ht="12.75" customHeight="1" x14ac:dyDescent="0.2">
      <c r="A167" s="464"/>
      <c r="B167" s="519"/>
      <c r="E167" s="421"/>
      <c r="F167" s="531"/>
      <c r="G167" s="520"/>
      <c r="H167" s="507"/>
    </row>
    <row r="168" spans="1:8" ht="12.75" customHeight="1" x14ac:dyDescent="0.2">
      <c r="A168" s="487" t="str">
        <f>A111</f>
        <v>ING ELEAZAR MASAH MORA ALDANA</v>
      </c>
      <c r="B168" s="523"/>
      <c r="E168" s="524" t="str">
        <f>+Presupuesto!A34</f>
        <v>ARQ. GUILLERMO YAMID VALLEJOS BENAVIDES</v>
      </c>
      <c r="F168" s="523"/>
      <c r="G168" s="523"/>
      <c r="H168" s="511"/>
    </row>
    <row r="169" spans="1:8" ht="12.75" customHeight="1" x14ac:dyDescent="0.2">
      <c r="A169" s="488" t="str">
        <f>A112</f>
        <v>APOYO PROFESIONAL SPOPM</v>
      </c>
      <c r="B169" s="454"/>
      <c r="E169" s="454" t="str">
        <f>+Presupuesto!A35</f>
        <v>SECRETARIO DE PLANEACION Y OBRAS PUBLICAS</v>
      </c>
      <c r="F169" s="454"/>
      <c r="G169" s="454"/>
      <c r="H169" s="511"/>
    </row>
    <row r="170" spans="1:8" ht="12.75" customHeight="1" x14ac:dyDescent="0.2">
      <c r="A170" s="488" t="str">
        <f>A113</f>
        <v>SAN MIGUEL - PUTUMAYO</v>
      </c>
      <c r="B170" s="489"/>
      <c r="C170" s="485"/>
      <c r="D170" s="485"/>
      <c r="E170" s="454" t="str">
        <f>+Presupuesto!A36</f>
        <v>SAN MIGUEL - PUTUMAYO</v>
      </c>
      <c r="F170" s="489"/>
      <c r="G170" s="489"/>
      <c r="H170" s="512"/>
    </row>
    <row r="171" spans="1:8" ht="12.75" customHeight="1" x14ac:dyDescent="0.2">
      <c r="A171" s="611"/>
      <c r="B171" s="612"/>
      <c r="C171" s="550" t="s">
        <v>223</v>
      </c>
      <c r="D171" s="617" t="s">
        <v>224</v>
      </c>
      <c r="E171" s="618"/>
      <c r="F171" s="417">
        <v>103</v>
      </c>
      <c r="G171" s="619"/>
      <c r="H171" s="620"/>
    </row>
    <row r="172" spans="1:8" ht="12.75" customHeight="1" x14ac:dyDescent="0.2">
      <c r="A172" s="613"/>
      <c r="B172" s="614"/>
      <c r="C172" s="551"/>
      <c r="D172" s="563" t="s">
        <v>194</v>
      </c>
      <c r="E172" s="625"/>
      <c r="F172" s="627">
        <v>51</v>
      </c>
      <c r="G172" s="621"/>
      <c r="H172" s="622"/>
    </row>
    <row r="173" spans="1:8" ht="12.75" customHeight="1" x14ac:dyDescent="0.2">
      <c r="A173" s="613"/>
      <c r="B173" s="614"/>
      <c r="C173" s="415" t="s">
        <v>195</v>
      </c>
      <c r="D173" s="565"/>
      <c r="E173" s="626"/>
      <c r="F173" s="628"/>
      <c r="G173" s="621"/>
      <c r="H173" s="622"/>
    </row>
    <row r="174" spans="1:8" ht="12.75" customHeight="1" x14ac:dyDescent="0.2">
      <c r="A174" s="613"/>
      <c r="B174" s="614"/>
      <c r="C174" s="275" t="s">
        <v>196</v>
      </c>
      <c r="D174" s="570" t="s">
        <v>197</v>
      </c>
      <c r="E174" s="629"/>
      <c r="F174" s="416">
        <v>1</v>
      </c>
      <c r="G174" s="621"/>
      <c r="H174" s="622"/>
    </row>
    <row r="175" spans="1:8" ht="12.75" customHeight="1" x14ac:dyDescent="0.2">
      <c r="A175" s="613"/>
      <c r="B175" s="614"/>
      <c r="C175" s="630" t="s">
        <v>198</v>
      </c>
      <c r="D175" s="632" t="s">
        <v>199</v>
      </c>
      <c r="E175" s="633"/>
      <c r="F175" s="415" t="s">
        <v>200</v>
      </c>
      <c r="G175" s="621"/>
      <c r="H175" s="622"/>
    </row>
    <row r="176" spans="1:8" ht="12.75" customHeight="1" x14ac:dyDescent="0.2">
      <c r="A176" s="615"/>
      <c r="B176" s="616"/>
      <c r="C176" s="631"/>
      <c r="D176" s="634"/>
      <c r="E176" s="635"/>
      <c r="F176" s="277">
        <v>44216</v>
      </c>
      <c r="G176" s="623"/>
      <c r="H176" s="624"/>
    </row>
    <row r="177" spans="1:8" ht="12.75" customHeight="1" x14ac:dyDescent="0.2">
      <c r="A177" s="597"/>
      <c r="B177" s="598"/>
      <c r="C177" s="598"/>
      <c r="D177" s="598"/>
      <c r="E177" s="598"/>
      <c r="F177" s="598"/>
      <c r="G177" s="598"/>
      <c r="H177" s="599"/>
    </row>
    <row r="178" spans="1:8" ht="12.75" customHeight="1" x14ac:dyDescent="0.2">
      <c r="A178" s="641" t="str">
        <f>A121</f>
        <v>ADECUACION DE LA INFRAESTRUCTURA DE LA PLANTA DE BENEFICIO ANIMAL MEDIANTE EL MEJORAMIENTO DE CUBIERTA EN EL MUNICIPIO DE SAN MIGUEL PUTUMAYO</v>
      </c>
      <c r="B178" s="642"/>
      <c r="C178" s="642"/>
      <c r="D178" s="642"/>
      <c r="E178" s="642"/>
      <c r="F178" s="642"/>
      <c r="G178" s="642"/>
      <c r="H178" s="643"/>
    </row>
    <row r="179" spans="1:8" ht="12.75" customHeight="1" x14ac:dyDescent="0.2">
      <c r="A179" s="641"/>
      <c r="B179" s="642"/>
      <c r="C179" s="642"/>
      <c r="D179" s="642"/>
      <c r="E179" s="642"/>
      <c r="F179" s="642"/>
      <c r="G179" s="642"/>
      <c r="H179" s="643"/>
    </row>
    <row r="180" spans="1:8" ht="12.75" customHeight="1" thickBot="1" x14ac:dyDescent="0.25">
      <c r="A180" s="458"/>
      <c r="B180" s="459"/>
      <c r="C180" s="459"/>
      <c r="D180" s="459"/>
      <c r="E180" s="459"/>
      <c r="F180" s="459"/>
      <c r="G180" s="459"/>
      <c r="H180" s="460"/>
    </row>
    <row r="181" spans="1:8" ht="12.75" customHeight="1" thickBot="1" x14ac:dyDescent="0.25">
      <c r="A181" s="638" t="s">
        <v>26</v>
      </c>
      <c r="B181" s="639"/>
      <c r="C181" s="639"/>
      <c r="D181" s="639"/>
      <c r="E181" s="639"/>
      <c r="F181" s="639"/>
      <c r="G181" s="639"/>
      <c r="H181" s="640"/>
    </row>
    <row r="182" spans="1:8" ht="12.75" customHeight="1" thickBot="1" x14ac:dyDescent="0.25">
      <c r="A182" s="528"/>
      <c r="B182" s="492"/>
      <c r="C182" s="492"/>
      <c r="D182" s="492"/>
      <c r="E182" s="492"/>
      <c r="F182" s="492"/>
      <c r="G182" s="492"/>
      <c r="H182" s="529"/>
    </row>
    <row r="183" spans="1:8" ht="12.75" customHeight="1" thickBot="1" x14ac:dyDescent="0.25">
      <c r="A183" s="461">
        <f>+Presupuesto!A20</f>
        <v>2.2000000000000002</v>
      </c>
      <c r="B183" s="600" t="str">
        <f>+Presupuesto!B20</f>
        <v>SUMINISTRO E INSTALACION DE TEJA TRAPEZOIDAL CAL.28</v>
      </c>
      <c r="C183" s="601"/>
      <c r="D183" s="601"/>
      <c r="E183" s="601"/>
      <c r="F183" s="602"/>
      <c r="G183" s="462" t="s">
        <v>28</v>
      </c>
      <c r="H183" s="503" t="str">
        <f>+Presupuesto!D20</f>
        <v>M2</v>
      </c>
    </row>
    <row r="184" spans="1:8" ht="12.75" customHeight="1" x14ac:dyDescent="0.2">
      <c r="A184" s="464"/>
      <c r="H184" s="504"/>
    </row>
    <row r="185" spans="1:8" ht="12.75" customHeight="1" x14ac:dyDescent="0.2">
      <c r="A185" s="465" t="s">
        <v>29</v>
      </c>
      <c r="B185" s="594" t="s">
        <v>30</v>
      </c>
      <c r="C185" s="595"/>
      <c r="D185" s="595"/>
      <c r="E185" s="595"/>
      <c r="F185" s="595"/>
      <c r="G185" s="596"/>
      <c r="H185" s="504"/>
    </row>
    <row r="186" spans="1:8" ht="12.75" customHeight="1" x14ac:dyDescent="0.2">
      <c r="A186" s="466"/>
      <c r="B186" s="603" t="s">
        <v>31</v>
      </c>
      <c r="C186" s="604"/>
      <c r="D186" s="466" t="s">
        <v>32</v>
      </c>
      <c r="E186" s="466" t="s">
        <v>33</v>
      </c>
      <c r="F186" s="466" t="s">
        <v>34</v>
      </c>
      <c r="G186" s="466" t="s">
        <v>35</v>
      </c>
      <c r="H186" s="504"/>
    </row>
    <row r="187" spans="1:8" ht="12.75" customHeight="1" x14ac:dyDescent="0.2">
      <c r="A187" s="467"/>
      <c r="B187" s="603" t="s">
        <v>67</v>
      </c>
      <c r="C187" s="604"/>
      <c r="D187" s="467"/>
      <c r="E187" s="468"/>
      <c r="F187" s="468">
        <v>0.1</v>
      </c>
      <c r="G187" s="470">
        <f>H205*F187</f>
        <v>3096.1538461538462</v>
      </c>
      <c r="H187" s="505"/>
    </row>
    <row r="188" spans="1:8" ht="12.75" customHeight="1" x14ac:dyDescent="0.2">
      <c r="A188" s="467"/>
      <c r="B188" s="605" t="s">
        <v>263</v>
      </c>
      <c r="C188" s="606"/>
      <c r="D188" s="467" t="s">
        <v>300</v>
      </c>
      <c r="E188" s="468">
        <v>5000</v>
      </c>
      <c r="F188" s="468">
        <v>0.15</v>
      </c>
      <c r="G188" s="468">
        <f>E188*F188</f>
        <v>750</v>
      </c>
      <c r="H188" s="505"/>
    </row>
    <row r="189" spans="1:8" ht="12.75" customHeight="1" x14ac:dyDescent="0.2">
      <c r="A189" s="467"/>
      <c r="B189" s="603"/>
      <c r="C189" s="604"/>
      <c r="D189" s="467"/>
      <c r="E189" s="468"/>
      <c r="F189" s="468"/>
      <c r="G189" s="468"/>
      <c r="H189" s="507"/>
    </row>
    <row r="190" spans="1:8" ht="12.75" customHeight="1" x14ac:dyDescent="0.2">
      <c r="A190" s="471"/>
      <c r="E190" s="455" t="s">
        <v>36</v>
      </c>
      <c r="F190" s="455"/>
      <c r="G190" s="455"/>
      <c r="H190" s="506">
        <f>SUM(G187:G189)</f>
        <v>3846.1538461538462</v>
      </c>
    </row>
    <row r="191" spans="1:8" ht="12.75" customHeight="1" x14ac:dyDescent="0.2">
      <c r="A191" s="465" t="s">
        <v>37</v>
      </c>
      <c r="B191" s="594" t="s">
        <v>38</v>
      </c>
      <c r="C191" s="595"/>
      <c r="D191" s="595"/>
      <c r="E191" s="595"/>
      <c r="F191" s="595"/>
      <c r="G191" s="596"/>
      <c r="H191" s="507"/>
    </row>
    <row r="192" spans="1:8" ht="12.75" customHeight="1" x14ac:dyDescent="0.2">
      <c r="A192" s="466"/>
      <c r="B192" s="603" t="s">
        <v>31</v>
      </c>
      <c r="C192" s="604"/>
      <c r="D192" s="467" t="s">
        <v>12</v>
      </c>
      <c r="E192" s="472" t="s">
        <v>39</v>
      </c>
      <c r="F192" s="472" t="s">
        <v>40</v>
      </c>
      <c r="G192" s="472" t="s">
        <v>35</v>
      </c>
      <c r="H192" s="507"/>
    </row>
    <row r="193" spans="1:8" ht="12.75" customHeight="1" x14ac:dyDescent="0.2">
      <c r="A193" s="467"/>
      <c r="B193" s="607" t="s">
        <v>292</v>
      </c>
      <c r="C193" s="608"/>
      <c r="D193" s="466" t="s">
        <v>12</v>
      </c>
      <c r="E193" s="472">
        <v>0.18</v>
      </c>
      <c r="F193" s="468">
        <v>140000</v>
      </c>
      <c r="G193" s="468">
        <f>E193*F193</f>
        <v>25200</v>
      </c>
      <c r="H193" s="507"/>
    </row>
    <row r="194" spans="1:8" ht="12.75" customHeight="1" x14ac:dyDescent="0.2">
      <c r="A194" s="467"/>
      <c r="B194" s="607" t="s">
        <v>294</v>
      </c>
      <c r="C194" s="608"/>
      <c r="D194" s="473" t="s">
        <v>76</v>
      </c>
      <c r="E194" s="473">
        <v>4</v>
      </c>
      <c r="F194" s="477">
        <v>500</v>
      </c>
      <c r="G194" s="468">
        <f t="shared" ref="G194" si="2">E194*F194</f>
        <v>2000</v>
      </c>
      <c r="H194" s="507"/>
    </row>
    <row r="195" spans="1:8" ht="12.75" customHeight="1" x14ac:dyDescent="0.2">
      <c r="A195" s="467"/>
      <c r="B195" s="607"/>
      <c r="C195" s="608"/>
      <c r="D195" s="473"/>
      <c r="E195" s="473"/>
      <c r="F195" s="477"/>
      <c r="G195" s="468"/>
      <c r="H195" s="507"/>
    </row>
    <row r="196" spans="1:8" ht="12.75" customHeight="1" x14ac:dyDescent="0.2">
      <c r="A196" s="467"/>
      <c r="B196" s="607"/>
      <c r="C196" s="608"/>
      <c r="D196" s="473"/>
      <c r="E196" s="473"/>
      <c r="F196" s="477"/>
      <c r="G196" s="468"/>
      <c r="H196" s="507"/>
    </row>
    <row r="197" spans="1:8" ht="12.75" customHeight="1" x14ac:dyDescent="0.2">
      <c r="A197" s="467"/>
      <c r="B197" s="607"/>
      <c r="C197" s="608"/>
      <c r="D197" s="473"/>
      <c r="E197" s="466"/>
      <c r="F197" s="513"/>
      <c r="G197" s="468"/>
      <c r="H197" s="507"/>
    </row>
    <row r="198" spans="1:8" ht="12.75" customHeight="1" x14ac:dyDescent="0.2">
      <c r="A198" s="467"/>
      <c r="B198" s="609"/>
      <c r="C198" s="610"/>
      <c r="D198" s="467"/>
      <c r="E198" s="480"/>
      <c r="F198" s="468"/>
      <c r="G198" s="468"/>
      <c r="H198" s="507"/>
    </row>
    <row r="199" spans="1:8" ht="12.75" customHeight="1" x14ac:dyDescent="0.2">
      <c r="A199" s="471" t="s">
        <v>41</v>
      </c>
      <c r="E199" s="455" t="s">
        <v>42</v>
      </c>
      <c r="F199" s="455"/>
      <c r="G199" s="455"/>
      <c r="H199" s="456">
        <f>(SUM(G193:G198))</f>
        <v>27200</v>
      </c>
    </row>
    <row r="200" spans="1:8" ht="12.75" customHeight="1" x14ac:dyDescent="0.2">
      <c r="A200" s="465" t="s">
        <v>43</v>
      </c>
      <c r="B200" s="594" t="s">
        <v>44</v>
      </c>
      <c r="C200" s="595"/>
      <c r="D200" s="595"/>
      <c r="E200" s="595"/>
      <c r="F200" s="595"/>
      <c r="G200" s="596"/>
      <c r="H200" s="507"/>
    </row>
    <row r="201" spans="1:8" ht="12.75" customHeight="1" x14ac:dyDescent="0.2">
      <c r="A201" s="467" t="s">
        <v>45</v>
      </c>
      <c r="B201" s="466" t="s">
        <v>31</v>
      </c>
      <c r="C201" s="466" t="s">
        <v>46</v>
      </c>
      <c r="D201" s="466" t="s">
        <v>47</v>
      </c>
      <c r="E201" s="472" t="s">
        <v>48</v>
      </c>
      <c r="F201" s="468" t="s">
        <v>34</v>
      </c>
      <c r="G201" s="468" t="s">
        <v>35</v>
      </c>
      <c r="H201" s="507"/>
    </row>
    <row r="202" spans="1:8" ht="12.75" customHeight="1" x14ac:dyDescent="0.2">
      <c r="A202" s="467">
        <v>2</v>
      </c>
      <c r="B202" s="467" t="s">
        <v>188</v>
      </c>
      <c r="C202" s="478">
        <v>60000</v>
      </c>
      <c r="D202" s="479">
        <v>0.75</v>
      </c>
      <c r="E202" s="480">
        <f>+(A202*C202)+(A202*C202*D202)</f>
        <v>210000</v>
      </c>
      <c r="F202" s="481">
        <v>13</v>
      </c>
      <c r="G202" s="470">
        <f>(E202)/(F202)</f>
        <v>16153.846153846154</v>
      </c>
      <c r="H202" s="507"/>
    </row>
    <row r="203" spans="1:8" ht="12.75" customHeight="1" x14ac:dyDescent="0.2">
      <c r="A203" s="467">
        <v>1</v>
      </c>
      <c r="B203" s="467" t="s">
        <v>231</v>
      </c>
      <c r="C203" s="478">
        <v>110000</v>
      </c>
      <c r="D203" s="479">
        <v>0.75</v>
      </c>
      <c r="E203" s="480">
        <f>+(A203*C203)+(A203*C203*D203)</f>
        <v>192500</v>
      </c>
      <c r="F203" s="481">
        <v>13</v>
      </c>
      <c r="G203" s="470">
        <f>(E203)/(F203)</f>
        <v>14807.692307692309</v>
      </c>
      <c r="H203" s="507"/>
    </row>
    <row r="204" spans="1:8" ht="12.75" customHeight="1" x14ac:dyDescent="0.2">
      <c r="A204" s="467"/>
      <c r="B204" s="467"/>
      <c r="C204" s="467"/>
      <c r="D204" s="467"/>
      <c r="E204" s="468"/>
      <c r="F204" s="468"/>
      <c r="G204" s="468"/>
      <c r="H204" s="507"/>
    </row>
    <row r="205" spans="1:8" ht="12.75" customHeight="1" x14ac:dyDescent="0.2">
      <c r="A205" s="471"/>
      <c r="E205" s="455" t="s">
        <v>50</v>
      </c>
      <c r="F205" s="455"/>
      <c r="G205" s="455"/>
      <c r="H205" s="506">
        <f>SUM(G202)+(G203)</f>
        <v>30961.538461538461</v>
      </c>
    </row>
    <row r="206" spans="1:8" ht="12.75" customHeight="1" x14ac:dyDescent="0.2">
      <c r="A206" s="465" t="s">
        <v>51</v>
      </c>
      <c r="B206" s="594" t="s">
        <v>18</v>
      </c>
      <c r="C206" s="595"/>
      <c r="D206" s="595"/>
      <c r="E206" s="595"/>
      <c r="F206" s="595"/>
      <c r="G206" s="596"/>
      <c r="H206" s="507"/>
    </row>
    <row r="207" spans="1:8" ht="12.75" customHeight="1" x14ac:dyDescent="0.2">
      <c r="A207" s="467"/>
      <c r="B207" s="467" t="s">
        <v>31</v>
      </c>
      <c r="C207" s="466" t="s">
        <v>12</v>
      </c>
      <c r="D207" s="466" t="s">
        <v>13</v>
      </c>
      <c r="E207" s="466" t="s">
        <v>52</v>
      </c>
      <c r="F207" s="466"/>
      <c r="G207" s="468" t="s">
        <v>53</v>
      </c>
      <c r="H207" s="507"/>
    </row>
    <row r="208" spans="1:8" ht="12.75" customHeight="1" x14ac:dyDescent="0.2">
      <c r="A208" s="467"/>
      <c r="B208" s="467"/>
      <c r="C208" s="482"/>
      <c r="D208" s="467"/>
      <c r="E208" s="468"/>
      <c r="F208" s="468"/>
      <c r="G208" s="468"/>
      <c r="H208" s="507"/>
    </row>
    <row r="209" spans="1:8" ht="12.75" customHeight="1" x14ac:dyDescent="0.2">
      <c r="A209" s="467"/>
      <c r="B209" s="467"/>
      <c r="C209" s="480"/>
      <c r="D209" s="467"/>
      <c r="E209" s="468"/>
      <c r="F209" s="468"/>
      <c r="G209" s="468"/>
      <c r="H209" s="507"/>
    </row>
    <row r="210" spans="1:8" ht="12.75" customHeight="1" x14ac:dyDescent="0.2">
      <c r="A210" s="467"/>
      <c r="B210" s="467"/>
      <c r="C210" s="467"/>
      <c r="D210" s="467"/>
      <c r="E210" s="468"/>
      <c r="F210" s="468"/>
      <c r="G210" s="468"/>
      <c r="H210" s="507"/>
    </row>
    <row r="211" spans="1:8" ht="12.75" customHeight="1" x14ac:dyDescent="0.2">
      <c r="A211" s="471"/>
      <c r="E211" s="455" t="s">
        <v>50</v>
      </c>
      <c r="F211" s="455"/>
      <c r="G211" s="455"/>
      <c r="H211" s="507">
        <f>ROUND(SUM(G208)+(G209),0)</f>
        <v>0</v>
      </c>
    </row>
    <row r="212" spans="1:8" ht="12.75" customHeight="1" x14ac:dyDescent="0.2">
      <c r="A212" s="464"/>
      <c r="E212" s="455"/>
      <c r="F212" s="455"/>
      <c r="G212" s="455"/>
      <c r="H212" s="507"/>
    </row>
    <row r="213" spans="1:8" ht="12.75" customHeight="1" x14ac:dyDescent="0.2">
      <c r="A213" s="464"/>
      <c r="D213" s="483" t="s">
        <v>54</v>
      </c>
      <c r="E213" s="484"/>
      <c r="F213" s="484"/>
      <c r="G213" s="484"/>
      <c r="H213" s="506">
        <f>ROUND(SUM(H190:H212),2)</f>
        <v>62007.69</v>
      </c>
    </row>
    <row r="214" spans="1:8" ht="12.75" customHeight="1" x14ac:dyDescent="0.2">
      <c r="A214" s="464"/>
      <c r="E214" s="455"/>
      <c r="F214" s="455"/>
      <c r="G214" s="455"/>
      <c r="H214" s="507"/>
    </row>
    <row r="215" spans="1:8" ht="12.75" customHeight="1" x14ac:dyDescent="0.2">
      <c r="A215" s="465" t="s">
        <v>55</v>
      </c>
      <c r="B215" s="594" t="s">
        <v>56</v>
      </c>
      <c r="C215" s="595"/>
      <c r="D215" s="595"/>
      <c r="E215" s="595"/>
      <c r="F215" s="595"/>
      <c r="G215" s="596"/>
      <c r="H215" s="507"/>
    </row>
    <row r="216" spans="1:8" ht="12.75" customHeight="1" x14ac:dyDescent="0.2">
      <c r="A216" s="466"/>
      <c r="B216" s="466" t="s">
        <v>31</v>
      </c>
      <c r="C216" s="466" t="s">
        <v>57</v>
      </c>
      <c r="D216" s="467" t="s">
        <v>58</v>
      </c>
      <c r="E216" s="468"/>
      <c r="F216" s="468" t="s">
        <v>59</v>
      </c>
      <c r="G216" s="468"/>
      <c r="H216" s="507"/>
    </row>
    <row r="217" spans="1:8" ht="12.75" customHeight="1" x14ac:dyDescent="0.2">
      <c r="A217" s="467"/>
      <c r="B217" s="466" t="s">
        <v>60</v>
      </c>
      <c r="C217" s="479">
        <v>0.27</v>
      </c>
      <c r="D217" s="467"/>
      <c r="E217" s="480"/>
      <c r="F217" s="467"/>
      <c r="G217" s="470">
        <f>+H213*C217</f>
        <v>16742.076300000001</v>
      </c>
      <c r="H217" s="507"/>
    </row>
    <row r="218" spans="1:8" ht="12.75" customHeight="1" x14ac:dyDescent="0.2">
      <c r="A218" s="467"/>
      <c r="B218" s="466" t="s">
        <v>61</v>
      </c>
      <c r="C218" s="479">
        <v>0.02</v>
      </c>
      <c r="D218" s="467"/>
      <c r="E218" s="480"/>
      <c r="F218" s="467"/>
      <c r="G218" s="470">
        <f>+H213*C218</f>
        <v>1240.1538</v>
      </c>
      <c r="H218" s="507"/>
    </row>
    <row r="219" spans="1:8" ht="12.75" customHeight="1" x14ac:dyDescent="0.2">
      <c r="A219" s="467"/>
      <c r="B219" s="466" t="s">
        <v>62</v>
      </c>
      <c r="C219" s="479">
        <v>0.03</v>
      </c>
      <c r="D219" s="467"/>
      <c r="E219" s="480"/>
      <c r="F219" s="467"/>
      <c r="G219" s="470">
        <f>+H213*C219</f>
        <v>1860.2307000000001</v>
      </c>
      <c r="H219" s="507"/>
    </row>
    <row r="220" spans="1:8" ht="12.75" customHeight="1" x14ac:dyDescent="0.2">
      <c r="A220" s="464"/>
      <c r="D220" s="483" t="s">
        <v>63</v>
      </c>
      <c r="E220" s="484"/>
      <c r="F220" s="484"/>
      <c r="G220" s="484"/>
      <c r="H220" s="506">
        <f>SUM(G216:G219)</f>
        <v>19842.460800000001</v>
      </c>
    </row>
    <row r="221" spans="1:8" ht="12.75" customHeight="1" x14ac:dyDescent="0.2">
      <c r="A221" s="464"/>
      <c r="E221" s="455"/>
      <c r="F221" s="455"/>
      <c r="G221" s="455"/>
      <c r="H221" s="507"/>
    </row>
    <row r="222" spans="1:8" ht="12.75" customHeight="1" x14ac:dyDescent="0.2">
      <c r="A222" s="464"/>
      <c r="D222" s="483" t="s">
        <v>64</v>
      </c>
      <c r="E222" s="484"/>
      <c r="F222" s="484"/>
      <c r="G222" s="455"/>
      <c r="H222" s="506">
        <f>H213+H220</f>
        <v>81850.150800000003</v>
      </c>
    </row>
    <row r="223" spans="1:8" ht="12.75" customHeight="1" x14ac:dyDescent="0.2">
      <c r="A223" s="464"/>
      <c r="D223" s="483"/>
      <c r="E223" s="484"/>
      <c r="F223" s="484"/>
      <c r="G223" s="455"/>
      <c r="H223" s="507"/>
    </row>
    <row r="224" spans="1:8" ht="12.75" customHeight="1" x14ac:dyDescent="0.2">
      <c r="A224" s="464"/>
      <c r="E224" s="484"/>
      <c r="F224" s="484"/>
      <c r="G224" s="455"/>
      <c r="H224" s="507"/>
    </row>
    <row r="225" spans="1:8" ht="12.75" customHeight="1" x14ac:dyDescent="0.2">
      <c r="A225" s="464"/>
      <c r="B225" s="519"/>
      <c r="E225" s="421"/>
      <c r="F225" s="531"/>
      <c r="G225" s="520"/>
      <c r="H225" s="507"/>
    </row>
    <row r="226" spans="1:8" ht="12.75" customHeight="1" x14ac:dyDescent="0.2">
      <c r="A226" s="487" t="str">
        <f>A168</f>
        <v>ING ELEAZAR MASAH MORA ALDANA</v>
      </c>
      <c r="B226" s="523"/>
      <c r="E226" s="524" t="str">
        <f>E168</f>
        <v>ARQ. GUILLERMO YAMID VALLEJOS BENAVIDES</v>
      </c>
      <c r="F226" s="523"/>
      <c r="G226" s="523"/>
      <c r="H226" s="511"/>
    </row>
    <row r="227" spans="1:8" ht="12.75" customHeight="1" x14ac:dyDescent="0.2">
      <c r="A227" s="488" t="str">
        <f>A169</f>
        <v>APOYO PROFESIONAL SPOPM</v>
      </c>
      <c r="B227" s="454"/>
      <c r="E227" s="454" t="str">
        <f>E169</f>
        <v>SECRETARIO DE PLANEACION Y OBRAS PUBLICAS</v>
      </c>
      <c r="F227" s="454"/>
      <c r="G227" s="454"/>
      <c r="H227" s="511"/>
    </row>
    <row r="228" spans="1:8" ht="12.75" customHeight="1" x14ac:dyDescent="0.2">
      <c r="A228" s="488" t="str">
        <f>A170</f>
        <v>SAN MIGUEL - PUTUMAYO</v>
      </c>
      <c r="B228" s="489"/>
      <c r="C228" s="485"/>
      <c r="D228" s="485"/>
      <c r="E228" s="454" t="str">
        <f>E170</f>
        <v>SAN MIGUEL - PUTUMAYO</v>
      </c>
      <c r="F228" s="489"/>
      <c r="G228" s="489"/>
      <c r="H228" s="512"/>
    </row>
    <row r="229" spans="1:8" ht="12.75" customHeight="1" x14ac:dyDescent="0.2">
      <c r="A229" s="611"/>
      <c r="B229" s="612"/>
      <c r="C229" s="550" t="s">
        <v>223</v>
      </c>
      <c r="D229" s="617" t="s">
        <v>224</v>
      </c>
      <c r="E229" s="618"/>
      <c r="F229" s="417">
        <v>103</v>
      </c>
      <c r="G229" s="619"/>
      <c r="H229" s="620"/>
    </row>
    <row r="230" spans="1:8" ht="12.75" customHeight="1" x14ac:dyDescent="0.2">
      <c r="A230" s="613"/>
      <c r="B230" s="614"/>
      <c r="C230" s="551"/>
      <c r="D230" s="563" t="s">
        <v>194</v>
      </c>
      <c r="E230" s="625"/>
      <c r="F230" s="627">
        <v>51</v>
      </c>
      <c r="G230" s="621"/>
      <c r="H230" s="622"/>
    </row>
    <row r="231" spans="1:8" ht="12.75" customHeight="1" x14ac:dyDescent="0.2">
      <c r="A231" s="613"/>
      <c r="B231" s="614"/>
      <c r="C231" s="415" t="s">
        <v>195</v>
      </c>
      <c r="D231" s="565"/>
      <c r="E231" s="626"/>
      <c r="F231" s="628"/>
      <c r="G231" s="621"/>
      <c r="H231" s="622"/>
    </row>
    <row r="232" spans="1:8" ht="12.75" customHeight="1" x14ac:dyDescent="0.2">
      <c r="A232" s="613"/>
      <c r="B232" s="614"/>
      <c r="C232" s="275" t="s">
        <v>196</v>
      </c>
      <c r="D232" s="570" t="s">
        <v>197</v>
      </c>
      <c r="E232" s="629"/>
      <c r="F232" s="416">
        <v>1</v>
      </c>
      <c r="G232" s="621"/>
      <c r="H232" s="622"/>
    </row>
    <row r="233" spans="1:8" ht="12.75" customHeight="1" x14ac:dyDescent="0.2">
      <c r="A233" s="613"/>
      <c r="B233" s="614"/>
      <c r="C233" s="630" t="s">
        <v>198</v>
      </c>
      <c r="D233" s="632" t="s">
        <v>199</v>
      </c>
      <c r="E233" s="633"/>
      <c r="F233" s="415" t="s">
        <v>200</v>
      </c>
      <c r="G233" s="621"/>
      <c r="H233" s="622"/>
    </row>
    <row r="234" spans="1:8" ht="12.75" customHeight="1" x14ac:dyDescent="0.2">
      <c r="A234" s="615"/>
      <c r="B234" s="616"/>
      <c r="C234" s="631"/>
      <c r="D234" s="634"/>
      <c r="E234" s="635"/>
      <c r="F234" s="277">
        <v>44216</v>
      </c>
      <c r="G234" s="623"/>
      <c r="H234" s="624"/>
    </row>
    <row r="235" spans="1:8" ht="12.75" customHeight="1" x14ac:dyDescent="0.2">
      <c r="A235" s="597"/>
      <c r="B235" s="598"/>
      <c r="C235" s="598"/>
      <c r="D235" s="598"/>
      <c r="E235" s="598"/>
      <c r="F235" s="598"/>
      <c r="G235" s="598"/>
      <c r="H235" s="599"/>
    </row>
    <row r="236" spans="1:8" ht="12.75" customHeight="1" x14ac:dyDescent="0.2">
      <c r="A236" s="641" t="str">
        <f>A178</f>
        <v>ADECUACION DE LA INFRAESTRUCTURA DE LA PLANTA DE BENEFICIO ANIMAL MEDIANTE EL MEJORAMIENTO DE CUBIERTA EN EL MUNICIPIO DE SAN MIGUEL PUTUMAYO</v>
      </c>
      <c r="B236" s="642"/>
      <c r="C236" s="642"/>
      <c r="D236" s="642"/>
      <c r="E236" s="642"/>
      <c r="F236" s="642"/>
      <c r="G236" s="642"/>
      <c r="H236" s="643"/>
    </row>
    <row r="237" spans="1:8" ht="12.75" customHeight="1" x14ac:dyDescent="0.2">
      <c r="A237" s="641"/>
      <c r="B237" s="642"/>
      <c r="C237" s="642"/>
      <c r="D237" s="642"/>
      <c r="E237" s="642"/>
      <c r="F237" s="642"/>
      <c r="G237" s="642"/>
      <c r="H237" s="643"/>
    </row>
    <row r="238" spans="1:8" ht="12.75" customHeight="1" thickBot="1" x14ac:dyDescent="0.25">
      <c r="A238" s="516"/>
      <c r="B238" s="517"/>
      <c r="C238" s="517"/>
      <c r="D238" s="517"/>
      <c r="E238" s="517"/>
      <c r="F238" s="517"/>
      <c r="G238" s="517"/>
      <c r="H238" s="518"/>
    </row>
    <row r="239" spans="1:8" ht="12.75" customHeight="1" thickBot="1" x14ac:dyDescent="0.25">
      <c r="A239" s="638" t="s">
        <v>26</v>
      </c>
      <c r="B239" s="639"/>
      <c r="C239" s="639"/>
      <c r="D239" s="639"/>
      <c r="E239" s="639"/>
      <c r="F239" s="639"/>
      <c r="G239" s="639"/>
      <c r="H239" s="640"/>
    </row>
    <row r="240" spans="1:8" ht="12.75" customHeight="1" thickBot="1" x14ac:dyDescent="0.25">
      <c r="A240" s="458"/>
      <c r="B240" s="459"/>
      <c r="C240" s="459"/>
      <c r="D240" s="459"/>
      <c r="E240" s="459"/>
      <c r="F240" s="459"/>
      <c r="G240" s="459"/>
      <c r="H240" s="460"/>
    </row>
    <row r="241" spans="1:8" ht="12.75" customHeight="1" thickBot="1" x14ac:dyDescent="0.25">
      <c r="A241" s="461">
        <f>+Presupuesto!A21</f>
        <v>2.2999999999999998</v>
      </c>
      <c r="B241" s="600" t="str">
        <f>+Presupuesto!B21</f>
        <v>CABALLETE EN LÁMINA GALVANIZADA CAL.28</v>
      </c>
      <c r="C241" s="601"/>
      <c r="D241" s="601"/>
      <c r="E241" s="601"/>
      <c r="F241" s="602"/>
      <c r="G241" s="462" t="s">
        <v>28</v>
      </c>
      <c r="H241" s="503" t="str">
        <f>+Presupuesto!D21</f>
        <v>ML</v>
      </c>
    </row>
    <row r="242" spans="1:8" ht="12.75" customHeight="1" x14ac:dyDescent="0.2">
      <c r="A242" s="464"/>
      <c r="H242" s="504"/>
    </row>
    <row r="243" spans="1:8" ht="12.75" customHeight="1" x14ac:dyDescent="0.2">
      <c r="A243" s="465" t="s">
        <v>29</v>
      </c>
      <c r="B243" s="594" t="s">
        <v>30</v>
      </c>
      <c r="C243" s="595"/>
      <c r="D243" s="595"/>
      <c r="E243" s="595"/>
      <c r="F243" s="595"/>
      <c r="G243" s="596"/>
      <c r="H243" s="504"/>
    </row>
    <row r="244" spans="1:8" ht="12.75" customHeight="1" x14ac:dyDescent="0.2">
      <c r="A244" s="466"/>
      <c r="B244" s="603" t="s">
        <v>31</v>
      </c>
      <c r="C244" s="604"/>
      <c r="D244" s="466" t="s">
        <v>32</v>
      </c>
      <c r="E244" s="466" t="s">
        <v>33</v>
      </c>
      <c r="F244" s="466" t="s">
        <v>34</v>
      </c>
      <c r="G244" s="466" t="s">
        <v>35</v>
      </c>
      <c r="H244" s="504"/>
    </row>
    <row r="245" spans="1:8" ht="12.75" customHeight="1" x14ac:dyDescent="0.2">
      <c r="A245" s="467"/>
      <c r="B245" s="605" t="s">
        <v>67</v>
      </c>
      <c r="C245" s="606"/>
      <c r="D245" s="467"/>
      <c r="E245" s="468"/>
      <c r="F245" s="468">
        <v>0.1</v>
      </c>
      <c r="G245" s="470">
        <f>H263*F245</f>
        <v>2288.4615384615386</v>
      </c>
      <c r="H245" s="505"/>
    </row>
    <row r="246" spans="1:8" ht="12.75" customHeight="1" x14ac:dyDescent="0.2">
      <c r="A246" s="467"/>
      <c r="B246" s="605" t="s">
        <v>263</v>
      </c>
      <c r="C246" s="606"/>
      <c r="D246" s="467" t="s">
        <v>304</v>
      </c>
      <c r="E246" s="468">
        <v>5000</v>
      </c>
      <c r="F246" s="468">
        <v>0.15</v>
      </c>
      <c r="G246" s="468">
        <f>E246*F246</f>
        <v>750</v>
      </c>
      <c r="H246" s="505"/>
    </row>
    <row r="247" spans="1:8" ht="12.75" customHeight="1" x14ac:dyDescent="0.2">
      <c r="A247" s="467"/>
      <c r="B247" s="603"/>
      <c r="C247" s="604"/>
      <c r="D247" s="467"/>
      <c r="E247" s="468"/>
      <c r="F247" s="468"/>
      <c r="G247" s="468"/>
      <c r="H247" s="507"/>
    </row>
    <row r="248" spans="1:8" ht="12.75" customHeight="1" x14ac:dyDescent="0.2">
      <c r="A248" s="471"/>
      <c r="E248" s="455" t="s">
        <v>36</v>
      </c>
      <c r="F248" s="455"/>
      <c r="G248" s="455"/>
      <c r="H248" s="506">
        <f>SUM(G245:G247)</f>
        <v>3038.4615384615386</v>
      </c>
    </row>
    <row r="249" spans="1:8" ht="12.75" customHeight="1" x14ac:dyDescent="0.2">
      <c r="A249" s="465" t="s">
        <v>37</v>
      </c>
      <c r="B249" s="594" t="s">
        <v>38</v>
      </c>
      <c r="C249" s="595"/>
      <c r="D249" s="595"/>
      <c r="E249" s="595"/>
      <c r="F249" s="595"/>
      <c r="G249" s="596"/>
      <c r="H249" s="507"/>
    </row>
    <row r="250" spans="1:8" ht="12.75" customHeight="1" x14ac:dyDescent="0.2">
      <c r="A250" s="466"/>
      <c r="B250" s="603" t="s">
        <v>31</v>
      </c>
      <c r="C250" s="604"/>
      <c r="D250" s="467" t="s">
        <v>12</v>
      </c>
      <c r="E250" s="472" t="s">
        <v>39</v>
      </c>
      <c r="F250" s="472" t="s">
        <v>40</v>
      </c>
      <c r="G250" s="472" t="s">
        <v>35</v>
      </c>
      <c r="H250" s="507"/>
    </row>
    <row r="251" spans="1:8" ht="12.75" customHeight="1" x14ac:dyDescent="0.2">
      <c r="A251" s="467"/>
      <c r="B251" s="607" t="s">
        <v>319</v>
      </c>
      <c r="C251" s="608"/>
      <c r="D251" s="473" t="s">
        <v>76</v>
      </c>
      <c r="E251" s="476">
        <v>0.3</v>
      </c>
      <c r="F251" s="477">
        <v>40000</v>
      </c>
      <c r="G251" s="468">
        <f>E251*F251</f>
        <v>12000</v>
      </c>
      <c r="H251" s="507"/>
    </row>
    <row r="252" spans="1:8" ht="12.75" customHeight="1" x14ac:dyDescent="0.2">
      <c r="A252" s="467"/>
      <c r="B252" s="607" t="s">
        <v>293</v>
      </c>
      <c r="C252" s="608"/>
      <c r="D252" s="473" t="s">
        <v>76</v>
      </c>
      <c r="E252" s="473">
        <v>4</v>
      </c>
      <c r="F252" s="477">
        <v>500</v>
      </c>
      <c r="G252" s="468">
        <f>+F252*E252</f>
        <v>2000</v>
      </c>
      <c r="H252" s="507"/>
    </row>
    <row r="253" spans="1:8" ht="12.75" customHeight="1" x14ac:dyDescent="0.2">
      <c r="A253" s="467"/>
      <c r="B253" s="607"/>
      <c r="C253" s="608"/>
      <c r="D253" s="473"/>
      <c r="E253" s="473"/>
      <c r="F253" s="477"/>
      <c r="G253" s="468">
        <f t="shared" ref="G253:G255" si="3">E253*F253</f>
        <v>0</v>
      </c>
      <c r="H253" s="507"/>
    </row>
    <row r="254" spans="1:8" ht="12.75" customHeight="1" x14ac:dyDescent="0.2">
      <c r="A254" s="467"/>
      <c r="B254" s="607"/>
      <c r="C254" s="608"/>
      <c r="D254" s="473"/>
      <c r="E254" s="473"/>
      <c r="F254" s="477"/>
      <c r="G254" s="468">
        <f t="shared" si="3"/>
        <v>0</v>
      </c>
      <c r="H254" s="507"/>
    </row>
    <row r="255" spans="1:8" ht="12.75" customHeight="1" x14ac:dyDescent="0.2">
      <c r="A255" s="467"/>
      <c r="B255" s="607"/>
      <c r="C255" s="608"/>
      <c r="D255" s="473"/>
      <c r="E255" s="466"/>
      <c r="F255" s="513"/>
      <c r="G255" s="468">
        <f t="shared" si="3"/>
        <v>0</v>
      </c>
      <c r="H255" s="507"/>
    </row>
    <row r="256" spans="1:8" ht="12.75" customHeight="1" x14ac:dyDescent="0.2">
      <c r="A256" s="467"/>
      <c r="B256" s="609"/>
      <c r="C256" s="610"/>
      <c r="D256" s="467"/>
      <c r="E256" s="480"/>
      <c r="F256" s="468"/>
      <c r="G256" s="468"/>
      <c r="H256" s="507"/>
    </row>
    <row r="257" spans="1:8" ht="12.75" customHeight="1" x14ac:dyDescent="0.2">
      <c r="A257" s="471" t="s">
        <v>41</v>
      </c>
      <c r="E257" s="455" t="s">
        <v>42</v>
      </c>
      <c r="F257" s="455"/>
      <c r="G257" s="455"/>
      <c r="H257" s="456">
        <f>(SUM(G251:G256))</f>
        <v>14000</v>
      </c>
    </row>
    <row r="258" spans="1:8" ht="12.75" customHeight="1" x14ac:dyDescent="0.2">
      <c r="A258" s="465" t="s">
        <v>43</v>
      </c>
      <c r="B258" s="594" t="s">
        <v>44</v>
      </c>
      <c r="C258" s="595"/>
      <c r="D258" s="595"/>
      <c r="E258" s="595"/>
      <c r="F258" s="595"/>
      <c r="G258" s="596"/>
      <c r="H258" s="507"/>
    </row>
    <row r="259" spans="1:8" ht="12.75" customHeight="1" x14ac:dyDescent="0.2">
      <c r="A259" s="467" t="s">
        <v>45</v>
      </c>
      <c r="B259" s="466" t="s">
        <v>31</v>
      </c>
      <c r="C259" s="466" t="s">
        <v>46</v>
      </c>
      <c r="D259" s="466" t="s">
        <v>47</v>
      </c>
      <c r="E259" s="472" t="s">
        <v>48</v>
      </c>
      <c r="F259" s="468" t="s">
        <v>34</v>
      </c>
      <c r="G259" s="468" t="s">
        <v>35</v>
      </c>
      <c r="H259" s="507"/>
    </row>
    <row r="260" spans="1:8" ht="12.75" customHeight="1" x14ac:dyDescent="0.2">
      <c r="A260" s="467">
        <v>1</v>
      </c>
      <c r="B260" s="467" t="s">
        <v>188</v>
      </c>
      <c r="C260" s="478">
        <v>60000</v>
      </c>
      <c r="D260" s="479">
        <v>0.75</v>
      </c>
      <c r="E260" s="480">
        <f>+(A260*C260)+(A260*C260*D260)</f>
        <v>105000</v>
      </c>
      <c r="F260" s="481">
        <v>13</v>
      </c>
      <c r="G260" s="470">
        <f>(E260)/(F260)</f>
        <v>8076.9230769230771</v>
      </c>
      <c r="H260" s="507"/>
    </row>
    <row r="261" spans="1:8" ht="12.75" customHeight="1" x14ac:dyDescent="0.2">
      <c r="A261" s="467">
        <v>1</v>
      </c>
      <c r="B261" s="467" t="s">
        <v>231</v>
      </c>
      <c r="C261" s="478">
        <v>110000</v>
      </c>
      <c r="D261" s="479">
        <v>0.75</v>
      </c>
      <c r="E261" s="480">
        <f>+(A261*C261)+(A261*C261*D261)</f>
        <v>192500</v>
      </c>
      <c r="F261" s="481">
        <v>13</v>
      </c>
      <c r="G261" s="470">
        <f>(E261)/(F261)</f>
        <v>14807.692307692309</v>
      </c>
      <c r="H261" s="507"/>
    </row>
    <row r="262" spans="1:8" ht="12.75" customHeight="1" x14ac:dyDescent="0.2">
      <c r="A262" s="467"/>
      <c r="B262" s="467"/>
      <c r="C262" s="467"/>
      <c r="D262" s="467"/>
      <c r="E262" s="468"/>
      <c r="F262" s="468"/>
      <c r="G262" s="468"/>
      <c r="H262" s="507"/>
    </row>
    <row r="263" spans="1:8" ht="12.75" customHeight="1" x14ac:dyDescent="0.2">
      <c r="A263" s="471"/>
      <c r="E263" s="455" t="s">
        <v>50</v>
      </c>
      <c r="F263" s="455"/>
      <c r="G263" s="455"/>
      <c r="H263" s="506">
        <f>SUM(G260)+(G261)</f>
        <v>22884.615384615387</v>
      </c>
    </row>
    <row r="264" spans="1:8" ht="12.75" customHeight="1" x14ac:dyDescent="0.2">
      <c r="A264" s="465" t="s">
        <v>51</v>
      </c>
      <c r="B264" s="594" t="s">
        <v>18</v>
      </c>
      <c r="C264" s="595"/>
      <c r="D264" s="595"/>
      <c r="E264" s="595"/>
      <c r="F264" s="595"/>
      <c r="G264" s="596"/>
      <c r="H264" s="507"/>
    </row>
    <row r="265" spans="1:8" ht="12.75" customHeight="1" x14ac:dyDescent="0.2">
      <c r="A265" s="467"/>
      <c r="B265" s="467" t="s">
        <v>31</v>
      </c>
      <c r="C265" s="466" t="s">
        <v>12</v>
      </c>
      <c r="D265" s="466" t="s">
        <v>13</v>
      </c>
      <c r="E265" s="466" t="s">
        <v>52</v>
      </c>
      <c r="F265" s="466"/>
      <c r="G265" s="468" t="s">
        <v>53</v>
      </c>
      <c r="H265" s="507"/>
    </row>
    <row r="266" spans="1:8" ht="12.75" customHeight="1" x14ac:dyDescent="0.2">
      <c r="A266" s="467"/>
      <c r="B266" s="467"/>
      <c r="C266" s="482"/>
      <c r="D266" s="467"/>
      <c r="E266" s="468"/>
      <c r="F266" s="468"/>
      <c r="G266" s="468"/>
      <c r="H266" s="507"/>
    </row>
    <row r="267" spans="1:8" ht="12.75" customHeight="1" x14ac:dyDescent="0.2">
      <c r="A267" s="467"/>
      <c r="B267" s="467"/>
      <c r="C267" s="480"/>
      <c r="D267" s="467"/>
      <c r="E267" s="468"/>
      <c r="F267" s="468"/>
      <c r="G267" s="468"/>
      <c r="H267" s="507"/>
    </row>
    <row r="268" spans="1:8" ht="12.75" customHeight="1" x14ac:dyDescent="0.2">
      <c r="A268" s="467"/>
      <c r="B268" s="467"/>
      <c r="C268" s="467"/>
      <c r="D268" s="467"/>
      <c r="E268" s="468"/>
      <c r="F268" s="468"/>
      <c r="G268" s="468"/>
      <c r="H268" s="507"/>
    </row>
    <row r="269" spans="1:8" ht="12.75" customHeight="1" x14ac:dyDescent="0.2">
      <c r="A269" s="471"/>
      <c r="E269" s="455" t="s">
        <v>50</v>
      </c>
      <c r="F269" s="455"/>
      <c r="G269" s="455"/>
      <c r="H269" s="507">
        <f>ROUND(SUM(G266)+(G267),0)</f>
        <v>0</v>
      </c>
    </row>
    <row r="270" spans="1:8" ht="12.75" customHeight="1" x14ac:dyDescent="0.2">
      <c r="A270" s="464"/>
      <c r="E270" s="455"/>
      <c r="F270" s="455"/>
      <c r="G270" s="455"/>
      <c r="H270" s="507"/>
    </row>
    <row r="271" spans="1:8" ht="12.75" customHeight="1" x14ac:dyDescent="0.2">
      <c r="A271" s="464"/>
      <c r="D271" s="483" t="s">
        <v>54</v>
      </c>
      <c r="E271" s="484"/>
      <c r="F271" s="484"/>
      <c r="G271" s="484"/>
      <c r="H271" s="506">
        <f>ROUND(SUM(H248:H270),2)</f>
        <v>39923.08</v>
      </c>
    </row>
    <row r="272" spans="1:8" ht="12.75" customHeight="1" x14ac:dyDescent="0.2">
      <c r="A272" s="464"/>
      <c r="E272" s="455"/>
      <c r="F272" s="455"/>
      <c r="G272" s="455"/>
      <c r="H272" s="507"/>
    </row>
    <row r="273" spans="1:8" ht="12.75" customHeight="1" x14ac:dyDescent="0.2">
      <c r="A273" s="465" t="s">
        <v>55</v>
      </c>
      <c r="B273" s="594" t="s">
        <v>56</v>
      </c>
      <c r="C273" s="595"/>
      <c r="D273" s="595"/>
      <c r="E273" s="595"/>
      <c r="F273" s="595"/>
      <c r="G273" s="596"/>
      <c r="H273" s="507"/>
    </row>
    <row r="274" spans="1:8" ht="12.75" customHeight="1" x14ac:dyDescent="0.2">
      <c r="A274" s="466"/>
      <c r="B274" s="466" t="s">
        <v>31</v>
      </c>
      <c r="C274" s="466" t="s">
        <v>57</v>
      </c>
      <c r="D274" s="467" t="s">
        <v>58</v>
      </c>
      <c r="E274" s="468"/>
      <c r="F274" s="468" t="s">
        <v>59</v>
      </c>
      <c r="G274" s="468"/>
      <c r="H274" s="507"/>
    </row>
    <row r="275" spans="1:8" ht="12.75" customHeight="1" x14ac:dyDescent="0.2">
      <c r="A275" s="467"/>
      <c r="B275" s="466" t="s">
        <v>60</v>
      </c>
      <c r="C275" s="479">
        <v>0.27</v>
      </c>
      <c r="D275" s="467"/>
      <c r="E275" s="480"/>
      <c r="F275" s="467"/>
      <c r="G275" s="470">
        <f>+H271*C275</f>
        <v>10779.231600000001</v>
      </c>
      <c r="H275" s="507"/>
    </row>
    <row r="276" spans="1:8" ht="12.75" customHeight="1" x14ac:dyDescent="0.2">
      <c r="A276" s="467"/>
      <c r="B276" s="466" t="s">
        <v>61</v>
      </c>
      <c r="C276" s="479">
        <v>0.02</v>
      </c>
      <c r="D276" s="467"/>
      <c r="E276" s="480"/>
      <c r="F276" s="467"/>
      <c r="G276" s="470">
        <f>+H271*C276</f>
        <v>798.46160000000009</v>
      </c>
      <c r="H276" s="507"/>
    </row>
    <row r="277" spans="1:8" ht="12.75" customHeight="1" x14ac:dyDescent="0.2">
      <c r="A277" s="467"/>
      <c r="B277" s="466" t="s">
        <v>62</v>
      </c>
      <c r="C277" s="479">
        <v>0.03</v>
      </c>
      <c r="D277" s="467"/>
      <c r="E277" s="480"/>
      <c r="F277" s="467"/>
      <c r="G277" s="470">
        <f>+H271*C277</f>
        <v>1197.6923999999999</v>
      </c>
      <c r="H277" s="507"/>
    </row>
    <row r="278" spans="1:8" ht="12.75" customHeight="1" x14ac:dyDescent="0.2">
      <c r="A278" s="464"/>
      <c r="D278" s="483" t="s">
        <v>63</v>
      </c>
      <c r="E278" s="484"/>
      <c r="F278" s="484"/>
      <c r="G278" s="484"/>
      <c r="H278" s="506">
        <f>SUM(G274:G277)</f>
        <v>12775.385600000001</v>
      </c>
    </row>
    <row r="279" spans="1:8" ht="12.75" customHeight="1" x14ac:dyDescent="0.2">
      <c r="A279" s="464"/>
      <c r="E279" s="455"/>
      <c r="F279" s="455"/>
      <c r="G279" s="455"/>
      <c r="H279" s="507"/>
    </row>
    <row r="280" spans="1:8" ht="12.75" customHeight="1" x14ac:dyDescent="0.2">
      <c r="A280" s="464"/>
      <c r="D280" s="483" t="s">
        <v>64</v>
      </c>
      <c r="E280" s="484"/>
      <c r="F280" s="484"/>
      <c r="G280" s="455"/>
      <c r="H280" s="506">
        <f>H271+H278</f>
        <v>52698.465600000003</v>
      </c>
    </row>
    <row r="281" spans="1:8" ht="12.75" customHeight="1" x14ac:dyDescent="0.2">
      <c r="A281" s="464"/>
      <c r="D281" s="483"/>
      <c r="E281" s="484"/>
      <c r="F281" s="484"/>
      <c r="G281" s="455"/>
      <c r="H281" s="507"/>
    </row>
    <row r="282" spans="1:8" ht="12.75" customHeight="1" x14ac:dyDescent="0.2">
      <c r="A282" s="464"/>
      <c r="E282" s="484"/>
      <c r="F282" s="484"/>
      <c r="G282" s="455"/>
      <c r="H282" s="507"/>
    </row>
    <row r="283" spans="1:8" ht="12.75" customHeight="1" x14ac:dyDescent="0.2">
      <c r="A283" s="464"/>
      <c r="B283" s="519"/>
      <c r="E283" s="421"/>
      <c r="F283" s="531"/>
      <c r="G283" s="520"/>
      <c r="H283" s="507"/>
    </row>
    <row r="284" spans="1:8" ht="12.75" customHeight="1" x14ac:dyDescent="0.2">
      <c r="A284" s="487" t="str">
        <f>A226</f>
        <v>ING ELEAZAR MASAH MORA ALDANA</v>
      </c>
      <c r="B284" s="523"/>
      <c r="C284" s="519"/>
      <c r="E284" s="524" t="str">
        <f>E226</f>
        <v>ARQ. GUILLERMO YAMID VALLEJOS BENAVIDES</v>
      </c>
      <c r="F284" s="523"/>
      <c r="G284" s="523"/>
      <c r="H284" s="511"/>
    </row>
    <row r="285" spans="1:8" ht="12.75" customHeight="1" x14ac:dyDescent="0.2">
      <c r="A285" s="488" t="str">
        <f t="shared" ref="A285:A286" si="4">A227</f>
        <v>APOYO PROFESIONAL SPOPM</v>
      </c>
      <c r="B285" s="454"/>
      <c r="E285" s="454" t="str">
        <f t="shared" ref="E285:E286" si="5">E227</f>
        <v>SECRETARIO DE PLANEACION Y OBRAS PUBLICAS</v>
      </c>
      <c r="F285" s="454"/>
      <c r="G285" s="454"/>
      <c r="H285" s="511"/>
    </row>
    <row r="286" spans="1:8" ht="12.75" customHeight="1" x14ac:dyDescent="0.2">
      <c r="A286" s="488" t="str">
        <f t="shared" si="4"/>
        <v>SAN MIGUEL - PUTUMAYO</v>
      </c>
      <c r="B286" s="489"/>
      <c r="C286" s="485"/>
      <c r="D286" s="485"/>
      <c r="E286" s="454" t="str">
        <f t="shared" si="5"/>
        <v>SAN MIGUEL - PUTUMAYO</v>
      </c>
      <c r="F286" s="489"/>
      <c r="G286" s="489"/>
      <c r="H286" s="512"/>
    </row>
  </sheetData>
  <mergeCells count="141">
    <mergeCell ref="A178:H179"/>
    <mergeCell ref="A181:H181"/>
    <mergeCell ref="A236:H237"/>
    <mergeCell ref="A239:H239"/>
    <mergeCell ref="B86:G86"/>
    <mergeCell ref="B13:F13"/>
    <mergeCell ref="B15:G15"/>
    <mergeCell ref="B16:C16"/>
    <mergeCell ref="B17:C17"/>
    <mergeCell ref="B76:C76"/>
    <mergeCell ref="B78:G78"/>
    <mergeCell ref="B79:C79"/>
    <mergeCell ref="B80:C80"/>
    <mergeCell ref="B81:C81"/>
    <mergeCell ref="B18:C18"/>
    <mergeCell ref="B19:C19"/>
    <mergeCell ref="B21:G21"/>
    <mergeCell ref="B29:G29"/>
    <mergeCell ref="B35:G35"/>
    <mergeCell ref="B24:C24"/>
    <mergeCell ref="B25:C25"/>
    <mergeCell ref="B26:C26"/>
    <mergeCell ref="B27:C27"/>
    <mergeCell ref="D62:E63"/>
    <mergeCell ref="A65:H66"/>
    <mergeCell ref="B83:C83"/>
    <mergeCell ref="B84:C84"/>
    <mergeCell ref="A64:H64"/>
    <mergeCell ref="A1:B6"/>
    <mergeCell ref="C1:C2"/>
    <mergeCell ref="D4:E4"/>
    <mergeCell ref="C5:C6"/>
    <mergeCell ref="D5:E6"/>
    <mergeCell ref="D1:E1"/>
    <mergeCell ref="G1:H6"/>
    <mergeCell ref="D2:E3"/>
    <mergeCell ref="F2:F3"/>
    <mergeCell ref="B22:C22"/>
    <mergeCell ref="B23:C23"/>
    <mergeCell ref="A8:H9"/>
    <mergeCell ref="A11:H11"/>
    <mergeCell ref="B130:C130"/>
    <mergeCell ref="B131:C131"/>
    <mergeCell ref="B134:C134"/>
    <mergeCell ref="B133:G133"/>
    <mergeCell ref="B101:G101"/>
    <mergeCell ref="B44:G44"/>
    <mergeCell ref="A58:B63"/>
    <mergeCell ref="C58:C59"/>
    <mergeCell ref="D58:E58"/>
    <mergeCell ref="G58:H63"/>
    <mergeCell ref="D59:E60"/>
    <mergeCell ref="F59:F60"/>
    <mergeCell ref="D61:E61"/>
    <mergeCell ref="C62:C63"/>
    <mergeCell ref="B92:G92"/>
    <mergeCell ref="A68:H68"/>
    <mergeCell ref="B70:F70"/>
    <mergeCell ref="B72:G72"/>
    <mergeCell ref="B73:C73"/>
    <mergeCell ref="B74:C74"/>
    <mergeCell ref="B75:C75"/>
    <mergeCell ref="B82:C82"/>
    <mergeCell ref="A121:H122"/>
    <mergeCell ref="A124:H124"/>
    <mergeCell ref="A114:B119"/>
    <mergeCell ref="C114:C115"/>
    <mergeCell ref="D114:E114"/>
    <mergeCell ref="G114:H119"/>
    <mergeCell ref="D115:E116"/>
    <mergeCell ref="F115:F116"/>
    <mergeCell ref="D117:E117"/>
    <mergeCell ref="C118:C119"/>
    <mergeCell ref="D118:E119"/>
    <mergeCell ref="A120:H120"/>
    <mergeCell ref="B135:C135"/>
    <mergeCell ref="B136:C136"/>
    <mergeCell ref="B140:C140"/>
    <mergeCell ref="B142:G142"/>
    <mergeCell ref="A177:H177"/>
    <mergeCell ref="B183:F183"/>
    <mergeCell ref="B157:G157"/>
    <mergeCell ref="B137:C137"/>
    <mergeCell ref="A171:B176"/>
    <mergeCell ref="C171:C172"/>
    <mergeCell ref="D171:E171"/>
    <mergeCell ref="G171:H176"/>
    <mergeCell ref="D172:E173"/>
    <mergeCell ref="F172:F173"/>
    <mergeCell ref="D174:E174"/>
    <mergeCell ref="C175:C176"/>
    <mergeCell ref="D175:E176"/>
    <mergeCell ref="B148:G148"/>
    <mergeCell ref="B138:C138"/>
    <mergeCell ref="B139:C139"/>
    <mergeCell ref="B126:F126"/>
    <mergeCell ref="B128:G128"/>
    <mergeCell ref="B129:C129"/>
    <mergeCell ref="B185:G185"/>
    <mergeCell ref="B186:C186"/>
    <mergeCell ref="B187:C187"/>
    <mergeCell ref="B188:C188"/>
    <mergeCell ref="B189:C189"/>
    <mergeCell ref="B192:C192"/>
    <mergeCell ref="B191:G191"/>
    <mergeCell ref="B193:C193"/>
    <mergeCell ref="B194:C194"/>
    <mergeCell ref="B195:C195"/>
    <mergeCell ref="B196:C196"/>
    <mergeCell ref="B197:C197"/>
    <mergeCell ref="B198:C198"/>
    <mergeCell ref="B200:G200"/>
    <mergeCell ref="B206:G206"/>
    <mergeCell ref="B215:G215"/>
    <mergeCell ref="B273:G273"/>
    <mergeCell ref="A229:B234"/>
    <mergeCell ref="C229:C230"/>
    <mergeCell ref="D229:E229"/>
    <mergeCell ref="G229:H234"/>
    <mergeCell ref="D230:E231"/>
    <mergeCell ref="F230:F231"/>
    <mergeCell ref="D232:E232"/>
    <mergeCell ref="C233:C234"/>
    <mergeCell ref="D233:E234"/>
    <mergeCell ref="B250:C250"/>
    <mergeCell ref="B251:C251"/>
    <mergeCell ref="B252:C252"/>
    <mergeCell ref="B253:C253"/>
    <mergeCell ref="B254:C254"/>
    <mergeCell ref="B255:C255"/>
    <mergeCell ref="B256:C256"/>
    <mergeCell ref="B258:G258"/>
    <mergeCell ref="B264:G264"/>
    <mergeCell ref="A235:H235"/>
    <mergeCell ref="B241:F241"/>
    <mergeCell ref="B243:G243"/>
    <mergeCell ref="B244:C244"/>
    <mergeCell ref="B245:C245"/>
    <mergeCell ref="B246:C246"/>
    <mergeCell ref="B247:C247"/>
    <mergeCell ref="B249:G249"/>
  </mergeCells>
  <phoneticPr fontId="2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77" orientation="portrait" r:id="rId1"/>
  <rowBreaks count="4" manualBreakCount="4">
    <brk id="57" max="7" man="1"/>
    <brk id="113" max="7" man="1"/>
    <brk id="170" max="7" man="1"/>
    <brk id="228" max="7" man="1"/>
  </rowBreaks>
  <ignoredErrors>
    <ignoredError sqref="G252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"/>
  <sheetViews>
    <sheetView view="pageBreakPreview" zoomScale="75" zoomScaleNormal="80" zoomScaleSheetLayoutView="75" workbookViewId="0">
      <selection activeCell="D19" sqref="D19"/>
    </sheetView>
  </sheetViews>
  <sheetFormatPr baseColWidth="10" defaultColWidth="11.42578125" defaultRowHeight="15" outlineLevelCol="1" x14ac:dyDescent="0.2"/>
  <cols>
    <col min="1" max="1" width="7.140625" style="153" customWidth="1"/>
    <col min="2" max="2" width="47.85546875" style="154" customWidth="1"/>
    <col min="3" max="3" width="11.7109375" style="155" customWidth="1"/>
    <col min="4" max="4" width="11.7109375" style="154" customWidth="1"/>
    <col min="5" max="5" width="14.5703125" style="154" customWidth="1"/>
    <col min="6" max="6" width="20.28515625" style="156" customWidth="1"/>
    <col min="7" max="7" width="28" style="157" customWidth="1"/>
    <col min="8" max="8" width="24.85546875" style="157" customWidth="1"/>
    <col min="9" max="9" width="24.85546875" style="5" customWidth="1"/>
    <col min="10" max="10" width="25.28515625" style="5" customWidth="1"/>
    <col min="11" max="11" width="20.28515625" style="4" customWidth="1"/>
    <col min="12" max="16" width="19.85546875" style="5" hidden="1" customWidth="1" outlineLevel="1"/>
    <col min="17" max="17" width="23.140625" style="5" hidden="1" customWidth="1" outlineLevel="1"/>
    <col min="18" max="20" width="11.42578125" style="4" hidden="1" customWidth="1" outlineLevel="1"/>
    <col min="21" max="21" width="23.28515625" style="7" customWidth="1" collapsed="1"/>
    <col min="22" max="22" width="24.7109375" style="7" customWidth="1"/>
    <col min="23" max="23" width="23.28515625" style="7" customWidth="1"/>
    <col min="24" max="24" width="23.7109375" style="7" customWidth="1"/>
    <col min="25" max="25" width="26.28515625" style="7" customWidth="1"/>
    <col min="26" max="26" width="23.85546875" style="7" customWidth="1"/>
    <col min="27" max="27" width="17.85546875" style="4" bestFit="1" customWidth="1"/>
    <col min="28" max="28" width="11.42578125" style="4"/>
    <col min="29" max="29" width="30" style="4" customWidth="1"/>
    <col min="30" max="30" width="22.140625" style="6" customWidth="1"/>
    <col min="31" max="16384" width="11.42578125" style="4"/>
  </cols>
  <sheetData>
    <row r="1" spans="1:10" ht="20.25" customHeight="1" thickBot="1" x14ac:dyDescent="0.25">
      <c r="J1" s="3"/>
    </row>
    <row r="2" spans="1:10" ht="20.25" customHeight="1" thickBot="1" x14ac:dyDescent="0.25">
      <c r="A2" s="656" t="s">
        <v>151</v>
      </c>
      <c r="B2" s="657"/>
      <c r="C2" s="657"/>
      <c r="D2" s="657"/>
      <c r="E2" s="657"/>
      <c r="F2" s="658"/>
      <c r="G2" s="665" t="s">
        <v>70</v>
      </c>
      <c r="H2" s="653" t="s">
        <v>71</v>
      </c>
      <c r="J2" s="3"/>
    </row>
    <row r="3" spans="1:10" ht="26.25" customHeight="1" x14ac:dyDescent="0.2">
      <c r="A3" s="659" t="s">
        <v>150</v>
      </c>
      <c r="B3" s="660"/>
      <c r="C3" s="660"/>
      <c r="D3" s="660"/>
      <c r="E3" s="660"/>
      <c r="F3" s="661"/>
      <c r="G3" s="666"/>
      <c r="H3" s="654"/>
      <c r="J3" s="3"/>
    </row>
    <row r="4" spans="1:10" ht="31.5" customHeight="1" thickBot="1" x14ac:dyDescent="0.25">
      <c r="A4" s="662"/>
      <c r="B4" s="663"/>
      <c r="C4" s="663"/>
      <c r="D4" s="663"/>
      <c r="E4" s="663"/>
      <c r="F4" s="664"/>
      <c r="G4" s="667"/>
      <c r="H4" s="655"/>
      <c r="J4" s="3"/>
    </row>
    <row r="5" spans="1:10" ht="20.25" customHeight="1" x14ac:dyDescent="0.2">
      <c r="A5" s="118" t="s">
        <v>3</v>
      </c>
      <c r="B5" s="119" t="s">
        <v>19</v>
      </c>
      <c r="C5" s="119" t="s">
        <v>20</v>
      </c>
      <c r="D5" s="119" t="s">
        <v>21</v>
      </c>
      <c r="E5" s="120" t="s">
        <v>22</v>
      </c>
      <c r="F5" s="121" t="s">
        <v>23</v>
      </c>
      <c r="G5" s="158"/>
      <c r="H5" s="159"/>
      <c r="J5" s="3"/>
    </row>
    <row r="6" spans="1:10" ht="20.25" customHeight="1" x14ac:dyDescent="0.2">
      <c r="A6" s="122">
        <v>1</v>
      </c>
      <c r="B6" s="123" t="s">
        <v>14</v>
      </c>
      <c r="C6" s="123"/>
      <c r="D6" s="123"/>
      <c r="E6" s="123"/>
      <c r="F6" s="124"/>
      <c r="G6" s="160"/>
      <c r="H6" s="135"/>
      <c r="J6" s="3"/>
    </row>
    <row r="7" spans="1:10" ht="20.25" customHeight="1" x14ac:dyDescent="0.2">
      <c r="A7" s="125">
        <v>1.1000000000000001</v>
      </c>
      <c r="B7" s="126" t="s">
        <v>66</v>
      </c>
      <c r="C7" s="127" t="s">
        <v>16</v>
      </c>
      <c r="D7" s="128" t="e">
        <f>+Presupuesto!#REF!</f>
        <v>#REF!</v>
      </c>
      <c r="E7" s="129" t="e">
        <f>+Presupuesto!#REF!</f>
        <v>#REF!</v>
      </c>
      <c r="F7" s="130" t="e">
        <f>ROUND((D7*E7),0)</f>
        <v>#REF!</v>
      </c>
      <c r="G7" s="160" t="e">
        <f>+F7</f>
        <v>#REF!</v>
      </c>
      <c r="H7" s="135"/>
      <c r="J7" s="3"/>
    </row>
    <row r="8" spans="1:10" ht="20.25" customHeight="1" x14ac:dyDescent="0.2">
      <c r="A8" s="125"/>
      <c r="B8" s="131" t="s">
        <v>24</v>
      </c>
      <c r="C8" s="132"/>
      <c r="D8" s="132"/>
      <c r="E8" s="129"/>
      <c r="F8" s="133" t="e">
        <f>+F7</f>
        <v>#REF!</v>
      </c>
      <c r="G8" s="160"/>
      <c r="H8" s="135"/>
      <c r="J8" s="3"/>
    </row>
    <row r="9" spans="1:10" ht="20.25" customHeight="1" x14ac:dyDescent="0.2">
      <c r="A9" s="134">
        <v>2</v>
      </c>
      <c r="B9" s="131" t="s">
        <v>137</v>
      </c>
      <c r="C9" s="132"/>
      <c r="D9" s="132"/>
      <c r="E9" s="129"/>
      <c r="F9" s="135"/>
      <c r="G9" s="160"/>
      <c r="H9" s="135"/>
      <c r="J9" s="176">
        <v>2.5499999999999998</v>
      </c>
    </row>
    <row r="10" spans="1:10" ht="20.25" customHeight="1" x14ac:dyDescent="0.2">
      <c r="A10" s="125">
        <v>2.1</v>
      </c>
      <c r="B10" s="126" t="s">
        <v>73</v>
      </c>
      <c r="C10" s="132" t="s">
        <v>17</v>
      </c>
      <c r="D10" s="128" t="e">
        <f>+Presupuesto!#REF!</f>
        <v>#REF!</v>
      </c>
      <c r="E10" s="129" t="e">
        <f>+Presupuesto!#REF!</f>
        <v>#REF!</v>
      </c>
      <c r="F10" s="130" t="e">
        <f>ROUND((D10*E10),0)</f>
        <v>#REF!</v>
      </c>
      <c r="G10" s="160" t="e">
        <f t="shared" ref="G10:G15" si="0">+F10</f>
        <v>#REF!</v>
      </c>
      <c r="H10" s="135"/>
      <c r="J10" s="176">
        <v>5</v>
      </c>
    </row>
    <row r="11" spans="1:10" ht="20.25" customHeight="1" x14ac:dyDescent="0.2">
      <c r="A11" s="125">
        <v>2.2000000000000002</v>
      </c>
      <c r="B11" s="126" t="s">
        <v>129</v>
      </c>
      <c r="C11" s="132" t="s">
        <v>75</v>
      </c>
      <c r="D11" s="128" t="e">
        <f>+Presupuesto!#REF!</f>
        <v>#REF!</v>
      </c>
      <c r="E11" s="129" t="e">
        <f>+Presupuesto!#REF!</f>
        <v>#REF!</v>
      </c>
      <c r="F11" s="130" t="e">
        <f t="shared" ref="F11:F19" si="1">ROUND((D11*E11),0)</f>
        <v>#REF!</v>
      </c>
      <c r="G11" s="160" t="e">
        <f t="shared" si="0"/>
        <v>#REF!</v>
      </c>
      <c r="H11" s="135"/>
      <c r="J11" s="176">
        <v>2.4000000000000004</v>
      </c>
    </row>
    <row r="12" spans="1:10" ht="20.25" customHeight="1" x14ac:dyDescent="0.2">
      <c r="A12" s="125">
        <v>2.2999999999999998</v>
      </c>
      <c r="B12" s="126" t="s">
        <v>138</v>
      </c>
      <c r="C12" s="132" t="s">
        <v>17</v>
      </c>
      <c r="D12" s="128" t="e">
        <f>+Presupuesto!#REF!</f>
        <v>#REF!</v>
      </c>
      <c r="E12" s="129" t="e">
        <f>+Presupuesto!#REF!</f>
        <v>#REF!</v>
      </c>
      <c r="F12" s="130" t="e">
        <f t="shared" si="1"/>
        <v>#REF!</v>
      </c>
      <c r="G12" s="160" t="e">
        <f t="shared" si="0"/>
        <v>#REF!</v>
      </c>
      <c r="H12" s="135"/>
      <c r="J12" s="176">
        <v>1.7999999999999998</v>
      </c>
    </row>
    <row r="13" spans="1:10" ht="20.25" customHeight="1" x14ac:dyDescent="0.2">
      <c r="A13" s="125">
        <v>2.4</v>
      </c>
      <c r="B13" s="126" t="s">
        <v>141</v>
      </c>
      <c r="C13" s="132" t="s">
        <v>17</v>
      </c>
      <c r="D13" s="128" t="e">
        <f>+Presupuesto!#REF!</f>
        <v>#REF!</v>
      </c>
      <c r="E13" s="129" t="e">
        <f>+Presupuesto!#REF!</f>
        <v>#REF!</v>
      </c>
      <c r="F13" s="130" t="e">
        <f t="shared" si="1"/>
        <v>#REF!</v>
      </c>
      <c r="G13" s="160" t="e">
        <f t="shared" si="0"/>
        <v>#REF!</v>
      </c>
      <c r="H13" s="135"/>
      <c r="J13" s="176">
        <v>3.4</v>
      </c>
    </row>
    <row r="14" spans="1:10" ht="20.25" customHeight="1" x14ac:dyDescent="0.2">
      <c r="A14" s="125">
        <v>2.5</v>
      </c>
      <c r="B14" s="126" t="s">
        <v>139</v>
      </c>
      <c r="C14" s="132" t="s">
        <v>75</v>
      </c>
      <c r="D14" s="128" t="e">
        <f>+Presupuesto!#REF!</f>
        <v>#REF!</v>
      </c>
      <c r="E14" s="129" t="e">
        <f>+Presupuesto!#REF!</f>
        <v>#REF!</v>
      </c>
      <c r="F14" s="130" t="e">
        <f t="shared" si="1"/>
        <v>#REF!</v>
      </c>
      <c r="G14" s="160" t="e">
        <f t="shared" si="0"/>
        <v>#REF!</v>
      </c>
      <c r="H14" s="135"/>
      <c r="J14" s="177">
        <v>2</v>
      </c>
    </row>
    <row r="15" spans="1:10" ht="20.25" customHeight="1" x14ac:dyDescent="0.2">
      <c r="A15" s="137">
        <v>2.6</v>
      </c>
      <c r="B15" s="138" t="s">
        <v>143</v>
      </c>
      <c r="C15" s="139" t="s">
        <v>76</v>
      </c>
      <c r="D15" s="140" t="e">
        <f>+Presupuesto!#REF!</f>
        <v>#REF!</v>
      </c>
      <c r="E15" s="141" t="e">
        <f>+Presupuesto!#REF!</f>
        <v>#REF!</v>
      </c>
      <c r="F15" s="130" t="e">
        <f t="shared" si="1"/>
        <v>#REF!</v>
      </c>
      <c r="G15" s="160" t="e">
        <f t="shared" si="0"/>
        <v>#REF!</v>
      </c>
      <c r="H15" s="135"/>
      <c r="J15" s="178">
        <v>6.6000000000000005</v>
      </c>
    </row>
    <row r="16" spans="1:10" ht="27" customHeight="1" x14ac:dyDescent="0.2">
      <c r="A16" s="137">
        <v>2.7</v>
      </c>
      <c r="B16" s="142" t="s">
        <v>142</v>
      </c>
      <c r="C16" s="143" t="s">
        <v>17</v>
      </c>
      <c r="D16" s="144" t="e">
        <f>+Presupuesto!#REF!</f>
        <v>#REF!</v>
      </c>
      <c r="E16" s="145" t="e">
        <f>+Presupuesto!#REF!</f>
        <v>#REF!</v>
      </c>
      <c r="F16" s="130" t="e">
        <f t="shared" si="1"/>
        <v>#REF!</v>
      </c>
      <c r="G16" s="160"/>
      <c r="H16" s="135" t="e">
        <f>+F16</f>
        <v>#REF!</v>
      </c>
      <c r="J16" s="175">
        <v>1.2000000000000002</v>
      </c>
    </row>
    <row r="17" spans="1:27" ht="20.25" customHeight="1" x14ac:dyDescent="0.2">
      <c r="A17" s="125">
        <v>2.8</v>
      </c>
      <c r="B17" s="126" t="s">
        <v>127</v>
      </c>
      <c r="C17" s="127" t="s">
        <v>17</v>
      </c>
      <c r="D17" s="127" t="e">
        <f>+Presupuesto!#REF!</f>
        <v>#REF!</v>
      </c>
      <c r="E17" s="129" t="e">
        <f>+Presupuesto!#REF!</f>
        <v>#REF!</v>
      </c>
      <c r="F17" s="130" t="e">
        <f t="shared" si="1"/>
        <v>#REF!</v>
      </c>
      <c r="G17" s="160"/>
      <c r="H17" s="135" t="e">
        <f>+F17</f>
        <v>#REF!</v>
      </c>
      <c r="J17" s="175">
        <v>2.4000000000000004</v>
      </c>
    </row>
    <row r="18" spans="1:27" ht="27" customHeight="1" x14ac:dyDescent="0.2">
      <c r="A18" s="125">
        <v>2.9</v>
      </c>
      <c r="B18" s="146" t="s">
        <v>144</v>
      </c>
      <c r="C18" s="127" t="s">
        <v>16</v>
      </c>
      <c r="D18" s="127" t="e">
        <f>+Presupuesto!#REF!</f>
        <v>#REF!</v>
      </c>
      <c r="E18" s="129" t="e">
        <f>+Presupuesto!#REF!</f>
        <v>#REF!</v>
      </c>
      <c r="F18" s="130" t="e">
        <f t="shared" si="1"/>
        <v>#REF!</v>
      </c>
      <c r="G18" s="160"/>
      <c r="H18" s="135" t="e">
        <f>+F18</f>
        <v>#REF!</v>
      </c>
      <c r="J18" s="175">
        <v>6</v>
      </c>
    </row>
    <row r="19" spans="1:27" ht="27.75" customHeight="1" x14ac:dyDescent="0.2">
      <c r="A19" s="147" t="e">
        <f>+Presupuesto!#REF!</f>
        <v>#REF!</v>
      </c>
      <c r="B19" s="146" t="s">
        <v>131</v>
      </c>
      <c r="C19" s="127" t="s">
        <v>16</v>
      </c>
      <c r="D19" s="127" t="e">
        <f>+Presupuesto!#REF!</f>
        <v>#REF!</v>
      </c>
      <c r="E19" s="129" t="e">
        <f>+Presupuesto!#REF!</f>
        <v>#REF!</v>
      </c>
      <c r="F19" s="130" t="e">
        <f t="shared" si="1"/>
        <v>#REF!</v>
      </c>
      <c r="G19" s="160"/>
      <c r="H19" s="135" t="e">
        <f>+F19</f>
        <v>#REF!</v>
      </c>
      <c r="J19" s="3"/>
    </row>
    <row r="20" spans="1:27" ht="20.25" customHeight="1" x14ac:dyDescent="0.2">
      <c r="A20" s="125"/>
      <c r="B20" s="131" t="s">
        <v>24</v>
      </c>
      <c r="C20" s="132"/>
      <c r="D20" s="132"/>
      <c r="E20" s="129"/>
      <c r="F20" s="133" t="e">
        <f>+F10+F11+F12+F13+F14+F15+F16+F17+F18+F19</f>
        <v>#REF!</v>
      </c>
      <c r="G20" s="160"/>
      <c r="H20" s="135"/>
      <c r="J20" s="3"/>
    </row>
    <row r="21" spans="1:27" ht="20.25" customHeight="1" x14ac:dyDescent="0.2">
      <c r="A21" s="148">
        <v>3</v>
      </c>
      <c r="B21" s="123" t="s">
        <v>146</v>
      </c>
      <c r="C21" s="127"/>
      <c r="D21" s="127"/>
      <c r="E21" s="129"/>
      <c r="F21" s="136"/>
      <c r="G21" s="160"/>
      <c r="H21" s="135"/>
      <c r="J21" s="3"/>
    </row>
    <row r="22" spans="1:27" ht="20.25" customHeight="1" x14ac:dyDescent="0.2">
      <c r="A22" s="125">
        <v>3.1</v>
      </c>
      <c r="B22" s="146" t="s">
        <v>147</v>
      </c>
      <c r="C22" s="127" t="s">
        <v>75</v>
      </c>
      <c r="D22" s="127" t="e">
        <f>+Presupuesto!#REF!</f>
        <v>#REF!</v>
      </c>
      <c r="E22" s="129" t="e">
        <f>+Presupuesto!#REF!</f>
        <v>#REF!</v>
      </c>
      <c r="F22" s="130" t="e">
        <f t="shared" ref="F22:F24" si="2">ROUND((D22*E22),0)</f>
        <v>#REF!</v>
      </c>
      <c r="G22" s="160"/>
      <c r="H22" s="135" t="e">
        <f>+F22</f>
        <v>#REF!</v>
      </c>
      <c r="J22" s="3"/>
    </row>
    <row r="23" spans="1:27" ht="20.25" customHeight="1" x14ac:dyDescent="0.2">
      <c r="A23" s="125">
        <v>3.2</v>
      </c>
      <c r="B23" s="146" t="s">
        <v>148</v>
      </c>
      <c r="C23" s="127" t="s">
        <v>76</v>
      </c>
      <c r="D23" s="127">
        <f>+'Memoria de Cantidades'!J48</f>
        <v>34</v>
      </c>
      <c r="E23" s="129" t="e">
        <f>+Presupuesto!#REF!</f>
        <v>#REF!</v>
      </c>
      <c r="F23" s="130" t="e">
        <f t="shared" si="2"/>
        <v>#REF!</v>
      </c>
      <c r="G23" s="160"/>
      <c r="H23" s="135" t="e">
        <f>+F23</f>
        <v>#REF!</v>
      </c>
      <c r="J23" s="3"/>
    </row>
    <row r="24" spans="1:27" ht="20.25" customHeight="1" thickBot="1" x14ac:dyDescent="0.25">
      <c r="A24" s="125">
        <v>3.3</v>
      </c>
      <c r="B24" s="146" t="s">
        <v>149</v>
      </c>
      <c r="C24" s="127" t="s">
        <v>76</v>
      </c>
      <c r="D24" s="127">
        <f>+'Memoria de Cantidades'!J50</f>
        <v>11</v>
      </c>
      <c r="E24" s="129" t="e">
        <f>+Presupuesto!#REF!</f>
        <v>#REF!</v>
      </c>
      <c r="F24" s="130" t="e">
        <f t="shared" si="2"/>
        <v>#REF!</v>
      </c>
      <c r="G24" s="161"/>
      <c r="H24" s="162" t="e">
        <f>+F24</f>
        <v>#REF!</v>
      </c>
      <c r="J24" s="3"/>
    </row>
    <row r="25" spans="1:27" ht="20.25" customHeight="1" thickBot="1" x14ac:dyDescent="0.25">
      <c r="A25" s="125"/>
      <c r="B25" s="131" t="s">
        <v>24</v>
      </c>
      <c r="C25" s="132"/>
      <c r="D25" s="132"/>
      <c r="E25" s="129"/>
      <c r="F25" s="149" t="e">
        <f>+F22+F23+F24</f>
        <v>#REF!</v>
      </c>
      <c r="G25" s="163" t="e">
        <f>SUM(G7:G24)</f>
        <v>#REF!</v>
      </c>
      <c r="H25" s="164" t="e">
        <f>SUM(H16:H24)</f>
        <v>#REF!</v>
      </c>
      <c r="J25" s="3"/>
    </row>
    <row r="26" spans="1:27" ht="20.25" customHeight="1" thickBot="1" x14ac:dyDescent="0.25">
      <c r="A26" s="150"/>
      <c r="B26" s="151" t="s">
        <v>25</v>
      </c>
      <c r="C26" s="151"/>
      <c r="D26" s="151"/>
      <c r="E26" s="151"/>
      <c r="F26" s="152" t="e">
        <f>+F8+F20+F25</f>
        <v>#REF!</v>
      </c>
      <c r="G26" s="165"/>
      <c r="H26" s="165"/>
      <c r="J26" s="3"/>
    </row>
    <row r="27" spans="1:27" ht="15" customHeight="1" x14ac:dyDescent="0.2">
      <c r="J27" s="3"/>
    </row>
    <row r="28" spans="1:27" x14ac:dyDescent="0.2">
      <c r="F28" s="166"/>
      <c r="J28" s="3"/>
    </row>
    <row r="29" spans="1:27" ht="17.25" customHeight="1" x14ac:dyDescent="0.2">
      <c r="B29" s="167" t="str">
        <f>+'Memoria de Cantidades'!B52</f>
        <v>ALABORÓ:</v>
      </c>
      <c r="C29" s="167"/>
      <c r="D29" s="167"/>
      <c r="E29" s="167"/>
      <c r="F29" s="166" t="str">
        <f>+'Memoria de Cantidades'!E52</f>
        <v>Vo.Bo.</v>
      </c>
      <c r="J29" s="3"/>
      <c r="K29" s="8"/>
    </row>
    <row r="30" spans="1:27" ht="17.25" customHeight="1" x14ac:dyDescent="0.25">
      <c r="C30" s="652"/>
      <c r="D30" s="652"/>
      <c r="E30" s="652"/>
      <c r="F30" s="652"/>
      <c r="J30" s="3"/>
      <c r="L30" s="10"/>
      <c r="M30" s="10"/>
      <c r="N30" s="10"/>
      <c r="O30" s="10"/>
      <c r="P30" s="10"/>
      <c r="Q30" s="10"/>
      <c r="R30" s="9"/>
      <c r="S30" s="9"/>
      <c r="T30" s="9"/>
      <c r="U30" s="11"/>
      <c r="V30" s="11"/>
      <c r="W30" s="11"/>
      <c r="X30" s="11"/>
      <c r="Y30" s="11"/>
      <c r="Z30" s="12"/>
    </row>
    <row r="31" spans="1:27" ht="17.25" customHeight="1" x14ac:dyDescent="0.2">
      <c r="C31" s="167"/>
      <c r="D31" s="167"/>
      <c r="E31" s="167"/>
      <c r="F31" s="166"/>
      <c r="J31" s="3"/>
      <c r="U31" s="12"/>
      <c r="V31" s="12"/>
      <c r="W31" s="12"/>
      <c r="X31" s="12"/>
      <c r="Y31" s="12"/>
      <c r="Z31" s="12"/>
      <c r="AA31" s="8"/>
    </row>
    <row r="32" spans="1:27" ht="17.25" customHeight="1" x14ac:dyDescent="0.2">
      <c r="C32" s="167"/>
      <c r="D32" s="167"/>
      <c r="E32" s="167"/>
      <c r="F32" s="166"/>
      <c r="J32" s="3"/>
      <c r="U32" s="12"/>
      <c r="V32" s="12"/>
      <c r="W32" s="12"/>
      <c r="X32" s="12"/>
      <c r="Y32" s="12"/>
      <c r="Z32" s="12"/>
      <c r="AA32" s="8"/>
    </row>
    <row r="33" spans="2:27" ht="17.25" customHeight="1" thickBot="1" x14ac:dyDescent="0.25">
      <c r="B33" s="168"/>
      <c r="C33" s="169"/>
      <c r="D33" s="167"/>
      <c r="E33" s="167"/>
      <c r="F33" s="170"/>
      <c r="G33" s="171"/>
      <c r="H33" s="171"/>
      <c r="J33" s="3"/>
      <c r="K33" s="8"/>
      <c r="U33" s="12"/>
      <c r="V33" s="12"/>
      <c r="W33" s="12"/>
      <c r="X33" s="12"/>
      <c r="Y33" s="12"/>
    </row>
    <row r="34" spans="2:27" ht="17.25" customHeight="1" x14ac:dyDescent="0.25">
      <c r="B34" s="172" t="e">
        <f>+'Memoria de Cantidades'!B56</f>
        <v>#REF!</v>
      </c>
      <c r="C34" s="172"/>
      <c r="D34" s="172"/>
      <c r="E34" s="172"/>
      <c r="F34" s="173" t="str">
        <f>+'Memoria de Cantidades'!E56</f>
        <v>ARQ. GUILLERMO YAMID VALLEJOS BENAVIDES</v>
      </c>
      <c r="G34" s="174"/>
      <c r="J34" s="3"/>
      <c r="L34" s="10"/>
      <c r="M34" s="10"/>
      <c r="N34" s="10"/>
      <c r="O34" s="10"/>
      <c r="P34" s="10"/>
      <c r="Q34" s="10"/>
      <c r="U34" s="11"/>
      <c r="V34" s="11"/>
      <c r="W34" s="11"/>
      <c r="X34" s="11"/>
      <c r="Y34" s="11"/>
      <c r="Z34" s="11"/>
    </row>
    <row r="35" spans="2:27" ht="17.25" customHeight="1" x14ac:dyDescent="0.2">
      <c r="B35" s="167" t="e">
        <f>+'Memoria de Cantidades'!B57</f>
        <v>#REF!</v>
      </c>
      <c r="C35" s="167"/>
      <c r="D35" s="167"/>
      <c r="E35" s="167"/>
      <c r="F35" s="166" t="str">
        <f>+'Memoria de Cantidades'!E57</f>
        <v>SECRETARIO DE PLANEACION Y OBRAS PUBLICAS</v>
      </c>
      <c r="J35" s="3"/>
      <c r="K35" s="13"/>
      <c r="U35" s="12"/>
      <c r="V35" s="12"/>
      <c r="W35" s="12"/>
      <c r="X35" s="12"/>
      <c r="Y35" s="12"/>
      <c r="Z35" s="12"/>
    </row>
    <row r="36" spans="2:27" ht="17.25" customHeight="1" x14ac:dyDescent="0.2">
      <c r="B36" s="167" t="e">
        <f>+'Memoria de Cantidades'!B58</f>
        <v>#REF!</v>
      </c>
      <c r="C36" s="167"/>
      <c r="D36" s="167"/>
      <c r="E36" s="167"/>
      <c r="F36" s="166" t="str">
        <f>+'Memoria de Cantidades'!E58</f>
        <v>SAN MIGUEL - PUTUMAYO</v>
      </c>
      <c r="J36" s="3"/>
      <c r="K36" s="13"/>
      <c r="U36" s="12"/>
      <c r="V36" s="12"/>
      <c r="W36" s="12"/>
      <c r="X36" s="12"/>
      <c r="Y36" s="12"/>
    </row>
    <row r="37" spans="2:27" ht="17.25" customHeight="1" x14ac:dyDescent="0.2">
      <c r="J37" s="3"/>
      <c r="K37" s="13"/>
      <c r="U37" s="12"/>
      <c r="V37" s="12"/>
      <c r="W37" s="12"/>
      <c r="X37" s="12"/>
      <c r="Y37" s="12"/>
    </row>
    <row r="38" spans="2:27" ht="17.25" customHeight="1" x14ac:dyDescent="0.2">
      <c r="J38" s="3"/>
      <c r="K38" s="13"/>
      <c r="U38" s="12"/>
      <c r="V38" s="12"/>
      <c r="W38" s="12"/>
      <c r="X38" s="12"/>
      <c r="Y38" s="12"/>
    </row>
    <row r="39" spans="2:27" ht="17.25" customHeight="1" x14ac:dyDescent="0.2">
      <c r="J39" s="3"/>
      <c r="K39" s="13"/>
      <c r="U39" s="12"/>
      <c r="V39" s="12"/>
      <c r="W39" s="12"/>
      <c r="X39" s="12"/>
      <c r="Y39" s="12"/>
      <c r="Z39" s="12"/>
    </row>
    <row r="40" spans="2:27" ht="17.25" customHeight="1" x14ac:dyDescent="0.2">
      <c r="J40" s="3"/>
      <c r="K40" s="13"/>
      <c r="U40" s="12"/>
      <c r="V40" s="12"/>
      <c r="W40" s="12"/>
      <c r="X40" s="12"/>
      <c r="Y40" s="12"/>
      <c r="Z40" s="12"/>
    </row>
    <row r="41" spans="2:27" ht="17.25" customHeight="1" x14ac:dyDescent="0.2">
      <c r="J41" s="3"/>
      <c r="K41" s="8"/>
      <c r="U41" s="12"/>
      <c r="V41" s="12"/>
      <c r="W41" s="12"/>
      <c r="X41" s="12"/>
      <c r="Y41" s="12"/>
      <c r="Z41" s="12"/>
      <c r="AA41" s="8"/>
    </row>
    <row r="42" spans="2:27" ht="17.25" customHeight="1" x14ac:dyDescent="0.2">
      <c r="J42" s="3"/>
      <c r="K42" s="8"/>
      <c r="U42" s="12"/>
      <c r="V42" s="12"/>
      <c r="W42" s="12"/>
      <c r="X42" s="12"/>
      <c r="Y42" s="12"/>
      <c r="Z42" s="12"/>
      <c r="AA42" s="8"/>
    </row>
    <row r="43" spans="2:27" ht="36.75" customHeight="1" x14ac:dyDescent="0.2">
      <c r="J43" s="3"/>
      <c r="K43" s="8"/>
      <c r="U43" s="12"/>
      <c r="V43" s="12"/>
      <c r="W43" s="12"/>
      <c r="X43" s="12"/>
      <c r="Y43" s="12"/>
      <c r="Z43" s="12"/>
      <c r="AA43" s="8"/>
    </row>
    <row r="44" spans="2:27" ht="29.25" customHeight="1" x14ac:dyDescent="0.2">
      <c r="J44" s="3"/>
      <c r="K44" s="8"/>
      <c r="U44" s="12"/>
      <c r="V44" s="12"/>
      <c r="W44" s="12"/>
      <c r="X44" s="12"/>
      <c r="Y44" s="12"/>
      <c r="Z44" s="12"/>
      <c r="AA44" s="8"/>
    </row>
    <row r="45" spans="2:27" ht="17.25" customHeight="1" x14ac:dyDescent="0.2">
      <c r="J45" s="3"/>
      <c r="K45" s="8"/>
      <c r="U45" s="12"/>
      <c r="V45" s="12"/>
      <c r="W45" s="12"/>
      <c r="X45" s="12"/>
      <c r="Y45" s="12"/>
      <c r="Z45" s="12"/>
      <c r="AA45" s="8"/>
    </row>
    <row r="46" spans="2:27" ht="17.25" customHeight="1" x14ac:dyDescent="0.2">
      <c r="J46" s="3"/>
      <c r="K46" s="8"/>
      <c r="U46" s="12"/>
      <c r="V46" s="12"/>
      <c r="W46" s="12"/>
      <c r="X46" s="12"/>
      <c r="Y46" s="12"/>
      <c r="Z46" s="12"/>
      <c r="AA46" s="8"/>
    </row>
    <row r="47" spans="2:27" x14ac:dyDescent="0.2">
      <c r="J47" s="3"/>
      <c r="K47" s="8"/>
      <c r="U47" s="12"/>
      <c r="V47" s="12"/>
      <c r="W47" s="12"/>
      <c r="X47" s="12"/>
      <c r="Y47" s="12"/>
      <c r="Z47" s="12"/>
      <c r="AA47" s="8"/>
    </row>
    <row r="48" spans="2:27" x14ac:dyDescent="0.2">
      <c r="J48" s="3"/>
      <c r="K48" s="8"/>
      <c r="U48" s="12"/>
      <c r="V48" s="12"/>
      <c r="W48" s="12"/>
      <c r="X48" s="12"/>
      <c r="Y48" s="12"/>
      <c r="Z48" s="12"/>
      <c r="AA48" s="8"/>
    </row>
    <row r="49" spans="10:27" ht="17.25" customHeight="1" x14ac:dyDescent="0.2">
      <c r="J49" s="3"/>
      <c r="K49" s="8"/>
      <c r="U49" s="12"/>
      <c r="V49" s="12"/>
      <c r="W49" s="12"/>
      <c r="X49" s="12"/>
      <c r="Y49" s="12"/>
      <c r="Z49" s="12"/>
      <c r="AA49" s="8"/>
    </row>
    <row r="50" spans="10:27" ht="17.25" customHeight="1" x14ac:dyDescent="0.2">
      <c r="J50" s="3"/>
      <c r="K50" s="8"/>
      <c r="U50" s="12"/>
      <c r="V50" s="12"/>
      <c r="W50" s="12"/>
      <c r="X50" s="12"/>
      <c r="Y50" s="12"/>
      <c r="Z50" s="12"/>
      <c r="AA50" s="8"/>
    </row>
  </sheetData>
  <mergeCells count="5">
    <mergeCell ref="C30:F30"/>
    <mergeCell ref="H2:H4"/>
    <mergeCell ref="A2:F2"/>
    <mergeCell ref="A3:F4"/>
    <mergeCell ref="G2: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58"/>
  <sheetViews>
    <sheetView view="pageBreakPreview" topLeftCell="A22" zoomScale="85" zoomScaleNormal="85" zoomScaleSheetLayoutView="85" workbookViewId="0">
      <selection activeCell="L35" sqref="L35:M48"/>
    </sheetView>
  </sheetViews>
  <sheetFormatPr baseColWidth="10" defaultColWidth="11.42578125" defaultRowHeight="15" x14ac:dyDescent="0.25"/>
  <cols>
    <col min="1" max="1" width="5" style="17" bestFit="1" customWidth="1"/>
    <col min="2" max="2" width="67.7109375" style="18" customWidth="1"/>
    <col min="3" max="3" width="4.28515625" style="19" bestFit="1" customWidth="1"/>
    <col min="4" max="4" width="9" style="19" bestFit="1" customWidth="1"/>
    <col min="5" max="5" width="11.42578125" style="19"/>
    <col min="6" max="6" width="4.85546875" style="19" bestFit="1" customWidth="1"/>
    <col min="7" max="7" width="8.42578125" style="19" bestFit="1" customWidth="1"/>
    <col min="8" max="8" width="11.85546875" style="19" bestFit="1" customWidth="1"/>
    <col min="9" max="9" width="3" style="19" bestFit="1" customWidth="1"/>
    <col min="10" max="10" width="6.7109375" style="19" bestFit="1" customWidth="1"/>
    <col min="11" max="11" width="8" style="19" bestFit="1" customWidth="1"/>
    <col min="13" max="13" width="26.5703125" customWidth="1"/>
  </cols>
  <sheetData>
    <row r="1" spans="1:11" ht="14.25" customHeight="1" x14ac:dyDescent="0.25">
      <c r="A1" s="673" t="s">
        <v>0</v>
      </c>
      <c r="B1" s="674"/>
      <c r="C1" s="674"/>
      <c r="D1" s="674"/>
      <c r="E1" s="674"/>
      <c r="F1" s="674"/>
      <c r="G1" s="674"/>
      <c r="H1" s="674"/>
      <c r="I1" s="674"/>
      <c r="J1" s="674"/>
      <c r="K1" s="675"/>
    </row>
    <row r="2" spans="1:11" ht="14.25" customHeight="1" x14ac:dyDescent="0.25">
      <c r="A2" s="676" t="s">
        <v>1</v>
      </c>
      <c r="B2" s="677"/>
      <c r="C2" s="677"/>
      <c r="D2" s="677"/>
      <c r="E2" s="677"/>
      <c r="F2" s="677"/>
      <c r="G2" s="677"/>
      <c r="H2" s="677"/>
      <c r="I2" s="677"/>
      <c r="J2" s="677"/>
      <c r="K2" s="678"/>
    </row>
    <row r="3" spans="1:11" ht="14.25" customHeight="1" x14ac:dyDescent="0.25">
      <c r="A3" s="676" t="s">
        <v>65</v>
      </c>
      <c r="B3" s="677"/>
      <c r="C3" s="677"/>
      <c r="D3" s="677"/>
      <c r="E3" s="677"/>
      <c r="F3" s="677"/>
      <c r="G3" s="677"/>
      <c r="H3" s="677"/>
      <c r="I3" s="677"/>
      <c r="J3" s="677"/>
      <c r="K3" s="678"/>
    </row>
    <row r="4" spans="1:11" ht="14.25" customHeight="1" thickBot="1" x14ac:dyDescent="0.3">
      <c r="A4" s="36"/>
      <c r="K4" s="37"/>
    </row>
    <row r="5" spans="1:11" ht="15.75" thickBot="1" x14ac:dyDescent="0.3">
      <c r="A5" s="679" t="s">
        <v>2</v>
      </c>
      <c r="B5" s="680"/>
      <c r="C5" s="680"/>
      <c r="D5" s="680"/>
      <c r="E5" s="680"/>
      <c r="F5" s="680"/>
      <c r="G5" s="680"/>
      <c r="H5" s="680"/>
      <c r="I5" s="680"/>
      <c r="J5" s="680"/>
      <c r="K5" s="681"/>
    </row>
    <row r="6" spans="1:11" ht="34.5" customHeight="1" thickBot="1" x14ac:dyDescent="0.3">
      <c r="A6" s="670" t="e">
        <f>+Presupuesto!#REF!</f>
        <v>#REF!</v>
      </c>
      <c r="B6" s="671"/>
      <c r="C6" s="671"/>
      <c r="D6" s="671"/>
      <c r="E6" s="671"/>
      <c r="F6" s="671"/>
      <c r="G6" s="671"/>
      <c r="H6" s="671"/>
      <c r="I6" s="671"/>
      <c r="J6" s="671"/>
      <c r="K6" s="672"/>
    </row>
    <row r="7" spans="1:11" ht="15.75" thickBot="1" x14ac:dyDescent="0.3">
      <c r="A7" s="20" t="s">
        <v>3</v>
      </c>
      <c r="B7" s="21" t="s">
        <v>4</v>
      </c>
      <c r="C7" s="46" t="s">
        <v>5</v>
      </c>
      <c r="D7" s="46" t="s">
        <v>6</v>
      </c>
      <c r="E7" s="46" t="s">
        <v>7</v>
      </c>
      <c r="F7" s="46" t="s">
        <v>8</v>
      </c>
      <c r="G7" s="46" t="s">
        <v>9</v>
      </c>
      <c r="H7" s="46" t="s">
        <v>10</v>
      </c>
      <c r="I7" s="46" t="s">
        <v>11</v>
      </c>
      <c r="J7" s="46" t="s">
        <v>12</v>
      </c>
      <c r="K7" s="47" t="s">
        <v>13</v>
      </c>
    </row>
    <row r="8" spans="1:11" s="1" customFormat="1" ht="20.25" customHeight="1" x14ac:dyDescent="0.25">
      <c r="A8" s="55">
        <v>1</v>
      </c>
      <c r="B8" s="48" t="s">
        <v>14</v>
      </c>
      <c r="C8" s="49"/>
      <c r="D8" s="49"/>
      <c r="E8" s="49"/>
      <c r="F8" s="49"/>
      <c r="G8" s="49"/>
      <c r="H8" s="49"/>
      <c r="I8" s="49"/>
      <c r="J8" s="49"/>
      <c r="K8" s="50"/>
    </row>
    <row r="9" spans="1:11" s="2" customFormat="1" x14ac:dyDescent="0.25">
      <c r="A9" s="23">
        <v>1.1000000000000001</v>
      </c>
      <c r="B9" s="24" t="s">
        <v>15</v>
      </c>
      <c r="C9" s="25" t="s">
        <v>16</v>
      </c>
      <c r="D9" s="42"/>
      <c r="E9" s="42"/>
      <c r="F9" s="42"/>
      <c r="G9" s="42"/>
      <c r="H9" s="42"/>
      <c r="I9" s="42"/>
      <c r="J9" s="42"/>
      <c r="K9" s="43">
        <f>+G10</f>
        <v>3.5</v>
      </c>
    </row>
    <row r="10" spans="1:11" ht="21" customHeight="1" x14ac:dyDescent="0.25">
      <c r="A10" s="23"/>
      <c r="B10" s="24" t="s">
        <v>158</v>
      </c>
      <c r="C10" s="25"/>
      <c r="D10" s="42">
        <v>7</v>
      </c>
      <c r="E10" s="42">
        <v>0.5</v>
      </c>
      <c r="F10" s="42"/>
      <c r="G10" s="42">
        <f>--D10*E10</f>
        <v>3.5</v>
      </c>
      <c r="H10" s="42"/>
      <c r="I10" s="42"/>
      <c r="J10" s="42"/>
      <c r="K10" s="43"/>
    </row>
    <row r="11" spans="1:11" ht="21" customHeight="1" x14ac:dyDescent="0.25">
      <c r="A11" s="23">
        <v>1.2</v>
      </c>
      <c r="B11" s="24" t="s">
        <v>128</v>
      </c>
      <c r="C11" s="25" t="s">
        <v>16</v>
      </c>
      <c r="D11" s="42"/>
      <c r="E11" s="42"/>
      <c r="F11" s="42"/>
      <c r="G11" s="42"/>
      <c r="H11" s="42"/>
      <c r="I11" s="42"/>
      <c r="J11" s="42"/>
      <c r="K11" s="43">
        <f>+G12</f>
        <v>1</v>
      </c>
    </row>
    <row r="12" spans="1:11" ht="21" customHeight="1" x14ac:dyDescent="0.25">
      <c r="A12" s="23"/>
      <c r="B12" s="24" t="str">
        <f>B10</f>
        <v>Sector la Vega calle 3 entre crr 2 y 3</v>
      </c>
      <c r="C12" s="25"/>
      <c r="D12" s="42">
        <v>2.5</v>
      </c>
      <c r="E12" s="42">
        <v>0.4</v>
      </c>
      <c r="F12" s="42"/>
      <c r="G12" s="42">
        <f>--E12*D12</f>
        <v>1</v>
      </c>
      <c r="H12" s="42"/>
      <c r="I12" s="42"/>
      <c r="J12" s="42"/>
      <c r="K12" s="43"/>
    </row>
    <row r="13" spans="1:11" s="1" customFormat="1" ht="18" customHeight="1" x14ac:dyDescent="0.25">
      <c r="A13" s="55">
        <v>2</v>
      </c>
      <c r="B13" s="668" t="s">
        <v>137</v>
      </c>
      <c r="C13" s="668"/>
      <c r="D13" s="668"/>
      <c r="E13" s="668"/>
      <c r="F13" s="668"/>
      <c r="G13" s="668"/>
      <c r="H13" s="668"/>
      <c r="I13" s="668"/>
      <c r="J13" s="668"/>
      <c r="K13" s="669"/>
    </row>
    <row r="14" spans="1:11" s="2" customFormat="1" ht="19.5" customHeight="1" x14ac:dyDescent="0.25">
      <c r="A14" s="23">
        <v>2.1</v>
      </c>
      <c r="B14" s="24" t="s">
        <v>73</v>
      </c>
      <c r="C14" s="25" t="s">
        <v>17</v>
      </c>
      <c r="D14" s="42"/>
      <c r="E14" s="42"/>
      <c r="F14" s="42"/>
      <c r="G14" s="42"/>
      <c r="H14" s="42"/>
      <c r="I14" s="42"/>
      <c r="J14" s="42"/>
      <c r="K14" s="43">
        <f>SUM(H15:H15)</f>
        <v>2.5499999999999998</v>
      </c>
    </row>
    <row r="15" spans="1:11" ht="20.25" customHeight="1" x14ac:dyDescent="0.25">
      <c r="A15" s="23"/>
      <c r="B15" s="24" t="str">
        <f>B12</f>
        <v>Sector la Vega calle 3 entre crr 2 y 3</v>
      </c>
      <c r="C15" s="25"/>
      <c r="D15" s="42">
        <v>3.4</v>
      </c>
      <c r="E15" s="42">
        <v>0.5</v>
      </c>
      <c r="F15" s="42">
        <v>1.5</v>
      </c>
      <c r="G15" s="42"/>
      <c r="H15" s="42">
        <f>+D15*E15*F15</f>
        <v>2.5499999999999998</v>
      </c>
      <c r="I15" s="42"/>
      <c r="J15" s="42"/>
      <c r="K15" s="43"/>
    </row>
    <row r="16" spans="1:11" s="2" customFormat="1" ht="16.5" customHeight="1" x14ac:dyDescent="0.25">
      <c r="A16" s="23">
        <v>2.2000000000000002</v>
      </c>
      <c r="B16" s="24" t="s">
        <v>129</v>
      </c>
      <c r="C16" s="24" t="s">
        <v>75</v>
      </c>
      <c r="D16" s="42"/>
      <c r="E16" s="42"/>
      <c r="F16" s="42"/>
      <c r="G16" s="42"/>
      <c r="H16" s="42"/>
      <c r="I16" s="42"/>
      <c r="J16" s="42"/>
      <c r="K16" s="43">
        <f>--D17</f>
        <v>2.5</v>
      </c>
    </row>
    <row r="17" spans="1:11" ht="15.75" customHeight="1" x14ac:dyDescent="0.25">
      <c r="A17" s="23"/>
      <c r="B17" s="24" t="str">
        <f>B15</f>
        <v>Sector la Vega calle 3 entre crr 2 y 3</v>
      </c>
      <c r="C17" s="25"/>
      <c r="D17" s="42">
        <v>2.5</v>
      </c>
      <c r="E17" s="42"/>
      <c r="F17" s="42"/>
      <c r="G17" s="42"/>
      <c r="H17" s="42"/>
      <c r="I17" s="42"/>
      <c r="J17" s="42"/>
      <c r="K17" s="43"/>
    </row>
    <row r="18" spans="1:11" s="2" customFormat="1" ht="16.5" customHeight="1" x14ac:dyDescent="0.25">
      <c r="A18" s="23">
        <v>2.2999999999999998</v>
      </c>
      <c r="B18" s="24" t="s">
        <v>138</v>
      </c>
      <c r="C18" s="24" t="s">
        <v>17</v>
      </c>
      <c r="D18" s="42"/>
      <c r="E18" s="42"/>
      <c r="F18" s="42"/>
      <c r="G18" s="42"/>
      <c r="H18" s="42"/>
      <c r="I18" s="42"/>
      <c r="J18" s="42"/>
      <c r="K18" s="43">
        <f>--H19</f>
        <v>1.7000000000000002</v>
      </c>
    </row>
    <row r="19" spans="1:11" ht="15.75" customHeight="1" x14ac:dyDescent="0.25">
      <c r="A19" s="23"/>
      <c r="B19" s="24" t="str">
        <f>B17</f>
        <v>Sector la Vega calle 3 entre crr 2 y 3</v>
      </c>
      <c r="C19" s="25"/>
      <c r="D19" s="42">
        <v>2.5</v>
      </c>
      <c r="E19" s="42">
        <v>1.7</v>
      </c>
      <c r="F19" s="42">
        <v>0.4</v>
      </c>
      <c r="G19" s="42"/>
      <c r="H19" s="42">
        <f>+D19*E19*F19</f>
        <v>1.7000000000000002</v>
      </c>
      <c r="I19" s="42"/>
      <c r="J19" s="42"/>
      <c r="K19" s="43"/>
    </row>
    <row r="20" spans="1:11" ht="15.75" customHeight="1" x14ac:dyDescent="0.25">
      <c r="A20" s="23">
        <v>2.4</v>
      </c>
      <c r="B20" s="24" t="s">
        <v>155</v>
      </c>
      <c r="C20" s="25" t="s">
        <v>17</v>
      </c>
      <c r="D20" s="42"/>
      <c r="E20" s="42"/>
      <c r="F20" s="42"/>
      <c r="G20" s="42"/>
      <c r="H20" s="42"/>
      <c r="I20" s="42"/>
      <c r="J20" s="42"/>
      <c r="K20" s="43">
        <f>--H21</f>
        <v>0.375</v>
      </c>
    </row>
    <row r="21" spans="1:11" ht="15.75" customHeight="1" x14ac:dyDescent="0.25">
      <c r="A21" s="23"/>
      <c r="B21" s="24" t="str">
        <f>B19</f>
        <v>Sector la Vega calle 3 entre crr 2 y 3</v>
      </c>
      <c r="C21" s="25"/>
      <c r="D21" s="42">
        <f>+D19</f>
        <v>2.5</v>
      </c>
      <c r="E21" s="42">
        <v>0.5</v>
      </c>
      <c r="F21" s="42">
        <v>0.3</v>
      </c>
      <c r="G21" s="42"/>
      <c r="H21" s="42">
        <f>+D21*E21*F21</f>
        <v>0.375</v>
      </c>
      <c r="I21" s="42"/>
      <c r="J21" s="42"/>
      <c r="K21" s="43"/>
    </row>
    <row r="22" spans="1:11" s="2" customFormat="1" ht="18.75" customHeight="1" x14ac:dyDescent="0.25">
      <c r="A22" s="23">
        <v>2.5</v>
      </c>
      <c r="B22" s="24" t="s">
        <v>160</v>
      </c>
      <c r="C22" s="25" t="s">
        <v>75</v>
      </c>
      <c r="D22" s="42"/>
      <c r="E22" s="42"/>
      <c r="F22" s="42"/>
      <c r="G22" s="42"/>
      <c r="H22" s="42"/>
      <c r="I22" s="42"/>
      <c r="J22" s="42"/>
      <c r="K22" s="43">
        <f>D23</f>
        <v>3.4</v>
      </c>
    </row>
    <row r="23" spans="1:11" ht="15" customHeight="1" x14ac:dyDescent="0.25">
      <c r="A23" s="23"/>
      <c r="B23" s="24" t="str">
        <f>B21</f>
        <v>Sector la Vega calle 3 entre crr 2 y 3</v>
      </c>
      <c r="C23" s="25"/>
      <c r="D23" s="42">
        <v>3.4</v>
      </c>
      <c r="E23" s="42"/>
      <c r="F23" s="42"/>
      <c r="G23" s="42"/>
      <c r="H23" s="42"/>
      <c r="I23" s="42"/>
      <c r="J23" s="42"/>
      <c r="K23" s="43"/>
    </row>
    <row r="24" spans="1:11" ht="16.5" customHeight="1" x14ac:dyDescent="0.25">
      <c r="A24" s="23">
        <v>2.6</v>
      </c>
      <c r="B24" s="24" t="s">
        <v>161</v>
      </c>
      <c r="C24" s="25" t="s">
        <v>76</v>
      </c>
      <c r="D24" s="42"/>
      <c r="E24" s="42"/>
      <c r="F24" s="42"/>
      <c r="G24" s="42"/>
      <c r="H24" s="42"/>
      <c r="I24" s="42"/>
      <c r="J24" s="42"/>
      <c r="K24" s="43">
        <f>--J25</f>
        <v>1</v>
      </c>
    </row>
    <row r="25" spans="1:11" ht="15" customHeight="1" x14ac:dyDescent="0.25">
      <c r="A25" s="23"/>
      <c r="B25" s="24" t="str">
        <f>B23</f>
        <v>Sector la Vega calle 3 entre crr 2 y 3</v>
      </c>
      <c r="C25" s="25"/>
      <c r="D25" s="42"/>
      <c r="E25" s="42"/>
      <c r="F25" s="42"/>
      <c r="G25" s="42"/>
      <c r="H25" s="42"/>
      <c r="I25" s="42"/>
      <c r="J25" s="42">
        <v>1</v>
      </c>
      <c r="K25" s="43"/>
    </row>
    <row r="26" spans="1:11" ht="16.5" customHeight="1" x14ac:dyDescent="0.25">
      <c r="A26" s="23">
        <v>2.7</v>
      </c>
      <c r="B26" s="24" t="s">
        <v>140</v>
      </c>
      <c r="C26" s="25" t="s">
        <v>17</v>
      </c>
      <c r="D26" s="42"/>
      <c r="E26" s="42"/>
      <c r="F26" s="42"/>
      <c r="G26" s="42"/>
      <c r="H26" s="42"/>
      <c r="I26" s="42"/>
      <c r="J26" s="42"/>
      <c r="K26" s="43">
        <f>SUM(H27:H27)</f>
        <v>1.625</v>
      </c>
    </row>
    <row r="27" spans="1:11" ht="16.5" customHeight="1" x14ac:dyDescent="0.25">
      <c r="A27" s="23"/>
      <c r="B27" s="24" t="str">
        <f>B25</f>
        <v>Sector la Vega calle 3 entre crr 2 y 3</v>
      </c>
      <c r="C27" s="25"/>
      <c r="D27" s="42">
        <v>2.5</v>
      </c>
      <c r="E27" s="42">
        <v>0.5</v>
      </c>
      <c r="F27" s="42">
        <v>1.3</v>
      </c>
      <c r="G27" s="42"/>
      <c r="H27" s="42">
        <f>+D27*E27*F27</f>
        <v>1.625</v>
      </c>
      <c r="I27" s="42"/>
      <c r="J27" s="42"/>
      <c r="K27" s="43"/>
    </row>
    <row r="28" spans="1:11" ht="16.5" customHeight="1" x14ac:dyDescent="0.25">
      <c r="A28" s="23">
        <v>2.8</v>
      </c>
      <c r="B28" s="24" t="s">
        <v>127</v>
      </c>
      <c r="C28" s="25" t="s">
        <v>17</v>
      </c>
      <c r="D28" s="42"/>
      <c r="E28" s="42"/>
      <c r="F28" s="42"/>
      <c r="G28" s="42"/>
      <c r="H28" s="42"/>
      <c r="I28" s="42"/>
      <c r="J28" s="42"/>
      <c r="K28" s="43">
        <f>SUM(H29:H29)</f>
        <v>0.5</v>
      </c>
    </row>
    <row r="29" spans="1:11" ht="16.5" customHeight="1" x14ac:dyDescent="0.25">
      <c r="A29" s="23"/>
      <c r="B29" s="24" t="str">
        <f>B27</f>
        <v>Sector la Vega calle 3 entre crr 2 y 3</v>
      </c>
      <c r="C29" s="25"/>
      <c r="D29" s="42">
        <v>2.5</v>
      </c>
      <c r="E29" s="42">
        <v>1</v>
      </c>
      <c r="F29" s="42">
        <v>0.2</v>
      </c>
      <c r="G29" s="42"/>
      <c r="H29" s="42">
        <f>--D29*E29*F29</f>
        <v>0.5</v>
      </c>
      <c r="I29" s="42"/>
      <c r="J29" s="42"/>
      <c r="K29" s="43"/>
    </row>
    <row r="30" spans="1:11" ht="19.5" customHeight="1" x14ac:dyDescent="0.25">
      <c r="A30" s="23">
        <v>2.9</v>
      </c>
      <c r="B30" s="51" t="s">
        <v>165</v>
      </c>
      <c r="C30" s="52" t="s">
        <v>16</v>
      </c>
      <c r="D30" s="53"/>
      <c r="E30" s="53"/>
      <c r="F30" s="53"/>
      <c r="G30" s="53"/>
      <c r="H30" s="53"/>
      <c r="I30" s="53"/>
      <c r="J30" s="53"/>
      <c r="K30" s="54">
        <f>--G31</f>
        <v>0.88000000000000012</v>
      </c>
    </row>
    <row r="31" spans="1:11" ht="18.75" customHeight="1" x14ac:dyDescent="0.25">
      <c r="A31" s="23"/>
      <c r="B31" s="24" t="str">
        <f>B29</f>
        <v>Sector la Vega calle 3 entre crr 2 y 3</v>
      </c>
      <c r="C31" s="25"/>
      <c r="D31" s="42">
        <v>2.2000000000000002</v>
      </c>
      <c r="E31" s="42">
        <v>0.4</v>
      </c>
      <c r="F31" s="42"/>
      <c r="G31" s="42">
        <f>--D31*E31</f>
        <v>0.88000000000000012</v>
      </c>
      <c r="H31" s="42"/>
      <c r="I31" s="42"/>
      <c r="J31" s="42"/>
      <c r="K31" s="43"/>
    </row>
    <row r="32" spans="1:11" x14ac:dyDescent="0.25">
      <c r="A32" s="28">
        <v>2.1</v>
      </c>
      <c r="B32" s="29" t="s">
        <v>131</v>
      </c>
      <c r="C32" s="25" t="s">
        <v>16</v>
      </c>
      <c r="D32" s="42"/>
      <c r="E32" s="42"/>
      <c r="F32" s="42"/>
      <c r="G32" s="42"/>
      <c r="H32" s="42"/>
      <c r="I32" s="42"/>
      <c r="J32" s="42"/>
      <c r="K32" s="43">
        <f>--G33</f>
        <v>3</v>
      </c>
    </row>
    <row r="33" spans="1:11" ht="18.75" customHeight="1" x14ac:dyDescent="0.25">
      <c r="A33" s="23"/>
      <c r="B33" s="24" t="str">
        <f>B31</f>
        <v>Sector la Vega calle 3 entre crr 2 y 3</v>
      </c>
      <c r="C33" s="25"/>
      <c r="D33" s="42">
        <v>3</v>
      </c>
      <c r="E33" s="42">
        <v>1</v>
      </c>
      <c r="F33" s="42"/>
      <c r="G33" s="42">
        <f>--D33*E33</f>
        <v>3</v>
      </c>
      <c r="H33" s="42"/>
      <c r="I33" s="42"/>
      <c r="J33" s="42"/>
      <c r="K33" s="43"/>
    </row>
    <row r="34" spans="1:11" x14ac:dyDescent="0.25">
      <c r="A34" s="55">
        <v>3</v>
      </c>
      <c r="B34" s="668" t="s">
        <v>162</v>
      </c>
      <c r="C34" s="668"/>
      <c r="D34" s="668"/>
      <c r="E34" s="668"/>
      <c r="F34" s="668"/>
      <c r="G34" s="668"/>
      <c r="H34" s="668"/>
      <c r="I34" s="668"/>
      <c r="J34" s="668"/>
      <c r="K34" s="669"/>
    </row>
    <row r="35" spans="1:11" x14ac:dyDescent="0.25">
      <c r="A35" s="23">
        <v>4.0999999999999996</v>
      </c>
      <c r="B35" s="30" t="e">
        <f>+Presupuesto!#REF!</f>
        <v>#REF!</v>
      </c>
      <c r="C35" s="25" t="s">
        <v>75</v>
      </c>
      <c r="D35" s="42"/>
      <c r="E35" s="42"/>
      <c r="F35" s="42"/>
      <c r="G35" s="42"/>
      <c r="H35" s="42"/>
      <c r="I35" s="42"/>
      <c r="J35" s="42"/>
      <c r="K35" s="43">
        <f>SUM(K36:K46)</f>
        <v>2328</v>
      </c>
    </row>
    <row r="36" spans="1:11" x14ac:dyDescent="0.25">
      <c r="A36" s="23"/>
      <c r="B36" s="24" t="s">
        <v>166</v>
      </c>
      <c r="C36" s="25"/>
      <c r="D36" s="44">
        <f>39.92+79.82+74.24+103.26+60.09+66.59+18.82+27</f>
        <v>469.74000000000007</v>
      </c>
      <c r="E36" s="42"/>
      <c r="F36" s="42"/>
      <c r="G36" s="42"/>
      <c r="H36" s="42"/>
      <c r="I36" s="42"/>
      <c r="J36" s="42"/>
      <c r="K36" s="45">
        <f>+D36</f>
        <v>469.74000000000007</v>
      </c>
    </row>
    <row r="37" spans="1:11" x14ac:dyDescent="0.25">
      <c r="A37" s="23"/>
      <c r="B37" s="24" t="s">
        <v>156</v>
      </c>
      <c r="C37" s="25"/>
      <c r="D37" s="44">
        <f>34.26+85.26+80.22+90.32+14.17</f>
        <v>304.23</v>
      </c>
      <c r="E37" s="42"/>
      <c r="F37" s="42"/>
      <c r="G37" s="42"/>
      <c r="H37" s="42"/>
      <c r="I37" s="42"/>
      <c r="J37" s="42"/>
      <c r="K37" s="45">
        <f t="shared" ref="K37:K43" si="0">+D37</f>
        <v>304.23</v>
      </c>
    </row>
    <row r="38" spans="1:11" x14ac:dyDescent="0.25">
      <c r="A38" s="23"/>
      <c r="B38" s="24" t="s">
        <v>167</v>
      </c>
      <c r="C38" s="25"/>
      <c r="D38" s="44">
        <f>21.71+11.22+12.57+47.95+38.64+14.74</f>
        <v>146.83000000000001</v>
      </c>
      <c r="E38" s="42"/>
      <c r="F38" s="42"/>
      <c r="G38" s="42"/>
      <c r="H38" s="42"/>
      <c r="I38" s="42"/>
      <c r="J38" s="42"/>
      <c r="K38" s="45">
        <f t="shared" si="0"/>
        <v>146.83000000000001</v>
      </c>
    </row>
    <row r="39" spans="1:11" x14ac:dyDescent="0.25">
      <c r="A39" s="23"/>
      <c r="B39" s="24" t="s">
        <v>157</v>
      </c>
      <c r="C39" s="25"/>
      <c r="D39" s="44">
        <f>42.91+56.52+56.63</f>
        <v>156.06</v>
      </c>
      <c r="E39" s="42"/>
      <c r="F39" s="42"/>
      <c r="G39" s="42"/>
      <c r="H39" s="42"/>
      <c r="I39" s="42"/>
      <c r="J39" s="42"/>
      <c r="K39" s="45">
        <f t="shared" si="0"/>
        <v>156.06</v>
      </c>
    </row>
    <row r="40" spans="1:11" x14ac:dyDescent="0.25">
      <c r="A40" s="23"/>
      <c r="B40" s="24" t="s">
        <v>168</v>
      </c>
      <c r="C40" s="25"/>
      <c r="D40" s="44">
        <v>180</v>
      </c>
      <c r="E40" s="42"/>
      <c r="F40" s="42"/>
      <c r="G40" s="42"/>
      <c r="H40" s="42"/>
      <c r="I40" s="42"/>
      <c r="J40" s="42"/>
      <c r="K40" s="45">
        <f t="shared" si="0"/>
        <v>180</v>
      </c>
    </row>
    <row r="41" spans="1:11" x14ac:dyDescent="0.25">
      <c r="A41" s="23"/>
      <c r="B41" s="24" t="s">
        <v>170</v>
      </c>
      <c r="C41" s="25"/>
      <c r="D41" s="44">
        <f>40.24+23.31+79.03</f>
        <v>142.57999999999998</v>
      </c>
      <c r="E41" s="42"/>
      <c r="F41" s="42"/>
      <c r="G41" s="42"/>
      <c r="H41" s="42"/>
      <c r="I41" s="42"/>
      <c r="J41" s="42"/>
      <c r="K41" s="45">
        <f t="shared" si="0"/>
        <v>142.57999999999998</v>
      </c>
    </row>
    <row r="42" spans="1:11" x14ac:dyDescent="0.25">
      <c r="A42" s="23"/>
      <c r="B42" s="24" t="s">
        <v>169</v>
      </c>
      <c r="C42" s="25"/>
      <c r="D42" s="44">
        <f>17.24+56.92+86.34+144+203</f>
        <v>507.5</v>
      </c>
      <c r="E42" s="42"/>
      <c r="F42" s="42"/>
      <c r="G42" s="42"/>
      <c r="H42" s="42"/>
      <c r="I42" s="42"/>
      <c r="J42" s="42"/>
      <c r="K42" s="45">
        <f t="shared" si="0"/>
        <v>507.5</v>
      </c>
    </row>
    <row r="43" spans="1:11" x14ac:dyDescent="0.25">
      <c r="A43" s="23"/>
      <c r="B43" s="24" t="s">
        <v>157</v>
      </c>
      <c r="C43" s="25"/>
      <c r="D43" s="44">
        <f>3*5</f>
        <v>15</v>
      </c>
      <c r="E43" s="42"/>
      <c r="F43" s="42"/>
      <c r="G43" s="42"/>
      <c r="H43" s="42"/>
      <c r="I43" s="42"/>
      <c r="J43" s="42"/>
      <c r="K43" s="45">
        <f t="shared" si="0"/>
        <v>15</v>
      </c>
    </row>
    <row r="44" spans="1:11" x14ac:dyDescent="0.25">
      <c r="A44" s="23"/>
      <c r="B44" s="24" t="s">
        <v>171</v>
      </c>
      <c r="C44" s="25"/>
      <c r="D44" s="44">
        <f>42.91+56.52+56.63</f>
        <v>156.06</v>
      </c>
      <c r="E44" s="42"/>
      <c r="F44" s="42"/>
      <c r="G44" s="42"/>
      <c r="H44" s="42"/>
      <c r="I44" s="42"/>
      <c r="J44" s="42"/>
      <c r="K44" s="45">
        <f t="shared" ref="K44:K45" si="1">+D44</f>
        <v>156.06</v>
      </c>
    </row>
    <row r="45" spans="1:11" x14ac:dyDescent="0.25">
      <c r="A45" s="23"/>
      <c r="B45" s="24" t="s">
        <v>172</v>
      </c>
      <c r="C45" s="25"/>
      <c r="D45" s="44">
        <v>180</v>
      </c>
      <c r="E45" s="42"/>
      <c r="F45" s="42"/>
      <c r="G45" s="42"/>
      <c r="H45" s="42"/>
      <c r="I45" s="42"/>
      <c r="J45" s="42"/>
      <c r="K45" s="45">
        <f t="shared" si="1"/>
        <v>180</v>
      </c>
    </row>
    <row r="46" spans="1:11" x14ac:dyDescent="0.25">
      <c r="A46" s="23"/>
      <c r="B46" s="24" t="s">
        <v>175</v>
      </c>
      <c r="C46" s="25"/>
      <c r="D46" s="44">
        <f>(10*1)+(10*6)</f>
        <v>70</v>
      </c>
      <c r="E46" s="42"/>
      <c r="F46" s="42"/>
      <c r="G46" s="42"/>
      <c r="H46" s="42"/>
      <c r="I46" s="42"/>
      <c r="J46" s="42"/>
      <c r="K46" s="45">
        <f t="shared" ref="K46" si="2">+D46</f>
        <v>70</v>
      </c>
    </row>
    <row r="47" spans="1:11" x14ac:dyDescent="0.25">
      <c r="A47" s="23">
        <v>4.2</v>
      </c>
      <c r="B47" s="30" t="e">
        <f>+Presupuesto!#REF!</f>
        <v>#REF!</v>
      </c>
      <c r="C47" s="24" t="s">
        <v>5</v>
      </c>
      <c r="D47" s="42"/>
      <c r="E47" s="42"/>
      <c r="F47" s="42"/>
      <c r="G47" s="42"/>
      <c r="H47" s="42"/>
      <c r="I47" s="42"/>
      <c r="J47" s="42"/>
      <c r="K47" s="43">
        <f>+K48</f>
        <v>34</v>
      </c>
    </row>
    <row r="48" spans="1:11" x14ac:dyDescent="0.25">
      <c r="A48" s="23"/>
      <c r="B48" s="24" t="s">
        <v>174</v>
      </c>
      <c r="C48" s="25"/>
      <c r="D48" s="42"/>
      <c r="E48" s="42"/>
      <c r="F48" s="42"/>
      <c r="G48" s="42"/>
      <c r="H48" s="42"/>
      <c r="I48" s="42"/>
      <c r="J48" s="42">
        <v>34</v>
      </c>
      <c r="K48" s="45">
        <f>+J48</f>
        <v>34</v>
      </c>
    </row>
    <row r="49" spans="1:11" x14ac:dyDescent="0.25">
      <c r="A49" s="23">
        <v>4.3</v>
      </c>
      <c r="B49" s="30" t="e">
        <f>+Presupuesto!#REF!</f>
        <v>#REF!</v>
      </c>
      <c r="C49" s="24" t="s">
        <v>5</v>
      </c>
      <c r="D49" s="42"/>
      <c r="E49" s="42"/>
      <c r="F49" s="42"/>
      <c r="G49" s="42"/>
      <c r="H49" s="42"/>
      <c r="I49" s="42"/>
      <c r="J49" s="42"/>
      <c r="K49" s="43">
        <f>+K50</f>
        <v>11</v>
      </c>
    </row>
    <row r="50" spans="1:11" x14ac:dyDescent="0.25">
      <c r="A50" s="23"/>
      <c r="B50" s="24" t="s">
        <v>173</v>
      </c>
      <c r="C50" s="25"/>
      <c r="D50" s="42"/>
      <c r="E50" s="42"/>
      <c r="F50" s="42"/>
      <c r="G50" s="42"/>
      <c r="H50" s="42"/>
      <c r="I50" s="42"/>
      <c r="J50" s="42">
        <v>11</v>
      </c>
      <c r="K50" s="45">
        <f>+J50</f>
        <v>11</v>
      </c>
    </row>
    <row r="51" spans="1:11" x14ac:dyDescent="0.25">
      <c r="A51" s="23"/>
      <c r="B51" s="24"/>
      <c r="C51" s="25"/>
      <c r="D51" s="25"/>
      <c r="E51" s="25"/>
      <c r="F51" s="25"/>
      <c r="G51" s="27"/>
      <c r="H51" s="25"/>
      <c r="I51" s="25"/>
      <c r="J51" s="25"/>
      <c r="K51" s="31"/>
    </row>
    <row r="52" spans="1:11" x14ac:dyDescent="0.25">
      <c r="A52" s="23"/>
      <c r="B52" s="24" t="s">
        <v>154</v>
      </c>
      <c r="C52" s="25"/>
      <c r="D52" s="25"/>
      <c r="E52" s="25" t="s">
        <v>153</v>
      </c>
      <c r="F52" s="25"/>
      <c r="G52" s="27"/>
      <c r="H52" s="25"/>
      <c r="I52" s="25"/>
      <c r="J52" s="25"/>
      <c r="K52" s="31"/>
    </row>
    <row r="53" spans="1:11" x14ac:dyDescent="0.25">
      <c r="A53" s="23"/>
      <c r="B53" s="24"/>
      <c r="C53" s="25"/>
      <c r="D53" s="25"/>
      <c r="E53" s="25"/>
      <c r="F53" s="25"/>
      <c r="G53" s="27"/>
      <c r="H53" s="25"/>
      <c r="I53" s="25"/>
      <c r="J53" s="25"/>
      <c r="K53" s="31"/>
    </row>
    <row r="54" spans="1:11" x14ac:dyDescent="0.25">
      <c r="A54" s="23"/>
      <c r="B54" s="24"/>
      <c r="C54" s="25"/>
      <c r="D54" s="25"/>
      <c r="E54" s="25"/>
      <c r="F54" s="25"/>
      <c r="G54" s="27"/>
      <c r="H54" s="25"/>
      <c r="I54" s="25"/>
      <c r="J54" s="25"/>
      <c r="K54" s="31"/>
    </row>
    <row r="55" spans="1:11" x14ac:dyDescent="0.25">
      <c r="A55" s="23"/>
      <c r="B55" s="38"/>
      <c r="C55" s="25"/>
      <c r="D55" s="25"/>
      <c r="E55" s="39"/>
      <c r="F55" s="39"/>
      <c r="G55" s="40"/>
      <c r="H55" s="39"/>
      <c r="I55" s="25"/>
      <c r="J55" s="25"/>
      <c r="K55" s="31"/>
    </row>
    <row r="56" spans="1:11" x14ac:dyDescent="0.25">
      <c r="A56" s="23"/>
      <c r="B56" s="26" t="e">
        <f>+Presupuesto!#REF!</f>
        <v>#REF!</v>
      </c>
      <c r="C56" s="32"/>
      <c r="D56" s="32"/>
      <c r="E56" s="22" t="str">
        <f>+Presupuesto!A34</f>
        <v>ARQ. GUILLERMO YAMID VALLEJOS BENAVIDES</v>
      </c>
      <c r="F56" s="25"/>
      <c r="G56" s="27"/>
      <c r="H56" s="25"/>
      <c r="I56" s="25"/>
      <c r="J56" s="25"/>
      <c r="K56" s="31"/>
    </row>
    <row r="57" spans="1:11" x14ac:dyDescent="0.25">
      <c r="A57" s="23"/>
      <c r="B57" s="29" t="e">
        <f>+Presupuesto!#REF!</f>
        <v>#REF!</v>
      </c>
      <c r="C57" s="25"/>
      <c r="D57" s="25"/>
      <c r="E57" s="25" t="str">
        <f>+Presupuesto!A35</f>
        <v>SECRETARIO DE PLANEACION Y OBRAS PUBLICAS</v>
      </c>
      <c r="F57" s="25"/>
      <c r="G57" s="25"/>
      <c r="H57" s="25"/>
      <c r="I57" s="25"/>
      <c r="J57" s="25"/>
      <c r="K57" s="31"/>
    </row>
    <row r="58" spans="1:11" ht="15.75" thickBot="1" x14ac:dyDescent="0.3">
      <c r="A58" s="33"/>
      <c r="B58" s="41" t="e">
        <f>+Presupuesto!#REF!</f>
        <v>#REF!</v>
      </c>
      <c r="C58" s="34"/>
      <c r="D58" s="34"/>
      <c r="E58" s="34" t="str">
        <f>+Presupuesto!A36</f>
        <v>SAN MIGUEL - PUTUMAYO</v>
      </c>
      <c r="F58" s="34"/>
      <c r="G58" s="34"/>
      <c r="H58" s="34"/>
      <c r="I58" s="34"/>
      <c r="J58" s="34"/>
      <c r="K58" s="35"/>
    </row>
  </sheetData>
  <mergeCells count="7">
    <mergeCell ref="B13:K13"/>
    <mergeCell ref="B34:K34"/>
    <mergeCell ref="A6:K6"/>
    <mergeCell ref="A1:K1"/>
    <mergeCell ref="A2:K2"/>
    <mergeCell ref="A3:K3"/>
    <mergeCell ref="A5:K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K36"/>
  <sheetViews>
    <sheetView showGridLines="0" view="pageBreakPreview" zoomScaleNormal="100" zoomScaleSheetLayoutView="100" workbookViewId="0">
      <selection activeCell="B20" sqref="B20:C20"/>
    </sheetView>
  </sheetViews>
  <sheetFormatPr baseColWidth="10" defaultColWidth="11.42578125" defaultRowHeight="12.75" outlineLevelCol="1" x14ac:dyDescent="0.2"/>
  <cols>
    <col min="1" max="1" width="6.28515625" style="57" customWidth="1"/>
    <col min="2" max="2" width="9.7109375" style="57" customWidth="1"/>
    <col min="3" max="3" width="33.85546875" style="56" customWidth="1"/>
    <col min="4" max="4" width="8.85546875" style="57" customWidth="1"/>
    <col min="5" max="5" width="8.5703125" style="57" customWidth="1"/>
    <col min="6" max="6" width="14" style="191" customWidth="1"/>
    <col min="7" max="7" width="18.7109375" style="191" customWidth="1"/>
    <col min="8" max="8" width="24.85546875" style="185" customWidth="1"/>
    <col min="9" max="9" width="24.85546875" style="179" customWidth="1"/>
    <col min="10" max="10" width="25.28515625" style="179" customWidth="1"/>
    <col min="11" max="11" width="20.28515625" style="180" customWidth="1"/>
    <col min="12" max="16" width="19.85546875" style="179" customWidth="1" outlineLevel="1"/>
    <col min="17" max="17" width="23.140625" style="179" customWidth="1" outlineLevel="1"/>
    <col min="18" max="20" width="11.42578125" style="180" customWidth="1" outlineLevel="1"/>
    <col min="21" max="21" width="23.28515625" style="180" customWidth="1"/>
    <col min="22" max="22" width="24.7109375" style="180" customWidth="1"/>
    <col min="23" max="23" width="23.28515625" style="180" customWidth="1"/>
    <col min="24" max="24" width="23.7109375" style="180" customWidth="1"/>
    <col min="25" max="25" width="26.28515625" style="180" customWidth="1"/>
    <col min="26" max="26" width="23.85546875" style="180" customWidth="1"/>
    <col min="27" max="27" width="17.85546875" style="180" bestFit="1" customWidth="1"/>
    <col min="28" max="28" width="11.42578125" style="180"/>
    <col min="29" max="29" width="30" style="180" customWidth="1"/>
    <col min="30" max="30" width="22.140625" style="181" customWidth="1"/>
    <col min="31" max="16384" width="11.42578125" style="180"/>
  </cols>
  <sheetData>
    <row r="1" spans="1:37" ht="12.75" customHeight="1" x14ac:dyDescent="0.25">
      <c r="A1" s="704"/>
      <c r="B1" s="705"/>
      <c r="C1" s="550" t="s">
        <v>223</v>
      </c>
      <c r="D1" s="617" t="s">
        <v>224</v>
      </c>
      <c r="E1" s="618"/>
      <c r="F1" s="417">
        <v>103</v>
      </c>
      <c r="G1" s="718"/>
      <c r="H1"/>
      <c r="I1"/>
      <c r="J1"/>
      <c r="K1"/>
      <c r="L1"/>
      <c r="M1"/>
      <c r="N1"/>
      <c r="O1"/>
      <c r="R1" s="179"/>
      <c r="S1" s="179"/>
      <c r="AD1" s="180"/>
      <c r="AK1" s="181"/>
    </row>
    <row r="2" spans="1:37" ht="12.75" customHeight="1" x14ac:dyDescent="0.25">
      <c r="A2" s="706"/>
      <c r="B2" s="707"/>
      <c r="C2" s="551"/>
      <c r="D2" s="563" t="s">
        <v>194</v>
      </c>
      <c r="E2" s="625"/>
      <c r="F2" s="550">
        <v>51</v>
      </c>
      <c r="G2" s="719"/>
      <c r="H2"/>
      <c r="I2"/>
      <c r="J2"/>
      <c r="K2"/>
      <c r="L2"/>
      <c r="M2"/>
      <c r="N2"/>
      <c r="O2"/>
      <c r="R2" s="179"/>
      <c r="S2" s="179"/>
      <c r="AD2" s="180"/>
      <c r="AK2" s="181"/>
    </row>
    <row r="3" spans="1:37" ht="12.75" customHeight="1" x14ac:dyDescent="0.25">
      <c r="A3" s="706"/>
      <c r="B3" s="707"/>
      <c r="C3" s="415" t="s">
        <v>195</v>
      </c>
      <c r="D3" s="565"/>
      <c r="E3" s="626"/>
      <c r="F3" s="551"/>
      <c r="G3" s="719"/>
      <c r="H3"/>
      <c r="I3"/>
      <c r="J3"/>
      <c r="K3"/>
      <c r="L3"/>
      <c r="M3"/>
      <c r="N3"/>
      <c r="O3"/>
      <c r="R3" s="179"/>
      <c r="S3" s="179"/>
      <c r="AD3" s="180"/>
      <c r="AK3" s="181"/>
    </row>
    <row r="4" spans="1:37" ht="12.75" customHeight="1" x14ac:dyDescent="0.25">
      <c r="A4" s="706"/>
      <c r="B4" s="707"/>
      <c r="C4" s="275" t="s">
        <v>196</v>
      </c>
      <c r="D4" s="570" t="s">
        <v>197</v>
      </c>
      <c r="E4" s="629"/>
      <c r="F4" s="418">
        <v>1</v>
      </c>
      <c r="G4" s="719"/>
      <c r="H4"/>
      <c r="I4"/>
      <c r="J4"/>
      <c r="K4"/>
      <c r="L4"/>
      <c r="M4"/>
      <c r="N4"/>
      <c r="O4"/>
      <c r="R4" s="179"/>
      <c r="S4" s="179"/>
      <c r="AD4" s="180"/>
      <c r="AK4" s="181"/>
    </row>
    <row r="5" spans="1:37" ht="12.75" customHeight="1" x14ac:dyDescent="0.25">
      <c r="A5" s="706"/>
      <c r="B5" s="707"/>
      <c r="C5" s="721" t="s">
        <v>198</v>
      </c>
      <c r="D5" s="563" t="s">
        <v>199</v>
      </c>
      <c r="E5" s="625"/>
      <c r="F5" s="377" t="s">
        <v>200</v>
      </c>
      <c r="G5" s="719"/>
      <c r="H5"/>
      <c r="I5"/>
      <c r="J5"/>
      <c r="K5"/>
      <c r="L5"/>
      <c r="M5"/>
      <c r="N5"/>
      <c r="O5"/>
      <c r="R5" s="179"/>
      <c r="S5" s="179"/>
      <c r="AD5" s="180"/>
      <c r="AK5" s="181"/>
    </row>
    <row r="6" spans="1:37" ht="12.75" customHeight="1" x14ac:dyDescent="0.25">
      <c r="A6" s="708"/>
      <c r="B6" s="709"/>
      <c r="C6" s="722"/>
      <c r="D6" s="565"/>
      <c r="E6" s="626"/>
      <c r="F6" s="277">
        <v>44216</v>
      </c>
      <c r="G6" s="720"/>
      <c r="H6"/>
      <c r="I6"/>
      <c r="J6"/>
      <c r="K6"/>
      <c r="L6"/>
      <c r="M6"/>
      <c r="N6"/>
      <c r="O6"/>
      <c r="R6" s="179"/>
      <c r="S6" s="179"/>
      <c r="AD6" s="180"/>
      <c r="AK6" s="181"/>
    </row>
    <row r="7" spans="1:37" ht="12.75" customHeight="1" thickBot="1" x14ac:dyDescent="0.3">
      <c r="A7" s="192"/>
      <c r="B7" s="192"/>
      <c r="C7" s="192"/>
      <c r="D7" s="192"/>
      <c r="E7" s="192"/>
      <c r="F7" s="378"/>
      <c r="G7" s="379"/>
      <c r="H7"/>
      <c r="I7"/>
      <c r="J7"/>
      <c r="K7"/>
      <c r="L7"/>
      <c r="M7"/>
      <c r="N7"/>
      <c r="O7"/>
      <c r="R7" s="179"/>
      <c r="S7" s="179"/>
      <c r="AD7" s="180"/>
      <c r="AK7" s="181"/>
    </row>
    <row r="8" spans="1:37" ht="12.75" customHeight="1" x14ac:dyDescent="0.25">
      <c r="A8" s="712" t="s">
        <v>311</v>
      </c>
      <c r="B8" s="713"/>
      <c r="C8" s="713"/>
      <c r="D8" s="713"/>
      <c r="E8" s="713"/>
      <c r="F8" s="713"/>
      <c r="G8" s="714"/>
      <c r="H8"/>
      <c r="I8"/>
      <c r="J8"/>
      <c r="K8"/>
      <c r="L8"/>
      <c r="M8"/>
      <c r="N8"/>
      <c r="O8"/>
      <c r="R8" s="179"/>
      <c r="S8" s="179"/>
      <c r="AD8" s="180"/>
      <c r="AK8" s="181"/>
    </row>
    <row r="9" spans="1:37" ht="12.75" customHeight="1" thickBot="1" x14ac:dyDescent="0.3">
      <c r="A9" s="715"/>
      <c r="B9" s="716"/>
      <c r="C9" s="716"/>
      <c r="D9" s="716"/>
      <c r="E9" s="716"/>
      <c r="F9" s="716"/>
      <c r="G9" s="717"/>
      <c r="H9"/>
      <c r="I9"/>
      <c r="J9"/>
      <c r="K9"/>
      <c r="L9"/>
      <c r="M9"/>
      <c r="N9"/>
      <c r="O9"/>
      <c r="R9" s="179"/>
      <c r="S9" s="179"/>
      <c r="AD9" s="180"/>
      <c r="AK9" s="181"/>
    </row>
    <row r="10" spans="1:37" ht="12.75" customHeight="1" thickBot="1" x14ac:dyDescent="0.3">
      <c r="A10" s="192"/>
      <c r="B10" s="192"/>
      <c r="C10" s="192"/>
      <c r="D10" s="192"/>
      <c r="E10" s="192"/>
      <c r="F10" s="378"/>
      <c r="G10" s="380"/>
      <c r="H10" s="192"/>
      <c r="I10"/>
      <c r="J10" s="192"/>
      <c r="K10" s="192"/>
      <c r="L10" s="192"/>
      <c r="M10" s="192"/>
      <c r="N10" s="279"/>
      <c r="R10" s="179"/>
      <c r="S10" s="179"/>
      <c r="AD10" s="180"/>
      <c r="AK10" s="181"/>
    </row>
    <row r="11" spans="1:37" ht="12.75" customHeight="1" thickBot="1" x14ac:dyDescent="0.3">
      <c r="A11" s="723" t="s">
        <v>225</v>
      </c>
      <c r="B11" s="724"/>
      <c r="C11" s="724"/>
      <c r="D11" s="724"/>
      <c r="E11" s="724"/>
      <c r="F11" s="724"/>
      <c r="G11" s="725"/>
      <c r="H11" s="192"/>
      <c r="I11"/>
      <c r="J11"/>
      <c r="K11" s="192"/>
      <c r="L11" s="192"/>
      <c r="M11" s="192"/>
      <c r="N11" s="279"/>
      <c r="R11" s="179"/>
      <c r="S11" s="179"/>
      <c r="AD11" s="180"/>
      <c r="AK11" s="181"/>
    </row>
    <row r="12" spans="1:37" ht="12.75" customHeight="1" x14ac:dyDescent="0.25">
      <c r="A12" s="192"/>
      <c r="B12" s="192"/>
      <c r="C12" s="192"/>
      <c r="D12" s="192"/>
      <c r="E12" s="192"/>
      <c r="F12" s="378"/>
      <c r="G12" s="380"/>
      <c r="H12" s="179"/>
      <c r="I12"/>
      <c r="J12" s="192"/>
      <c r="K12" s="179"/>
      <c r="M12" s="180"/>
      <c r="N12" s="180"/>
      <c r="O12" s="180"/>
      <c r="P12" s="180"/>
      <c r="Q12" s="180"/>
    </row>
    <row r="13" spans="1:37" ht="12.75" customHeight="1" x14ac:dyDescent="0.25">
      <c r="A13" s="193" t="s">
        <v>3</v>
      </c>
      <c r="B13" s="726" t="s">
        <v>19</v>
      </c>
      <c r="C13" s="726"/>
      <c r="D13" s="193" t="s">
        <v>20</v>
      </c>
      <c r="E13" s="193" t="s">
        <v>21</v>
      </c>
      <c r="F13" s="194" t="s">
        <v>22</v>
      </c>
      <c r="G13" s="194" t="s">
        <v>23</v>
      </c>
      <c r="H13" s="183"/>
      <c r="I13"/>
      <c r="J13"/>
      <c r="K13" s="184"/>
    </row>
    <row r="14" spans="1:37" ht="12.75" customHeight="1" x14ac:dyDescent="0.25">
      <c r="A14" s="372">
        <v>1</v>
      </c>
      <c r="B14" s="698" t="s">
        <v>14</v>
      </c>
      <c r="C14" s="699"/>
      <c r="D14" s="699"/>
      <c r="E14" s="699"/>
      <c r="F14" s="699"/>
      <c r="G14" s="700"/>
      <c r="H14" s="183"/>
      <c r="I14"/>
      <c r="J14" s="192"/>
      <c r="K14" s="184"/>
    </row>
    <row r="15" spans="1:37" ht="12.75" customHeight="1" x14ac:dyDescent="0.25">
      <c r="A15" s="392">
        <v>1.1000000000000001</v>
      </c>
      <c r="B15" s="710" t="s">
        <v>262</v>
      </c>
      <c r="C15" s="711"/>
      <c r="D15" s="393" t="s">
        <v>234</v>
      </c>
      <c r="E15" s="394">
        <f>'MEMORIA DE CANTIDADES DE OBRA '!I21</f>
        <v>267.22000000000003</v>
      </c>
      <c r="F15" s="321">
        <f>APU!H42</f>
        <v>18300</v>
      </c>
      <c r="G15" s="381">
        <f>ROUND(E15*F15,2)</f>
        <v>4890126</v>
      </c>
      <c r="H15" s="183"/>
      <c r="I15"/>
      <c r="J15"/>
      <c r="K15" s="184"/>
    </row>
    <row r="16" spans="1:37" ht="12.75" customHeight="1" x14ac:dyDescent="0.25">
      <c r="A16" s="392">
        <v>1.2</v>
      </c>
      <c r="B16" s="703" t="s">
        <v>261</v>
      </c>
      <c r="C16" s="703"/>
      <c r="D16" s="393" t="s">
        <v>234</v>
      </c>
      <c r="E16" s="394">
        <f>+'MEMORIA DE CANTIDADES DE OBRA '!I29</f>
        <v>267.22000000000003</v>
      </c>
      <c r="F16" s="321">
        <f>+APU!H99</f>
        <v>5775</v>
      </c>
      <c r="G16" s="381">
        <f t="shared" ref="G16" si="0">ROUND(E16*F16,2)</f>
        <v>1543195.5</v>
      </c>
      <c r="H16" s="183"/>
      <c r="I16"/>
      <c r="J16" s="192"/>
      <c r="K16" s="184"/>
    </row>
    <row r="17" spans="1:26" ht="12.75" customHeight="1" x14ac:dyDescent="0.25">
      <c r="A17" s="193"/>
      <c r="B17" s="682" t="s">
        <v>229</v>
      </c>
      <c r="C17" s="683"/>
      <c r="D17" s="683"/>
      <c r="E17" s="683"/>
      <c r="F17" s="684"/>
      <c r="G17" s="194">
        <f>ROUND((SUM(G15:G16)),2)</f>
        <v>6433321.5</v>
      </c>
      <c r="H17" s="183"/>
      <c r="I17"/>
      <c r="J17"/>
      <c r="K17" s="184"/>
    </row>
    <row r="18" spans="1:26" ht="12.75" customHeight="1" x14ac:dyDescent="0.25">
      <c r="A18" s="372">
        <v>2</v>
      </c>
      <c r="B18" s="698" t="s">
        <v>291</v>
      </c>
      <c r="C18" s="699"/>
      <c r="D18" s="699"/>
      <c r="E18" s="699"/>
      <c r="F18" s="699"/>
      <c r="G18" s="700"/>
      <c r="H18" s="183"/>
      <c r="I18"/>
      <c r="J18" s="182"/>
      <c r="L18" s="186"/>
      <c r="M18" s="186"/>
      <c r="N18" s="186"/>
      <c r="O18" s="186"/>
      <c r="P18" s="186"/>
      <c r="Q18" s="186"/>
      <c r="U18" s="187"/>
      <c r="V18" s="187"/>
      <c r="W18" s="187"/>
      <c r="X18" s="187"/>
      <c r="Y18" s="187"/>
      <c r="Z18" s="187"/>
    </row>
    <row r="19" spans="1:26" ht="12.75" customHeight="1" x14ac:dyDescent="0.25">
      <c r="A19" s="392">
        <v>2.1</v>
      </c>
      <c r="B19" s="701" t="s">
        <v>308</v>
      </c>
      <c r="C19" s="702"/>
      <c r="D19" s="393" t="s">
        <v>288</v>
      </c>
      <c r="E19" s="394">
        <f>'MEMORIA DE CANTIDADES DE OBRA '!I36</f>
        <v>204.3</v>
      </c>
      <c r="F19" s="321">
        <f>APU!H155</f>
        <v>71167.41</v>
      </c>
      <c r="G19" s="385">
        <f t="shared" ref="G19" si="1">ROUND(E19*F19,2)</f>
        <v>14539501.859999999</v>
      </c>
      <c r="H19" s="183"/>
      <c r="I19"/>
      <c r="J19" s="182"/>
      <c r="K19" s="184"/>
    </row>
    <row r="20" spans="1:26" ht="25.5" customHeight="1" x14ac:dyDescent="0.25">
      <c r="A20" s="392">
        <v>2.2000000000000002</v>
      </c>
      <c r="B20" s="701" t="s">
        <v>317</v>
      </c>
      <c r="C20" s="702"/>
      <c r="D20" s="393" t="s">
        <v>234</v>
      </c>
      <c r="E20" s="394">
        <f>'MEMORIA DE CANTIDADES DE OBRA '!I47</f>
        <v>354.44</v>
      </c>
      <c r="F20" s="321">
        <f>+APU!H213</f>
        <v>62007.69</v>
      </c>
      <c r="G20" s="385">
        <f>ROUND(E20*F20,2)</f>
        <v>21978005.640000001</v>
      </c>
      <c r="H20" s="183"/>
      <c r="I20"/>
      <c r="J20" s="182"/>
      <c r="K20" s="184"/>
    </row>
    <row r="21" spans="1:26" ht="12.75" customHeight="1" x14ac:dyDescent="0.25">
      <c r="A21" s="392">
        <v>2.2999999999999998</v>
      </c>
      <c r="B21" s="685" t="s">
        <v>318</v>
      </c>
      <c r="C21" s="686"/>
      <c r="D21" s="393" t="s">
        <v>288</v>
      </c>
      <c r="E21" s="394">
        <f>+'MEMORIA DE CANTIDADES DE OBRA '!I54</f>
        <v>21</v>
      </c>
      <c r="F21" s="414">
        <f>+APU!H271</f>
        <v>39923.08</v>
      </c>
      <c r="G21" s="385">
        <f>ROUND(F21*E21,2)</f>
        <v>838384.68</v>
      </c>
      <c r="H21" s="183"/>
      <c r="I21"/>
      <c r="J21" s="182"/>
      <c r="K21" s="184"/>
    </row>
    <row r="22" spans="1:26" ht="12.75" customHeight="1" x14ac:dyDescent="0.25">
      <c r="A22" s="193"/>
      <c r="B22" s="682" t="s">
        <v>229</v>
      </c>
      <c r="C22" s="683"/>
      <c r="D22" s="683"/>
      <c r="E22" s="683"/>
      <c r="F22" s="684"/>
      <c r="G22" s="194">
        <f>ROUND((SUM(G19:G21)),2)</f>
        <v>37355892.18</v>
      </c>
      <c r="H22" s="183"/>
      <c r="I22"/>
      <c r="J22" s="182"/>
      <c r="K22" s="184"/>
    </row>
    <row r="23" spans="1:26" ht="12.75" customHeight="1" x14ac:dyDescent="0.25">
      <c r="A23" s="193"/>
      <c r="B23" s="682"/>
      <c r="C23" s="683"/>
      <c r="D23" s="683"/>
      <c r="E23" s="683"/>
      <c r="F23" s="684"/>
      <c r="G23" s="194"/>
      <c r="H23" s="183"/>
      <c r="I23" s="371"/>
      <c r="J23" s="182"/>
      <c r="K23" s="184"/>
    </row>
    <row r="24" spans="1:26" ht="12.75" customHeight="1" x14ac:dyDescent="0.25">
      <c r="A24" s="694" t="s">
        <v>25</v>
      </c>
      <c r="B24" s="695"/>
      <c r="C24" s="695"/>
      <c r="D24" s="695"/>
      <c r="E24" s="695"/>
      <c r="F24" s="696"/>
      <c r="G24" s="382">
        <f>ROUND((G22+G17),2)</f>
        <v>43789213.68</v>
      </c>
      <c r="H24" s="183"/>
      <c r="I24" s="371"/>
    </row>
    <row r="25" spans="1:26" ht="12.75" customHeight="1" x14ac:dyDescent="0.2">
      <c r="A25" s="697" t="s">
        <v>177</v>
      </c>
      <c r="B25" s="697"/>
      <c r="C25" s="697"/>
      <c r="D25" s="697"/>
      <c r="E25" s="697"/>
      <c r="F25" s="384">
        <v>0.27</v>
      </c>
      <c r="G25" s="381">
        <f>ROUND((G24*F25),2)</f>
        <v>11823087.689999999</v>
      </c>
      <c r="I25" s="303" t="s">
        <v>235</v>
      </c>
    </row>
    <row r="26" spans="1:26" ht="12.75" customHeight="1" x14ac:dyDescent="0.2">
      <c r="A26" s="697" t="s">
        <v>61</v>
      </c>
      <c r="B26" s="697"/>
      <c r="C26" s="697"/>
      <c r="D26" s="697"/>
      <c r="E26" s="697"/>
      <c r="F26" s="384">
        <v>0.02</v>
      </c>
      <c r="G26" s="381">
        <f>ROUND((G24*F26),2)</f>
        <v>875784.27</v>
      </c>
      <c r="I26" s="304">
        <v>39858000</v>
      </c>
    </row>
    <row r="27" spans="1:26" ht="12.75" customHeight="1" x14ac:dyDescent="0.2">
      <c r="A27" s="697" t="s">
        <v>62</v>
      </c>
      <c r="B27" s="697"/>
      <c r="C27" s="697"/>
      <c r="D27" s="697"/>
      <c r="E27" s="697"/>
      <c r="F27" s="384">
        <v>0.03</v>
      </c>
      <c r="G27" s="381">
        <f>ROUND((G24*F27),2)</f>
        <v>1313676.4099999999</v>
      </c>
      <c r="H27" s="188"/>
      <c r="I27" s="241"/>
    </row>
    <row r="28" spans="1:26" ht="12.75" customHeight="1" x14ac:dyDescent="0.2">
      <c r="A28" s="687" t="s">
        <v>145</v>
      </c>
      <c r="B28" s="688"/>
      <c r="C28" s="688"/>
      <c r="D28" s="688"/>
      <c r="E28" s="688"/>
      <c r="F28" s="689"/>
      <c r="G28" s="382">
        <f>ROUND(SUM(G25:G27),2)</f>
        <v>14012548.369999999</v>
      </c>
      <c r="H28" s="188"/>
    </row>
    <row r="29" spans="1:26" ht="12.75" customHeight="1" x14ac:dyDescent="0.2">
      <c r="A29" s="690" t="s">
        <v>74</v>
      </c>
      <c r="B29" s="691"/>
      <c r="C29" s="691"/>
      <c r="D29" s="691"/>
      <c r="E29" s="691"/>
      <c r="F29" s="692"/>
      <c r="G29" s="382">
        <f>G24+G28</f>
        <v>57801762.049999997</v>
      </c>
      <c r="H29" s="305">
        <v>58000000</v>
      </c>
      <c r="I29" s="179">
        <f>+H29-G29</f>
        <v>198237.95000000298</v>
      </c>
    </row>
    <row r="30" spans="1:26" ht="12.75" customHeight="1" x14ac:dyDescent="0.2">
      <c r="A30" s="195"/>
      <c r="B30" s="195"/>
      <c r="C30" s="195"/>
      <c r="D30" s="195"/>
      <c r="E30" s="195"/>
      <c r="F30" s="383"/>
      <c r="G30" s="196"/>
    </row>
    <row r="31" spans="1:26" ht="12.75" customHeight="1" x14ac:dyDescent="0.2">
      <c r="F31" s="58"/>
      <c r="G31" s="58"/>
    </row>
    <row r="32" spans="1:26" ht="12.75" customHeight="1" x14ac:dyDescent="0.2">
      <c r="A32" s="693"/>
      <c r="B32" s="693"/>
      <c r="C32" s="693"/>
      <c r="F32" s="59"/>
      <c r="G32" s="58"/>
      <c r="H32" s="189"/>
      <c r="I32" s="190"/>
    </row>
    <row r="33" spans="1:7" ht="12.75" customHeight="1" x14ac:dyDescent="0.2">
      <c r="A33" s="56"/>
      <c r="B33" s="56"/>
      <c r="C33" s="422"/>
      <c r="F33" s="58"/>
      <c r="G33" s="58"/>
    </row>
    <row r="34" spans="1:7" ht="12.75" customHeight="1" x14ac:dyDescent="0.2">
      <c r="A34" s="588" t="s">
        <v>228</v>
      </c>
      <c r="B34" s="588"/>
      <c r="C34" s="588"/>
      <c r="D34" s="588"/>
      <c r="E34" s="588"/>
      <c r="F34" s="588"/>
      <c r="G34" s="588"/>
    </row>
    <row r="35" spans="1:7" ht="12.75" customHeight="1" x14ac:dyDescent="0.2">
      <c r="A35" s="589" t="s">
        <v>176</v>
      </c>
      <c r="B35" s="589"/>
      <c r="C35" s="589"/>
      <c r="D35" s="589"/>
      <c r="E35" s="589"/>
      <c r="F35" s="589"/>
      <c r="G35" s="589"/>
    </row>
    <row r="36" spans="1:7" ht="12.75" customHeight="1" x14ac:dyDescent="0.2">
      <c r="A36" s="590" t="s">
        <v>152</v>
      </c>
      <c r="B36" s="590"/>
      <c r="C36" s="590"/>
      <c r="D36" s="590"/>
      <c r="E36" s="590"/>
      <c r="F36" s="590"/>
      <c r="G36" s="590"/>
    </row>
  </sheetData>
  <mergeCells count="32">
    <mergeCell ref="A1:B6"/>
    <mergeCell ref="C1:C2"/>
    <mergeCell ref="B15:C15"/>
    <mergeCell ref="D1:E1"/>
    <mergeCell ref="A8:G9"/>
    <mergeCell ref="G1:G6"/>
    <mergeCell ref="D2:E3"/>
    <mergeCell ref="F2:F3"/>
    <mergeCell ref="D4:E4"/>
    <mergeCell ref="C5:C6"/>
    <mergeCell ref="D5:E6"/>
    <mergeCell ref="A11:G11"/>
    <mergeCell ref="B13:C13"/>
    <mergeCell ref="B14:G14"/>
    <mergeCell ref="B17:F17"/>
    <mergeCell ref="B18:G18"/>
    <mergeCell ref="B19:C19"/>
    <mergeCell ref="B16:C16"/>
    <mergeCell ref="A34:G34"/>
    <mergeCell ref="A35:G35"/>
    <mergeCell ref="A36:G36"/>
    <mergeCell ref="B22:F22"/>
    <mergeCell ref="B20:C20"/>
    <mergeCell ref="B23:F23"/>
    <mergeCell ref="A28:F28"/>
    <mergeCell ref="A29:F29"/>
    <mergeCell ref="A32:C32"/>
    <mergeCell ref="A24:F24"/>
    <mergeCell ref="A25:E25"/>
    <mergeCell ref="A26:E26"/>
    <mergeCell ref="A27:E27"/>
    <mergeCell ref="B21:C21"/>
  </mergeCells>
  <phoneticPr fontId="29" type="noConversion"/>
  <printOptions horizontalCentered="1" verticalCentered="1"/>
  <pageMargins left="0" right="0" top="0" bottom="0.74803149606299213" header="0.31496062992125984" footer="0.31496062992125984"/>
  <pageSetup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view="pageBreakPreview" topLeftCell="A7" zoomScaleNormal="100" zoomScaleSheetLayoutView="100" workbookViewId="0">
      <selection activeCell="A62" sqref="A62:F62"/>
    </sheetView>
  </sheetViews>
  <sheetFormatPr baseColWidth="10" defaultColWidth="11.42578125" defaultRowHeight="12.75" x14ac:dyDescent="0.2"/>
  <cols>
    <col min="1" max="6" width="18.85546875" style="272" customWidth="1"/>
    <col min="7" max="8" width="19.28515625" style="247" customWidth="1"/>
    <col min="9" max="16384" width="11.42578125" style="247"/>
  </cols>
  <sheetData>
    <row r="1" spans="1:8" x14ac:dyDescent="0.2">
      <c r="A1" s="735"/>
      <c r="B1" s="738" t="s">
        <v>192</v>
      </c>
      <c r="C1" s="739"/>
      <c r="D1" s="246" t="s">
        <v>193</v>
      </c>
      <c r="E1" s="246">
        <v>103</v>
      </c>
      <c r="F1" s="742"/>
    </row>
    <row r="2" spans="1:8" x14ac:dyDescent="0.2">
      <c r="A2" s="736"/>
      <c r="B2" s="740"/>
      <c r="C2" s="741"/>
      <c r="D2" s="745" t="s">
        <v>194</v>
      </c>
      <c r="E2" s="747">
        <v>51</v>
      </c>
      <c r="F2" s="743"/>
    </row>
    <row r="3" spans="1:8" x14ac:dyDescent="0.2">
      <c r="A3" s="736"/>
      <c r="B3" s="748" t="s">
        <v>195</v>
      </c>
      <c r="C3" s="749"/>
      <c r="D3" s="746"/>
      <c r="E3" s="747"/>
      <c r="F3" s="743"/>
    </row>
    <row r="4" spans="1:8" ht="15" x14ac:dyDescent="0.25">
      <c r="A4" s="736"/>
      <c r="B4" s="750" t="s">
        <v>196</v>
      </c>
      <c r="C4" s="751"/>
      <c r="D4" s="246" t="s">
        <v>197</v>
      </c>
      <c r="E4" s="246">
        <v>1</v>
      </c>
      <c r="F4" s="743"/>
      <c r="G4"/>
    </row>
    <row r="5" spans="1:8" ht="15" x14ac:dyDescent="0.25">
      <c r="A5" s="736"/>
      <c r="B5" s="752" t="s">
        <v>198</v>
      </c>
      <c r="C5" s="753"/>
      <c r="D5" s="745" t="s">
        <v>199</v>
      </c>
      <c r="E5" s="246" t="s">
        <v>200</v>
      </c>
      <c r="F5" s="743"/>
      <c r="G5"/>
    </row>
    <row r="6" spans="1:8" ht="15" x14ac:dyDescent="0.25">
      <c r="A6" s="737"/>
      <c r="B6" s="754"/>
      <c r="C6" s="755"/>
      <c r="D6" s="746"/>
      <c r="E6" s="248">
        <v>44216</v>
      </c>
      <c r="F6" s="744"/>
      <c r="G6"/>
    </row>
    <row r="7" spans="1:8" ht="15.75" thickBot="1" x14ac:dyDescent="0.3">
      <c r="A7" s="249"/>
      <c r="B7" s="250"/>
      <c r="C7" s="250"/>
      <c r="D7" s="250"/>
      <c r="E7" s="250"/>
      <c r="F7" s="250"/>
      <c r="G7"/>
    </row>
    <row r="8" spans="1:8" ht="21.75" customHeight="1" x14ac:dyDescent="0.25">
      <c r="A8" s="727" t="str">
        <f>+Presupuesto!A8</f>
        <v>ADECUACION DE LA INFRAESTRUCTURA DE LA PLANTA DE BENEFICIO ANIMAL MEDIANTE EL MEJORAMIENTO DE CUBIERTA EN EL MUNICIPIO DE SAN MIGUEL PUTUMAYO</v>
      </c>
      <c r="B8" s="728"/>
      <c r="C8" s="728"/>
      <c r="D8" s="728"/>
      <c r="E8" s="728"/>
      <c r="F8" s="728"/>
      <c r="G8"/>
    </row>
    <row r="9" spans="1:8" ht="30.75" customHeight="1" thickBot="1" x14ac:dyDescent="0.3">
      <c r="A9" s="729"/>
      <c r="B9" s="730"/>
      <c r="C9" s="730"/>
      <c r="D9" s="730"/>
      <c r="E9" s="730"/>
      <c r="F9" s="730"/>
      <c r="G9"/>
    </row>
    <row r="10" spans="1:8" ht="15" x14ac:dyDescent="0.25">
      <c r="A10" s="251"/>
      <c r="B10" s="251"/>
      <c r="C10" s="251"/>
      <c r="D10" s="251"/>
      <c r="E10" s="251"/>
      <c r="F10" s="251"/>
      <c r="G10"/>
    </row>
    <row r="11" spans="1:8" x14ac:dyDescent="0.2">
      <c r="A11" s="731" t="s">
        <v>201</v>
      </c>
      <c r="B11" s="731"/>
      <c r="C11" s="731"/>
      <c r="D11" s="731"/>
      <c r="E11" s="731"/>
      <c r="F11" s="731"/>
    </row>
    <row r="13" spans="1:8" x14ac:dyDescent="0.2">
      <c r="A13" s="732" t="s">
        <v>202</v>
      </c>
      <c r="B13" s="733"/>
      <c r="C13" s="733"/>
      <c r="D13" s="733"/>
      <c r="E13" s="733"/>
      <c r="F13" s="734"/>
    </row>
    <row r="14" spans="1:8" x14ac:dyDescent="0.2">
      <c r="A14" s="252" t="s">
        <v>203</v>
      </c>
      <c r="B14" s="253" t="s">
        <v>204</v>
      </c>
      <c r="C14" s="748" t="s">
        <v>77</v>
      </c>
      <c r="D14" s="749"/>
      <c r="E14" s="747" t="s">
        <v>205</v>
      </c>
      <c r="F14" s="747"/>
      <c r="H14" s="254"/>
    </row>
    <row r="15" spans="1:8" x14ac:dyDescent="0.2">
      <c r="A15" s="255" t="s">
        <v>206</v>
      </c>
      <c r="B15" s="256">
        <v>2700000</v>
      </c>
      <c r="C15" s="761">
        <v>1.75</v>
      </c>
      <c r="D15" s="761"/>
      <c r="E15" s="762">
        <f>B15*C15</f>
        <v>4725000</v>
      </c>
      <c r="F15" s="762"/>
    </row>
    <row r="16" spans="1:8" x14ac:dyDescent="0.2">
      <c r="A16" s="756" t="s">
        <v>207</v>
      </c>
      <c r="B16" s="756"/>
      <c r="C16" s="756"/>
      <c r="D16" s="756"/>
      <c r="E16" s="756"/>
      <c r="F16" s="756"/>
    </row>
    <row r="17" spans="1:9" ht="38.25" x14ac:dyDescent="0.2">
      <c r="A17" s="257" t="s">
        <v>208</v>
      </c>
      <c r="B17" s="257" t="s">
        <v>205</v>
      </c>
      <c r="C17" s="257" t="s">
        <v>209</v>
      </c>
      <c r="D17" s="257" t="s">
        <v>210</v>
      </c>
      <c r="E17" s="257" t="s">
        <v>211</v>
      </c>
      <c r="F17" s="257" t="s">
        <v>212</v>
      </c>
    </row>
    <row r="18" spans="1:9" x14ac:dyDescent="0.2">
      <c r="A18" s="258" t="s">
        <v>206</v>
      </c>
      <c r="B18" s="259">
        <f>E15</f>
        <v>4725000</v>
      </c>
      <c r="C18" s="260">
        <v>0.7</v>
      </c>
      <c r="D18" s="261">
        <v>0.5</v>
      </c>
      <c r="E18" s="361">
        <f>ROUND((B18*C18*D18),0)</f>
        <v>1653750</v>
      </c>
      <c r="F18" s="288">
        <f>E18/$E$55</f>
        <v>3.7766149720914556E-2</v>
      </c>
      <c r="G18" s="254"/>
    </row>
    <row r="19" spans="1:9" customFormat="1" ht="15" x14ac:dyDescent="0.25">
      <c r="A19" s="757" t="s">
        <v>213</v>
      </c>
      <c r="B19" s="758"/>
      <c r="C19" s="263"/>
      <c r="D19" s="263"/>
      <c r="E19" s="362"/>
      <c r="F19" s="288"/>
      <c r="G19" s="247"/>
      <c r="H19" s="247"/>
      <c r="I19" s="247"/>
    </row>
    <row r="20" spans="1:9" customFormat="1" ht="15" x14ac:dyDescent="0.25">
      <c r="A20" s="759" t="s">
        <v>214</v>
      </c>
      <c r="B20" s="760"/>
      <c r="C20" s="258"/>
      <c r="D20" s="258"/>
      <c r="E20" s="363">
        <v>400000</v>
      </c>
      <c r="F20" s="288">
        <f t="shared" ref="F20:F35" si="0">E20/$E$55</f>
        <v>9.1346696225946024E-3</v>
      </c>
      <c r="G20" s="247"/>
      <c r="H20" s="247"/>
      <c r="I20" s="264"/>
    </row>
    <row r="21" spans="1:9" customFormat="1" ht="15" x14ac:dyDescent="0.25">
      <c r="A21" s="763" t="s">
        <v>215</v>
      </c>
      <c r="B21" s="763"/>
      <c r="C21" s="262"/>
      <c r="D21" s="258"/>
      <c r="E21" s="361"/>
      <c r="F21" s="288"/>
      <c r="G21" s="247"/>
      <c r="H21" s="247"/>
      <c r="I21" s="247"/>
    </row>
    <row r="22" spans="1:9" customFormat="1" ht="15" x14ac:dyDescent="0.25">
      <c r="A22" s="764" t="s">
        <v>277</v>
      </c>
      <c r="B22" s="765"/>
      <c r="C22" s="258"/>
      <c r="D22" s="258"/>
      <c r="E22" s="364">
        <v>350095.94466790673</v>
      </c>
      <c r="F22" s="288">
        <f t="shared" si="0"/>
        <v>7.9950269768787208E-3</v>
      </c>
      <c r="G22" s="247"/>
      <c r="H22" s="247"/>
      <c r="I22" s="247"/>
    </row>
    <row r="23" spans="1:9" customFormat="1" ht="15" x14ac:dyDescent="0.25">
      <c r="A23" s="764" t="s">
        <v>124</v>
      </c>
      <c r="B23" s="765"/>
      <c r="C23" s="258"/>
      <c r="D23" s="258"/>
      <c r="E23" s="364">
        <v>200000</v>
      </c>
      <c r="F23" s="288">
        <f t="shared" si="0"/>
        <v>4.5673348112973012E-3</v>
      </c>
      <c r="G23" s="247"/>
      <c r="H23" s="247"/>
      <c r="I23" s="247"/>
    </row>
    <row r="24" spans="1:9" customFormat="1" ht="15" x14ac:dyDescent="0.25">
      <c r="A24" s="764" t="s">
        <v>307</v>
      </c>
      <c r="B24" s="765"/>
      <c r="C24" s="258"/>
      <c r="D24" s="258"/>
      <c r="E24" s="364">
        <v>150000</v>
      </c>
      <c r="F24" s="288">
        <f t="shared" si="0"/>
        <v>3.4255011084729759E-3</v>
      </c>
      <c r="G24" s="247"/>
      <c r="H24" s="247"/>
      <c r="I24" s="247"/>
    </row>
    <row r="25" spans="1:9" customFormat="1" ht="15" x14ac:dyDescent="0.25">
      <c r="A25" s="617" t="s">
        <v>278</v>
      </c>
      <c r="B25" s="618"/>
      <c r="C25" s="408"/>
      <c r="D25" s="408"/>
      <c r="E25" s="409"/>
      <c r="F25" s="288"/>
      <c r="G25" s="410"/>
      <c r="H25" s="247"/>
      <c r="I25" s="247"/>
    </row>
    <row r="26" spans="1:9" customFormat="1" ht="15" x14ac:dyDescent="0.25">
      <c r="A26" s="772" t="s">
        <v>279</v>
      </c>
      <c r="B26" s="772"/>
      <c r="C26" s="408"/>
      <c r="D26" s="408"/>
      <c r="E26" s="411">
        <f>G26*Presupuesto!$G$29</f>
        <v>1156035.2409999999</v>
      </c>
      <c r="F26" s="288">
        <f t="shared" si="0"/>
        <v>2.6399999996528825E-2</v>
      </c>
      <c r="G26" s="410">
        <v>0.02</v>
      </c>
      <c r="H26" s="247"/>
      <c r="I26" s="247"/>
    </row>
    <row r="27" spans="1:9" customFormat="1" ht="15" x14ac:dyDescent="0.25">
      <c r="A27" s="772" t="s">
        <v>280</v>
      </c>
      <c r="B27" s="772"/>
      <c r="C27" s="408"/>
      <c r="D27" s="408"/>
      <c r="E27" s="411">
        <f>G27*Presupuesto!$G$29</f>
        <v>578017.62049999996</v>
      </c>
      <c r="F27" s="288">
        <f t="shared" si="0"/>
        <v>1.3199999998264413E-2</v>
      </c>
      <c r="G27" s="410">
        <v>0.01</v>
      </c>
      <c r="H27" s="247"/>
      <c r="I27" s="247"/>
    </row>
    <row r="28" spans="1:9" customFormat="1" ht="15" x14ac:dyDescent="0.25">
      <c r="A28" s="772" t="s">
        <v>281</v>
      </c>
      <c r="B28" s="772"/>
      <c r="C28" s="408"/>
      <c r="D28" s="408"/>
      <c r="E28" s="411">
        <f>G28*Presupuesto!$G$29</f>
        <v>578017.62049999996</v>
      </c>
      <c r="F28" s="288">
        <f t="shared" si="0"/>
        <v>1.3199999998264413E-2</v>
      </c>
      <c r="G28" s="410">
        <v>0.01</v>
      </c>
      <c r="H28" s="247"/>
      <c r="I28" s="247"/>
    </row>
    <row r="29" spans="1:9" customFormat="1" ht="15" x14ac:dyDescent="0.25">
      <c r="A29" s="772" t="s">
        <v>282</v>
      </c>
      <c r="B29" s="772"/>
      <c r="C29" s="408"/>
      <c r="D29" s="408"/>
      <c r="E29" s="411">
        <f>G29*Presupuesto!$G$29</f>
        <v>2890088.1025</v>
      </c>
      <c r="F29" s="288">
        <f>E29/$E$55</f>
        <v>6.599999999132207E-2</v>
      </c>
      <c r="G29" s="410">
        <v>0.05</v>
      </c>
      <c r="H29" s="247"/>
      <c r="I29" s="247"/>
    </row>
    <row r="30" spans="1:9" customFormat="1" ht="15" x14ac:dyDescent="0.25">
      <c r="A30" s="770" t="s">
        <v>306</v>
      </c>
      <c r="B30" s="771"/>
      <c r="C30" s="408"/>
      <c r="D30" s="408"/>
      <c r="E30" s="411">
        <v>145000</v>
      </c>
      <c r="F30" s="288">
        <f t="shared" si="0"/>
        <v>3.3113177381905432E-3</v>
      </c>
      <c r="G30" s="410"/>
      <c r="H30" s="247"/>
      <c r="I30" s="247"/>
    </row>
    <row r="31" spans="1:9" customFormat="1" ht="15" x14ac:dyDescent="0.25">
      <c r="A31" s="768" t="s">
        <v>283</v>
      </c>
      <c r="B31" s="769"/>
      <c r="C31" s="408"/>
      <c r="D31" s="408"/>
      <c r="E31" s="411">
        <f>G31*Presupuesto!$G$24</f>
        <v>0</v>
      </c>
      <c r="F31" s="288"/>
      <c r="G31" s="410"/>
      <c r="H31" s="247"/>
      <c r="I31" s="247"/>
    </row>
    <row r="32" spans="1:9" customFormat="1" ht="15" x14ac:dyDescent="0.25">
      <c r="A32" s="766" t="s">
        <v>284</v>
      </c>
      <c r="B32" s="767"/>
      <c r="C32" s="408"/>
      <c r="D32" s="408"/>
      <c r="E32" s="411">
        <f>G32*Presupuesto!$G$24</f>
        <v>1751568.5471999999</v>
      </c>
      <c r="F32" s="288">
        <f t="shared" si="0"/>
        <v>0.04</v>
      </c>
      <c r="G32" s="410">
        <v>0.04</v>
      </c>
      <c r="H32" s="247"/>
      <c r="I32" s="247"/>
    </row>
    <row r="33" spans="1:9" customFormat="1" ht="15" x14ac:dyDescent="0.25">
      <c r="A33" s="766" t="s">
        <v>285</v>
      </c>
      <c r="B33" s="767"/>
      <c r="C33" s="408"/>
      <c r="D33" s="408"/>
      <c r="E33" s="411">
        <f>G33*Presupuesto!$G$24</f>
        <v>875784.27359999996</v>
      </c>
      <c r="F33" s="288">
        <f t="shared" si="0"/>
        <v>0.02</v>
      </c>
      <c r="G33" s="410">
        <v>0.02</v>
      </c>
      <c r="H33" s="247"/>
      <c r="I33" s="247"/>
    </row>
    <row r="34" spans="1:9" customFormat="1" ht="15" x14ac:dyDescent="0.25">
      <c r="A34" s="766" t="s">
        <v>286</v>
      </c>
      <c r="B34" s="767"/>
      <c r="C34" s="408"/>
      <c r="D34" s="408"/>
      <c r="E34" s="411">
        <f>G34*Presupuesto!$G$24</f>
        <v>875784.27359999996</v>
      </c>
      <c r="F34" s="288">
        <f t="shared" si="0"/>
        <v>0.02</v>
      </c>
      <c r="G34" s="410">
        <v>0.02</v>
      </c>
      <c r="H34" s="247"/>
      <c r="I34" s="247"/>
    </row>
    <row r="35" spans="1:9" customFormat="1" ht="27" customHeight="1" x14ac:dyDescent="0.25">
      <c r="A35" s="766" t="s">
        <v>305</v>
      </c>
      <c r="B35" s="767"/>
      <c r="C35" s="408"/>
      <c r="D35" s="408"/>
      <c r="E35" s="411">
        <f>G35*Presupuesto!$G$24</f>
        <v>218946.06839999999</v>
      </c>
      <c r="F35" s="288">
        <f t="shared" si="0"/>
        <v>5.0000000000000001E-3</v>
      </c>
      <c r="G35" s="412">
        <v>5.0000000000000001E-3</v>
      </c>
      <c r="H35" s="247"/>
      <c r="I35" s="247"/>
    </row>
    <row r="36" spans="1:9" x14ac:dyDescent="0.2">
      <c r="A36" s="776" t="s">
        <v>125</v>
      </c>
      <c r="B36" s="776"/>
      <c r="C36" s="776"/>
      <c r="D36" s="776"/>
      <c r="E36" s="360">
        <f>ROUND(SUM(E18:E35),2)</f>
        <v>11823087.689999999</v>
      </c>
      <c r="F36" s="413">
        <f>SUM(F18:F35)</f>
        <v>0.26999999996272844</v>
      </c>
      <c r="G36" s="359">
        <f>H51</f>
        <v>8158139.4000000004</v>
      </c>
      <c r="H36" s="358">
        <f>G36-E36</f>
        <v>-3664948.2899999991</v>
      </c>
    </row>
    <row r="37" spans="1:9" x14ac:dyDescent="0.2">
      <c r="A37" s="265"/>
      <c r="B37" s="265"/>
      <c r="C37" s="265"/>
      <c r="D37" s="265"/>
      <c r="E37" s="266"/>
      <c r="F37" s="267"/>
    </row>
    <row r="38" spans="1:9" x14ac:dyDescent="0.2">
      <c r="A38" s="756" t="s">
        <v>216</v>
      </c>
      <c r="B38" s="756"/>
      <c r="C38" s="756"/>
      <c r="D38" s="756"/>
      <c r="E38" s="756"/>
      <c r="F38" s="756"/>
    </row>
    <row r="39" spans="1:9" x14ac:dyDescent="0.2">
      <c r="A39" s="747" t="s">
        <v>163</v>
      </c>
      <c r="B39" s="747"/>
      <c r="C39" s="252"/>
      <c r="D39" s="777" t="s">
        <v>211</v>
      </c>
      <c r="E39" s="778"/>
      <c r="F39" s="252" t="s">
        <v>217</v>
      </c>
    </row>
    <row r="40" spans="1:9" x14ac:dyDescent="0.2">
      <c r="A40" s="773" t="s">
        <v>61</v>
      </c>
      <c r="B40" s="773"/>
      <c r="C40" s="258"/>
      <c r="D40" s="774">
        <f>ROUND((F40*E55),2)</f>
        <v>875784.27</v>
      </c>
      <c r="E40" s="775"/>
      <c r="F40" s="260">
        <v>0.02</v>
      </c>
    </row>
    <row r="41" spans="1:9" x14ac:dyDescent="0.2">
      <c r="A41" s="776" t="s">
        <v>126</v>
      </c>
      <c r="B41" s="776"/>
      <c r="C41" s="776"/>
      <c r="D41" s="779">
        <f>D40</f>
        <v>875784.27</v>
      </c>
      <c r="E41" s="779"/>
      <c r="F41" s="268">
        <f>SUM(F40)</f>
        <v>0.02</v>
      </c>
    </row>
    <row r="42" spans="1:9" x14ac:dyDescent="0.2">
      <c r="A42" s="265"/>
      <c r="B42" s="265"/>
      <c r="C42" s="265"/>
      <c r="D42" s="265"/>
      <c r="E42" s="266"/>
      <c r="F42" s="267"/>
    </row>
    <row r="43" spans="1:9" x14ac:dyDescent="0.2">
      <c r="A43" s="756" t="s">
        <v>218</v>
      </c>
      <c r="B43" s="756"/>
      <c r="C43" s="756"/>
      <c r="D43" s="756"/>
      <c r="E43" s="756"/>
      <c r="F43" s="756"/>
    </row>
    <row r="44" spans="1:9" x14ac:dyDescent="0.2">
      <c r="A44" s="747" t="s">
        <v>163</v>
      </c>
      <c r="B44" s="747"/>
      <c r="C44" s="252"/>
      <c r="D44" s="777" t="s">
        <v>211</v>
      </c>
      <c r="E44" s="778"/>
      <c r="F44" s="252" t="s">
        <v>217</v>
      </c>
    </row>
    <row r="45" spans="1:9" x14ac:dyDescent="0.2">
      <c r="A45" s="773" t="s">
        <v>62</v>
      </c>
      <c r="B45" s="773"/>
      <c r="C45" s="258"/>
      <c r="D45" s="774">
        <f>ROUND((F45*E55),2)</f>
        <v>1313676.4099999999</v>
      </c>
      <c r="E45" s="775"/>
      <c r="F45" s="260">
        <v>0.03</v>
      </c>
    </row>
    <row r="46" spans="1:9" x14ac:dyDescent="0.2">
      <c r="A46" s="776" t="s">
        <v>126</v>
      </c>
      <c r="B46" s="776"/>
      <c r="C46" s="776"/>
      <c r="D46" s="779">
        <f>D45</f>
        <v>1313676.4099999999</v>
      </c>
      <c r="E46" s="779"/>
      <c r="F46" s="268">
        <f>SUM(F45)</f>
        <v>0.03</v>
      </c>
    </row>
    <row r="47" spans="1:9" x14ac:dyDescent="0.2">
      <c r="A47" s="265"/>
      <c r="B47" s="265"/>
      <c r="C47" s="265"/>
      <c r="D47" s="269"/>
      <c r="E47" s="269"/>
      <c r="F47" s="270"/>
    </row>
    <row r="48" spans="1:9" x14ac:dyDescent="0.2">
      <c r="A48" s="756" t="s">
        <v>219</v>
      </c>
      <c r="B48" s="756"/>
      <c r="C48" s="756"/>
      <c r="D48" s="756"/>
      <c r="E48" s="756"/>
      <c r="F48" s="756"/>
    </row>
    <row r="49" spans="1:8" x14ac:dyDescent="0.2">
      <c r="A49" s="780" t="s">
        <v>220</v>
      </c>
      <c r="B49" s="781"/>
      <c r="C49" s="781"/>
      <c r="D49" s="781"/>
      <c r="E49" s="781"/>
      <c r="F49" s="782"/>
    </row>
    <row r="50" spans="1:8" x14ac:dyDescent="0.2">
      <c r="A50" s="747" t="s">
        <v>163</v>
      </c>
      <c r="B50" s="747"/>
      <c r="C50" s="252"/>
      <c r="D50" s="777" t="s">
        <v>211</v>
      </c>
      <c r="E50" s="778"/>
      <c r="F50" s="252" t="s">
        <v>217</v>
      </c>
      <c r="G50" s="247" t="s">
        <v>238</v>
      </c>
    </row>
    <row r="51" spans="1:8" x14ac:dyDescent="0.2">
      <c r="A51" s="773" t="s">
        <v>221</v>
      </c>
      <c r="B51" s="773"/>
      <c r="C51" s="258"/>
      <c r="D51" s="774">
        <f>E36</f>
        <v>11823087.689999999</v>
      </c>
      <c r="E51" s="775"/>
      <c r="F51" s="271">
        <v>0.27</v>
      </c>
      <c r="G51" s="247" t="s">
        <v>236</v>
      </c>
      <c r="H51" s="359">
        <v>8158139.4000000004</v>
      </c>
    </row>
    <row r="52" spans="1:8" x14ac:dyDescent="0.2">
      <c r="A52" s="783" t="s">
        <v>61</v>
      </c>
      <c r="B52" s="784"/>
      <c r="C52" s="258"/>
      <c r="D52" s="774">
        <f>D41</f>
        <v>875784.27</v>
      </c>
      <c r="E52" s="775"/>
      <c r="F52" s="271">
        <v>0.02</v>
      </c>
      <c r="G52" s="247" t="s">
        <v>29</v>
      </c>
      <c r="H52" s="359">
        <v>604306.62</v>
      </c>
    </row>
    <row r="53" spans="1:8" x14ac:dyDescent="0.2">
      <c r="A53" s="773" t="s">
        <v>62</v>
      </c>
      <c r="B53" s="773"/>
      <c r="C53" s="258"/>
      <c r="D53" s="774">
        <f>D46</f>
        <v>1313676.4099999999</v>
      </c>
      <c r="E53" s="775"/>
      <c r="F53" s="260">
        <v>0.03</v>
      </c>
      <c r="G53" s="247" t="s">
        <v>237</v>
      </c>
      <c r="H53" s="359">
        <v>906459.93</v>
      </c>
    </row>
    <row r="54" spans="1:8" x14ac:dyDescent="0.2">
      <c r="A54" s="785" t="s">
        <v>72</v>
      </c>
      <c r="B54" s="785"/>
      <c r="C54" s="785"/>
      <c r="D54" s="786">
        <f>SUM(D51:E53)</f>
        <v>14012548.369999999</v>
      </c>
      <c r="E54" s="787"/>
      <c r="F54" s="268">
        <f>SUM(F51:F53)</f>
        <v>0.32000000000000006</v>
      </c>
      <c r="G54" s="247" t="s">
        <v>239</v>
      </c>
      <c r="H54" s="359">
        <f>SUM(H51:H53)</f>
        <v>9668905.9499999993</v>
      </c>
    </row>
    <row r="55" spans="1:8" x14ac:dyDescent="0.2">
      <c r="A55" s="788" t="s">
        <v>222</v>
      </c>
      <c r="B55" s="788"/>
      <c r="C55" s="788"/>
      <c r="D55" s="788"/>
      <c r="E55" s="789">
        <f>Presupuesto!G24</f>
        <v>43789213.68</v>
      </c>
      <c r="F55" s="789"/>
      <c r="H55" s="312"/>
    </row>
    <row r="56" spans="1:8" x14ac:dyDescent="0.2">
      <c r="A56" s="788" t="s">
        <v>287</v>
      </c>
      <c r="B56" s="788"/>
      <c r="C56" s="788"/>
      <c r="D56" s="788"/>
      <c r="E56" s="790">
        <f>D54</f>
        <v>14012548.369999999</v>
      </c>
      <c r="F56" s="790"/>
      <c r="H56" s="313"/>
    </row>
    <row r="57" spans="1:8" x14ac:dyDescent="0.2">
      <c r="A57" s="776" t="s">
        <v>24</v>
      </c>
      <c r="B57" s="776"/>
      <c r="C57" s="776"/>
      <c r="D57" s="776"/>
      <c r="E57" s="779">
        <f>E55+E56</f>
        <v>57801762.049999997</v>
      </c>
      <c r="F57" s="779"/>
      <c r="G57" s="420"/>
    </row>
    <row r="61" spans="1:8" x14ac:dyDescent="0.2">
      <c r="B61" s="273"/>
      <c r="C61" s="273"/>
      <c r="D61" s="273"/>
      <c r="E61" s="273"/>
    </row>
    <row r="62" spans="1:8" x14ac:dyDescent="0.2">
      <c r="A62" s="791" t="str">
        <f>Presupuesto!A34</f>
        <v>ARQ. GUILLERMO YAMID VALLEJOS BENAVIDES</v>
      </c>
      <c r="B62" s="791"/>
      <c r="C62" s="791"/>
      <c r="D62" s="791"/>
      <c r="E62" s="791"/>
      <c r="F62" s="791"/>
    </row>
    <row r="63" spans="1:8" x14ac:dyDescent="0.2">
      <c r="A63" s="792" t="str">
        <f>Presupuesto!A35</f>
        <v>SECRETARIO DE PLANEACION Y OBRAS PUBLICAS</v>
      </c>
      <c r="B63" s="792"/>
      <c r="C63" s="792"/>
      <c r="D63" s="792"/>
      <c r="E63" s="792"/>
      <c r="F63" s="792"/>
    </row>
    <row r="64" spans="1:8" x14ac:dyDescent="0.2">
      <c r="A64" s="792" t="str">
        <f>Presupuesto!A36</f>
        <v>SAN MIGUEL - PUTUMAYO</v>
      </c>
      <c r="B64" s="792"/>
      <c r="C64" s="792"/>
      <c r="D64" s="792"/>
      <c r="E64" s="792"/>
      <c r="F64" s="792"/>
    </row>
  </sheetData>
  <mergeCells count="70">
    <mergeCell ref="A57:D57"/>
    <mergeCell ref="E57:F57"/>
    <mergeCell ref="A62:F62"/>
    <mergeCell ref="A63:F63"/>
    <mergeCell ref="A64:F64"/>
    <mergeCell ref="A54:C54"/>
    <mergeCell ref="D54:E54"/>
    <mergeCell ref="A55:D55"/>
    <mergeCell ref="E55:F55"/>
    <mergeCell ref="A56:D56"/>
    <mergeCell ref="E56:F56"/>
    <mergeCell ref="A51:B51"/>
    <mergeCell ref="D51:E51"/>
    <mergeCell ref="A52:B52"/>
    <mergeCell ref="D52:E52"/>
    <mergeCell ref="A53:B53"/>
    <mergeCell ref="D53:E53"/>
    <mergeCell ref="A46:C46"/>
    <mergeCell ref="D46:E46"/>
    <mergeCell ref="A48:F48"/>
    <mergeCell ref="A49:F49"/>
    <mergeCell ref="A50:B50"/>
    <mergeCell ref="D50:E50"/>
    <mergeCell ref="A45:B45"/>
    <mergeCell ref="D45:E45"/>
    <mergeCell ref="A36:D36"/>
    <mergeCell ref="A38:F38"/>
    <mergeCell ref="A39:B39"/>
    <mergeCell ref="D39:E39"/>
    <mergeCell ref="A40:B40"/>
    <mergeCell ref="D40:E40"/>
    <mergeCell ref="A41:C41"/>
    <mergeCell ref="D41:E41"/>
    <mergeCell ref="A43:F43"/>
    <mergeCell ref="A44:B44"/>
    <mergeCell ref="D44:E44"/>
    <mergeCell ref="A35:B35"/>
    <mergeCell ref="A25:B25"/>
    <mergeCell ref="A26:B26"/>
    <mergeCell ref="A27:B27"/>
    <mergeCell ref="A28:B28"/>
    <mergeCell ref="A29:B29"/>
    <mergeCell ref="A21:B21"/>
    <mergeCell ref="A22:B22"/>
    <mergeCell ref="A23:B23"/>
    <mergeCell ref="A33:B33"/>
    <mergeCell ref="A34:B34"/>
    <mergeCell ref="A31:B31"/>
    <mergeCell ref="A32:B32"/>
    <mergeCell ref="A24:B24"/>
    <mergeCell ref="A30:B30"/>
    <mergeCell ref="C14:D14"/>
    <mergeCell ref="E14:F14"/>
    <mergeCell ref="A16:F16"/>
    <mergeCell ref="A19:B19"/>
    <mergeCell ref="A20:B20"/>
    <mergeCell ref="C15:D15"/>
    <mergeCell ref="E15:F15"/>
    <mergeCell ref="A8:F9"/>
    <mergeCell ref="A11:F11"/>
    <mergeCell ref="A13:F13"/>
    <mergeCell ref="A1:A6"/>
    <mergeCell ref="B1:C2"/>
    <mergeCell ref="F1:F6"/>
    <mergeCell ref="D2:D3"/>
    <mergeCell ref="E2:E3"/>
    <mergeCell ref="B3:C3"/>
    <mergeCell ref="B4:C4"/>
    <mergeCell ref="B5:C6"/>
    <mergeCell ref="D5:D6"/>
  </mergeCells>
  <pageMargins left="0.70866141732283472" right="0.70866141732283472" top="0.74803149606299213" bottom="0.74803149606299213" header="0.31496062992125984" footer="0.31496062992125984"/>
  <pageSetup scale="75" orientation="portrait" r:id="rId1"/>
  <colBreaks count="1" manualBreakCount="1">
    <brk id="6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showGridLines="0" view="pageBreakPreview" topLeftCell="A7" zoomScale="90" zoomScaleNormal="100" zoomScaleSheetLayoutView="90" workbookViewId="0">
      <selection activeCell="F15" sqref="F15"/>
    </sheetView>
  </sheetViews>
  <sheetFormatPr baseColWidth="10" defaultColWidth="11.42578125" defaultRowHeight="16.5" x14ac:dyDescent="0.3"/>
  <cols>
    <col min="1" max="1" width="9.5703125" style="200" customWidth="1"/>
    <col min="2" max="2" width="9.85546875" style="200" customWidth="1"/>
    <col min="3" max="3" width="35.7109375" style="200" customWidth="1"/>
    <col min="4" max="4" width="18.140625" style="200" customWidth="1"/>
    <col min="5" max="5" width="11.28515625" style="214" bestFit="1" customWidth="1"/>
    <col min="6" max="6" width="21.7109375" style="214" customWidth="1"/>
    <col min="7" max="16384" width="11.42578125" style="198"/>
  </cols>
  <sheetData>
    <row r="1" spans="1:8" ht="19.5" customHeight="1" x14ac:dyDescent="0.3">
      <c r="A1" s="794"/>
      <c r="B1" s="794"/>
      <c r="C1" s="550" t="s">
        <v>223</v>
      </c>
      <c r="D1" s="283" t="s">
        <v>224</v>
      </c>
      <c r="E1" s="243">
        <v>103</v>
      </c>
      <c r="F1" s="793"/>
    </row>
    <row r="2" spans="1:8" ht="16.5" customHeight="1" x14ac:dyDescent="0.3">
      <c r="A2" s="794"/>
      <c r="B2" s="794"/>
      <c r="C2" s="551"/>
      <c r="D2" s="285" t="s">
        <v>194</v>
      </c>
      <c r="E2" s="627">
        <v>51</v>
      </c>
      <c r="F2" s="793"/>
    </row>
    <row r="3" spans="1:8" ht="27.75" customHeight="1" x14ac:dyDescent="0.3">
      <c r="A3" s="794"/>
      <c r="B3" s="794"/>
      <c r="C3" s="274" t="s">
        <v>195</v>
      </c>
      <c r="D3" s="284"/>
      <c r="E3" s="628"/>
      <c r="F3" s="793"/>
    </row>
    <row r="4" spans="1:8" ht="16.5" customHeight="1" x14ac:dyDescent="0.3">
      <c r="A4" s="794"/>
      <c r="B4" s="794"/>
      <c r="C4" s="275" t="s">
        <v>196</v>
      </c>
      <c r="D4" s="286" t="s">
        <v>197</v>
      </c>
      <c r="E4" s="276">
        <v>1</v>
      </c>
      <c r="F4" s="793"/>
    </row>
    <row r="5" spans="1:8" s="217" customFormat="1" ht="16.5" customHeight="1" x14ac:dyDescent="0.3">
      <c r="A5" s="794"/>
      <c r="B5" s="794"/>
      <c r="C5" s="572" t="s">
        <v>198</v>
      </c>
      <c r="D5" s="287" t="s">
        <v>199</v>
      </c>
      <c r="E5" s="274" t="s">
        <v>200</v>
      </c>
      <c r="F5" s="793"/>
      <c r="G5" s="218"/>
    </row>
    <row r="6" spans="1:8" s="217" customFormat="1" x14ac:dyDescent="0.3">
      <c r="A6" s="794"/>
      <c r="B6" s="794"/>
      <c r="C6" s="572"/>
      <c r="D6" s="282"/>
      <c r="E6" s="277">
        <v>44216</v>
      </c>
      <c r="F6" s="793"/>
      <c r="G6" s="218"/>
    </row>
    <row r="7" spans="1:8" s="217" customFormat="1" ht="16.5" customHeight="1" thickBot="1" x14ac:dyDescent="0.35">
      <c r="A7" s="192"/>
      <c r="B7" s="192"/>
      <c r="C7" s="192"/>
      <c r="D7" s="192"/>
      <c r="E7" s="192"/>
      <c r="F7" s="192"/>
      <c r="G7" s="278"/>
      <c r="H7" s="218"/>
    </row>
    <row r="8" spans="1:8" s="217" customFormat="1" x14ac:dyDescent="0.3">
      <c r="A8" s="727" t="str">
        <f>Presupuesto!A8</f>
        <v>ADECUACION DE LA INFRAESTRUCTURA DE LA PLANTA DE BENEFICIO ANIMAL MEDIANTE EL MEJORAMIENTO DE CUBIERTA EN EL MUNICIPIO DE SAN MIGUEL PUTUMAYO</v>
      </c>
      <c r="B8" s="728"/>
      <c r="C8" s="728"/>
      <c r="D8" s="728"/>
      <c r="E8" s="728"/>
      <c r="F8" s="728"/>
      <c r="G8"/>
      <c r="H8" s="218"/>
    </row>
    <row r="9" spans="1:8" s="217" customFormat="1" ht="35.25" customHeight="1" thickBot="1" x14ac:dyDescent="0.35">
      <c r="A9" s="729"/>
      <c r="B9" s="730"/>
      <c r="C9" s="730"/>
      <c r="D9" s="730"/>
      <c r="E9" s="730"/>
      <c r="F9" s="730"/>
      <c r="G9"/>
      <c r="H9" s="218"/>
    </row>
    <row r="10" spans="1:8" x14ac:dyDescent="0.3">
      <c r="A10" s="199"/>
      <c r="F10" s="219"/>
    </row>
    <row r="11" spans="1:8" x14ac:dyDescent="0.3">
      <c r="A11" s="802" t="s">
        <v>178</v>
      </c>
      <c r="B11" s="803"/>
      <c r="C11" s="803"/>
      <c r="D11" s="803"/>
      <c r="E11" s="804"/>
      <c r="F11" s="227" t="s">
        <v>57</v>
      </c>
    </row>
    <row r="12" spans="1:8" x14ac:dyDescent="0.3">
      <c r="A12" s="220" t="s">
        <v>78</v>
      </c>
      <c r="B12" s="197"/>
      <c r="C12" s="795" t="s">
        <v>79</v>
      </c>
      <c r="D12" s="796"/>
      <c r="E12" s="213"/>
      <c r="F12" s="213">
        <v>100</v>
      </c>
    </row>
    <row r="13" spans="1:8" x14ac:dyDescent="0.3">
      <c r="A13" s="220" t="s">
        <v>80</v>
      </c>
      <c r="B13" s="197"/>
      <c r="C13" s="795" t="s">
        <v>81</v>
      </c>
      <c r="D13" s="796"/>
      <c r="E13" s="213"/>
      <c r="F13" s="213">
        <f>SUM(F14:F29)</f>
        <v>75.432000000000002</v>
      </c>
    </row>
    <row r="14" spans="1:8" x14ac:dyDescent="0.3">
      <c r="A14" s="220"/>
      <c r="B14" s="197" t="s">
        <v>82</v>
      </c>
      <c r="C14" s="799" t="s">
        <v>83</v>
      </c>
      <c r="D14" s="800"/>
      <c r="E14" s="222" t="s">
        <v>84</v>
      </c>
      <c r="F14" s="213">
        <v>8.33</v>
      </c>
    </row>
    <row r="15" spans="1:8" x14ac:dyDescent="0.3">
      <c r="A15" s="220"/>
      <c r="B15" s="197" t="s">
        <v>85</v>
      </c>
      <c r="C15" s="799" t="s">
        <v>86</v>
      </c>
      <c r="D15" s="800"/>
      <c r="E15" s="222" t="s">
        <v>87</v>
      </c>
      <c r="F15" s="213">
        <v>1</v>
      </c>
    </row>
    <row r="16" spans="1:8" x14ac:dyDescent="0.3">
      <c r="A16" s="220"/>
      <c r="B16" s="197" t="s">
        <v>88</v>
      </c>
      <c r="C16" s="799" t="s">
        <v>89</v>
      </c>
      <c r="D16" s="800"/>
      <c r="E16" s="222" t="s">
        <v>84</v>
      </c>
      <c r="F16" s="213">
        <v>8.33</v>
      </c>
    </row>
    <row r="17" spans="1:6" x14ac:dyDescent="0.3">
      <c r="A17" s="220"/>
      <c r="B17" s="197" t="s">
        <v>90</v>
      </c>
      <c r="C17" s="799" t="s">
        <v>91</v>
      </c>
      <c r="D17" s="800"/>
      <c r="E17" s="221" t="s">
        <v>92</v>
      </c>
      <c r="F17" s="213">
        <v>4</v>
      </c>
    </row>
    <row r="18" spans="1:6" x14ac:dyDescent="0.3">
      <c r="A18" s="220"/>
      <c r="B18" s="197" t="s">
        <v>93</v>
      </c>
      <c r="C18" s="799" t="s">
        <v>94</v>
      </c>
      <c r="D18" s="800"/>
      <c r="E18" s="221" t="s">
        <v>92</v>
      </c>
      <c r="F18" s="213">
        <v>2</v>
      </c>
    </row>
    <row r="19" spans="1:6" x14ac:dyDescent="0.3">
      <c r="A19" s="220"/>
      <c r="B19" s="197" t="s">
        <v>95</v>
      </c>
      <c r="C19" s="799" t="s">
        <v>96</v>
      </c>
      <c r="D19" s="800"/>
      <c r="E19" s="221" t="s">
        <v>92</v>
      </c>
      <c r="F19" s="213">
        <v>3</v>
      </c>
    </row>
    <row r="20" spans="1:6" x14ac:dyDescent="0.3">
      <c r="A20" s="220"/>
      <c r="B20" s="197" t="s">
        <v>97</v>
      </c>
      <c r="C20" s="799" t="s">
        <v>98</v>
      </c>
      <c r="D20" s="800"/>
      <c r="E20" s="221" t="s">
        <v>92</v>
      </c>
      <c r="F20" s="213">
        <v>8.5</v>
      </c>
    </row>
    <row r="21" spans="1:6" x14ac:dyDescent="0.3">
      <c r="A21" s="220"/>
      <c r="B21" s="197" t="s">
        <v>99</v>
      </c>
      <c r="C21" s="799" t="s">
        <v>100</v>
      </c>
      <c r="D21" s="800"/>
      <c r="E21" s="221" t="s">
        <v>92</v>
      </c>
      <c r="F21" s="213">
        <v>12</v>
      </c>
    </row>
    <row r="22" spans="1:6" x14ac:dyDescent="0.3">
      <c r="A22" s="220"/>
      <c r="B22" s="197" t="s">
        <v>101</v>
      </c>
      <c r="C22" s="799" t="s">
        <v>102</v>
      </c>
      <c r="D22" s="800"/>
      <c r="E22" s="221" t="s">
        <v>92</v>
      </c>
      <c r="F22" s="213">
        <v>6.96</v>
      </c>
    </row>
    <row r="23" spans="1:6" x14ac:dyDescent="0.3">
      <c r="A23" s="220"/>
      <c r="B23" s="197" t="s">
        <v>103</v>
      </c>
      <c r="C23" s="799" t="s">
        <v>104</v>
      </c>
      <c r="D23" s="800"/>
      <c r="E23" s="221" t="s">
        <v>92</v>
      </c>
      <c r="F23" s="213">
        <v>0.52200000000000002</v>
      </c>
    </row>
    <row r="24" spans="1:6" x14ac:dyDescent="0.3">
      <c r="A24" s="220"/>
      <c r="B24" s="197" t="s">
        <v>105</v>
      </c>
      <c r="C24" s="799" t="s">
        <v>106</v>
      </c>
      <c r="D24" s="800"/>
      <c r="E24" s="222" t="s">
        <v>107</v>
      </c>
      <c r="F24" s="213">
        <v>4.17</v>
      </c>
    </row>
    <row r="25" spans="1:6" x14ac:dyDescent="0.3">
      <c r="A25" s="220"/>
      <c r="B25" s="197" t="s">
        <v>108</v>
      </c>
      <c r="C25" s="797" t="s">
        <v>109</v>
      </c>
      <c r="D25" s="798"/>
      <c r="E25" s="223" t="s">
        <v>110</v>
      </c>
      <c r="F25" s="224">
        <v>0.83</v>
      </c>
    </row>
    <row r="26" spans="1:6" x14ac:dyDescent="0.3">
      <c r="A26" s="220"/>
      <c r="B26" s="197" t="s">
        <v>111</v>
      </c>
      <c r="C26" s="799" t="s">
        <v>112</v>
      </c>
      <c r="D26" s="800"/>
      <c r="E26" s="221" t="s">
        <v>92</v>
      </c>
      <c r="F26" s="213">
        <v>11.71</v>
      </c>
    </row>
    <row r="27" spans="1:6" x14ac:dyDescent="0.3">
      <c r="A27" s="220"/>
      <c r="B27" s="197" t="s">
        <v>113</v>
      </c>
      <c r="C27" s="797" t="s">
        <v>114</v>
      </c>
      <c r="D27" s="798"/>
      <c r="E27" s="225" t="s">
        <v>92</v>
      </c>
      <c r="F27" s="224">
        <v>0.08</v>
      </c>
    </row>
    <row r="28" spans="1:6" x14ac:dyDescent="0.3">
      <c r="A28" s="220"/>
      <c r="B28" s="197" t="s">
        <v>115</v>
      </c>
      <c r="C28" s="797" t="s">
        <v>116</v>
      </c>
      <c r="D28" s="798"/>
      <c r="E28" s="225" t="s">
        <v>92</v>
      </c>
      <c r="F28" s="224">
        <v>2</v>
      </c>
    </row>
    <row r="29" spans="1:6" x14ac:dyDescent="0.3">
      <c r="A29" s="220"/>
      <c r="B29" s="197" t="s">
        <v>117</v>
      </c>
      <c r="C29" s="799" t="s">
        <v>118</v>
      </c>
      <c r="D29" s="800"/>
      <c r="E29" s="225" t="s">
        <v>92</v>
      </c>
      <c r="F29" s="213">
        <v>2</v>
      </c>
    </row>
    <row r="30" spans="1:6" x14ac:dyDescent="0.3">
      <c r="A30" s="220" t="s">
        <v>119</v>
      </c>
      <c r="B30" s="197"/>
      <c r="C30" s="795" t="s">
        <v>120</v>
      </c>
      <c r="D30" s="796"/>
      <c r="E30" s="222"/>
      <c r="F30" s="228">
        <f>F12+F13</f>
        <v>175.43200000000002</v>
      </c>
    </row>
    <row r="31" spans="1:6" x14ac:dyDescent="0.3">
      <c r="A31" s="220"/>
      <c r="B31" s="197"/>
      <c r="C31" s="795"/>
      <c r="D31" s="796"/>
      <c r="E31" s="222"/>
      <c r="F31" s="213"/>
    </row>
    <row r="32" spans="1:6" x14ac:dyDescent="0.3">
      <c r="A32" s="220" t="s">
        <v>121</v>
      </c>
      <c r="B32" s="197"/>
      <c r="C32" s="795" t="s">
        <v>122</v>
      </c>
      <c r="D32" s="796"/>
      <c r="E32" s="222"/>
      <c r="F32" s="213">
        <f>F30</f>
        <v>175.43200000000002</v>
      </c>
    </row>
    <row r="33" spans="1:6" x14ac:dyDescent="0.3">
      <c r="A33" s="197"/>
      <c r="B33" s="197"/>
      <c r="C33" s="795" t="s">
        <v>123</v>
      </c>
      <c r="D33" s="796"/>
      <c r="E33" s="229"/>
      <c r="F33" s="228">
        <f>ROUND(F32/100,2)</f>
        <v>1.75</v>
      </c>
    </row>
    <row r="34" spans="1:6" x14ac:dyDescent="0.3">
      <c r="A34" s="199"/>
      <c r="D34" s="226"/>
    </row>
    <row r="35" spans="1:6" x14ac:dyDescent="0.3">
      <c r="A35" s="199"/>
    </row>
    <row r="36" spans="1:6" x14ac:dyDescent="0.3">
      <c r="A36" s="199"/>
    </row>
    <row r="37" spans="1:6" ht="15.75" customHeight="1" x14ac:dyDescent="0.3">
      <c r="A37" s="210" t="str">
        <f>+Presupuesto!A34</f>
        <v>ARQ. GUILLERMO YAMID VALLEJOS BENAVIDES</v>
      </c>
      <c r="B37" s="210"/>
      <c r="C37" s="215"/>
      <c r="D37" s="232"/>
      <c r="E37" s="233"/>
      <c r="F37" s="234"/>
    </row>
    <row r="38" spans="1:6" ht="15.75" customHeight="1" x14ac:dyDescent="0.3">
      <c r="A38" s="200" t="str">
        <f>+Presupuesto!A35</f>
        <v>SECRETARIO DE PLANEACION Y OBRAS PUBLICAS</v>
      </c>
      <c r="B38" s="230"/>
      <c r="C38" s="230"/>
      <c r="D38" s="231"/>
      <c r="E38" s="198"/>
      <c r="F38" s="200"/>
    </row>
    <row r="39" spans="1:6" ht="15.75" customHeight="1" x14ac:dyDescent="0.3">
      <c r="A39" s="200" t="str">
        <f>+Presupuesto!A36</f>
        <v>SAN MIGUEL - PUTUMAYO</v>
      </c>
      <c r="E39" s="198"/>
      <c r="F39" s="200"/>
    </row>
    <row r="42" spans="1:6" x14ac:dyDescent="0.3">
      <c r="A42" s="805"/>
      <c r="B42" s="805"/>
      <c r="C42" s="805"/>
    </row>
    <row r="43" spans="1:6" x14ac:dyDescent="0.3">
      <c r="A43" s="801"/>
      <c r="B43" s="801"/>
      <c r="C43" s="801"/>
    </row>
  </sheetData>
  <mergeCells count="31">
    <mergeCell ref="A43:C43"/>
    <mergeCell ref="A11:E11"/>
    <mergeCell ref="A42:C42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30:D30"/>
    <mergeCell ref="C31:D31"/>
    <mergeCell ref="C33:D33"/>
    <mergeCell ref="C32:D32"/>
    <mergeCell ref="C25:D25"/>
    <mergeCell ref="C27:D27"/>
    <mergeCell ref="C26:D26"/>
    <mergeCell ref="C28:D28"/>
    <mergeCell ref="C29:D29"/>
    <mergeCell ref="F1:F6"/>
    <mergeCell ref="A8:F9"/>
    <mergeCell ref="A1:B6"/>
    <mergeCell ref="C1:C2"/>
    <mergeCell ref="E2:E3"/>
    <mergeCell ref="C5:C6"/>
  </mergeCells>
  <printOptions horizontalCentered="1" verticalCentered="1" gridLinesSet="0"/>
  <pageMargins left="0.39370078740157483" right="0" top="0" bottom="0" header="0.51181102362204722" footer="0.51181102362204722"/>
  <pageSetup scale="94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view="pageBreakPreview" zoomScaleNormal="100" zoomScaleSheetLayoutView="100" workbookViewId="0">
      <selection activeCell="B18" sqref="B18:C18"/>
    </sheetView>
  </sheetViews>
  <sheetFormatPr baseColWidth="10" defaultColWidth="11.42578125" defaultRowHeight="12.75" x14ac:dyDescent="0.2"/>
  <cols>
    <col min="1" max="1" width="4.7109375" style="180" bestFit="1" customWidth="1"/>
    <col min="2" max="2" width="15.7109375" style="180" customWidth="1"/>
    <col min="3" max="3" width="26.7109375" style="180" customWidth="1"/>
    <col min="4" max="4" width="7.140625" style="180" bestFit="1" customWidth="1"/>
    <col min="5" max="5" width="9" style="180" bestFit="1" customWidth="1"/>
    <col min="6" max="6" width="12.28515625" style="180" bestFit="1" customWidth="1"/>
    <col min="7" max="7" width="15.42578125" style="180" bestFit="1" customWidth="1"/>
    <col min="8" max="8" width="6.42578125" style="180" bestFit="1" customWidth="1"/>
    <col min="9" max="9" width="14.5703125" style="375" customWidth="1"/>
    <col min="10" max="10" width="14.42578125" style="375" customWidth="1"/>
    <col min="11" max="12" width="10" style="375" bestFit="1" customWidth="1"/>
    <col min="13" max="13" width="15.140625" style="180" bestFit="1" customWidth="1"/>
    <col min="14" max="14" width="13.42578125" style="180" bestFit="1" customWidth="1"/>
    <col min="15" max="16384" width="11.42578125" style="180"/>
  </cols>
  <sheetData>
    <row r="1" spans="1:12" ht="12.75" customHeight="1" x14ac:dyDescent="0.2">
      <c r="A1" s="849"/>
      <c r="B1" s="842"/>
      <c r="C1" s="852" t="s">
        <v>223</v>
      </c>
      <c r="D1" s="852"/>
      <c r="E1" s="821" t="s">
        <v>224</v>
      </c>
      <c r="F1" s="821"/>
      <c r="G1" s="821"/>
      <c r="H1" s="821"/>
      <c r="I1" s="823">
        <v>103</v>
      </c>
      <c r="J1" s="824"/>
      <c r="K1" s="806"/>
      <c r="L1" s="807"/>
    </row>
    <row r="2" spans="1:12" ht="12.75" customHeight="1" x14ac:dyDescent="0.2">
      <c r="A2" s="850"/>
      <c r="B2" s="707"/>
      <c r="C2" s="853"/>
      <c r="D2" s="853"/>
      <c r="E2" s="572" t="s">
        <v>194</v>
      </c>
      <c r="F2" s="572"/>
      <c r="G2" s="572"/>
      <c r="H2" s="572"/>
      <c r="I2" s="825">
        <v>51</v>
      </c>
      <c r="J2" s="826"/>
      <c r="K2" s="808"/>
      <c r="L2" s="809"/>
    </row>
    <row r="3" spans="1:12" ht="12.75" customHeight="1" x14ac:dyDescent="0.2">
      <c r="A3" s="850"/>
      <c r="B3" s="707"/>
      <c r="C3" s="854" t="s">
        <v>195</v>
      </c>
      <c r="D3" s="855"/>
      <c r="E3" s="572"/>
      <c r="F3" s="572"/>
      <c r="G3" s="572"/>
      <c r="H3" s="572"/>
      <c r="I3" s="827"/>
      <c r="J3" s="828"/>
      <c r="K3" s="808"/>
      <c r="L3" s="809"/>
    </row>
    <row r="4" spans="1:12" ht="12.75" customHeight="1" x14ac:dyDescent="0.2">
      <c r="A4" s="850"/>
      <c r="B4" s="707"/>
      <c r="C4" s="856" t="s">
        <v>196</v>
      </c>
      <c r="D4" s="857"/>
      <c r="E4" s="572" t="s">
        <v>197</v>
      </c>
      <c r="F4" s="572"/>
      <c r="G4" s="572"/>
      <c r="H4" s="572"/>
      <c r="I4" s="829">
        <v>1</v>
      </c>
      <c r="J4" s="568"/>
      <c r="K4" s="808"/>
      <c r="L4" s="809"/>
    </row>
    <row r="5" spans="1:12" ht="12.75" customHeight="1" x14ac:dyDescent="0.2">
      <c r="A5" s="850"/>
      <c r="B5" s="707"/>
      <c r="C5" s="563" t="s">
        <v>198</v>
      </c>
      <c r="D5" s="625"/>
      <c r="E5" s="572" t="s">
        <v>199</v>
      </c>
      <c r="F5" s="572"/>
      <c r="G5" s="572"/>
      <c r="H5" s="572"/>
      <c r="I5" s="830" t="s">
        <v>200</v>
      </c>
      <c r="J5" s="574"/>
      <c r="K5" s="808"/>
      <c r="L5" s="809"/>
    </row>
    <row r="6" spans="1:12" ht="12.75" customHeight="1" thickBot="1" x14ac:dyDescent="0.25">
      <c r="A6" s="851"/>
      <c r="B6" s="843"/>
      <c r="C6" s="858"/>
      <c r="D6" s="859"/>
      <c r="E6" s="822"/>
      <c r="F6" s="822"/>
      <c r="G6" s="822"/>
      <c r="H6" s="822"/>
      <c r="I6" s="831">
        <v>44216</v>
      </c>
      <c r="J6" s="577"/>
      <c r="K6" s="810"/>
      <c r="L6" s="811"/>
    </row>
    <row r="7" spans="1:12" ht="12.75" customHeight="1" thickBot="1" x14ac:dyDescent="0.25">
      <c r="A7" s="317"/>
      <c r="B7" s="320"/>
      <c r="C7" s="320"/>
      <c r="D7" s="320"/>
      <c r="E7" s="320"/>
      <c r="F7" s="320"/>
      <c r="G7" s="320"/>
      <c r="H7" s="320"/>
      <c r="I7" s="373"/>
      <c r="J7" s="373"/>
      <c r="K7" s="373"/>
      <c r="L7" s="374"/>
    </row>
    <row r="8" spans="1:12" ht="12.75" customHeight="1" x14ac:dyDescent="0.2">
      <c r="A8" s="812" t="str">
        <f>Presupuesto!A8</f>
        <v>ADECUACION DE LA INFRAESTRUCTURA DE LA PLANTA DE BENEFICIO ANIMAL MEDIANTE EL MEJORAMIENTO DE CUBIERTA EN EL MUNICIPIO DE SAN MIGUEL PUTUMAYO</v>
      </c>
      <c r="B8" s="813"/>
      <c r="C8" s="813"/>
      <c r="D8" s="813"/>
      <c r="E8" s="813"/>
      <c r="F8" s="813"/>
      <c r="G8" s="813"/>
      <c r="H8" s="813"/>
      <c r="I8" s="813"/>
      <c r="J8" s="813"/>
      <c r="K8" s="813"/>
      <c r="L8" s="814"/>
    </row>
    <row r="9" spans="1:12" ht="12.75" customHeight="1" thickBot="1" x14ac:dyDescent="0.25">
      <c r="A9" s="815"/>
      <c r="B9" s="816"/>
      <c r="C9" s="816"/>
      <c r="D9" s="816"/>
      <c r="E9" s="816"/>
      <c r="F9" s="816"/>
      <c r="G9" s="816"/>
      <c r="H9" s="816"/>
      <c r="I9" s="816"/>
      <c r="J9" s="816"/>
      <c r="K9" s="816"/>
      <c r="L9" s="817"/>
    </row>
    <row r="10" spans="1:12" ht="12.75" customHeight="1" thickBot="1" x14ac:dyDescent="0.25">
      <c r="A10" s="314"/>
      <c r="L10" s="374"/>
    </row>
    <row r="11" spans="1:12" ht="12.75" customHeight="1" thickBot="1" x14ac:dyDescent="0.25">
      <c r="A11" s="818" t="s">
        <v>189</v>
      </c>
      <c r="B11" s="819"/>
      <c r="C11" s="819"/>
      <c r="D11" s="819"/>
      <c r="E11" s="819"/>
      <c r="F11" s="819"/>
      <c r="G11" s="819"/>
      <c r="H11" s="819"/>
      <c r="I11" s="819"/>
      <c r="J11" s="819"/>
      <c r="K11" s="819"/>
      <c r="L11" s="820"/>
    </row>
    <row r="12" spans="1:12" ht="12.75" customHeight="1" x14ac:dyDescent="0.2">
      <c r="A12" s="290"/>
      <c r="B12" s="848"/>
      <c r="C12" s="848"/>
      <c r="D12" s="290"/>
      <c r="E12" s="290"/>
      <c r="F12" s="290"/>
      <c r="G12" s="290"/>
      <c r="H12" s="406"/>
      <c r="I12" s="407" t="s">
        <v>70</v>
      </c>
      <c r="J12" s="407" t="s">
        <v>71</v>
      </c>
      <c r="K12" s="407" t="s">
        <v>274</v>
      </c>
      <c r="L12" s="407" t="s">
        <v>275</v>
      </c>
    </row>
    <row r="13" spans="1:12" ht="12.75" customHeight="1" x14ac:dyDescent="0.2">
      <c r="A13" s="291" t="s">
        <v>3</v>
      </c>
      <c r="B13" s="846" t="s">
        <v>163</v>
      </c>
      <c r="C13" s="847"/>
      <c r="D13" s="292" t="s">
        <v>20</v>
      </c>
      <c r="E13" s="292" t="s">
        <v>21</v>
      </c>
      <c r="F13" s="292" t="s">
        <v>190</v>
      </c>
      <c r="G13" s="292" t="s">
        <v>191</v>
      </c>
      <c r="H13" s="356" t="s">
        <v>57</v>
      </c>
      <c r="I13" s="400"/>
      <c r="J13" s="400"/>
      <c r="K13" s="400"/>
      <c r="L13" s="400"/>
    </row>
    <row r="14" spans="1:12" ht="12.75" customHeight="1" x14ac:dyDescent="0.2">
      <c r="A14" s="306">
        <v>1</v>
      </c>
      <c r="B14" s="836" t="str">
        <f>Presupuesto!B14</f>
        <v>PRELIMINARES</v>
      </c>
      <c r="C14" s="860"/>
      <c r="D14" s="307"/>
      <c r="E14" s="307"/>
      <c r="F14" s="307"/>
      <c r="G14" s="307"/>
      <c r="H14" s="395"/>
      <c r="I14" s="401"/>
      <c r="J14" s="401"/>
      <c r="K14" s="401"/>
      <c r="L14" s="401"/>
    </row>
    <row r="15" spans="1:12" ht="12.75" customHeight="1" x14ac:dyDescent="0.2">
      <c r="A15" s="291">
        <f>Presupuesto!A15</f>
        <v>1.1000000000000001</v>
      </c>
      <c r="B15" s="834" t="str">
        <f>Presupuesto!B15</f>
        <v>DESMONTE DE CUBIERTA EXISTENTE</v>
      </c>
      <c r="C15" s="835"/>
      <c r="D15" s="298" t="str">
        <f>Presupuesto!D15</f>
        <v>M2</v>
      </c>
      <c r="E15" s="298">
        <f>Presupuesto!E15</f>
        <v>267.22000000000003</v>
      </c>
      <c r="F15" s="357">
        <f>Presupuesto!F15</f>
        <v>18300</v>
      </c>
      <c r="G15" s="366">
        <f t="shared" ref="G15:G16" si="0">ROUND(E15*F15,2)</f>
        <v>4890126</v>
      </c>
      <c r="H15" s="299">
        <f>G15/$G$26</f>
        <v>8.4601676948358712E-2</v>
      </c>
      <c r="I15" s="400">
        <f>G15</f>
        <v>4890126</v>
      </c>
      <c r="J15" s="400"/>
      <c r="K15" s="400"/>
      <c r="L15" s="400"/>
    </row>
    <row r="16" spans="1:12" ht="12.75" customHeight="1" x14ac:dyDescent="0.2">
      <c r="A16" s="291">
        <f>Presupuesto!A16</f>
        <v>1.2</v>
      </c>
      <c r="B16" s="834" t="str">
        <f>Presupuesto!B16</f>
        <v>RETIRO Y DISPOSICION DE MATERIAL SOBRANTE</v>
      </c>
      <c r="C16" s="835"/>
      <c r="D16" s="298" t="str">
        <f>Presupuesto!D16</f>
        <v>M2</v>
      </c>
      <c r="E16" s="298">
        <f>Presupuesto!E16</f>
        <v>267.22000000000003</v>
      </c>
      <c r="F16" s="357">
        <f>Presupuesto!F16</f>
        <v>5775</v>
      </c>
      <c r="G16" s="366">
        <f t="shared" si="0"/>
        <v>1543195.5</v>
      </c>
      <c r="H16" s="299">
        <f>G16/G26</f>
        <v>2.6698070184523037E-2</v>
      </c>
      <c r="I16" s="400">
        <f t="shared" ref="I16" si="1">G16</f>
        <v>1543195.5</v>
      </c>
      <c r="J16" s="400"/>
      <c r="K16" s="400"/>
      <c r="L16" s="400"/>
    </row>
    <row r="17" spans="1:14" ht="12.75" customHeight="1" x14ac:dyDescent="0.2">
      <c r="A17" s="315"/>
      <c r="B17" s="836" t="str">
        <f>Presupuesto!B18</f>
        <v>ESTRUCTURA METALICA Y CUBIERTA</v>
      </c>
      <c r="C17" s="837"/>
      <c r="D17" s="308"/>
      <c r="E17" s="309"/>
      <c r="F17" s="310"/>
      <c r="G17" s="367"/>
      <c r="H17" s="311"/>
      <c r="I17" s="403"/>
      <c r="J17" s="403"/>
      <c r="K17" s="403"/>
      <c r="L17" s="403"/>
    </row>
    <row r="18" spans="1:14" ht="12.75" customHeight="1" x14ac:dyDescent="0.2">
      <c r="A18" s="316">
        <f>Presupuesto!A19</f>
        <v>2.1</v>
      </c>
      <c r="B18" s="838" t="str">
        <f>Presupuesto!B19</f>
        <v xml:space="preserve">SUMINISTRO, PINTURA E INSTALACION DE CORREAS </v>
      </c>
      <c r="C18" s="839"/>
      <c r="D18" s="300" t="str">
        <f>Presupuesto!D19</f>
        <v>ML</v>
      </c>
      <c r="E18" s="301">
        <f>Presupuesto!E19</f>
        <v>204.3</v>
      </c>
      <c r="F18" s="302">
        <f>Presupuesto!F19</f>
        <v>71167.41</v>
      </c>
      <c r="G18" s="366">
        <f t="shared" ref="G18:G19" si="2">ROUND(E18*F18,2)</f>
        <v>14539501.859999999</v>
      </c>
      <c r="H18" s="299">
        <f>G18/$G$26</f>
        <v>0.25154080679102758</v>
      </c>
      <c r="I18" s="402">
        <f>G18/2</f>
        <v>7269750.9299999997</v>
      </c>
      <c r="J18" s="402">
        <f>I18</f>
        <v>7269750.9299999997</v>
      </c>
      <c r="K18" s="402"/>
      <c r="L18" s="402"/>
    </row>
    <row r="19" spans="1:14" ht="25.5" customHeight="1" x14ac:dyDescent="0.2">
      <c r="A19" s="532">
        <f>Presupuesto!A20</f>
        <v>2.2000000000000002</v>
      </c>
      <c r="B19" s="838" t="str">
        <f>Presupuesto!B20</f>
        <v>SUMINISTRO E INSTALACION DE TEJA TRAPEZOIDAL CAL.28</v>
      </c>
      <c r="C19" s="839"/>
      <c r="D19" s="300" t="str">
        <f>Presupuesto!D20</f>
        <v>M2</v>
      </c>
      <c r="E19" s="301">
        <f>Presupuesto!E20</f>
        <v>354.44</v>
      </c>
      <c r="F19" s="302">
        <f>Presupuesto!F20</f>
        <v>62007.69</v>
      </c>
      <c r="G19" s="366">
        <f t="shared" si="2"/>
        <v>21978005.640000001</v>
      </c>
      <c r="H19" s="299">
        <f t="shared" ref="H19:H20" si="3">G19/$G$26</f>
        <v>0.38023072066537461</v>
      </c>
      <c r="I19" s="402"/>
      <c r="J19" s="402">
        <f t="shared" ref="J19" si="4">G19</f>
        <v>21978005.640000001</v>
      </c>
      <c r="K19" s="402"/>
      <c r="L19" s="402"/>
    </row>
    <row r="20" spans="1:14" ht="12.75" customHeight="1" x14ac:dyDescent="0.2">
      <c r="A20" s="316">
        <f>Presupuesto!A21:G21</f>
        <v>2.2999999999999998</v>
      </c>
      <c r="B20" s="838" t="str">
        <f>Presupuesto!B21</f>
        <v>CABALLETE EN LÁMINA GALVANIZADA CAL.28</v>
      </c>
      <c r="C20" s="839"/>
      <c r="D20" s="300" t="s">
        <v>288</v>
      </c>
      <c r="E20" s="301">
        <f>Presupuesto!E21</f>
        <v>21</v>
      </c>
      <c r="F20" s="302">
        <f>Presupuesto!F21</f>
        <v>39923.08</v>
      </c>
      <c r="G20" s="366">
        <f>ROUND(F20*E20,2)</f>
        <v>838384.68</v>
      </c>
      <c r="H20" s="299">
        <f t="shared" si="3"/>
        <v>1.4504483086082669E-2</v>
      </c>
      <c r="I20" s="402"/>
      <c r="J20" s="402">
        <f>G20</f>
        <v>838384.68</v>
      </c>
      <c r="K20" s="402"/>
      <c r="L20" s="402"/>
    </row>
    <row r="21" spans="1:14" s="278" customFormat="1" ht="12.75" customHeight="1" x14ac:dyDescent="0.2">
      <c r="A21" s="844" t="s">
        <v>25</v>
      </c>
      <c r="B21" s="845"/>
      <c r="C21" s="845"/>
      <c r="D21" s="845"/>
      <c r="E21" s="845"/>
      <c r="F21" s="845"/>
      <c r="G21" s="368">
        <f t="shared" ref="G21:L21" si="5">SUM(G15:G20)</f>
        <v>43789213.68</v>
      </c>
      <c r="H21" s="396">
        <f t="shared" si="5"/>
        <v>0.75757575767536667</v>
      </c>
      <c r="I21" s="404">
        <f t="shared" si="5"/>
        <v>13703072.43</v>
      </c>
      <c r="J21" s="404">
        <f t="shared" si="5"/>
        <v>30086141.25</v>
      </c>
      <c r="K21" s="404">
        <f t="shared" si="5"/>
        <v>0</v>
      </c>
      <c r="L21" s="404">
        <f t="shared" si="5"/>
        <v>0</v>
      </c>
    </row>
    <row r="22" spans="1:14" ht="12.75" customHeight="1" x14ac:dyDescent="0.2">
      <c r="A22" s="833" t="s">
        <v>177</v>
      </c>
      <c r="B22" s="697"/>
      <c r="C22" s="697"/>
      <c r="D22" s="697"/>
      <c r="E22" s="697"/>
      <c r="F22" s="289">
        <v>0.27</v>
      </c>
      <c r="G22" s="369">
        <f>ROUND((F22*G$21),2)</f>
        <v>11823087.689999999</v>
      </c>
      <c r="H22" s="397">
        <f>G22/G$26</f>
        <v>0.20454545451006714</v>
      </c>
      <c r="I22" s="404">
        <f>$F$22*I$21</f>
        <v>3699829.5561000002</v>
      </c>
      <c r="J22" s="404">
        <f>$F$22*J$21</f>
        <v>8123258.1375000002</v>
      </c>
      <c r="K22" s="404">
        <f>$F$22*K$21</f>
        <v>0</v>
      </c>
      <c r="L22" s="404">
        <f>$F$22*L$21</f>
        <v>0</v>
      </c>
    </row>
    <row r="23" spans="1:14" ht="12.75" customHeight="1" x14ac:dyDescent="0.2">
      <c r="A23" s="833" t="s">
        <v>61</v>
      </c>
      <c r="B23" s="697"/>
      <c r="C23" s="697"/>
      <c r="D23" s="697"/>
      <c r="E23" s="697"/>
      <c r="F23" s="289">
        <v>0.02</v>
      </c>
      <c r="G23" s="369">
        <f t="shared" ref="G23:G24" si="6">ROUND((F23*G$21),2)</f>
        <v>875784.27</v>
      </c>
      <c r="H23" s="397">
        <f t="shared" ref="H23:H24" si="7">G23/G$26</f>
        <v>1.5151515091225495E-2</v>
      </c>
      <c r="I23" s="404">
        <f>$F$23*I$21</f>
        <v>274061.4486</v>
      </c>
      <c r="J23" s="404">
        <f t="shared" ref="J23:L23" si="8">$F$23*J$21</f>
        <v>601722.82500000007</v>
      </c>
      <c r="K23" s="404">
        <f>$F$23*K$21</f>
        <v>0</v>
      </c>
      <c r="L23" s="404">
        <f t="shared" si="8"/>
        <v>0</v>
      </c>
    </row>
    <row r="24" spans="1:14" ht="12.75" customHeight="1" x14ac:dyDescent="0.2">
      <c r="A24" s="833" t="s">
        <v>62</v>
      </c>
      <c r="B24" s="697"/>
      <c r="C24" s="697"/>
      <c r="D24" s="697"/>
      <c r="E24" s="697"/>
      <c r="F24" s="289">
        <v>0.03</v>
      </c>
      <c r="G24" s="369">
        <f t="shared" si="6"/>
        <v>1313676.4099999999</v>
      </c>
      <c r="H24" s="397">
        <f t="shared" si="7"/>
        <v>2.2727272723340793E-2</v>
      </c>
      <c r="I24" s="404">
        <f>$F$24*I$21</f>
        <v>411092.17289999995</v>
      </c>
      <c r="J24" s="404">
        <f t="shared" ref="J24:L24" si="9">$F$24*J$21</f>
        <v>902584.23749999993</v>
      </c>
      <c r="K24" s="404">
        <f>$F$24*K$21</f>
        <v>0</v>
      </c>
      <c r="L24" s="404">
        <f t="shared" si="9"/>
        <v>0</v>
      </c>
    </row>
    <row r="25" spans="1:14" s="278" customFormat="1" ht="12.75" customHeight="1" x14ac:dyDescent="0.2">
      <c r="A25" s="844" t="s">
        <v>226</v>
      </c>
      <c r="B25" s="845"/>
      <c r="C25" s="845"/>
      <c r="D25" s="845"/>
      <c r="E25" s="845"/>
      <c r="F25" s="845"/>
      <c r="G25" s="365">
        <f>SUM(G22:G24)</f>
        <v>14012548.369999999</v>
      </c>
      <c r="H25" s="398">
        <f>SUM(H22:H24)</f>
        <v>0.24242424232463344</v>
      </c>
      <c r="I25" s="404">
        <f>ROUND(SUM(I22:I24),2)</f>
        <v>4384983.18</v>
      </c>
      <c r="J25" s="404">
        <f t="shared" ref="J25:L25" si="10">ROUND(SUM(J22:J24),2)</f>
        <v>9627565.1999999993</v>
      </c>
      <c r="K25" s="404">
        <f t="shared" si="10"/>
        <v>0</v>
      </c>
      <c r="L25" s="404">
        <f t="shared" si="10"/>
        <v>0</v>
      </c>
    </row>
    <row r="26" spans="1:14" s="278" customFormat="1" ht="12.75" customHeight="1" thickBot="1" x14ac:dyDescent="0.25">
      <c r="A26" s="861" t="s">
        <v>227</v>
      </c>
      <c r="B26" s="862"/>
      <c r="C26" s="862"/>
      <c r="D26" s="862"/>
      <c r="E26" s="862"/>
      <c r="F26" s="862"/>
      <c r="G26" s="370">
        <f>G25+G21</f>
        <v>57801762.049999997</v>
      </c>
      <c r="H26" s="399">
        <f>H21+H25</f>
        <v>1</v>
      </c>
      <c r="I26" s="405">
        <f>I21+I25</f>
        <v>18088055.609999999</v>
      </c>
      <c r="J26" s="405">
        <f t="shared" ref="J26:L26" si="11">J21+J25</f>
        <v>39713706.450000003</v>
      </c>
      <c r="K26" s="405">
        <f>K21+K25</f>
        <v>0</v>
      </c>
      <c r="L26" s="405">
        <f t="shared" si="11"/>
        <v>0</v>
      </c>
      <c r="M26" s="318"/>
      <c r="N26" s="319"/>
    </row>
    <row r="27" spans="1:14" ht="12.75" customHeight="1" x14ac:dyDescent="0.2">
      <c r="A27" s="293"/>
      <c r="B27" s="294"/>
      <c r="C27" s="294"/>
      <c r="D27" s="294"/>
      <c r="E27" s="294"/>
      <c r="F27" s="294"/>
      <c r="G27" s="295"/>
      <c r="H27" s="296"/>
      <c r="I27" s="376"/>
      <c r="K27" s="376"/>
    </row>
    <row r="28" spans="1:14" ht="12.75" customHeight="1" x14ac:dyDescent="0.2">
      <c r="A28" s="293"/>
      <c r="B28" s="294"/>
      <c r="C28" s="294"/>
      <c r="D28" s="294"/>
      <c r="E28" s="294"/>
      <c r="F28" s="294"/>
      <c r="G28" s="295"/>
      <c r="H28" s="296"/>
      <c r="I28" s="376"/>
      <c r="K28" s="376"/>
    </row>
    <row r="29" spans="1:14" ht="12.75" customHeight="1" x14ac:dyDescent="0.2">
      <c r="A29" s="293"/>
      <c r="B29" s="293"/>
      <c r="C29" s="293"/>
      <c r="D29" s="293"/>
      <c r="E29" s="293"/>
      <c r="F29" s="293"/>
      <c r="G29" s="297"/>
      <c r="H29" s="293"/>
      <c r="I29" s="376"/>
      <c r="K29" s="376"/>
    </row>
    <row r="30" spans="1:14" ht="12.75" customHeight="1" x14ac:dyDescent="0.2">
      <c r="A30" s="293"/>
      <c r="B30" s="293"/>
      <c r="C30" s="293"/>
      <c r="D30" s="293"/>
      <c r="E30" s="419"/>
      <c r="F30" s="419"/>
      <c r="G30" s="419"/>
      <c r="H30" s="293"/>
      <c r="I30" s="376"/>
      <c r="K30" s="376"/>
    </row>
    <row r="31" spans="1:14" ht="12.75" customHeight="1" x14ac:dyDescent="0.2">
      <c r="A31" s="863" t="str">
        <f>+Presupuesto!A34</f>
        <v>ARQ. GUILLERMO YAMID VALLEJOS BENAVIDES</v>
      </c>
      <c r="B31" s="863"/>
      <c r="C31" s="863"/>
      <c r="D31" s="863"/>
      <c r="E31" s="863"/>
      <c r="F31" s="863"/>
      <c r="G31" s="863"/>
      <c r="H31" s="863"/>
      <c r="I31" s="863"/>
      <c r="J31" s="863"/>
      <c r="K31" s="863"/>
      <c r="L31" s="863"/>
    </row>
    <row r="32" spans="1:14" ht="12.75" customHeight="1" x14ac:dyDescent="0.2">
      <c r="A32" s="832" t="str">
        <f>+Presupuesto!A35</f>
        <v>SECRETARIO DE PLANEACION Y OBRAS PUBLICAS</v>
      </c>
      <c r="B32" s="832"/>
      <c r="C32" s="832"/>
      <c r="D32" s="832"/>
      <c r="E32" s="832"/>
      <c r="F32" s="832"/>
      <c r="G32" s="832"/>
      <c r="H32" s="832"/>
      <c r="I32" s="832"/>
      <c r="J32" s="832"/>
      <c r="K32" s="832"/>
      <c r="L32" s="832"/>
    </row>
    <row r="33" spans="1:12" ht="12.75" customHeight="1" x14ac:dyDescent="0.2">
      <c r="A33" s="840" t="str">
        <f>+Presupuesto!A36</f>
        <v>SAN MIGUEL - PUTUMAYO</v>
      </c>
      <c r="B33" s="840"/>
      <c r="C33" s="840"/>
      <c r="D33" s="840"/>
      <c r="E33" s="840"/>
      <c r="F33" s="840"/>
      <c r="G33" s="840"/>
      <c r="H33" s="840"/>
      <c r="I33" s="840"/>
      <c r="J33" s="840"/>
      <c r="K33" s="840"/>
      <c r="L33" s="840"/>
    </row>
    <row r="34" spans="1:12" ht="12.75" customHeight="1" x14ac:dyDescent="0.2">
      <c r="A34" s="841"/>
      <c r="B34" s="841"/>
      <c r="C34" s="841"/>
      <c r="D34" s="841"/>
      <c r="E34" s="841"/>
      <c r="F34" s="293"/>
      <c r="G34" s="293"/>
      <c r="H34" s="293"/>
      <c r="I34" s="376"/>
      <c r="K34" s="376"/>
    </row>
  </sheetData>
  <mergeCells count="37">
    <mergeCell ref="A33:L33"/>
    <mergeCell ref="A34:E34"/>
    <mergeCell ref="B1:B6"/>
    <mergeCell ref="A21:F21"/>
    <mergeCell ref="B13:C13"/>
    <mergeCell ref="B12:C12"/>
    <mergeCell ref="A1:A6"/>
    <mergeCell ref="C1:D2"/>
    <mergeCell ref="C3:D3"/>
    <mergeCell ref="C4:D4"/>
    <mergeCell ref="C5:D6"/>
    <mergeCell ref="A25:F25"/>
    <mergeCell ref="B14:C14"/>
    <mergeCell ref="A26:F26"/>
    <mergeCell ref="A22:E22"/>
    <mergeCell ref="A31:L31"/>
    <mergeCell ref="A32:L32"/>
    <mergeCell ref="A24:E24"/>
    <mergeCell ref="A23:E23"/>
    <mergeCell ref="B15:C15"/>
    <mergeCell ref="B16:C16"/>
    <mergeCell ref="B17:C17"/>
    <mergeCell ref="B18:C18"/>
    <mergeCell ref="B20:C20"/>
    <mergeCell ref="B19:C19"/>
    <mergeCell ref="K1:L6"/>
    <mergeCell ref="A8:L9"/>
    <mergeCell ref="A11:L11"/>
    <mergeCell ref="E1:H1"/>
    <mergeCell ref="E2:H3"/>
    <mergeCell ref="E4:H4"/>
    <mergeCell ref="E5:H6"/>
    <mergeCell ref="I1:J1"/>
    <mergeCell ref="I2:J3"/>
    <mergeCell ref="I4:J4"/>
    <mergeCell ref="I5:J5"/>
    <mergeCell ref="I6:J6"/>
  </mergeCells>
  <phoneticPr fontId="2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M153"/>
  <sheetViews>
    <sheetView view="pageBreakPreview" zoomScaleNormal="80" zoomScaleSheetLayoutView="100" workbookViewId="0">
      <selection activeCell="A13" sqref="A13:H13"/>
    </sheetView>
  </sheetViews>
  <sheetFormatPr baseColWidth="10" defaultRowHeight="16.5" x14ac:dyDescent="0.3"/>
  <cols>
    <col min="1" max="1" width="18.28515625" style="324" customWidth="1"/>
    <col min="2" max="2" width="20.85546875" style="324" customWidth="1"/>
    <col min="3" max="3" width="18" style="324" customWidth="1"/>
    <col min="4" max="4" width="10" style="324" customWidth="1"/>
    <col min="5" max="5" width="11.5703125" style="324"/>
    <col min="6" max="6" width="13.42578125" style="324" customWidth="1"/>
    <col min="7" max="7" width="11.5703125" style="324"/>
    <col min="8" max="8" width="18.140625" style="324" customWidth="1"/>
    <col min="12" max="12" width="12.5703125" bestFit="1" customWidth="1"/>
  </cols>
  <sheetData>
    <row r="1" spans="1:8" ht="15" x14ac:dyDescent="0.25">
      <c r="A1" s="892"/>
      <c r="B1" s="894" t="s">
        <v>192</v>
      </c>
      <c r="C1" s="895"/>
      <c r="D1" s="896"/>
      <c r="E1" s="900" t="s">
        <v>193</v>
      </c>
      <c r="F1" s="900"/>
      <c r="G1" s="322">
        <v>103</v>
      </c>
      <c r="H1" s="900"/>
    </row>
    <row r="2" spans="1:8" ht="15" x14ac:dyDescent="0.25">
      <c r="A2" s="893"/>
      <c r="B2" s="897"/>
      <c r="C2" s="898"/>
      <c r="D2" s="899"/>
      <c r="E2" s="869" t="s">
        <v>194</v>
      </c>
      <c r="F2" s="869"/>
      <c r="G2" s="900">
        <v>51</v>
      </c>
      <c r="H2" s="900"/>
    </row>
    <row r="3" spans="1:8" ht="15" x14ac:dyDescent="0.25">
      <c r="A3" s="893"/>
      <c r="B3" s="902" t="s">
        <v>195</v>
      </c>
      <c r="C3" s="903"/>
      <c r="D3" s="904"/>
      <c r="E3" s="869"/>
      <c r="F3" s="869"/>
      <c r="G3" s="900"/>
      <c r="H3" s="900"/>
    </row>
    <row r="4" spans="1:8" ht="15" x14ac:dyDescent="0.25">
      <c r="A4" s="893"/>
      <c r="B4" s="905" t="s">
        <v>196</v>
      </c>
      <c r="C4" s="906"/>
      <c r="D4" s="907"/>
      <c r="E4" s="900" t="s">
        <v>197</v>
      </c>
      <c r="F4" s="900"/>
      <c r="G4" s="322">
        <v>1</v>
      </c>
      <c r="H4" s="900"/>
    </row>
    <row r="5" spans="1:8" ht="15" x14ac:dyDescent="0.25">
      <c r="A5" s="893"/>
      <c r="B5" s="908" t="s">
        <v>198</v>
      </c>
      <c r="C5" s="909"/>
      <c r="D5" s="910"/>
      <c r="E5" s="869" t="s">
        <v>199</v>
      </c>
      <c r="F5" s="869"/>
      <c r="G5" s="322" t="s">
        <v>200</v>
      </c>
      <c r="H5" s="900"/>
    </row>
    <row r="6" spans="1:8" ht="15.75" thickBot="1" x14ac:dyDescent="0.3">
      <c r="A6" s="893"/>
      <c r="B6" s="911"/>
      <c r="C6" s="912"/>
      <c r="D6" s="913"/>
      <c r="E6" s="870"/>
      <c r="F6" s="870"/>
      <c r="G6" s="389">
        <v>44216</v>
      </c>
      <c r="H6" s="901"/>
    </row>
    <row r="7" spans="1:8" s="324" customFormat="1" ht="14.45" customHeight="1" x14ac:dyDescent="0.3">
      <c r="A7" s="871" t="str">
        <f>Presupuesto!A8</f>
        <v>ADECUACION DE LA INFRAESTRUCTURA DE LA PLANTA DE BENEFICIO ANIMAL MEDIANTE EL MEJORAMIENTO DE CUBIERTA EN EL MUNICIPIO DE SAN MIGUEL PUTUMAYO</v>
      </c>
      <c r="B7" s="872"/>
      <c r="C7" s="872"/>
      <c r="D7" s="872"/>
      <c r="E7" s="872"/>
      <c r="F7" s="872"/>
      <c r="G7" s="872"/>
      <c r="H7" s="873"/>
    </row>
    <row r="8" spans="1:8" s="324" customFormat="1" ht="16.5" customHeight="1" x14ac:dyDescent="0.3">
      <c r="A8" s="874"/>
      <c r="B8" s="875"/>
      <c r="C8" s="875"/>
      <c r="D8" s="875"/>
      <c r="E8" s="875"/>
      <c r="F8" s="875"/>
      <c r="G8" s="875"/>
      <c r="H8" s="876"/>
    </row>
    <row r="9" spans="1:8" s="324" customFormat="1" x14ac:dyDescent="0.3">
      <c r="A9" s="874"/>
      <c r="B9" s="875"/>
      <c r="C9" s="875"/>
      <c r="D9" s="875"/>
      <c r="E9" s="875"/>
      <c r="F9" s="875"/>
      <c r="G9" s="875"/>
      <c r="H9" s="876"/>
    </row>
    <row r="10" spans="1:8" s="324" customFormat="1" ht="17.25" thickBot="1" x14ac:dyDescent="0.35">
      <c r="A10" s="877"/>
      <c r="B10" s="878"/>
      <c r="C10" s="878"/>
      <c r="D10" s="878"/>
      <c r="E10" s="878"/>
      <c r="F10" s="878"/>
      <c r="G10" s="878"/>
      <c r="H10" s="879"/>
    </row>
    <row r="11" spans="1:8" s="324" customFormat="1" ht="17.25" thickBot="1" x14ac:dyDescent="0.35">
      <c r="A11" s="325"/>
      <c r="B11" s="326"/>
      <c r="C11" s="326"/>
      <c r="D11" s="326"/>
      <c r="E11" s="326"/>
      <c r="F11" s="326"/>
      <c r="G11" s="326"/>
      <c r="H11" s="327"/>
    </row>
    <row r="12" spans="1:8" s="324" customFormat="1" ht="19.5" thickBot="1" x14ac:dyDescent="0.35">
      <c r="A12" s="880" t="s">
        <v>276</v>
      </c>
      <c r="B12" s="881"/>
      <c r="C12" s="881"/>
      <c r="D12" s="881"/>
      <c r="E12" s="881"/>
      <c r="F12" s="881"/>
      <c r="G12" s="881"/>
      <c r="H12" s="882"/>
    </row>
    <row r="13" spans="1:8" s="324" customFormat="1" x14ac:dyDescent="0.3">
      <c r="A13" s="883" t="s">
        <v>26</v>
      </c>
      <c r="B13" s="884"/>
      <c r="C13" s="884"/>
      <c r="D13" s="884"/>
      <c r="E13" s="884"/>
      <c r="F13" s="884"/>
      <c r="G13" s="884"/>
      <c r="H13" s="885"/>
    </row>
    <row r="14" spans="1:8" s="324" customFormat="1" x14ac:dyDescent="0.3">
      <c r="A14" s="238"/>
      <c r="B14" s="200"/>
      <c r="C14" s="200"/>
      <c r="D14" s="200"/>
      <c r="E14" s="200"/>
      <c r="F14" s="205"/>
      <c r="G14" s="200"/>
      <c r="H14" s="235"/>
    </row>
    <row r="15" spans="1:8" s="324" customFormat="1" x14ac:dyDescent="0.3">
      <c r="A15" s="390" t="s">
        <v>244</v>
      </c>
      <c r="B15" s="886" t="s">
        <v>245</v>
      </c>
      <c r="C15" s="887"/>
      <c r="D15" s="887"/>
      <c r="E15" s="887"/>
      <c r="F15" s="888"/>
      <c r="G15" s="391" t="s">
        <v>28</v>
      </c>
      <c r="H15" s="390" t="s">
        <v>230</v>
      </c>
    </row>
    <row r="16" spans="1:8" s="324" customFormat="1" x14ac:dyDescent="0.3">
      <c r="A16" s="238"/>
      <c r="B16" s="200"/>
      <c r="C16" s="200"/>
      <c r="D16" s="200"/>
      <c r="E16" s="200"/>
      <c r="F16" s="205"/>
      <c r="G16" s="200"/>
      <c r="H16" s="235"/>
    </row>
    <row r="17" spans="1:13" s="324" customFormat="1" ht="17.25" thickBot="1" x14ac:dyDescent="0.35">
      <c r="A17" s="328" t="s">
        <v>29</v>
      </c>
      <c r="B17" s="889" t="s">
        <v>246</v>
      </c>
      <c r="C17" s="890"/>
      <c r="D17" s="890"/>
      <c r="E17" s="890"/>
      <c r="F17" s="890"/>
      <c r="G17" s="891"/>
      <c r="H17" s="235"/>
    </row>
    <row r="18" spans="1:13" s="324" customFormat="1" ht="17.25" thickBot="1" x14ac:dyDescent="0.35">
      <c r="A18" s="216"/>
      <c r="B18" s="867" t="s">
        <v>31</v>
      </c>
      <c r="C18" s="868"/>
      <c r="D18" s="216" t="s">
        <v>12</v>
      </c>
      <c r="E18" s="216" t="s">
        <v>33</v>
      </c>
      <c r="F18" s="206" t="s">
        <v>34</v>
      </c>
      <c r="G18" s="216" t="s">
        <v>35</v>
      </c>
      <c r="H18" s="235"/>
      <c r="I18" s="864" t="s">
        <v>273</v>
      </c>
      <c r="J18" s="865"/>
      <c r="K18" s="865"/>
      <c r="L18" s="865"/>
      <c r="M18" s="866"/>
    </row>
    <row r="19" spans="1:13" s="324" customFormat="1" x14ac:dyDescent="0.3">
      <c r="A19" s="329"/>
      <c r="B19" s="915" t="s">
        <v>247</v>
      </c>
      <c r="C19" s="916"/>
      <c r="D19" s="330" t="s">
        <v>248</v>
      </c>
      <c r="E19" s="331">
        <f>M19</f>
        <v>15000</v>
      </c>
      <c r="F19" s="331">
        <v>3.5</v>
      </c>
      <c r="G19" s="331">
        <f>E19*F19</f>
        <v>52500</v>
      </c>
      <c r="H19" s="236"/>
      <c r="I19" s="388" t="s">
        <v>269</v>
      </c>
      <c r="J19" s="324" t="s">
        <v>270</v>
      </c>
      <c r="L19" s="386">
        <v>120000</v>
      </c>
      <c r="M19" s="386">
        <f>L19/8</f>
        <v>15000</v>
      </c>
    </row>
    <row r="20" spans="1:13" s="324" customFormat="1" x14ac:dyDescent="0.3">
      <c r="A20" s="197"/>
      <c r="B20" s="915" t="s">
        <v>249</v>
      </c>
      <c r="C20" s="916"/>
      <c r="D20" s="332" t="s">
        <v>248</v>
      </c>
      <c r="E20" s="333">
        <f>M20</f>
        <v>12500</v>
      </c>
      <c r="F20" s="333">
        <v>3.5</v>
      </c>
      <c r="G20" s="333">
        <f>E20*F20</f>
        <v>43750</v>
      </c>
      <c r="H20" s="236"/>
      <c r="I20" s="388" t="s">
        <v>271</v>
      </c>
      <c r="J20" s="324" t="s">
        <v>272</v>
      </c>
      <c r="L20" s="386">
        <v>100000</v>
      </c>
      <c r="M20" s="386">
        <f>L20/8</f>
        <v>12500</v>
      </c>
    </row>
    <row r="21" spans="1:13" s="324" customFormat="1" ht="17.25" thickBot="1" x14ac:dyDescent="0.35">
      <c r="A21" s="238"/>
      <c r="B21" s="200"/>
      <c r="C21" s="200"/>
      <c r="D21" s="200"/>
      <c r="E21" s="205" t="s">
        <v>36</v>
      </c>
      <c r="F21" s="205"/>
      <c r="G21" s="205"/>
      <c r="H21" s="334">
        <f>ROUND(SUM(G19:G20),0)</f>
        <v>96250</v>
      </c>
    </row>
    <row r="22" spans="1:13" s="324" customFormat="1" ht="17.25" thickBot="1" x14ac:dyDescent="0.35">
      <c r="A22" s="203" t="s">
        <v>37</v>
      </c>
      <c r="B22" s="889" t="s">
        <v>38</v>
      </c>
      <c r="C22" s="890"/>
      <c r="D22" s="890"/>
      <c r="E22" s="890"/>
      <c r="F22" s="890"/>
      <c r="G22" s="891"/>
      <c r="H22" s="214"/>
      <c r="I22" s="864" t="s">
        <v>266</v>
      </c>
      <c r="J22" s="865"/>
      <c r="K22" s="865"/>
      <c r="L22" s="865"/>
      <c r="M22" s="866"/>
    </row>
    <row r="23" spans="1:13" s="324" customFormat="1" x14ac:dyDescent="0.3">
      <c r="A23" s="216"/>
      <c r="B23" s="867" t="s">
        <v>31</v>
      </c>
      <c r="C23" s="868"/>
      <c r="D23" s="197" t="s">
        <v>12</v>
      </c>
      <c r="E23" s="206" t="s">
        <v>39</v>
      </c>
      <c r="F23" s="206" t="s">
        <v>40</v>
      </c>
      <c r="G23" s="206" t="s">
        <v>35</v>
      </c>
      <c r="H23" s="219"/>
      <c r="I23" s="388" t="s">
        <v>265</v>
      </c>
      <c r="J23" s="324" t="s">
        <v>267</v>
      </c>
      <c r="L23" s="386">
        <v>38000</v>
      </c>
      <c r="M23" s="386">
        <f>L23/50</f>
        <v>760</v>
      </c>
    </row>
    <row r="24" spans="1:13" s="324" customFormat="1" x14ac:dyDescent="0.3">
      <c r="A24" s="197"/>
      <c r="B24" s="917" t="s">
        <v>250</v>
      </c>
      <c r="C24" s="918"/>
      <c r="D24" s="335" t="s">
        <v>240</v>
      </c>
      <c r="E24" s="336">
        <v>350</v>
      </c>
      <c r="F24" s="337">
        <f>M23</f>
        <v>760</v>
      </c>
      <c r="G24" s="336">
        <f>+F24*E24</f>
        <v>266000</v>
      </c>
      <c r="H24" s="219"/>
      <c r="I24" s="388" t="s">
        <v>264</v>
      </c>
      <c r="J24" s="324" t="s">
        <v>268</v>
      </c>
      <c r="L24" s="386">
        <v>300000</v>
      </c>
      <c r="M24" s="387">
        <f>L24/6</f>
        <v>50000</v>
      </c>
    </row>
    <row r="25" spans="1:13" s="324" customFormat="1" x14ac:dyDescent="0.3">
      <c r="A25" s="197"/>
      <c r="B25" s="917" t="s">
        <v>251</v>
      </c>
      <c r="C25" s="918"/>
      <c r="D25" s="335" t="s">
        <v>252</v>
      </c>
      <c r="E25" s="336">
        <v>210</v>
      </c>
      <c r="F25" s="337">
        <v>180</v>
      </c>
      <c r="G25" s="336">
        <f>+F25*E25</f>
        <v>37800</v>
      </c>
      <c r="H25" s="219"/>
      <c r="I25" s="388" t="s">
        <v>254</v>
      </c>
      <c r="J25" s="324" t="s">
        <v>268</v>
      </c>
      <c r="L25" s="386">
        <v>1500000</v>
      </c>
      <c r="M25" s="386">
        <f>L25/6</f>
        <v>250000</v>
      </c>
    </row>
    <row r="26" spans="1:13" s="324" customFormat="1" x14ac:dyDescent="0.3">
      <c r="A26" s="197"/>
      <c r="B26" s="917" t="s">
        <v>253</v>
      </c>
      <c r="C26" s="918"/>
      <c r="D26" s="335" t="s">
        <v>230</v>
      </c>
      <c r="E26" s="338">
        <v>0.56000000000000005</v>
      </c>
      <c r="F26" s="337">
        <f>M24</f>
        <v>50000</v>
      </c>
      <c r="G26" s="336">
        <f>+F26*E26</f>
        <v>28000.000000000004</v>
      </c>
      <c r="H26" s="219"/>
    </row>
    <row r="27" spans="1:13" s="324" customFormat="1" x14ac:dyDescent="0.3">
      <c r="A27" s="197"/>
      <c r="B27" s="917" t="s">
        <v>254</v>
      </c>
      <c r="C27" s="918"/>
      <c r="D27" s="335" t="s">
        <v>230</v>
      </c>
      <c r="E27" s="338">
        <v>0.84</v>
      </c>
      <c r="F27" s="337">
        <f>M25</f>
        <v>250000</v>
      </c>
      <c r="G27" s="336">
        <f>+F27*E27</f>
        <v>210000</v>
      </c>
      <c r="H27" s="219"/>
    </row>
    <row r="28" spans="1:13" s="324" customFormat="1" x14ac:dyDescent="0.3">
      <c r="A28" s="239" t="s">
        <v>41</v>
      </c>
      <c r="B28" s="200"/>
      <c r="C28" s="200"/>
      <c r="D28" s="200"/>
      <c r="E28" s="205" t="s">
        <v>42</v>
      </c>
      <c r="F28" s="205"/>
      <c r="G28" s="205"/>
      <c r="H28" s="339">
        <f>(SUM(G24:G27))</f>
        <v>541800</v>
      </c>
    </row>
    <row r="29" spans="1:13" s="324" customFormat="1" x14ac:dyDescent="0.3">
      <c r="A29" s="203" t="s">
        <v>43</v>
      </c>
      <c r="B29" s="889" t="s">
        <v>44</v>
      </c>
      <c r="C29" s="890"/>
      <c r="D29" s="890"/>
      <c r="E29" s="890"/>
      <c r="F29" s="890"/>
      <c r="G29" s="891"/>
      <c r="H29" s="219"/>
    </row>
    <row r="30" spans="1:13" s="324" customFormat="1" x14ac:dyDescent="0.3">
      <c r="A30" s="197"/>
      <c r="B30" s="216" t="s">
        <v>31</v>
      </c>
      <c r="C30" s="216" t="s">
        <v>255</v>
      </c>
      <c r="D30" s="216" t="s">
        <v>47</v>
      </c>
      <c r="E30" s="206" t="s">
        <v>39</v>
      </c>
      <c r="F30" s="204" t="s">
        <v>49</v>
      </c>
      <c r="G30" s="204" t="s">
        <v>35</v>
      </c>
      <c r="H30" s="219"/>
    </row>
    <row r="31" spans="1:13" s="324" customFormat="1" x14ac:dyDescent="0.3">
      <c r="A31" s="197"/>
      <c r="B31" s="197"/>
      <c r="C31" s="340"/>
      <c r="D31" s="213"/>
      <c r="E31" s="207"/>
      <c r="F31" s="341"/>
      <c r="G31" s="342"/>
      <c r="H31" s="219"/>
    </row>
    <row r="32" spans="1:13" s="324" customFormat="1" x14ac:dyDescent="0.3">
      <c r="A32" s="239"/>
      <c r="B32" s="200"/>
      <c r="C32" s="200"/>
      <c r="D32" s="200"/>
      <c r="E32" s="205" t="s">
        <v>50</v>
      </c>
      <c r="F32" s="205"/>
      <c r="G32" s="205"/>
      <c r="H32" s="339">
        <f>SUM(G31)</f>
        <v>0</v>
      </c>
    </row>
    <row r="33" spans="1:8" s="324" customFormat="1" x14ac:dyDescent="0.3">
      <c r="A33" s="203" t="s">
        <v>51</v>
      </c>
      <c r="B33" s="889" t="s">
        <v>18</v>
      </c>
      <c r="C33" s="890"/>
      <c r="D33" s="890"/>
      <c r="E33" s="890"/>
      <c r="F33" s="890"/>
      <c r="G33" s="891"/>
      <c r="H33" s="219"/>
    </row>
    <row r="34" spans="1:8" s="324" customFormat="1" x14ac:dyDescent="0.3">
      <c r="A34" s="197"/>
      <c r="B34" s="197" t="s">
        <v>31</v>
      </c>
      <c r="C34" s="216" t="s">
        <v>12</v>
      </c>
      <c r="D34" s="216" t="s">
        <v>13</v>
      </c>
      <c r="E34" s="216" t="s">
        <v>52</v>
      </c>
      <c r="F34" s="206"/>
      <c r="G34" s="204" t="s">
        <v>53</v>
      </c>
      <c r="H34" s="219"/>
    </row>
    <row r="35" spans="1:8" s="324" customFormat="1" x14ac:dyDescent="0.3">
      <c r="A35" s="197"/>
      <c r="B35" s="197"/>
      <c r="C35" s="209"/>
      <c r="D35" s="197"/>
      <c r="E35" s="204"/>
      <c r="F35" s="204"/>
      <c r="G35" s="204"/>
      <c r="H35" s="219"/>
    </row>
    <row r="36" spans="1:8" s="324" customFormat="1" x14ac:dyDescent="0.3">
      <c r="A36" s="239"/>
      <c r="B36" s="200"/>
      <c r="C36" s="200"/>
      <c r="D36" s="200"/>
      <c r="E36" s="205" t="s">
        <v>50</v>
      </c>
      <c r="F36" s="205"/>
      <c r="G36" s="205"/>
      <c r="H36" s="219">
        <f>SUM(G35)</f>
        <v>0</v>
      </c>
    </row>
    <row r="37" spans="1:8" s="324" customFormat="1" x14ac:dyDescent="0.3">
      <c r="A37" s="238"/>
      <c r="B37" s="200"/>
      <c r="C37" s="200"/>
      <c r="D37" s="200"/>
      <c r="E37" s="205"/>
      <c r="F37" s="205"/>
      <c r="G37" s="205"/>
      <c r="H37" s="219"/>
    </row>
    <row r="38" spans="1:8" s="324" customFormat="1" x14ac:dyDescent="0.3">
      <c r="A38" s="238"/>
      <c r="B38" s="200"/>
      <c r="C38" s="200"/>
      <c r="D38" s="210" t="s">
        <v>54</v>
      </c>
      <c r="E38" s="211"/>
      <c r="F38" s="211"/>
      <c r="G38" s="211"/>
      <c r="H38" s="343">
        <f>ROUND(SUM(H21:H37),0)</f>
        <v>638050</v>
      </c>
    </row>
    <row r="39" spans="1:8" s="324" customFormat="1" x14ac:dyDescent="0.3">
      <c r="A39" s="203" t="s">
        <v>55</v>
      </c>
      <c r="B39" s="889" t="s">
        <v>56</v>
      </c>
      <c r="C39" s="890"/>
      <c r="D39" s="890"/>
      <c r="E39" s="890"/>
      <c r="F39" s="890"/>
      <c r="G39" s="891"/>
      <c r="H39" s="219"/>
    </row>
    <row r="40" spans="1:8" s="324" customFormat="1" x14ac:dyDescent="0.3">
      <c r="A40" s="216"/>
      <c r="B40" s="216" t="s">
        <v>31</v>
      </c>
      <c r="C40" s="216" t="s">
        <v>57</v>
      </c>
      <c r="D40" s="197" t="s">
        <v>58</v>
      </c>
      <c r="E40" s="204"/>
      <c r="F40" s="204" t="s">
        <v>59</v>
      </c>
      <c r="G40" s="204"/>
      <c r="H40" s="219"/>
    </row>
    <row r="41" spans="1:8" s="324" customFormat="1" x14ac:dyDescent="0.3">
      <c r="A41" s="197"/>
      <c r="B41" s="216" t="s">
        <v>60</v>
      </c>
      <c r="C41" s="208">
        <v>0.1</v>
      </c>
      <c r="D41" s="197"/>
      <c r="E41" s="207"/>
      <c r="F41" s="344"/>
      <c r="G41" s="345">
        <f>+H38*C41</f>
        <v>63805</v>
      </c>
      <c r="H41" s="219"/>
    </row>
    <row r="42" spans="1:8" s="324" customFormat="1" x14ac:dyDescent="0.3">
      <c r="A42" s="197"/>
      <c r="B42" s="216" t="s">
        <v>61</v>
      </c>
      <c r="C42" s="208">
        <v>0.02</v>
      </c>
      <c r="D42" s="197"/>
      <c r="E42" s="207"/>
      <c r="F42" s="344"/>
      <c r="G42" s="345">
        <f>+H38*C42</f>
        <v>12761</v>
      </c>
      <c r="H42" s="219"/>
    </row>
    <row r="43" spans="1:8" s="324" customFormat="1" x14ac:dyDescent="0.3">
      <c r="A43" s="238"/>
      <c r="B43" s="200"/>
      <c r="C43" s="200"/>
      <c r="D43" s="210" t="s">
        <v>63</v>
      </c>
      <c r="E43" s="211"/>
      <c r="F43" s="211"/>
      <c r="G43" s="211"/>
      <c r="H43" s="343">
        <f>SUM(G41:G42)</f>
        <v>76566</v>
      </c>
    </row>
    <row r="44" spans="1:8" s="324" customFormat="1" x14ac:dyDescent="0.3">
      <c r="A44" s="238"/>
      <c r="B44" s="200"/>
      <c r="C44" s="200"/>
      <c r="D44" s="200"/>
      <c r="E44" s="205"/>
      <c r="F44" s="205"/>
      <c r="G44" s="205"/>
      <c r="H44" s="343"/>
    </row>
    <row r="45" spans="1:8" s="324" customFormat="1" x14ac:dyDescent="0.3">
      <c r="A45" s="238"/>
      <c r="B45" s="200"/>
      <c r="C45" s="200"/>
      <c r="D45" s="210" t="s">
        <v>64</v>
      </c>
      <c r="E45" s="211"/>
      <c r="F45" s="211"/>
      <c r="G45" s="205"/>
      <c r="H45" s="343">
        <f>ROUND((H38+H43),0)</f>
        <v>714616</v>
      </c>
    </row>
    <row r="46" spans="1:8" s="324" customFormat="1" x14ac:dyDescent="0.3">
      <c r="A46" s="238"/>
      <c r="B46" s="200"/>
      <c r="C46" s="200"/>
      <c r="D46" s="210"/>
      <c r="E46" s="211"/>
      <c r="F46" s="211"/>
      <c r="G46" s="205"/>
      <c r="H46" s="343"/>
    </row>
    <row r="47" spans="1:8" s="324" customFormat="1" x14ac:dyDescent="0.3">
      <c r="A47" s="238"/>
      <c r="B47" s="200"/>
      <c r="C47" s="200"/>
      <c r="D47" s="210"/>
      <c r="E47" s="211"/>
      <c r="F47" s="211"/>
      <c r="G47" s="205"/>
      <c r="H47" s="343"/>
    </row>
    <row r="48" spans="1:8" s="324" customFormat="1" x14ac:dyDescent="0.3">
      <c r="A48" s="238"/>
      <c r="B48" s="200"/>
      <c r="C48" s="200"/>
      <c r="D48" s="210"/>
      <c r="E48" s="211"/>
      <c r="F48" s="211"/>
      <c r="G48" s="205"/>
      <c r="H48" s="343"/>
    </row>
    <row r="49" spans="1:8" s="324" customFormat="1" x14ac:dyDescent="0.3">
      <c r="A49" s="238"/>
      <c r="B49" s="202"/>
      <c r="C49" s="200"/>
      <c r="D49" s="210"/>
      <c r="E49" s="211"/>
      <c r="F49" s="211"/>
      <c r="G49" s="205"/>
      <c r="H49" s="219"/>
    </row>
    <row r="50" spans="1:8" s="324" customFormat="1" x14ac:dyDescent="0.3">
      <c r="A50" s="346" t="str">
        <f>Presupuesto!A34</f>
        <v>ARQ. GUILLERMO YAMID VALLEJOS BENAVIDES</v>
      </c>
      <c r="B50" s="212"/>
      <c r="C50" s="200"/>
      <c r="D50" s="210"/>
      <c r="F50" s="205"/>
      <c r="G50" s="205"/>
      <c r="H50" s="219"/>
    </row>
    <row r="51" spans="1:8" s="324" customFormat="1" x14ac:dyDescent="0.3">
      <c r="A51" s="346" t="str">
        <f>Presupuesto!A35</f>
        <v>SECRETARIO DE PLANEACION Y OBRAS PUBLICAS</v>
      </c>
      <c r="B51" s="212"/>
      <c r="C51" s="200"/>
      <c r="D51" s="200"/>
      <c r="F51" s="205"/>
      <c r="G51" s="205"/>
      <c r="H51" s="219"/>
    </row>
    <row r="52" spans="1:8" s="324" customFormat="1" x14ac:dyDescent="0.3">
      <c r="A52" s="346" t="str">
        <f>Presupuesto!A36</f>
        <v>SAN MIGUEL - PUTUMAYO</v>
      </c>
      <c r="B52" s="240"/>
      <c r="C52" s="202"/>
      <c r="D52" s="202"/>
      <c r="F52" s="201"/>
      <c r="G52" s="201"/>
      <c r="H52" s="237"/>
    </row>
    <row r="53" spans="1:8" ht="15" x14ac:dyDescent="0.25">
      <c r="A53" s="892"/>
      <c r="B53" s="894" t="s">
        <v>192</v>
      </c>
      <c r="C53" s="895"/>
      <c r="D53" s="896"/>
      <c r="E53" s="900" t="s">
        <v>193</v>
      </c>
      <c r="F53" s="900"/>
      <c r="G53" s="322">
        <v>103</v>
      </c>
      <c r="H53" s="900"/>
    </row>
    <row r="54" spans="1:8" ht="15" x14ac:dyDescent="0.25">
      <c r="A54" s="893"/>
      <c r="B54" s="897"/>
      <c r="C54" s="898"/>
      <c r="D54" s="899"/>
      <c r="E54" s="869" t="s">
        <v>194</v>
      </c>
      <c r="F54" s="869"/>
      <c r="G54" s="900">
        <v>51</v>
      </c>
      <c r="H54" s="900"/>
    </row>
    <row r="55" spans="1:8" ht="15" x14ac:dyDescent="0.25">
      <c r="A55" s="893"/>
      <c r="B55" s="902" t="s">
        <v>195</v>
      </c>
      <c r="C55" s="903"/>
      <c r="D55" s="904"/>
      <c r="E55" s="869"/>
      <c r="F55" s="869"/>
      <c r="G55" s="900"/>
      <c r="H55" s="900"/>
    </row>
    <row r="56" spans="1:8" ht="15" x14ac:dyDescent="0.25">
      <c r="A56" s="893"/>
      <c r="B56" s="905" t="s">
        <v>196</v>
      </c>
      <c r="C56" s="906"/>
      <c r="D56" s="907"/>
      <c r="E56" s="900" t="s">
        <v>197</v>
      </c>
      <c r="F56" s="900"/>
      <c r="G56" s="322">
        <v>1</v>
      </c>
      <c r="H56" s="900"/>
    </row>
    <row r="57" spans="1:8" ht="15" x14ac:dyDescent="0.25">
      <c r="A57" s="893"/>
      <c r="B57" s="908" t="s">
        <v>198</v>
      </c>
      <c r="C57" s="909"/>
      <c r="D57" s="910"/>
      <c r="E57" s="869" t="s">
        <v>199</v>
      </c>
      <c r="F57" s="869"/>
      <c r="G57" s="322" t="s">
        <v>200</v>
      </c>
      <c r="H57" s="900"/>
    </row>
    <row r="58" spans="1:8" ht="15" x14ac:dyDescent="0.25">
      <c r="A58" s="914"/>
      <c r="B58" s="854"/>
      <c r="C58" s="919"/>
      <c r="D58" s="855"/>
      <c r="E58" s="869"/>
      <c r="F58" s="869"/>
      <c r="G58" s="323">
        <v>44216</v>
      </c>
      <c r="H58" s="900"/>
    </row>
    <row r="59" spans="1:8" ht="15" x14ac:dyDescent="0.25">
      <c r="A59" s="920" t="str">
        <f>Presupuesto!A8</f>
        <v>ADECUACION DE LA INFRAESTRUCTURA DE LA PLANTA DE BENEFICIO ANIMAL MEDIANTE EL MEJORAMIENTO DE CUBIERTA EN EL MUNICIPIO DE SAN MIGUEL PUTUMAYO</v>
      </c>
      <c r="B59" s="921"/>
      <c r="C59" s="921"/>
      <c r="D59" s="921"/>
      <c r="E59" s="921"/>
      <c r="F59" s="921"/>
      <c r="G59" s="921"/>
      <c r="H59" s="922"/>
    </row>
    <row r="60" spans="1:8" ht="15" x14ac:dyDescent="0.25">
      <c r="A60" s="920"/>
      <c r="B60" s="921"/>
      <c r="C60" s="921"/>
      <c r="D60" s="921"/>
      <c r="E60" s="921"/>
      <c r="F60" s="921"/>
      <c r="G60" s="921"/>
      <c r="H60" s="922"/>
    </row>
    <row r="61" spans="1:8" ht="15" x14ac:dyDescent="0.25">
      <c r="A61" s="920"/>
      <c r="B61" s="921"/>
      <c r="C61" s="921"/>
      <c r="D61" s="921"/>
      <c r="E61" s="921"/>
      <c r="F61" s="921"/>
      <c r="G61" s="921"/>
      <c r="H61" s="922"/>
    </row>
    <row r="62" spans="1:8" x14ac:dyDescent="0.3">
      <c r="A62" s="325"/>
      <c r="B62" s="326"/>
      <c r="C62" s="326"/>
      <c r="D62" s="326"/>
      <c r="E62" s="326"/>
      <c r="F62" s="326"/>
      <c r="G62" s="326"/>
      <c r="H62" s="327"/>
    </row>
    <row r="63" spans="1:8" x14ac:dyDescent="0.25">
      <c r="A63" s="883" t="s">
        <v>26</v>
      </c>
      <c r="B63" s="884"/>
      <c r="C63" s="884"/>
      <c r="D63" s="884"/>
      <c r="E63" s="884"/>
      <c r="F63" s="884"/>
      <c r="G63" s="884"/>
      <c r="H63" s="885"/>
    </row>
    <row r="64" spans="1:8" x14ac:dyDescent="0.3">
      <c r="A64" s="238"/>
      <c r="B64" s="200"/>
      <c r="C64" s="200"/>
      <c r="D64" s="200"/>
      <c r="E64" s="200"/>
      <c r="F64" s="205"/>
      <c r="G64" s="200"/>
      <c r="H64" s="235"/>
    </row>
    <row r="65" spans="1:13" x14ac:dyDescent="0.3">
      <c r="A65" s="390" t="s">
        <v>256</v>
      </c>
      <c r="B65" s="886" t="s">
        <v>257</v>
      </c>
      <c r="C65" s="887"/>
      <c r="D65" s="887"/>
      <c r="E65" s="887"/>
      <c r="F65" s="888"/>
      <c r="G65" s="391" t="s">
        <v>28</v>
      </c>
      <c r="H65" s="390" t="s">
        <v>230</v>
      </c>
    </row>
    <row r="66" spans="1:13" x14ac:dyDescent="0.3">
      <c r="A66" s="238"/>
      <c r="B66" s="200"/>
      <c r="C66" s="200"/>
      <c r="D66" s="200"/>
      <c r="E66" s="200"/>
      <c r="F66" s="205"/>
      <c r="G66" s="200"/>
      <c r="H66" s="235"/>
    </row>
    <row r="67" spans="1:13" ht="17.25" thickBot="1" x14ac:dyDescent="0.35">
      <c r="A67" s="328" t="s">
        <v>29</v>
      </c>
      <c r="B67" s="889" t="s">
        <v>246</v>
      </c>
      <c r="C67" s="890"/>
      <c r="D67" s="890"/>
      <c r="E67" s="890"/>
      <c r="F67" s="890"/>
      <c r="G67" s="891"/>
      <c r="H67" s="235"/>
    </row>
    <row r="68" spans="1:13" ht="17.25" thickBot="1" x14ac:dyDescent="0.35">
      <c r="A68" s="216"/>
      <c r="B68" s="867" t="s">
        <v>31</v>
      </c>
      <c r="C68" s="868"/>
      <c r="D68" s="216" t="s">
        <v>12</v>
      </c>
      <c r="E68" s="216" t="s">
        <v>33</v>
      </c>
      <c r="F68" s="206" t="s">
        <v>34</v>
      </c>
      <c r="G68" s="216" t="s">
        <v>35</v>
      </c>
      <c r="H68" s="235"/>
      <c r="I68" s="864" t="s">
        <v>273</v>
      </c>
      <c r="J68" s="865"/>
      <c r="K68" s="865"/>
      <c r="L68" s="865"/>
      <c r="M68" s="866"/>
    </row>
    <row r="69" spans="1:13" x14ac:dyDescent="0.3">
      <c r="A69" s="329"/>
      <c r="B69" s="923"/>
      <c r="C69" s="924"/>
      <c r="D69" s="330"/>
      <c r="E69" s="331"/>
      <c r="F69" s="331"/>
      <c r="G69" s="331"/>
      <c r="H69" s="236"/>
      <c r="I69" s="388" t="s">
        <v>269</v>
      </c>
      <c r="J69" s="324" t="s">
        <v>270</v>
      </c>
      <c r="K69" s="324"/>
      <c r="L69" s="386">
        <v>120000</v>
      </c>
      <c r="M69" s="386">
        <f>L69/8</f>
        <v>15000</v>
      </c>
    </row>
    <row r="70" spans="1:13" x14ac:dyDescent="0.3">
      <c r="A70" s="197"/>
      <c r="B70" s="915"/>
      <c r="C70" s="916"/>
      <c r="D70" s="332"/>
      <c r="E70" s="333"/>
      <c r="F70" s="333"/>
      <c r="G70" s="333"/>
      <c r="H70" s="236"/>
      <c r="I70" s="388" t="s">
        <v>271</v>
      </c>
      <c r="J70" s="324" t="s">
        <v>272</v>
      </c>
      <c r="K70" s="324"/>
      <c r="L70" s="386">
        <v>100000</v>
      </c>
      <c r="M70" s="386">
        <f>L70/8</f>
        <v>12500</v>
      </c>
    </row>
    <row r="71" spans="1:13" ht="17.25" thickBot="1" x14ac:dyDescent="0.35">
      <c r="A71" s="238"/>
      <c r="B71" s="200"/>
      <c r="C71" s="200"/>
      <c r="D71" s="200"/>
      <c r="E71" s="205" t="s">
        <v>36</v>
      </c>
      <c r="F71" s="205"/>
      <c r="G71" s="205"/>
      <c r="H71" s="334">
        <f>ROUND(SUM(G69:G70),0)</f>
        <v>0</v>
      </c>
    </row>
    <row r="72" spans="1:13" ht="17.25" thickBot="1" x14ac:dyDescent="0.35">
      <c r="A72" s="203" t="s">
        <v>37</v>
      </c>
      <c r="B72" s="889" t="s">
        <v>38</v>
      </c>
      <c r="C72" s="890"/>
      <c r="D72" s="890"/>
      <c r="E72" s="890"/>
      <c r="F72" s="890"/>
      <c r="G72" s="891"/>
      <c r="H72" s="219"/>
      <c r="I72" s="864" t="s">
        <v>266</v>
      </c>
      <c r="J72" s="865"/>
      <c r="K72" s="865"/>
      <c r="L72" s="865"/>
      <c r="M72" s="866"/>
    </row>
    <row r="73" spans="1:13" x14ac:dyDescent="0.3">
      <c r="A73" s="216"/>
      <c r="B73" s="867" t="s">
        <v>31</v>
      </c>
      <c r="C73" s="868"/>
      <c r="D73" s="197" t="s">
        <v>12</v>
      </c>
      <c r="E73" s="206" t="s">
        <v>39</v>
      </c>
      <c r="F73" s="206" t="s">
        <v>40</v>
      </c>
      <c r="G73" s="206" t="s">
        <v>35</v>
      </c>
      <c r="H73" s="219"/>
      <c r="I73" s="388" t="s">
        <v>265</v>
      </c>
      <c r="J73" s="324" t="s">
        <v>267</v>
      </c>
      <c r="K73" s="324"/>
      <c r="L73" s="386">
        <v>38000</v>
      </c>
      <c r="M73" s="386">
        <f>L73/50</f>
        <v>760</v>
      </c>
    </row>
    <row r="74" spans="1:13" x14ac:dyDescent="0.3">
      <c r="A74" s="197"/>
      <c r="B74" s="917" t="s">
        <v>250</v>
      </c>
      <c r="C74" s="918"/>
      <c r="D74" s="335" t="s">
        <v>240</v>
      </c>
      <c r="E74" s="336">
        <v>450</v>
      </c>
      <c r="F74" s="347">
        <f>M73</f>
        <v>760</v>
      </c>
      <c r="G74" s="336">
        <f>+F74*E74</f>
        <v>342000</v>
      </c>
      <c r="H74" s="219"/>
      <c r="I74" s="388" t="s">
        <v>264</v>
      </c>
      <c r="J74" s="324" t="s">
        <v>268</v>
      </c>
      <c r="K74" s="324"/>
      <c r="L74" s="386">
        <v>300000</v>
      </c>
      <c r="M74" s="387">
        <f>L74/6</f>
        <v>50000</v>
      </c>
    </row>
    <row r="75" spans="1:13" x14ac:dyDescent="0.3">
      <c r="A75" s="197"/>
      <c r="B75" s="917" t="s">
        <v>251</v>
      </c>
      <c r="C75" s="918"/>
      <c r="D75" s="335" t="s">
        <v>252</v>
      </c>
      <c r="E75" s="336">
        <v>260</v>
      </c>
      <c r="F75" s="347">
        <v>180</v>
      </c>
      <c r="G75" s="336">
        <f>+F75*E75</f>
        <v>46800</v>
      </c>
      <c r="H75" s="219"/>
      <c r="I75" s="388" t="s">
        <v>254</v>
      </c>
      <c r="J75" s="324" t="s">
        <v>268</v>
      </c>
      <c r="K75" s="324"/>
      <c r="L75" s="386">
        <v>1500000</v>
      </c>
      <c r="M75" s="386">
        <f>L75/6</f>
        <v>250000</v>
      </c>
    </row>
    <row r="76" spans="1:13" x14ac:dyDescent="0.3">
      <c r="A76" s="197"/>
      <c r="B76" s="917" t="s">
        <v>253</v>
      </c>
      <c r="C76" s="918"/>
      <c r="D76" s="335" t="s">
        <v>230</v>
      </c>
      <c r="E76" s="338">
        <v>1.08</v>
      </c>
      <c r="F76" s="347">
        <f>M74</f>
        <v>50000</v>
      </c>
      <c r="G76" s="336">
        <f>+F76*E76</f>
        <v>54000</v>
      </c>
      <c r="H76" s="219"/>
    </row>
    <row r="77" spans="1:13" x14ac:dyDescent="0.3">
      <c r="A77" s="197"/>
      <c r="B77" s="917"/>
      <c r="C77" s="918"/>
      <c r="D77" s="335"/>
      <c r="E77" s="338"/>
      <c r="F77" s="337"/>
      <c r="G77" s="336"/>
      <c r="H77" s="219"/>
    </row>
    <row r="78" spans="1:13" x14ac:dyDescent="0.3">
      <c r="A78" s="239" t="s">
        <v>41</v>
      </c>
      <c r="B78" s="200"/>
      <c r="C78" s="200"/>
      <c r="D78" s="200"/>
      <c r="E78" s="205" t="s">
        <v>42</v>
      </c>
      <c r="F78" s="205"/>
      <c r="G78" s="205"/>
      <c r="H78" s="339">
        <f>(SUM(G74:G77))</f>
        <v>442800</v>
      </c>
    </row>
    <row r="79" spans="1:13" x14ac:dyDescent="0.3">
      <c r="A79" s="203" t="s">
        <v>43</v>
      </c>
      <c r="B79" s="889" t="s">
        <v>44</v>
      </c>
      <c r="C79" s="890"/>
      <c r="D79" s="890"/>
      <c r="E79" s="890"/>
      <c r="F79" s="890"/>
      <c r="G79" s="891"/>
      <c r="H79" s="219"/>
    </row>
    <row r="80" spans="1:13" x14ac:dyDescent="0.3">
      <c r="A80" s="197"/>
      <c r="B80" s="216" t="s">
        <v>31</v>
      </c>
      <c r="C80" s="216" t="s">
        <v>255</v>
      </c>
      <c r="D80" s="216" t="s">
        <v>47</v>
      </c>
      <c r="E80" s="206" t="s">
        <v>39</v>
      </c>
      <c r="F80" s="204" t="s">
        <v>49</v>
      </c>
      <c r="G80" s="204" t="s">
        <v>35</v>
      </c>
      <c r="H80" s="219"/>
    </row>
    <row r="81" spans="1:8" x14ac:dyDescent="0.3">
      <c r="A81" s="197"/>
      <c r="B81" s="197"/>
      <c r="C81" s="340"/>
      <c r="D81" s="213"/>
      <c r="E81" s="207"/>
      <c r="F81" s="341"/>
      <c r="G81" s="342"/>
      <c r="H81" s="219"/>
    </row>
    <row r="82" spans="1:8" x14ac:dyDescent="0.3">
      <c r="A82" s="239"/>
      <c r="B82" s="200"/>
      <c r="C82" s="200"/>
      <c r="D82" s="200"/>
      <c r="E82" s="205" t="s">
        <v>50</v>
      </c>
      <c r="F82" s="205"/>
      <c r="G82" s="205"/>
      <c r="H82" s="339">
        <f>SUM(G81)</f>
        <v>0</v>
      </c>
    </row>
    <row r="83" spans="1:8" x14ac:dyDescent="0.3">
      <c r="A83" s="203" t="s">
        <v>51</v>
      </c>
      <c r="B83" s="889" t="s">
        <v>18</v>
      </c>
      <c r="C83" s="890"/>
      <c r="D83" s="890"/>
      <c r="E83" s="890"/>
      <c r="F83" s="890"/>
      <c r="G83" s="891"/>
      <c r="H83" s="219"/>
    </row>
    <row r="84" spans="1:8" x14ac:dyDescent="0.3">
      <c r="A84" s="197"/>
      <c r="B84" s="197" t="s">
        <v>31</v>
      </c>
      <c r="C84" s="216" t="s">
        <v>12</v>
      </c>
      <c r="D84" s="216" t="s">
        <v>13</v>
      </c>
      <c r="E84" s="216" t="s">
        <v>52</v>
      </c>
      <c r="F84" s="206"/>
      <c r="G84" s="204" t="s">
        <v>53</v>
      </c>
      <c r="H84" s="219"/>
    </row>
    <row r="85" spans="1:8" x14ac:dyDescent="0.3">
      <c r="A85" s="197"/>
      <c r="B85" s="197"/>
      <c r="C85" s="209"/>
      <c r="D85" s="197"/>
      <c r="E85" s="204"/>
      <c r="F85" s="204"/>
      <c r="G85" s="204"/>
      <c r="H85" s="219"/>
    </row>
    <row r="86" spans="1:8" x14ac:dyDescent="0.3">
      <c r="A86" s="239"/>
      <c r="B86" s="200"/>
      <c r="C86" s="200"/>
      <c r="D86" s="200"/>
      <c r="E86" s="205" t="s">
        <v>50</v>
      </c>
      <c r="F86" s="205"/>
      <c r="G86" s="205"/>
      <c r="H86" s="219">
        <f>SUM(G85)</f>
        <v>0</v>
      </c>
    </row>
    <row r="87" spans="1:8" x14ac:dyDescent="0.3">
      <c r="A87" s="238"/>
      <c r="B87" s="200"/>
      <c r="C87" s="200"/>
      <c r="D87" s="200"/>
      <c r="E87" s="205"/>
      <c r="F87" s="205"/>
      <c r="G87" s="205"/>
      <c r="H87" s="219"/>
    </row>
    <row r="88" spans="1:8" x14ac:dyDescent="0.3">
      <c r="A88" s="238"/>
      <c r="B88" s="200"/>
      <c r="C88" s="200"/>
      <c r="D88" s="210" t="s">
        <v>54</v>
      </c>
      <c r="E88" s="211"/>
      <c r="F88" s="211"/>
      <c r="G88" s="211"/>
      <c r="H88" s="343">
        <f>ROUND(SUM(H71:H87),0)</f>
        <v>442800</v>
      </c>
    </row>
    <row r="89" spans="1:8" x14ac:dyDescent="0.3">
      <c r="A89" s="203" t="s">
        <v>55</v>
      </c>
      <c r="B89" s="889" t="s">
        <v>56</v>
      </c>
      <c r="C89" s="890"/>
      <c r="D89" s="890"/>
      <c r="E89" s="890"/>
      <c r="F89" s="890"/>
      <c r="G89" s="891"/>
      <c r="H89" s="219"/>
    </row>
    <row r="90" spans="1:8" x14ac:dyDescent="0.3">
      <c r="A90" s="216"/>
      <c r="B90" s="216" t="s">
        <v>31</v>
      </c>
      <c r="C90" s="216" t="s">
        <v>57</v>
      </c>
      <c r="D90" s="197" t="s">
        <v>58</v>
      </c>
      <c r="E90" s="204"/>
      <c r="F90" s="204" t="s">
        <v>59</v>
      </c>
      <c r="G90" s="204"/>
      <c r="H90" s="219"/>
    </row>
    <row r="91" spans="1:8" x14ac:dyDescent="0.3">
      <c r="A91" s="197"/>
      <c r="B91" s="216" t="s">
        <v>60</v>
      </c>
      <c r="C91" s="208">
        <v>0.1</v>
      </c>
      <c r="D91" s="197"/>
      <c r="E91" s="207"/>
      <c r="F91" s="344"/>
      <c r="G91" s="345">
        <f>+H88*C91</f>
        <v>44280</v>
      </c>
      <c r="H91" s="219"/>
    </row>
    <row r="92" spans="1:8" x14ac:dyDescent="0.3">
      <c r="A92" s="197"/>
      <c r="B92" s="216" t="s">
        <v>61</v>
      </c>
      <c r="C92" s="208">
        <v>0.02</v>
      </c>
      <c r="D92" s="197"/>
      <c r="E92" s="207"/>
      <c r="F92" s="344"/>
      <c r="G92" s="345">
        <f>+H88*C92</f>
        <v>8856</v>
      </c>
      <c r="H92" s="219"/>
    </row>
    <row r="93" spans="1:8" x14ac:dyDescent="0.3">
      <c r="A93" s="238"/>
      <c r="B93" s="200"/>
      <c r="C93" s="200"/>
      <c r="D93" s="210" t="s">
        <v>63</v>
      </c>
      <c r="E93" s="211"/>
      <c r="F93" s="211"/>
      <c r="G93" s="211"/>
      <c r="H93" s="343">
        <f>SUM(G91:G92)</f>
        <v>53136</v>
      </c>
    </row>
    <row r="94" spans="1:8" x14ac:dyDescent="0.3">
      <c r="A94" s="238"/>
      <c r="B94" s="200"/>
      <c r="C94" s="200"/>
      <c r="D94" s="200"/>
      <c r="E94" s="205"/>
      <c r="F94" s="205"/>
      <c r="G94" s="205"/>
      <c r="H94" s="343"/>
    </row>
    <row r="95" spans="1:8" x14ac:dyDescent="0.3">
      <c r="A95" s="238"/>
      <c r="B95" s="200"/>
      <c r="C95" s="200"/>
      <c r="D95" s="210" t="s">
        <v>64</v>
      </c>
      <c r="E95" s="211"/>
      <c r="F95" s="211"/>
      <c r="G95" s="205"/>
      <c r="H95" s="343">
        <f>ROUND((H88+H93),0)</f>
        <v>495936</v>
      </c>
    </row>
    <row r="96" spans="1:8" x14ac:dyDescent="0.3">
      <c r="A96" s="238"/>
      <c r="B96" s="200"/>
      <c r="C96" s="200"/>
    </row>
    <row r="97" spans="1:8" x14ac:dyDescent="0.3">
      <c r="A97" s="238"/>
      <c r="B97" s="200"/>
      <c r="C97" s="200"/>
    </row>
    <row r="98" spans="1:8" x14ac:dyDescent="0.3">
      <c r="A98" s="238"/>
      <c r="B98" s="200"/>
      <c r="C98" s="200"/>
    </row>
    <row r="99" spans="1:8" x14ac:dyDescent="0.3">
      <c r="A99" s="348"/>
      <c r="B99" s="202"/>
      <c r="C99" s="200"/>
    </row>
    <row r="100" spans="1:8" x14ac:dyDescent="0.3">
      <c r="A100" s="211" t="str">
        <f>Presupuesto!A34</f>
        <v>ARQ. GUILLERMO YAMID VALLEJOS BENAVIDES</v>
      </c>
      <c r="B100" s="212"/>
      <c r="C100" s="200"/>
    </row>
    <row r="101" spans="1:8" x14ac:dyDescent="0.3">
      <c r="A101" s="211" t="str">
        <f>Presupuesto!A35</f>
        <v>SECRETARIO DE PLANEACION Y OBRAS PUBLICAS</v>
      </c>
      <c r="B101" s="212"/>
      <c r="C101" s="200"/>
    </row>
    <row r="102" spans="1:8" x14ac:dyDescent="0.3">
      <c r="A102" s="211" t="str">
        <f>Presupuesto!A36</f>
        <v>SAN MIGUEL - PUTUMAYO</v>
      </c>
      <c r="B102" s="240"/>
      <c r="C102" s="202"/>
    </row>
    <row r="103" spans="1:8" ht="15" x14ac:dyDescent="0.25">
      <c r="A103" s="892"/>
      <c r="B103" s="894" t="s">
        <v>192</v>
      </c>
      <c r="C103" s="895"/>
      <c r="D103" s="896"/>
      <c r="E103" s="902" t="s">
        <v>193</v>
      </c>
      <c r="F103" s="904"/>
      <c r="G103" s="322">
        <v>103</v>
      </c>
      <c r="H103" s="901"/>
    </row>
    <row r="104" spans="1:8" ht="15" x14ac:dyDescent="0.25">
      <c r="A104" s="893"/>
      <c r="B104" s="897"/>
      <c r="C104" s="898"/>
      <c r="D104" s="899"/>
      <c r="E104" s="925" t="s">
        <v>194</v>
      </c>
      <c r="F104" s="926"/>
      <c r="G104" s="901">
        <v>51</v>
      </c>
      <c r="H104" s="930"/>
    </row>
    <row r="105" spans="1:8" ht="15" x14ac:dyDescent="0.25">
      <c r="A105" s="893"/>
      <c r="B105" s="902" t="s">
        <v>195</v>
      </c>
      <c r="C105" s="903"/>
      <c r="D105" s="904"/>
      <c r="E105" s="927"/>
      <c r="F105" s="928"/>
      <c r="G105" s="929"/>
      <c r="H105" s="930"/>
    </row>
    <row r="106" spans="1:8" ht="15" x14ac:dyDescent="0.25">
      <c r="A106" s="893"/>
      <c r="B106" s="905" t="s">
        <v>196</v>
      </c>
      <c r="C106" s="906"/>
      <c r="D106" s="907"/>
      <c r="E106" s="902" t="s">
        <v>197</v>
      </c>
      <c r="F106" s="904"/>
      <c r="G106" s="322">
        <v>1</v>
      </c>
      <c r="H106" s="930"/>
    </row>
    <row r="107" spans="1:8" ht="15" x14ac:dyDescent="0.25">
      <c r="A107" s="893"/>
      <c r="B107" s="908" t="s">
        <v>198</v>
      </c>
      <c r="C107" s="909"/>
      <c r="D107" s="910"/>
      <c r="E107" s="925" t="s">
        <v>199</v>
      </c>
      <c r="F107" s="926"/>
      <c r="G107" s="322" t="s">
        <v>200</v>
      </c>
      <c r="H107" s="930"/>
    </row>
    <row r="108" spans="1:8" ht="15" x14ac:dyDescent="0.25">
      <c r="A108" s="914"/>
      <c r="B108" s="854"/>
      <c r="C108" s="919"/>
      <c r="D108" s="855"/>
      <c r="E108" s="927"/>
      <c r="F108" s="928"/>
      <c r="G108" s="323">
        <v>44216</v>
      </c>
      <c r="H108" s="929"/>
    </row>
    <row r="109" spans="1:8" x14ac:dyDescent="0.25">
      <c r="A109" s="349"/>
      <c r="B109" s="350"/>
      <c r="C109" s="351"/>
      <c r="D109" s="351"/>
      <c r="E109" s="351"/>
      <c r="F109" s="351"/>
      <c r="G109" s="352"/>
      <c r="H109" s="353"/>
    </row>
    <row r="110" spans="1:8" s="324" customFormat="1" ht="16.5" customHeight="1" x14ac:dyDescent="0.3">
      <c r="A110" s="920" t="str">
        <f>Presupuesto!A8</f>
        <v>ADECUACION DE LA INFRAESTRUCTURA DE LA PLANTA DE BENEFICIO ANIMAL MEDIANTE EL MEJORAMIENTO DE CUBIERTA EN EL MUNICIPIO DE SAN MIGUEL PUTUMAYO</v>
      </c>
      <c r="B110" s="921"/>
      <c r="C110" s="921"/>
      <c r="D110" s="921"/>
      <c r="E110" s="921"/>
      <c r="F110" s="921"/>
      <c r="G110" s="921"/>
      <c r="H110" s="922"/>
    </row>
    <row r="111" spans="1:8" s="324" customFormat="1" x14ac:dyDescent="0.3">
      <c r="A111" s="920"/>
      <c r="B111" s="921"/>
      <c r="C111" s="921"/>
      <c r="D111" s="921"/>
      <c r="E111" s="921"/>
      <c r="F111" s="921"/>
      <c r="G111" s="921"/>
      <c r="H111" s="922"/>
    </row>
    <row r="112" spans="1:8" s="324" customFormat="1" x14ac:dyDescent="0.3">
      <c r="A112" s="920"/>
      <c r="B112" s="921"/>
      <c r="C112" s="921"/>
      <c r="D112" s="921"/>
      <c r="E112" s="921"/>
      <c r="F112" s="921"/>
      <c r="G112" s="921"/>
      <c r="H112" s="922"/>
    </row>
    <row r="113" spans="1:13" s="324" customFormat="1" x14ac:dyDescent="0.3">
      <c r="A113" s="325"/>
      <c r="B113" s="326"/>
      <c r="C113" s="326"/>
      <c r="D113" s="326"/>
      <c r="E113" s="326"/>
      <c r="F113" s="326"/>
      <c r="G113" s="326"/>
      <c r="H113" s="327"/>
    </row>
    <row r="114" spans="1:13" s="324" customFormat="1" x14ac:dyDescent="0.3">
      <c r="A114" s="883" t="s">
        <v>26</v>
      </c>
      <c r="B114" s="884"/>
      <c r="C114" s="884"/>
      <c r="D114" s="884"/>
      <c r="E114" s="884"/>
      <c r="F114" s="884"/>
      <c r="G114" s="884"/>
      <c r="H114" s="885"/>
    </row>
    <row r="115" spans="1:13" s="324" customFormat="1" x14ac:dyDescent="0.3">
      <c r="A115" s="238"/>
      <c r="B115" s="200"/>
      <c r="C115" s="200"/>
      <c r="D115" s="200"/>
      <c r="E115" s="200"/>
      <c r="F115" s="205"/>
      <c r="G115" s="200"/>
      <c r="H115" s="235"/>
    </row>
    <row r="116" spans="1:13" s="324" customFormat="1" x14ac:dyDescent="0.3">
      <c r="A116" s="390" t="s">
        <v>258</v>
      </c>
      <c r="B116" s="886" t="s">
        <v>259</v>
      </c>
      <c r="C116" s="887"/>
      <c r="D116" s="887"/>
      <c r="E116" s="887"/>
      <c r="F116" s="888"/>
      <c r="G116" s="391" t="s">
        <v>28</v>
      </c>
      <c r="H116" s="390" t="s">
        <v>230</v>
      </c>
    </row>
    <row r="117" spans="1:13" s="324" customFormat="1" x14ac:dyDescent="0.3">
      <c r="A117" s="238"/>
      <c r="B117" s="200"/>
      <c r="C117" s="200"/>
      <c r="D117" s="200"/>
      <c r="E117" s="200"/>
      <c r="F117" s="205"/>
      <c r="G117" s="200"/>
      <c r="H117" s="235"/>
    </row>
    <row r="118" spans="1:13" s="324" customFormat="1" ht="17.25" thickBot="1" x14ac:dyDescent="0.35">
      <c r="A118" s="328" t="s">
        <v>29</v>
      </c>
      <c r="B118" s="889" t="s">
        <v>246</v>
      </c>
      <c r="C118" s="890"/>
      <c r="D118" s="890"/>
      <c r="E118" s="890"/>
      <c r="F118" s="890"/>
      <c r="G118" s="891"/>
      <c r="H118" s="235"/>
    </row>
    <row r="119" spans="1:13" s="324" customFormat="1" ht="17.25" thickBot="1" x14ac:dyDescent="0.35">
      <c r="A119" s="216"/>
      <c r="B119" s="867" t="s">
        <v>31</v>
      </c>
      <c r="C119" s="868"/>
      <c r="D119" s="216" t="s">
        <v>12</v>
      </c>
      <c r="E119" s="216" t="s">
        <v>33</v>
      </c>
      <c r="F119" s="206" t="s">
        <v>34</v>
      </c>
      <c r="G119" s="216" t="s">
        <v>35</v>
      </c>
      <c r="H119" s="235"/>
      <c r="I119" s="864" t="s">
        <v>273</v>
      </c>
      <c r="J119" s="865"/>
      <c r="K119" s="865"/>
      <c r="L119" s="865"/>
      <c r="M119" s="866"/>
    </row>
    <row r="120" spans="1:13" s="324" customFormat="1" x14ac:dyDescent="0.3">
      <c r="A120" s="216"/>
      <c r="B120" s="799" t="s">
        <v>247</v>
      </c>
      <c r="C120" s="800"/>
      <c r="D120" s="330" t="s">
        <v>248</v>
      </c>
      <c r="E120" s="331">
        <f>M120</f>
        <v>15000</v>
      </c>
      <c r="F120" s="331">
        <v>3.5</v>
      </c>
      <c r="G120" s="331">
        <f>E120*F120</f>
        <v>52500</v>
      </c>
      <c r="H120" s="235"/>
      <c r="I120" s="388" t="s">
        <v>269</v>
      </c>
      <c r="J120" s="324" t="s">
        <v>270</v>
      </c>
      <c r="L120" s="386">
        <v>120000</v>
      </c>
      <c r="M120" s="386">
        <f>L120/8</f>
        <v>15000</v>
      </c>
    </row>
    <row r="121" spans="1:13" s="324" customFormat="1" x14ac:dyDescent="0.3">
      <c r="A121" s="197"/>
      <c r="B121" s="799" t="s">
        <v>249</v>
      </c>
      <c r="C121" s="800"/>
      <c r="D121" s="332" t="s">
        <v>248</v>
      </c>
      <c r="E121" s="333">
        <f>M121</f>
        <v>12500</v>
      </c>
      <c r="F121" s="333">
        <v>3.5</v>
      </c>
      <c r="G121" s="333">
        <f>E121*F121</f>
        <v>43750</v>
      </c>
      <c r="H121" s="236"/>
      <c r="I121" s="388" t="s">
        <v>271</v>
      </c>
      <c r="J121" s="324" t="s">
        <v>272</v>
      </c>
      <c r="L121" s="386">
        <v>100000</v>
      </c>
      <c r="M121" s="386">
        <f>L121/8</f>
        <v>12500</v>
      </c>
    </row>
    <row r="122" spans="1:13" s="324" customFormat="1" x14ac:dyDescent="0.3">
      <c r="A122" s="239"/>
      <c r="B122" s="200"/>
      <c r="C122" s="200"/>
      <c r="D122" s="200"/>
      <c r="E122" s="205" t="s">
        <v>36</v>
      </c>
      <c r="F122" s="205"/>
      <c r="G122" s="205"/>
      <c r="H122" s="334">
        <f>ROUND(SUM(G120:G121),0)</f>
        <v>96250</v>
      </c>
    </row>
    <row r="123" spans="1:13" s="324" customFormat="1" ht="17.25" thickBot="1" x14ac:dyDescent="0.35">
      <c r="A123" s="203" t="s">
        <v>37</v>
      </c>
      <c r="B123" s="889" t="s">
        <v>38</v>
      </c>
      <c r="C123" s="890"/>
      <c r="D123" s="890"/>
      <c r="E123" s="890"/>
      <c r="F123" s="890"/>
      <c r="G123" s="891"/>
      <c r="H123" s="219"/>
    </row>
    <row r="124" spans="1:13" s="324" customFormat="1" ht="17.25" thickBot="1" x14ac:dyDescent="0.35">
      <c r="A124" s="216"/>
      <c r="B124" s="867" t="s">
        <v>31</v>
      </c>
      <c r="C124" s="868"/>
      <c r="D124" s="197" t="s">
        <v>12</v>
      </c>
      <c r="E124" s="206" t="s">
        <v>39</v>
      </c>
      <c r="F124" s="206" t="s">
        <v>40</v>
      </c>
      <c r="G124" s="206" t="s">
        <v>35</v>
      </c>
      <c r="H124" s="219"/>
      <c r="I124" s="864" t="s">
        <v>266</v>
      </c>
      <c r="J124" s="865"/>
      <c r="K124" s="865"/>
      <c r="L124" s="865"/>
      <c r="M124" s="866"/>
    </row>
    <row r="125" spans="1:13" s="324" customFormat="1" x14ac:dyDescent="0.3">
      <c r="A125" s="197"/>
      <c r="B125" s="917" t="s">
        <v>250</v>
      </c>
      <c r="C125" s="918"/>
      <c r="D125" s="335" t="s">
        <v>240</v>
      </c>
      <c r="E125" s="336">
        <v>300</v>
      </c>
      <c r="F125" s="337">
        <f>M125</f>
        <v>760</v>
      </c>
      <c r="G125" s="336">
        <f>+F125*E125</f>
        <v>228000</v>
      </c>
      <c r="H125" s="219"/>
      <c r="I125" s="388" t="s">
        <v>265</v>
      </c>
      <c r="J125" s="324" t="s">
        <v>267</v>
      </c>
      <c r="L125" s="386">
        <v>38000</v>
      </c>
      <c r="M125" s="386">
        <f>L125/50</f>
        <v>760</v>
      </c>
    </row>
    <row r="126" spans="1:13" s="324" customFormat="1" x14ac:dyDescent="0.3">
      <c r="A126" s="197"/>
      <c r="B126" s="917" t="s">
        <v>251</v>
      </c>
      <c r="C126" s="918"/>
      <c r="D126" s="335" t="s">
        <v>252</v>
      </c>
      <c r="E126" s="336">
        <v>210</v>
      </c>
      <c r="F126" s="337">
        <v>180</v>
      </c>
      <c r="G126" s="336">
        <f>+F126*E126</f>
        <v>37800</v>
      </c>
      <c r="H126" s="219"/>
      <c r="I126" s="388" t="s">
        <v>264</v>
      </c>
      <c r="J126" s="324" t="s">
        <v>268</v>
      </c>
      <c r="L126" s="386">
        <v>300000</v>
      </c>
      <c r="M126" s="387">
        <f>L126/6</f>
        <v>50000</v>
      </c>
    </row>
    <row r="127" spans="1:13" s="324" customFormat="1" x14ac:dyDescent="0.3">
      <c r="A127" s="197"/>
      <c r="B127" s="917" t="s">
        <v>253</v>
      </c>
      <c r="C127" s="918"/>
      <c r="D127" s="335" t="s">
        <v>230</v>
      </c>
      <c r="E127" s="338">
        <v>0.48</v>
      </c>
      <c r="F127" s="337">
        <f>M126</f>
        <v>50000</v>
      </c>
      <c r="G127" s="336">
        <f>+F127*E127</f>
        <v>24000</v>
      </c>
      <c r="H127" s="219"/>
      <c r="I127" s="388" t="s">
        <v>254</v>
      </c>
      <c r="J127" s="324" t="s">
        <v>268</v>
      </c>
      <c r="L127" s="386">
        <v>1500000</v>
      </c>
      <c r="M127" s="386">
        <f>L127/6</f>
        <v>250000</v>
      </c>
    </row>
    <row r="128" spans="1:13" s="324" customFormat="1" x14ac:dyDescent="0.3">
      <c r="A128" s="197"/>
      <c r="B128" s="917" t="s">
        <v>254</v>
      </c>
      <c r="C128" s="918"/>
      <c r="D128" s="335" t="s">
        <v>230</v>
      </c>
      <c r="E128" s="338">
        <v>0.96</v>
      </c>
      <c r="F128" s="337">
        <f>M127</f>
        <v>250000</v>
      </c>
      <c r="G128" s="336">
        <f>+F128*E128</f>
        <v>240000</v>
      </c>
      <c r="H128" s="219"/>
    </row>
    <row r="129" spans="1:8" s="324" customFormat="1" x14ac:dyDescent="0.3">
      <c r="A129" s="239" t="s">
        <v>41</v>
      </c>
      <c r="B129" s="200"/>
      <c r="C129" s="200"/>
      <c r="D129" s="200"/>
      <c r="E129" s="205" t="s">
        <v>42</v>
      </c>
      <c r="F129" s="205"/>
      <c r="G129" s="205"/>
      <c r="H129" s="339">
        <f>(SUM(G125:G128))</f>
        <v>529800</v>
      </c>
    </row>
    <row r="130" spans="1:8" s="324" customFormat="1" x14ac:dyDescent="0.3">
      <c r="A130" s="203" t="s">
        <v>43</v>
      </c>
      <c r="B130" s="889" t="s">
        <v>44</v>
      </c>
      <c r="C130" s="890"/>
      <c r="D130" s="890"/>
      <c r="E130" s="890"/>
      <c r="F130" s="890"/>
      <c r="G130" s="891"/>
      <c r="H130" s="219"/>
    </row>
    <row r="131" spans="1:8" s="324" customFormat="1" x14ac:dyDescent="0.3">
      <c r="A131" s="197"/>
      <c r="B131" s="216" t="s">
        <v>31</v>
      </c>
      <c r="C131" s="216" t="s">
        <v>255</v>
      </c>
      <c r="D131" s="216" t="s">
        <v>47</v>
      </c>
      <c r="E131" s="206" t="s">
        <v>39</v>
      </c>
      <c r="F131" s="204" t="s">
        <v>49</v>
      </c>
      <c r="G131" s="204" t="s">
        <v>35</v>
      </c>
      <c r="H131" s="219"/>
    </row>
    <row r="132" spans="1:8" s="324" customFormat="1" x14ac:dyDescent="0.3">
      <c r="A132" s="197"/>
      <c r="B132" s="197"/>
      <c r="C132" s="340"/>
      <c r="D132" s="213"/>
      <c r="E132" s="207"/>
      <c r="F132" s="341"/>
      <c r="G132" s="342"/>
      <c r="H132" s="219"/>
    </row>
    <row r="133" spans="1:8" s="324" customFormat="1" x14ac:dyDescent="0.3">
      <c r="A133" s="239"/>
      <c r="B133" s="200"/>
      <c r="C133" s="200"/>
      <c r="D133" s="200"/>
      <c r="E133" s="205" t="s">
        <v>50</v>
      </c>
      <c r="F133" s="205"/>
      <c r="G133" s="205"/>
      <c r="H133" s="339">
        <f>SUM(G132)</f>
        <v>0</v>
      </c>
    </row>
    <row r="134" spans="1:8" s="324" customFormat="1" x14ac:dyDescent="0.3">
      <c r="A134" s="203" t="s">
        <v>51</v>
      </c>
      <c r="B134" s="889" t="s">
        <v>18</v>
      </c>
      <c r="C134" s="890"/>
      <c r="D134" s="890"/>
      <c r="E134" s="890"/>
      <c r="F134" s="890"/>
      <c r="G134" s="891"/>
      <c r="H134" s="219"/>
    </row>
    <row r="135" spans="1:8" s="324" customFormat="1" x14ac:dyDescent="0.3">
      <c r="A135" s="197"/>
      <c r="B135" s="197" t="s">
        <v>31</v>
      </c>
      <c r="C135" s="216" t="s">
        <v>12</v>
      </c>
      <c r="D135" s="216" t="s">
        <v>13</v>
      </c>
      <c r="E135" s="216" t="s">
        <v>52</v>
      </c>
      <c r="F135" s="206"/>
      <c r="G135" s="204" t="s">
        <v>53</v>
      </c>
      <c r="H135" s="219"/>
    </row>
    <row r="136" spans="1:8" s="324" customFormat="1" x14ac:dyDescent="0.3">
      <c r="A136" s="197"/>
      <c r="B136" s="197"/>
      <c r="C136" s="209"/>
      <c r="D136" s="197"/>
      <c r="E136" s="204"/>
      <c r="F136" s="204"/>
      <c r="G136" s="204"/>
      <c r="H136" s="219"/>
    </row>
    <row r="137" spans="1:8" s="324" customFormat="1" x14ac:dyDescent="0.3">
      <c r="A137" s="239"/>
      <c r="B137" s="200"/>
      <c r="C137" s="200"/>
      <c r="D137" s="200"/>
      <c r="E137" s="205" t="s">
        <v>50</v>
      </c>
      <c r="F137" s="205"/>
      <c r="G137" s="205"/>
      <c r="H137" s="219">
        <f>SUM(G136)</f>
        <v>0</v>
      </c>
    </row>
    <row r="138" spans="1:8" s="324" customFormat="1" x14ac:dyDescent="0.3">
      <c r="A138" s="238"/>
      <c r="B138" s="200"/>
      <c r="C138" s="200"/>
      <c r="D138" s="200"/>
      <c r="E138" s="205"/>
      <c r="F138" s="205"/>
      <c r="G138" s="205"/>
      <c r="H138" s="219"/>
    </row>
    <row r="139" spans="1:8" s="324" customFormat="1" x14ac:dyDescent="0.3">
      <c r="A139" s="238"/>
      <c r="B139" s="200"/>
      <c r="C139" s="200"/>
      <c r="D139" s="210" t="s">
        <v>54</v>
      </c>
      <c r="E139" s="211"/>
      <c r="F139" s="211"/>
      <c r="G139" s="211"/>
      <c r="H139" s="343">
        <f>ROUND(SUM(H122:H138),0)</f>
        <v>626050</v>
      </c>
    </row>
    <row r="140" spans="1:8" s="324" customFormat="1" x14ac:dyDescent="0.3">
      <c r="A140" s="203" t="s">
        <v>55</v>
      </c>
      <c r="B140" s="889" t="s">
        <v>56</v>
      </c>
      <c r="C140" s="890"/>
      <c r="D140" s="890"/>
      <c r="E140" s="890"/>
      <c r="F140" s="890"/>
      <c r="G140" s="891"/>
      <c r="H140" s="219"/>
    </row>
    <row r="141" spans="1:8" s="324" customFormat="1" x14ac:dyDescent="0.3">
      <c r="A141" s="216"/>
      <c r="B141" s="216" t="s">
        <v>31</v>
      </c>
      <c r="C141" s="216" t="s">
        <v>57</v>
      </c>
      <c r="D141" s="197" t="s">
        <v>58</v>
      </c>
      <c r="E141" s="204"/>
      <c r="F141" s="204" t="s">
        <v>59</v>
      </c>
      <c r="G141" s="204"/>
      <c r="H141" s="219"/>
    </row>
    <row r="142" spans="1:8" s="324" customFormat="1" x14ac:dyDescent="0.3">
      <c r="A142" s="197"/>
      <c r="B142" s="216" t="s">
        <v>60</v>
      </c>
      <c r="C142" s="208">
        <v>0.1</v>
      </c>
      <c r="D142" s="197"/>
      <c r="E142" s="207"/>
      <c r="F142" s="344"/>
      <c r="G142" s="345">
        <f>+H139*C142</f>
        <v>62605</v>
      </c>
      <c r="H142" s="219"/>
    </row>
    <row r="143" spans="1:8" s="324" customFormat="1" x14ac:dyDescent="0.3">
      <c r="A143" s="197"/>
      <c r="B143" s="216" t="s">
        <v>61</v>
      </c>
      <c r="C143" s="208">
        <v>0.02</v>
      </c>
      <c r="D143" s="197"/>
      <c r="E143" s="207"/>
      <c r="F143" s="344"/>
      <c r="G143" s="345">
        <f>+H139*C143</f>
        <v>12521</v>
      </c>
      <c r="H143" s="219"/>
    </row>
    <row r="144" spans="1:8" s="324" customFormat="1" x14ac:dyDescent="0.3">
      <c r="A144" s="238"/>
      <c r="B144" s="200"/>
      <c r="C144" s="200"/>
      <c r="D144" s="210" t="s">
        <v>63</v>
      </c>
      <c r="E144" s="211"/>
      <c r="F144" s="211"/>
      <c r="G144" s="211"/>
      <c r="H144" s="343">
        <f>SUM(G142:G143)</f>
        <v>75126</v>
      </c>
    </row>
    <row r="145" spans="1:8" s="324" customFormat="1" x14ac:dyDescent="0.3">
      <c r="A145" s="238"/>
      <c r="B145" s="200"/>
      <c r="C145" s="200"/>
      <c r="D145" s="200"/>
      <c r="E145" s="205"/>
      <c r="F145" s="205"/>
      <c r="G145" s="205"/>
      <c r="H145" s="343"/>
    </row>
    <row r="146" spans="1:8" s="324" customFormat="1" x14ac:dyDescent="0.3">
      <c r="A146" s="238"/>
      <c r="B146" s="200"/>
      <c r="C146" s="200"/>
      <c r="D146" s="210" t="s">
        <v>64</v>
      </c>
      <c r="E146" s="211"/>
      <c r="F146" s="211"/>
      <c r="G146" s="205"/>
      <c r="H146" s="343">
        <f>ROUND((H139+H144),0)</f>
        <v>701176</v>
      </c>
    </row>
    <row r="147" spans="1:8" s="324" customFormat="1" x14ac:dyDescent="0.3">
      <c r="A147" s="238"/>
      <c r="B147" s="200"/>
      <c r="C147" s="200"/>
      <c r="D147" s="210"/>
      <c r="E147" s="211"/>
      <c r="F147" s="211"/>
      <c r="G147" s="205"/>
      <c r="H147" s="343"/>
    </row>
    <row r="148" spans="1:8" s="324" customFormat="1" x14ac:dyDescent="0.3">
      <c r="A148" s="238"/>
      <c r="B148" s="200"/>
      <c r="C148" s="200"/>
      <c r="D148" s="210"/>
      <c r="E148" s="211"/>
      <c r="F148" s="211"/>
      <c r="G148" s="205"/>
      <c r="H148" s="354"/>
    </row>
    <row r="149" spans="1:8" s="324" customFormat="1" x14ac:dyDescent="0.3">
      <c r="A149" s="238"/>
      <c r="B149" s="200"/>
      <c r="C149" s="200"/>
      <c r="D149" s="210"/>
      <c r="E149" s="211"/>
      <c r="F149" s="211"/>
      <c r="G149" s="205"/>
      <c r="H149" s="354"/>
    </row>
    <row r="150" spans="1:8" s="324" customFormat="1" x14ac:dyDescent="0.3">
      <c r="A150" s="238"/>
      <c r="B150" s="200"/>
      <c r="C150" s="200"/>
      <c r="D150" s="210"/>
      <c r="E150" s="211"/>
      <c r="F150" s="211"/>
      <c r="G150" s="205"/>
      <c r="H150" s="214"/>
    </row>
    <row r="151" spans="1:8" s="324" customFormat="1" x14ac:dyDescent="0.3">
      <c r="A151" s="346" t="str">
        <f>Presupuesto!A34</f>
        <v>ARQ. GUILLERMO YAMID VALLEJOS BENAVIDES</v>
      </c>
      <c r="B151" s="355"/>
      <c r="C151" s="200"/>
      <c r="D151" s="210"/>
      <c r="F151" s="205"/>
      <c r="G151" s="205"/>
      <c r="H151" s="214"/>
    </row>
    <row r="152" spans="1:8" s="324" customFormat="1" x14ac:dyDescent="0.3">
      <c r="A152" s="346" t="str">
        <f>Presupuesto!A35</f>
        <v>SECRETARIO DE PLANEACION Y OBRAS PUBLICAS</v>
      </c>
      <c r="B152" s="212"/>
      <c r="C152" s="200"/>
      <c r="D152" s="200"/>
      <c r="F152" s="205"/>
      <c r="G152" s="205"/>
      <c r="H152" s="219"/>
    </row>
    <row r="153" spans="1:8" s="324" customFormat="1" x14ac:dyDescent="0.3">
      <c r="A153" s="346" t="str">
        <f>Presupuesto!A36</f>
        <v>SAN MIGUEL - PUTUMAYO</v>
      </c>
      <c r="B153" s="240"/>
      <c r="C153" s="202"/>
      <c r="D153" s="202"/>
      <c r="F153" s="201"/>
      <c r="G153" s="201"/>
      <c r="H153" s="237"/>
    </row>
  </sheetData>
  <mergeCells count="88">
    <mergeCell ref="B140:G140"/>
    <mergeCell ref="I18:M18"/>
    <mergeCell ref="I68:M68"/>
    <mergeCell ref="I119:M119"/>
    <mergeCell ref="B125:C125"/>
    <mergeCell ref="B126:C126"/>
    <mergeCell ref="B127:C127"/>
    <mergeCell ref="B128:C128"/>
    <mergeCell ref="B130:G130"/>
    <mergeCell ref="B134:G134"/>
    <mergeCell ref="B119:C119"/>
    <mergeCell ref="B120:C120"/>
    <mergeCell ref="B121:C121"/>
    <mergeCell ref="B123:G123"/>
    <mergeCell ref="B124:C124"/>
    <mergeCell ref="I124:M124"/>
    <mergeCell ref="B118:G118"/>
    <mergeCell ref="B89:G89"/>
    <mergeCell ref="A103:A108"/>
    <mergeCell ref="B103:D104"/>
    <mergeCell ref="E103:F103"/>
    <mergeCell ref="E104:F105"/>
    <mergeCell ref="G104:G105"/>
    <mergeCell ref="B105:D105"/>
    <mergeCell ref="B106:D106"/>
    <mergeCell ref="E106:F106"/>
    <mergeCell ref="B107:D108"/>
    <mergeCell ref="E107:F108"/>
    <mergeCell ref="A110:H112"/>
    <mergeCell ref="A114:H114"/>
    <mergeCell ref="B116:F116"/>
    <mergeCell ref="H103:H108"/>
    <mergeCell ref="B83:G83"/>
    <mergeCell ref="B68:C68"/>
    <mergeCell ref="B69:C69"/>
    <mergeCell ref="B70:C70"/>
    <mergeCell ref="B72:G72"/>
    <mergeCell ref="B74:C74"/>
    <mergeCell ref="B75:C75"/>
    <mergeCell ref="B76:C76"/>
    <mergeCell ref="B77:C77"/>
    <mergeCell ref="B79:G79"/>
    <mergeCell ref="I72:M72"/>
    <mergeCell ref="B73:C73"/>
    <mergeCell ref="B57:D58"/>
    <mergeCell ref="E57:F58"/>
    <mergeCell ref="A59:H61"/>
    <mergeCell ref="A63:H63"/>
    <mergeCell ref="B65:F65"/>
    <mergeCell ref="B67:G67"/>
    <mergeCell ref="H53:H58"/>
    <mergeCell ref="E54:F55"/>
    <mergeCell ref="G54:G55"/>
    <mergeCell ref="B55:D55"/>
    <mergeCell ref="B56:D56"/>
    <mergeCell ref="E56:F56"/>
    <mergeCell ref="E4:F4"/>
    <mergeCell ref="B5:D6"/>
    <mergeCell ref="B39:G39"/>
    <mergeCell ref="A53:A58"/>
    <mergeCell ref="B53:D54"/>
    <mergeCell ref="E53:F53"/>
    <mergeCell ref="B33:G33"/>
    <mergeCell ref="B18:C18"/>
    <mergeCell ref="B19:C19"/>
    <mergeCell ref="B20:C20"/>
    <mergeCell ref="B22:G22"/>
    <mergeCell ref="B24:C24"/>
    <mergeCell ref="B25:C25"/>
    <mergeCell ref="B26:C26"/>
    <mergeCell ref="B27:C27"/>
    <mergeCell ref="B29:G29"/>
    <mergeCell ref="I22:M22"/>
    <mergeCell ref="B23:C23"/>
    <mergeCell ref="E5:F6"/>
    <mergeCell ref="A7:H10"/>
    <mergeCell ref="A12:H12"/>
    <mergeCell ref="A13:H13"/>
    <mergeCell ref="B15:F15"/>
    <mergeCell ref="B17:G17"/>
    <mergeCell ref="A1:A6"/>
    <mergeCell ref="B1:D2"/>
    <mergeCell ref="E1:F1"/>
    <mergeCell ref="H1:H6"/>
    <mergeCell ref="E2:F3"/>
    <mergeCell ref="G2:G3"/>
    <mergeCell ref="B3:D3"/>
    <mergeCell ref="B4:D4"/>
  </mergeCells>
  <pageMargins left="0.7" right="0.7" top="0.75" bottom="0.75" header="0.3" footer="0.3"/>
  <pageSetup scale="74" orientation="portrait" horizontalDpi="360" verticalDpi="360" r:id="rId1"/>
  <rowBreaks count="2" manualBreakCount="2">
    <brk id="52" max="16383" man="1"/>
    <brk id="10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10</vt:i4>
      </vt:variant>
    </vt:vector>
  </HeadingPairs>
  <TitlesOfParts>
    <vt:vector size="20" baseType="lpstr">
      <vt:lpstr>BASICO</vt:lpstr>
      <vt:lpstr>MEMORIA DE CANTIDADES DE OBRA </vt:lpstr>
      <vt:lpstr>APU</vt:lpstr>
      <vt:lpstr>CRONOGRAMA</vt:lpstr>
      <vt:lpstr>Memoria de Cantidades</vt:lpstr>
      <vt:lpstr>Presupuesto</vt:lpstr>
      <vt:lpstr>DESGLOSE AIU</vt:lpstr>
      <vt:lpstr>F.M </vt:lpstr>
      <vt:lpstr>CRONOGRAMA--</vt:lpstr>
      <vt:lpstr>BASICOS URBANOS</vt:lpstr>
      <vt:lpstr>APU!Área_de_impresión</vt:lpstr>
      <vt:lpstr>BASICO!Área_de_impresión</vt:lpstr>
      <vt:lpstr>'BASICOS URBANOS'!Área_de_impresión</vt:lpstr>
      <vt:lpstr>CRONOGRAMA!Área_de_impresión</vt:lpstr>
      <vt:lpstr>'CRONOGRAMA--'!Área_de_impresión</vt:lpstr>
      <vt:lpstr>'DESGLOSE AIU'!Área_de_impresión</vt:lpstr>
      <vt:lpstr>'F.M '!Área_de_impresión</vt:lpstr>
      <vt:lpstr>'Memoria de Cantidades'!Área_de_impresión</vt:lpstr>
      <vt:lpstr>'MEMORIA DE CANTIDADES DE OBRA '!Área_de_impresión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ELEAZAR MASAH MORA ALDANA</cp:lastModifiedBy>
  <cp:lastPrinted>2025-11-28T22:13:05Z</cp:lastPrinted>
  <dcterms:created xsi:type="dcterms:W3CDTF">2018-08-13T21:50:36Z</dcterms:created>
  <dcterms:modified xsi:type="dcterms:W3CDTF">2025-11-28T22:14:23Z</dcterms:modified>
</cp:coreProperties>
</file>