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0"/>
  <workbookPr defaultThemeVersion="124226"/>
  <mc:AlternateContent xmlns:mc="http://schemas.openxmlformats.org/markup-compatibility/2006">
    <mc:Choice Requires="x15">
      <x15ac:absPath xmlns:x15ac="http://schemas.microsoft.com/office/spreadsheetml/2010/11/ac" url="/Users/juancamilolopez/Desktop/USAQUEN/2025/Evaluaciones/VIAS/INTER/"/>
    </mc:Choice>
  </mc:AlternateContent>
  <xr:revisionPtr revIDLastSave="0" documentId="13_ncr:1_{48BA3230-88F3-854B-A823-E857994E0586}" xr6:coauthVersionLast="47" xr6:coauthVersionMax="47" xr10:uidLastSave="{00000000-0000-0000-0000-000000000000}"/>
  <bookViews>
    <workbookView xWindow="0" yWindow="0" windowWidth="28800" windowHeight="18000" tabRatio="855" activeTab="1" xr2:uid="{00000000-000D-0000-FFFF-FFFF00000000}"/>
  </bookViews>
  <sheets>
    <sheet name="CONSOLIDADO" sheetId="16" r:id="rId1"/>
    <sheet name="PONDERACION" sheetId="22" r:id="rId2"/>
    <sheet name="PUNTAJE EXP" sheetId="95" state="hidden" r:id="rId3"/>
    <sheet name="PROPONENTES" sheetId="18" r:id="rId4"/>
    <sheet name="1" sheetId="8" r:id="rId5"/>
    <sheet name="K RESIDUAL DOCUMENTOS" sheetId="20" state="hidden" r:id="rId6"/>
    <sheet name="K RESIDUAL CALCULO" sheetId="19" state="hidden" r:id="rId7"/>
    <sheet name="2" sheetId="96" r:id="rId8"/>
    <sheet name="3" sheetId="97" r:id="rId9"/>
    <sheet name="4" sheetId="98" r:id="rId10"/>
    <sheet name="5" sheetId="99" r:id="rId11"/>
    <sheet name="6" sheetId="100" r:id="rId12"/>
    <sheet name="7" sheetId="101" r:id="rId13"/>
    <sheet name="8" sheetId="102" r:id="rId14"/>
    <sheet name="9" sheetId="103" r:id="rId15"/>
    <sheet name="10" sheetId="104" r:id="rId16"/>
    <sheet name="11" sheetId="105" r:id="rId17"/>
    <sheet name="12" sheetId="106" r:id="rId18"/>
    <sheet name="13" sheetId="107" r:id="rId19"/>
    <sheet name="14" sheetId="108" r:id="rId20"/>
    <sheet name="15" sheetId="109" r:id="rId21"/>
    <sheet name="16" sheetId="110" r:id="rId22"/>
    <sheet name="17" sheetId="111" r:id="rId23"/>
    <sheet name="18" sheetId="112" r:id="rId24"/>
    <sheet name="19" sheetId="113" r:id="rId25"/>
    <sheet name="20" sheetId="114" r:id="rId26"/>
    <sheet name="21" sheetId="115" r:id="rId27"/>
    <sheet name="22" sheetId="116" r:id="rId28"/>
    <sheet name="23" sheetId="117" r:id="rId29"/>
    <sheet name="24" sheetId="118" r:id="rId30"/>
    <sheet name="25" sheetId="119" r:id="rId31"/>
    <sheet name="26" sheetId="120" r:id="rId32"/>
    <sheet name="27" sheetId="121" r:id="rId33"/>
    <sheet name="28" sheetId="122" r:id="rId34"/>
    <sheet name="29" sheetId="123" r:id="rId35"/>
    <sheet name="30" sheetId="124" r:id="rId36"/>
    <sheet name="31" sheetId="125" r:id="rId37"/>
    <sheet name="32" sheetId="126" r:id="rId38"/>
    <sheet name="33" sheetId="127" r:id="rId39"/>
    <sheet name="34" sheetId="128" r:id="rId40"/>
    <sheet name="35" sheetId="129" r:id="rId41"/>
    <sheet name="36" sheetId="130" r:id="rId42"/>
    <sheet name="37" sheetId="131" r:id="rId43"/>
    <sheet name="38" sheetId="132" r:id="rId44"/>
    <sheet name="39" sheetId="133" r:id="rId45"/>
    <sheet name="40" sheetId="134" r:id="rId46"/>
    <sheet name="41" sheetId="135" r:id="rId47"/>
    <sheet name="42" sheetId="136" r:id="rId48"/>
    <sheet name="43" sheetId="137" r:id="rId49"/>
    <sheet name="44" sheetId="138" r:id="rId50"/>
    <sheet name="45" sheetId="139" r:id="rId51"/>
    <sheet name="46" sheetId="140" r:id="rId52"/>
    <sheet name="47" sheetId="141" r:id="rId53"/>
    <sheet name="48" sheetId="142" r:id="rId54"/>
    <sheet name="49" sheetId="143" r:id="rId55"/>
    <sheet name="50" sheetId="144" r:id="rId56"/>
    <sheet name="51" sheetId="145" r:id="rId57"/>
    <sheet name="52" sheetId="146" r:id="rId58"/>
    <sheet name="53" sheetId="147" r:id="rId59"/>
    <sheet name="54" sheetId="148" r:id="rId60"/>
    <sheet name="55" sheetId="149" r:id="rId61"/>
    <sheet name="56" sheetId="150" r:id="rId62"/>
    <sheet name="57" sheetId="151" r:id="rId63"/>
    <sheet name="58" sheetId="152" r:id="rId64"/>
    <sheet name="59" sheetId="153" r:id="rId65"/>
    <sheet name="60" sheetId="154" r:id="rId66"/>
    <sheet name="61" sheetId="155" r:id="rId67"/>
    <sheet name="62" sheetId="156" r:id="rId68"/>
    <sheet name="63" sheetId="157" r:id="rId69"/>
    <sheet name="64" sheetId="158" r:id="rId70"/>
    <sheet name="65" sheetId="159" r:id="rId71"/>
    <sheet name="66" sheetId="160" r:id="rId72"/>
    <sheet name="67" sheetId="161" r:id="rId73"/>
    <sheet name="68" sheetId="162" r:id="rId74"/>
    <sheet name="69" sheetId="163" r:id="rId75"/>
    <sheet name="70" sheetId="164" r:id="rId76"/>
    <sheet name="71" sheetId="165" r:id="rId77"/>
    <sheet name="72" sheetId="166" r:id="rId78"/>
    <sheet name="73" sheetId="167" r:id="rId79"/>
    <sheet name="74" sheetId="168" r:id="rId80"/>
    <sheet name="75" sheetId="169" r:id="rId81"/>
    <sheet name="76" sheetId="170" r:id="rId82"/>
    <sheet name="77" sheetId="171" r:id="rId83"/>
    <sheet name="78" sheetId="172" r:id="rId84"/>
    <sheet name="79" sheetId="173" r:id="rId85"/>
    <sheet name="80" sheetId="174" r:id="rId86"/>
    <sheet name="81" sheetId="175" r:id="rId87"/>
    <sheet name="82" sheetId="176" r:id="rId88"/>
    <sheet name="83" sheetId="177" r:id="rId89"/>
    <sheet name="84" sheetId="178" r:id="rId90"/>
    <sheet name="85" sheetId="179" r:id="rId91"/>
    <sheet name="86" sheetId="180" r:id="rId92"/>
    <sheet name="87" sheetId="181" r:id="rId93"/>
    <sheet name="88" sheetId="182" r:id="rId94"/>
    <sheet name="89" sheetId="183" r:id="rId95"/>
    <sheet name="90" sheetId="184" r:id="rId96"/>
    <sheet name="91" sheetId="185" r:id="rId97"/>
    <sheet name="92" sheetId="186" r:id="rId98"/>
    <sheet name="93" sheetId="187" r:id="rId99"/>
    <sheet name="94" sheetId="188" r:id="rId100"/>
    <sheet name="DATOS INICIALES" sheetId="1" r:id="rId101"/>
  </sheets>
  <externalReferences>
    <externalReference r:id="rId102"/>
    <externalReference r:id="rId103"/>
    <externalReference r:id="rId104"/>
    <externalReference r:id="rId105"/>
    <externalReference r:id="rId106"/>
    <externalReference r:id="rId107"/>
    <externalReference r:id="rId108"/>
    <externalReference r:id="rId109"/>
    <externalReference r:id="rId110"/>
  </externalReferences>
  <definedNames>
    <definedName name="_xlnm.Print_Area" localSheetId="4">'1'!$A$1:$L$74</definedName>
    <definedName name="_xlnm.Print_Area" localSheetId="15">'10'!$A$1:$L$74</definedName>
    <definedName name="_xlnm.Print_Area" localSheetId="16">'11'!$A$1:$L$74</definedName>
    <definedName name="_xlnm.Print_Area" localSheetId="17">'12'!$A$1:$L$74</definedName>
    <definedName name="_xlnm.Print_Area" localSheetId="18">'13'!$A$1:$L$74</definedName>
    <definedName name="_xlnm.Print_Area" localSheetId="19">'14'!$A$1:$L$74</definedName>
    <definedName name="_xlnm.Print_Area" localSheetId="20">'15'!$A$1:$L$74</definedName>
    <definedName name="_xlnm.Print_Area" localSheetId="21">'16'!$A$1:$L$74</definedName>
    <definedName name="_xlnm.Print_Area" localSheetId="22">'17'!$A$1:$L$74</definedName>
    <definedName name="_xlnm.Print_Area" localSheetId="23">'18'!$A$1:$L$74</definedName>
    <definedName name="_xlnm.Print_Area" localSheetId="24">'19'!$A$1:$L$74</definedName>
    <definedName name="_xlnm.Print_Area" localSheetId="7">'2'!$A$1:$L$74</definedName>
    <definedName name="_xlnm.Print_Area" localSheetId="25">'20'!$A$1:$L$74</definedName>
    <definedName name="_xlnm.Print_Area" localSheetId="26">'21'!$A$1:$L$74</definedName>
    <definedName name="_xlnm.Print_Area" localSheetId="27">'22'!$A$1:$L$74</definedName>
    <definedName name="_xlnm.Print_Area" localSheetId="28">'23'!$A$1:$L$74</definedName>
    <definedName name="_xlnm.Print_Area" localSheetId="29">'24'!$A$1:$L$74</definedName>
    <definedName name="_xlnm.Print_Area" localSheetId="30">'25'!$A$1:$L$74</definedName>
    <definedName name="_xlnm.Print_Area" localSheetId="31">'26'!$A$1:$L$74</definedName>
    <definedName name="_xlnm.Print_Area" localSheetId="32">'27'!$A$1:$L$74</definedName>
    <definedName name="_xlnm.Print_Area" localSheetId="33">'28'!$A$1:$L$74</definedName>
    <definedName name="_xlnm.Print_Area" localSheetId="34">'29'!$A$1:$L$74</definedName>
    <definedName name="_xlnm.Print_Area" localSheetId="8">'3'!$A$1:$L$74</definedName>
    <definedName name="_xlnm.Print_Area" localSheetId="35">'30'!$A$1:$L$74</definedName>
    <definedName name="_xlnm.Print_Area" localSheetId="36">'31'!$A$1:$L$74</definedName>
    <definedName name="_xlnm.Print_Area" localSheetId="37">'32'!$A$1:$L$74</definedName>
    <definedName name="_xlnm.Print_Area" localSheetId="38">'33'!$A$1:$L$74</definedName>
    <definedName name="_xlnm.Print_Area" localSheetId="39">'34'!$A$1:$L$74</definedName>
    <definedName name="_xlnm.Print_Area" localSheetId="40">'35'!$A$1:$L$74</definedName>
    <definedName name="_xlnm.Print_Area" localSheetId="41">'36'!$A$1:$L$74</definedName>
    <definedName name="_xlnm.Print_Area" localSheetId="42">'37'!$A$1:$L$74</definedName>
    <definedName name="_xlnm.Print_Area" localSheetId="43">'38'!$A$1:$L$74</definedName>
    <definedName name="_xlnm.Print_Area" localSheetId="44">'39'!$A$1:$L$74</definedName>
    <definedName name="_xlnm.Print_Area" localSheetId="9">'4'!$A$1:$L$74</definedName>
    <definedName name="_xlnm.Print_Area" localSheetId="45">'40'!$A$1:$L$74</definedName>
    <definedName name="_xlnm.Print_Area" localSheetId="46">'41'!$A$1:$L$74</definedName>
    <definedName name="_xlnm.Print_Area" localSheetId="47">'42'!$A$1:$L$74</definedName>
    <definedName name="_xlnm.Print_Area" localSheetId="48">'43'!$A$1:$L$74</definedName>
    <definedName name="_xlnm.Print_Area" localSheetId="49">'44'!$A$1:$L$74</definedName>
    <definedName name="_xlnm.Print_Area" localSheetId="50">'45'!$A$1:$L$74</definedName>
    <definedName name="_xlnm.Print_Area" localSheetId="51">'46'!$A$1:$L$74</definedName>
    <definedName name="_xlnm.Print_Area" localSheetId="52">'47'!$A$1:$L$74</definedName>
    <definedName name="_xlnm.Print_Area" localSheetId="53">'48'!$A$1:$L$74</definedName>
    <definedName name="_xlnm.Print_Area" localSheetId="54">'49'!$A$1:$L$74</definedName>
    <definedName name="_xlnm.Print_Area" localSheetId="10">'5'!$A$1:$L$74</definedName>
    <definedName name="_xlnm.Print_Area" localSheetId="55">'50'!$A$1:$L$74</definedName>
    <definedName name="_xlnm.Print_Area" localSheetId="56">'51'!$A$1:$L$74</definedName>
    <definedName name="_xlnm.Print_Area" localSheetId="57">'52'!$A$1:$L$74</definedName>
    <definedName name="_xlnm.Print_Area" localSheetId="58">'53'!$A$1:$L$74</definedName>
    <definedName name="_xlnm.Print_Area" localSheetId="59">'54'!$A$1:$L$74</definedName>
    <definedName name="_xlnm.Print_Area" localSheetId="60">'55'!$A$1:$L$74</definedName>
    <definedName name="_xlnm.Print_Area" localSheetId="61">'56'!$A$1:$L$74</definedName>
    <definedName name="_xlnm.Print_Area" localSheetId="62">'57'!$A$1:$L$74</definedName>
    <definedName name="_xlnm.Print_Area" localSheetId="63">'58'!$A$1:$L$74</definedName>
    <definedName name="_xlnm.Print_Area" localSheetId="64">'59'!$A$1:$L$74</definedName>
    <definedName name="_xlnm.Print_Area" localSheetId="11">'6'!$A$1:$L$74</definedName>
    <definedName name="_xlnm.Print_Area" localSheetId="65">'60'!$A$1:$L$74</definedName>
    <definedName name="_xlnm.Print_Area" localSheetId="66">'61'!$A$1:$L$74</definedName>
    <definedName name="_xlnm.Print_Area" localSheetId="67">'62'!$A$1:$L$74</definedName>
    <definedName name="_xlnm.Print_Area" localSheetId="68">'63'!$A$1:$L$74</definedName>
    <definedName name="_xlnm.Print_Area" localSheetId="69">'64'!$A$1:$L$74</definedName>
    <definedName name="_xlnm.Print_Area" localSheetId="70">'65'!$A$1:$L$74</definedName>
    <definedName name="_xlnm.Print_Area" localSheetId="71">'66'!$A$1:$L$74</definedName>
    <definedName name="_xlnm.Print_Area" localSheetId="72">'67'!$A$1:$L$74</definedName>
    <definedName name="_xlnm.Print_Area" localSheetId="73">'68'!$A$1:$L$74</definedName>
    <definedName name="_xlnm.Print_Area" localSheetId="74">'69'!$A$1:$L$74</definedName>
    <definedName name="_xlnm.Print_Area" localSheetId="12">'7'!$A$1:$L$74</definedName>
    <definedName name="_xlnm.Print_Area" localSheetId="75">'70'!$A$1:$L$74</definedName>
    <definedName name="_xlnm.Print_Area" localSheetId="76">'71'!$A$1:$L$74</definedName>
    <definedName name="_xlnm.Print_Area" localSheetId="77">'72'!$A$1:$L$74</definedName>
    <definedName name="_xlnm.Print_Area" localSheetId="78">'73'!$A$1:$L$74</definedName>
    <definedName name="_xlnm.Print_Area" localSheetId="79">'74'!$A$1:$L$74</definedName>
    <definedName name="_xlnm.Print_Area" localSheetId="80">'75'!$A$1:$L$74</definedName>
    <definedName name="_xlnm.Print_Area" localSheetId="81">'76'!$A$1:$L$74</definedName>
    <definedName name="_xlnm.Print_Area" localSheetId="82">'77'!$A$1:$L$74</definedName>
    <definedName name="_xlnm.Print_Area" localSheetId="83">'78'!$A$1:$L$74</definedName>
    <definedName name="_xlnm.Print_Area" localSheetId="84">'79'!$A$1:$L$74</definedName>
    <definedName name="_xlnm.Print_Area" localSheetId="13">'8'!$A$1:$L$74</definedName>
    <definedName name="_xlnm.Print_Area" localSheetId="85">'80'!$A$1:$L$74</definedName>
    <definedName name="_xlnm.Print_Area" localSheetId="86">'81'!$A$1:$L$74</definedName>
    <definedName name="_xlnm.Print_Area" localSheetId="87">'82'!$A$1:$L$74</definedName>
    <definedName name="_xlnm.Print_Area" localSheetId="88">'83'!$A$1:$L$74</definedName>
    <definedName name="_xlnm.Print_Area" localSheetId="89">'84'!$A$1:$L$74</definedName>
    <definedName name="_xlnm.Print_Area" localSheetId="90">'85'!$A$1:$L$74</definedName>
    <definedName name="_xlnm.Print_Area" localSheetId="91">'86'!$A$1:$L$74</definedName>
    <definedName name="_xlnm.Print_Area" localSheetId="92">'87'!$A$1:$L$74</definedName>
    <definedName name="_xlnm.Print_Area" localSheetId="93">'88'!$A$1:$L$74</definedName>
    <definedName name="_xlnm.Print_Area" localSheetId="94">'89'!$A$1:$L$74</definedName>
    <definedName name="_xlnm.Print_Area" localSheetId="14">'9'!$A$1:$L$74</definedName>
    <definedName name="_xlnm.Print_Area" localSheetId="95">'90'!$A$1:$L$74</definedName>
    <definedName name="_xlnm.Print_Area" localSheetId="96">'91'!$A$1:$L$74</definedName>
    <definedName name="_xlnm.Print_Area" localSheetId="97">'92'!$A$1:$L$74</definedName>
    <definedName name="_xlnm.Print_Area" localSheetId="98">'93'!$A$1:$L$74</definedName>
    <definedName name="_xlnm.Print_Area" localSheetId="99">'94'!$A$1:$L$74</definedName>
    <definedName name="_xlnm.Print_Area" localSheetId="0">CONSOLIDADO!$A$1:$K$95</definedName>
    <definedName name="_xlnm.Print_Area" localSheetId="100">'DATOS INICIALES'!$A$1:$I$67</definedName>
    <definedName name="_xlnm.Print_Area" localSheetId="3">PROPONENTES!$A$1:$Q$95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51" i="16" l="1"/>
  <c r="L16" i="157"/>
  <c r="L16" i="147"/>
  <c r="E73" i="16"/>
  <c r="J73" i="16" s="1"/>
  <c r="J63" i="16"/>
  <c r="D42" i="95"/>
  <c r="I14" i="147"/>
  <c r="E63" i="16"/>
  <c r="E90" i="16"/>
  <c r="D13" i="95"/>
  <c r="D14" i="95"/>
  <c r="D22" i="95"/>
  <c r="D59" i="95" l="1"/>
  <c r="E77" i="16"/>
  <c r="D15" i="95"/>
  <c r="D16" i="95"/>
  <c r="D17" i="95"/>
  <c r="D18" i="95"/>
  <c r="D19" i="95"/>
  <c r="D20" i="95"/>
  <c r="D21" i="95"/>
  <c r="D23" i="95"/>
  <c r="D24" i="95"/>
  <c r="D25" i="95"/>
  <c r="D26" i="95"/>
  <c r="D27" i="95"/>
  <c r="D28" i="95"/>
  <c r="D29" i="95"/>
  <c r="D30" i="95"/>
  <c r="D31" i="95"/>
  <c r="D32" i="95"/>
  <c r="D33" i="95"/>
  <c r="D34" i="95"/>
  <c r="D35" i="95"/>
  <c r="D36" i="95"/>
  <c r="D37" i="95"/>
  <c r="D38" i="95"/>
  <c r="D39" i="95"/>
  <c r="D40" i="95"/>
  <c r="D41" i="95"/>
  <c r="D43" i="95"/>
  <c r="E55" i="127" l="1"/>
  <c r="F55" i="127"/>
  <c r="G55" i="127"/>
  <c r="H55" i="127"/>
  <c r="I55" i="127"/>
  <c r="J55" i="127"/>
  <c r="D38" i="171" l="1"/>
  <c r="J67" i="97" l="1"/>
  <c r="I67" i="97"/>
  <c r="H67" i="97"/>
  <c r="G67" i="97"/>
  <c r="J55" i="97"/>
  <c r="I55" i="97"/>
  <c r="H55" i="97"/>
  <c r="G55" i="97"/>
  <c r="F55" i="97"/>
  <c r="F67" i="97" s="1"/>
  <c r="E55" i="97"/>
  <c r="E67" i="97" s="1"/>
  <c r="D55" i="97"/>
  <c r="D67" i="97" s="1"/>
  <c r="J67" i="98"/>
  <c r="I67" i="98"/>
  <c r="J55" i="98"/>
  <c r="I55" i="98"/>
  <c r="H55" i="98"/>
  <c r="H67" i="98" s="1"/>
  <c r="G55" i="98"/>
  <c r="G67" i="98" s="1"/>
  <c r="F55" i="98"/>
  <c r="F67" i="98" s="1"/>
  <c r="E55" i="98"/>
  <c r="E67" i="98" s="1"/>
  <c r="D55" i="98"/>
  <c r="D67" i="98" s="1"/>
  <c r="J67" i="99"/>
  <c r="I67" i="99"/>
  <c r="H67" i="99"/>
  <c r="G67" i="99"/>
  <c r="J55" i="99"/>
  <c r="I55" i="99"/>
  <c r="H55" i="99"/>
  <c r="G55" i="99"/>
  <c r="F55" i="99"/>
  <c r="F67" i="99" s="1"/>
  <c r="E55" i="99"/>
  <c r="E67" i="99" s="1"/>
  <c r="D55" i="99"/>
  <c r="D67" i="99" s="1"/>
  <c r="J67" i="100"/>
  <c r="I67" i="100"/>
  <c r="H67" i="100"/>
  <c r="J55" i="100"/>
  <c r="I55" i="100"/>
  <c r="H55" i="100"/>
  <c r="G55" i="100"/>
  <c r="G67" i="100" s="1"/>
  <c r="F55" i="100"/>
  <c r="F67" i="100" s="1"/>
  <c r="E55" i="100"/>
  <c r="E67" i="100" s="1"/>
  <c r="D55" i="100"/>
  <c r="D67" i="100" s="1"/>
  <c r="J67" i="101"/>
  <c r="I67" i="101"/>
  <c r="H67" i="101"/>
  <c r="G67" i="101"/>
  <c r="F67" i="101"/>
  <c r="J55" i="101"/>
  <c r="I55" i="101"/>
  <c r="H55" i="101"/>
  <c r="G55" i="101"/>
  <c r="F55" i="101"/>
  <c r="E55" i="101"/>
  <c r="E67" i="101" s="1"/>
  <c r="D55" i="101"/>
  <c r="D67" i="101" s="1"/>
  <c r="J67" i="102"/>
  <c r="I67" i="102"/>
  <c r="H67" i="102"/>
  <c r="G67" i="102"/>
  <c r="E67" i="102"/>
  <c r="J55" i="102"/>
  <c r="I55" i="102"/>
  <c r="H55" i="102"/>
  <c r="G55" i="102"/>
  <c r="F55" i="102"/>
  <c r="F67" i="102" s="1"/>
  <c r="E55" i="102"/>
  <c r="D55" i="102"/>
  <c r="D67" i="102" s="1"/>
  <c r="J67" i="103"/>
  <c r="I67" i="103"/>
  <c r="H67" i="103"/>
  <c r="G67" i="103"/>
  <c r="F67" i="103"/>
  <c r="J55" i="103"/>
  <c r="I55" i="103"/>
  <c r="H55" i="103"/>
  <c r="G55" i="103"/>
  <c r="F55" i="103"/>
  <c r="E55" i="103"/>
  <c r="E67" i="103" s="1"/>
  <c r="D55" i="103"/>
  <c r="D67" i="103" s="1"/>
  <c r="J67" i="104"/>
  <c r="I67" i="104"/>
  <c r="H67" i="104"/>
  <c r="J55" i="104"/>
  <c r="I55" i="104"/>
  <c r="H55" i="104"/>
  <c r="G55" i="104"/>
  <c r="G67" i="104" s="1"/>
  <c r="F55" i="104"/>
  <c r="F67" i="104" s="1"/>
  <c r="E55" i="104"/>
  <c r="E67" i="104" s="1"/>
  <c r="D55" i="104"/>
  <c r="D67" i="104" s="1"/>
  <c r="J67" i="105"/>
  <c r="I67" i="105"/>
  <c r="H67" i="105"/>
  <c r="J55" i="105"/>
  <c r="I55" i="105"/>
  <c r="H55" i="105"/>
  <c r="G55" i="105"/>
  <c r="G67" i="105" s="1"/>
  <c r="F55" i="105"/>
  <c r="F67" i="105" s="1"/>
  <c r="E55" i="105"/>
  <c r="E67" i="105" s="1"/>
  <c r="D55" i="105"/>
  <c r="D67" i="105" s="1"/>
  <c r="J67" i="106"/>
  <c r="I67" i="106"/>
  <c r="H67" i="106"/>
  <c r="G67" i="106"/>
  <c r="F67" i="106"/>
  <c r="J55" i="106"/>
  <c r="I55" i="106"/>
  <c r="H55" i="106"/>
  <c r="G55" i="106"/>
  <c r="F55" i="106"/>
  <c r="E55" i="106"/>
  <c r="E67" i="106" s="1"/>
  <c r="D55" i="106"/>
  <c r="D67" i="106" s="1"/>
  <c r="J67" i="107"/>
  <c r="I67" i="107"/>
  <c r="H67" i="107"/>
  <c r="G67" i="107"/>
  <c r="J55" i="107"/>
  <c r="I55" i="107"/>
  <c r="H55" i="107"/>
  <c r="G55" i="107"/>
  <c r="F55" i="107"/>
  <c r="F67" i="107" s="1"/>
  <c r="E55" i="107"/>
  <c r="E67" i="107" s="1"/>
  <c r="D55" i="107"/>
  <c r="D67" i="107" s="1"/>
  <c r="J67" i="108"/>
  <c r="I67" i="108"/>
  <c r="H67" i="108"/>
  <c r="G67" i="108"/>
  <c r="F67" i="108"/>
  <c r="J55" i="108"/>
  <c r="I55" i="108"/>
  <c r="H55" i="108"/>
  <c r="G55" i="108"/>
  <c r="F55" i="108"/>
  <c r="E55" i="108"/>
  <c r="E67" i="108" s="1"/>
  <c r="D55" i="108"/>
  <c r="D67" i="108" s="1"/>
  <c r="J67" i="109"/>
  <c r="I67" i="109"/>
  <c r="H67" i="109"/>
  <c r="G67" i="109"/>
  <c r="F67" i="109"/>
  <c r="E67" i="109"/>
  <c r="J55" i="109"/>
  <c r="I55" i="109"/>
  <c r="H55" i="109"/>
  <c r="G55" i="109"/>
  <c r="F55" i="109"/>
  <c r="E55" i="109"/>
  <c r="D55" i="109"/>
  <c r="D67" i="109" s="1"/>
  <c r="J67" i="110"/>
  <c r="I67" i="110"/>
  <c r="H67" i="110"/>
  <c r="G67" i="110"/>
  <c r="F67" i="110"/>
  <c r="J55" i="110"/>
  <c r="I55" i="110"/>
  <c r="H55" i="110"/>
  <c r="G55" i="110"/>
  <c r="F55" i="110"/>
  <c r="E55" i="110"/>
  <c r="E67" i="110" s="1"/>
  <c r="D55" i="110"/>
  <c r="D67" i="110" s="1"/>
  <c r="J67" i="112"/>
  <c r="I67" i="112"/>
  <c r="H67" i="112"/>
  <c r="G67" i="112"/>
  <c r="F67" i="112"/>
  <c r="J55" i="112"/>
  <c r="I55" i="112"/>
  <c r="H55" i="112"/>
  <c r="G55" i="112"/>
  <c r="F55" i="112"/>
  <c r="E55" i="112"/>
  <c r="E67" i="112" s="1"/>
  <c r="D55" i="112"/>
  <c r="D67" i="112" s="1"/>
  <c r="J67" i="111"/>
  <c r="I67" i="111"/>
  <c r="H67" i="111"/>
  <c r="G67" i="111"/>
  <c r="J55" i="111"/>
  <c r="I55" i="111"/>
  <c r="H55" i="111"/>
  <c r="G55" i="111"/>
  <c r="F55" i="111"/>
  <c r="F67" i="111" s="1"/>
  <c r="E55" i="111"/>
  <c r="E67" i="111" s="1"/>
  <c r="D55" i="111"/>
  <c r="D67" i="111" s="1"/>
  <c r="J67" i="113"/>
  <c r="J55" i="113"/>
  <c r="I55" i="113"/>
  <c r="I67" i="113" s="1"/>
  <c r="H55" i="113"/>
  <c r="H67" i="113" s="1"/>
  <c r="G55" i="113"/>
  <c r="G67" i="113" s="1"/>
  <c r="F55" i="113"/>
  <c r="F67" i="113" s="1"/>
  <c r="E55" i="113"/>
  <c r="E67" i="113" s="1"/>
  <c r="D55" i="113"/>
  <c r="D67" i="113" s="1"/>
  <c r="J67" i="114"/>
  <c r="I67" i="114"/>
  <c r="H67" i="114"/>
  <c r="G67" i="114"/>
  <c r="F67" i="114"/>
  <c r="E67" i="114"/>
  <c r="J55" i="114"/>
  <c r="I55" i="114"/>
  <c r="H55" i="114"/>
  <c r="G55" i="114"/>
  <c r="F55" i="114"/>
  <c r="E55" i="114"/>
  <c r="D55" i="114"/>
  <c r="D67" i="114" s="1"/>
  <c r="J67" i="115"/>
  <c r="I67" i="115"/>
  <c r="J55" i="115"/>
  <c r="I55" i="115"/>
  <c r="H55" i="115"/>
  <c r="H67" i="115" s="1"/>
  <c r="G55" i="115"/>
  <c r="G67" i="115" s="1"/>
  <c r="F55" i="115"/>
  <c r="F67" i="115" s="1"/>
  <c r="E55" i="115"/>
  <c r="E67" i="115" s="1"/>
  <c r="D55" i="115"/>
  <c r="D67" i="115" s="1"/>
  <c r="E67" i="116"/>
  <c r="J55" i="116"/>
  <c r="J67" i="116" s="1"/>
  <c r="I55" i="116"/>
  <c r="I67" i="116" s="1"/>
  <c r="H55" i="116"/>
  <c r="H67" i="116" s="1"/>
  <c r="G55" i="116"/>
  <c r="G67" i="116" s="1"/>
  <c r="F55" i="116"/>
  <c r="F67" i="116" s="1"/>
  <c r="E55" i="116"/>
  <c r="D55" i="116"/>
  <c r="D67" i="116" s="1"/>
  <c r="J67" i="117"/>
  <c r="I67" i="117"/>
  <c r="J55" i="117"/>
  <c r="I55" i="117"/>
  <c r="H55" i="117"/>
  <c r="H67" i="117" s="1"/>
  <c r="G55" i="117"/>
  <c r="G67" i="117" s="1"/>
  <c r="F55" i="117"/>
  <c r="F67" i="117" s="1"/>
  <c r="E55" i="117"/>
  <c r="E67" i="117" s="1"/>
  <c r="D55" i="117"/>
  <c r="D67" i="117" s="1"/>
  <c r="H67" i="118"/>
  <c r="J55" i="118"/>
  <c r="J67" i="118" s="1"/>
  <c r="I55" i="118"/>
  <c r="I67" i="118" s="1"/>
  <c r="H55" i="118"/>
  <c r="G55" i="118"/>
  <c r="G67" i="118" s="1"/>
  <c r="F55" i="118"/>
  <c r="F67" i="118" s="1"/>
  <c r="E55" i="118"/>
  <c r="E67" i="118" s="1"/>
  <c r="D55" i="118"/>
  <c r="D67" i="118" s="1"/>
  <c r="J67" i="119"/>
  <c r="I67" i="119"/>
  <c r="H67" i="119"/>
  <c r="J55" i="119"/>
  <c r="I55" i="119"/>
  <c r="H55" i="119"/>
  <c r="G55" i="119"/>
  <c r="G67" i="119" s="1"/>
  <c r="F55" i="119"/>
  <c r="F67" i="119" s="1"/>
  <c r="E55" i="119"/>
  <c r="E67" i="119" s="1"/>
  <c r="D55" i="119"/>
  <c r="D67" i="119" s="1"/>
  <c r="J67" i="120"/>
  <c r="I67" i="120"/>
  <c r="H67" i="120"/>
  <c r="E67" i="120"/>
  <c r="J55" i="120"/>
  <c r="I55" i="120"/>
  <c r="H55" i="120"/>
  <c r="G55" i="120"/>
  <c r="G67" i="120" s="1"/>
  <c r="F55" i="120"/>
  <c r="F67" i="120" s="1"/>
  <c r="E55" i="120"/>
  <c r="D55" i="120"/>
  <c r="D67" i="120" s="1"/>
  <c r="J67" i="121"/>
  <c r="I67" i="121"/>
  <c r="H67" i="121"/>
  <c r="G67" i="121"/>
  <c r="J55" i="121"/>
  <c r="I55" i="121"/>
  <c r="H55" i="121"/>
  <c r="G55" i="121"/>
  <c r="F55" i="121"/>
  <c r="F67" i="121" s="1"/>
  <c r="E55" i="121"/>
  <c r="E67" i="121" s="1"/>
  <c r="D55" i="121"/>
  <c r="D67" i="121" s="1"/>
  <c r="J67" i="122"/>
  <c r="I67" i="122"/>
  <c r="H67" i="122"/>
  <c r="G67" i="122"/>
  <c r="F67" i="122"/>
  <c r="E67" i="122"/>
  <c r="J55" i="122"/>
  <c r="I55" i="122"/>
  <c r="H55" i="122"/>
  <c r="G55" i="122"/>
  <c r="F55" i="122"/>
  <c r="E55" i="122"/>
  <c r="D55" i="122"/>
  <c r="D67" i="122" s="1"/>
  <c r="J67" i="123"/>
  <c r="I67" i="123"/>
  <c r="H67" i="123"/>
  <c r="G67" i="123"/>
  <c r="J55" i="123"/>
  <c r="I55" i="123"/>
  <c r="H55" i="123"/>
  <c r="G55" i="123"/>
  <c r="F55" i="123"/>
  <c r="F67" i="123" s="1"/>
  <c r="E55" i="123"/>
  <c r="E67" i="123" s="1"/>
  <c r="D55" i="123"/>
  <c r="D67" i="123" s="1"/>
  <c r="J67" i="124"/>
  <c r="J55" i="124"/>
  <c r="I55" i="124"/>
  <c r="I67" i="124" s="1"/>
  <c r="H55" i="124"/>
  <c r="H67" i="124" s="1"/>
  <c r="G55" i="124"/>
  <c r="G67" i="124" s="1"/>
  <c r="F55" i="124"/>
  <c r="F67" i="124" s="1"/>
  <c r="E55" i="124"/>
  <c r="E67" i="124" s="1"/>
  <c r="D55" i="124"/>
  <c r="D67" i="124" s="1"/>
  <c r="J67" i="125"/>
  <c r="I67" i="125"/>
  <c r="H67" i="125"/>
  <c r="G67" i="125"/>
  <c r="J55" i="125"/>
  <c r="I55" i="125"/>
  <c r="H55" i="125"/>
  <c r="G55" i="125"/>
  <c r="F55" i="125"/>
  <c r="F67" i="125" s="1"/>
  <c r="E55" i="125"/>
  <c r="E67" i="125" s="1"/>
  <c r="D55" i="125"/>
  <c r="D67" i="125" s="1"/>
  <c r="J67" i="126"/>
  <c r="I67" i="126"/>
  <c r="H67" i="126"/>
  <c r="G67" i="126"/>
  <c r="J55" i="126"/>
  <c r="I55" i="126"/>
  <c r="H55" i="126"/>
  <c r="G55" i="126"/>
  <c r="F55" i="126"/>
  <c r="F67" i="126" s="1"/>
  <c r="E55" i="126"/>
  <c r="E67" i="126" s="1"/>
  <c r="D55" i="126"/>
  <c r="D67" i="126" s="1"/>
  <c r="J67" i="127"/>
  <c r="I67" i="127"/>
  <c r="H67" i="127"/>
  <c r="G67" i="127"/>
  <c r="F67" i="127"/>
  <c r="E67" i="127"/>
  <c r="D55" i="127"/>
  <c r="D67" i="127" s="1"/>
  <c r="J67" i="128"/>
  <c r="I67" i="128"/>
  <c r="H67" i="128"/>
  <c r="G67" i="128"/>
  <c r="J55" i="128"/>
  <c r="I55" i="128"/>
  <c r="H55" i="128"/>
  <c r="G55" i="128"/>
  <c r="F55" i="128"/>
  <c r="F67" i="128" s="1"/>
  <c r="E55" i="128"/>
  <c r="E67" i="128" s="1"/>
  <c r="D55" i="128"/>
  <c r="D67" i="128" s="1"/>
  <c r="J67" i="129"/>
  <c r="I67" i="129"/>
  <c r="H67" i="129"/>
  <c r="G67" i="129"/>
  <c r="F67" i="129"/>
  <c r="J55" i="129"/>
  <c r="I55" i="129"/>
  <c r="H55" i="129"/>
  <c r="G55" i="129"/>
  <c r="F55" i="129"/>
  <c r="E55" i="129"/>
  <c r="E67" i="129" s="1"/>
  <c r="D55" i="129"/>
  <c r="D67" i="129" s="1"/>
  <c r="J67" i="130"/>
  <c r="I67" i="130"/>
  <c r="H67" i="130"/>
  <c r="G67" i="130"/>
  <c r="F67" i="130"/>
  <c r="J55" i="130"/>
  <c r="I55" i="130"/>
  <c r="H55" i="130"/>
  <c r="G55" i="130"/>
  <c r="F55" i="130"/>
  <c r="E55" i="130"/>
  <c r="E67" i="130" s="1"/>
  <c r="D55" i="130"/>
  <c r="D67" i="130" s="1"/>
  <c r="J67" i="131"/>
  <c r="I67" i="131"/>
  <c r="H67" i="131"/>
  <c r="G67" i="131"/>
  <c r="F67" i="131"/>
  <c r="J55" i="131"/>
  <c r="I55" i="131"/>
  <c r="H55" i="131"/>
  <c r="G55" i="131"/>
  <c r="F55" i="131"/>
  <c r="E55" i="131"/>
  <c r="E67" i="131" s="1"/>
  <c r="D55" i="131"/>
  <c r="D67" i="131" s="1"/>
  <c r="J67" i="132"/>
  <c r="I67" i="132"/>
  <c r="H67" i="132"/>
  <c r="G67" i="132"/>
  <c r="J55" i="132"/>
  <c r="I55" i="132"/>
  <c r="H55" i="132"/>
  <c r="G55" i="132"/>
  <c r="F55" i="132"/>
  <c r="F67" i="132" s="1"/>
  <c r="E55" i="132"/>
  <c r="E67" i="132" s="1"/>
  <c r="D55" i="132"/>
  <c r="D67" i="132" s="1"/>
  <c r="J67" i="133"/>
  <c r="I67" i="133"/>
  <c r="H67" i="133"/>
  <c r="G67" i="133"/>
  <c r="F67" i="133"/>
  <c r="J55" i="133"/>
  <c r="I55" i="133"/>
  <c r="H55" i="133"/>
  <c r="G55" i="133"/>
  <c r="F55" i="133"/>
  <c r="E55" i="133"/>
  <c r="E67" i="133" s="1"/>
  <c r="D55" i="133"/>
  <c r="D67" i="133" s="1"/>
  <c r="J67" i="134"/>
  <c r="I67" i="134"/>
  <c r="H67" i="134"/>
  <c r="G67" i="134"/>
  <c r="J55" i="134"/>
  <c r="I55" i="134"/>
  <c r="H55" i="134"/>
  <c r="G55" i="134"/>
  <c r="F55" i="134"/>
  <c r="F67" i="134" s="1"/>
  <c r="E55" i="134"/>
  <c r="E67" i="134" s="1"/>
  <c r="D55" i="134"/>
  <c r="D67" i="134" s="1"/>
  <c r="J67" i="135"/>
  <c r="I67" i="135"/>
  <c r="H67" i="135"/>
  <c r="G67" i="135"/>
  <c r="F67" i="135"/>
  <c r="E67" i="135"/>
  <c r="J55" i="135"/>
  <c r="I55" i="135"/>
  <c r="H55" i="135"/>
  <c r="G55" i="135"/>
  <c r="F55" i="135"/>
  <c r="E55" i="135"/>
  <c r="D55" i="135"/>
  <c r="D67" i="135" s="1"/>
  <c r="J67" i="136"/>
  <c r="I67" i="136"/>
  <c r="H67" i="136"/>
  <c r="J55" i="136"/>
  <c r="I55" i="136"/>
  <c r="H55" i="136"/>
  <c r="G55" i="136"/>
  <c r="G67" i="136" s="1"/>
  <c r="F55" i="136"/>
  <c r="F67" i="136" s="1"/>
  <c r="E55" i="136"/>
  <c r="E67" i="136" s="1"/>
  <c r="D55" i="136"/>
  <c r="D67" i="136" s="1"/>
  <c r="J67" i="137"/>
  <c r="I67" i="137"/>
  <c r="H67" i="137"/>
  <c r="G67" i="137"/>
  <c r="J55" i="137"/>
  <c r="I55" i="137"/>
  <c r="H55" i="137"/>
  <c r="G55" i="137"/>
  <c r="F55" i="137"/>
  <c r="F67" i="137" s="1"/>
  <c r="E55" i="137"/>
  <c r="E67" i="137" s="1"/>
  <c r="D55" i="137"/>
  <c r="D67" i="137" s="1"/>
  <c r="J67" i="138"/>
  <c r="I67" i="138"/>
  <c r="H67" i="138"/>
  <c r="G67" i="138"/>
  <c r="F67" i="138"/>
  <c r="J55" i="138"/>
  <c r="I55" i="138"/>
  <c r="H55" i="138"/>
  <c r="G55" i="138"/>
  <c r="F55" i="138"/>
  <c r="E55" i="138"/>
  <c r="E67" i="138" s="1"/>
  <c r="D55" i="138"/>
  <c r="D67" i="138" s="1"/>
  <c r="J67" i="139"/>
  <c r="I67" i="139"/>
  <c r="H67" i="139"/>
  <c r="G67" i="139"/>
  <c r="F67" i="139"/>
  <c r="J55" i="139"/>
  <c r="I55" i="139"/>
  <c r="H55" i="139"/>
  <c r="G55" i="139"/>
  <c r="F55" i="139"/>
  <c r="E55" i="139"/>
  <c r="E67" i="139" s="1"/>
  <c r="D55" i="139"/>
  <c r="D67" i="139" s="1"/>
  <c r="J67" i="140"/>
  <c r="I67" i="140"/>
  <c r="H67" i="140"/>
  <c r="G67" i="140"/>
  <c r="F67" i="140"/>
  <c r="J55" i="140"/>
  <c r="I55" i="140"/>
  <c r="H55" i="140"/>
  <c r="G55" i="140"/>
  <c r="F55" i="140"/>
  <c r="E55" i="140"/>
  <c r="E67" i="140" s="1"/>
  <c r="D55" i="140"/>
  <c r="D67" i="140" s="1"/>
  <c r="J67" i="141"/>
  <c r="I67" i="141"/>
  <c r="H67" i="141"/>
  <c r="G67" i="141"/>
  <c r="F67" i="141"/>
  <c r="J55" i="141"/>
  <c r="I55" i="141"/>
  <c r="H55" i="141"/>
  <c r="G55" i="141"/>
  <c r="F55" i="141"/>
  <c r="E55" i="141"/>
  <c r="E67" i="141" s="1"/>
  <c r="D55" i="141"/>
  <c r="D67" i="141" s="1"/>
  <c r="J67" i="142"/>
  <c r="I67" i="142"/>
  <c r="J55" i="142"/>
  <c r="I55" i="142"/>
  <c r="H55" i="142"/>
  <c r="H67" i="142" s="1"/>
  <c r="G55" i="142"/>
  <c r="G67" i="142" s="1"/>
  <c r="F55" i="142"/>
  <c r="F67" i="142" s="1"/>
  <c r="E55" i="142"/>
  <c r="E67" i="142" s="1"/>
  <c r="D55" i="142"/>
  <c r="D67" i="142" s="1"/>
  <c r="J67" i="143"/>
  <c r="I67" i="143"/>
  <c r="H67" i="143"/>
  <c r="G67" i="143"/>
  <c r="F67" i="143"/>
  <c r="E67" i="143"/>
  <c r="J55" i="143"/>
  <c r="I55" i="143"/>
  <c r="H55" i="143"/>
  <c r="G55" i="143"/>
  <c r="F55" i="143"/>
  <c r="E55" i="143"/>
  <c r="D55" i="143"/>
  <c r="D67" i="143" s="1"/>
  <c r="J67" i="144"/>
  <c r="I67" i="144"/>
  <c r="H67" i="144"/>
  <c r="J55" i="144"/>
  <c r="I55" i="144"/>
  <c r="H55" i="144"/>
  <c r="G55" i="144"/>
  <c r="G67" i="144" s="1"/>
  <c r="F55" i="144"/>
  <c r="F67" i="144" s="1"/>
  <c r="E55" i="144"/>
  <c r="E67" i="144" s="1"/>
  <c r="D55" i="144"/>
  <c r="D67" i="144" s="1"/>
  <c r="J67" i="145"/>
  <c r="I67" i="145"/>
  <c r="H67" i="145"/>
  <c r="G67" i="145"/>
  <c r="F67" i="145"/>
  <c r="D67" i="145"/>
  <c r="J55" i="145"/>
  <c r="I55" i="145"/>
  <c r="H55" i="145"/>
  <c r="G55" i="145"/>
  <c r="F55" i="145"/>
  <c r="E55" i="145"/>
  <c r="E67" i="145" s="1"/>
  <c r="D55" i="145"/>
  <c r="J67" i="146"/>
  <c r="I67" i="146"/>
  <c r="H67" i="146"/>
  <c r="G67" i="146"/>
  <c r="F67" i="146"/>
  <c r="J55" i="146"/>
  <c r="I55" i="146"/>
  <c r="H55" i="146"/>
  <c r="G55" i="146"/>
  <c r="F55" i="146"/>
  <c r="E55" i="146"/>
  <c r="E67" i="146" s="1"/>
  <c r="D55" i="146"/>
  <c r="D67" i="146" s="1"/>
  <c r="J67" i="147"/>
  <c r="I67" i="147"/>
  <c r="H67" i="147"/>
  <c r="G67" i="147"/>
  <c r="F67" i="147"/>
  <c r="J55" i="147"/>
  <c r="I55" i="147"/>
  <c r="H55" i="147"/>
  <c r="G55" i="147"/>
  <c r="F55" i="147"/>
  <c r="E55" i="147"/>
  <c r="E67" i="147" s="1"/>
  <c r="D55" i="147"/>
  <c r="D67" i="147" s="1"/>
  <c r="J67" i="148"/>
  <c r="I67" i="148"/>
  <c r="H67" i="148"/>
  <c r="G67" i="148"/>
  <c r="F67" i="148"/>
  <c r="J55" i="148"/>
  <c r="I55" i="148"/>
  <c r="H55" i="148"/>
  <c r="G55" i="148"/>
  <c r="F55" i="148"/>
  <c r="E55" i="148"/>
  <c r="E67" i="148" s="1"/>
  <c r="D55" i="148"/>
  <c r="D67" i="148" s="1"/>
  <c r="J67" i="149"/>
  <c r="I67" i="149"/>
  <c r="H67" i="149"/>
  <c r="G67" i="149"/>
  <c r="J55" i="149"/>
  <c r="I55" i="149"/>
  <c r="H55" i="149"/>
  <c r="G55" i="149"/>
  <c r="F55" i="149"/>
  <c r="F67" i="149" s="1"/>
  <c r="E55" i="149"/>
  <c r="E67" i="149" s="1"/>
  <c r="D55" i="149"/>
  <c r="D67" i="149" s="1"/>
  <c r="J67" i="150"/>
  <c r="I67" i="150"/>
  <c r="H67" i="150"/>
  <c r="G67" i="150"/>
  <c r="J55" i="150"/>
  <c r="I55" i="150"/>
  <c r="H55" i="150"/>
  <c r="G55" i="150"/>
  <c r="F55" i="150"/>
  <c r="F67" i="150" s="1"/>
  <c r="E55" i="150"/>
  <c r="E67" i="150" s="1"/>
  <c r="D55" i="150"/>
  <c r="D67" i="150" s="1"/>
  <c r="J67" i="151"/>
  <c r="I67" i="151"/>
  <c r="H67" i="151"/>
  <c r="G67" i="151"/>
  <c r="F67" i="151"/>
  <c r="J55" i="151"/>
  <c r="I55" i="151"/>
  <c r="H55" i="151"/>
  <c r="G55" i="151"/>
  <c r="F55" i="151"/>
  <c r="E55" i="151"/>
  <c r="E67" i="151" s="1"/>
  <c r="D55" i="151"/>
  <c r="D67" i="151" s="1"/>
  <c r="J67" i="152"/>
  <c r="I67" i="152"/>
  <c r="H67" i="152"/>
  <c r="G67" i="152"/>
  <c r="F67" i="152"/>
  <c r="E67" i="152"/>
  <c r="J55" i="152"/>
  <c r="I55" i="152"/>
  <c r="H55" i="152"/>
  <c r="G55" i="152"/>
  <c r="F55" i="152"/>
  <c r="E55" i="152"/>
  <c r="D55" i="152"/>
  <c r="D67" i="152" s="1"/>
  <c r="J67" i="153"/>
  <c r="I67" i="153"/>
  <c r="H67" i="153"/>
  <c r="J55" i="153"/>
  <c r="I55" i="153"/>
  <c r="H55" i="153"/>
  <c r="G55" i="153"/>
  <c r="G67" i="153" s="1"/>
  <c r="F55" i="153"/>
  <c r="F67" i="153" s="1"/>
  <c r="E55" i="153"/>
  <c r="E67" i="153" s="1"/>
  <c r="D55" i="153"/>
  <c r="D67" i="153" s="1"/>
  <c r="J67" i="154"/>
  <c r="I67" i="154"/>
  <c r="H67" i="154"/>
  <c r="G67" i="154"/>
  <c r="J55" i="154"/>
  <c r="I55" i="154"/>
  <c r="H55" i="154"/>
  <c r="G55" i="154"/>
  <c r="F55" i="154"/>
  <c r="F67" i="154" s="1"/>
  <c r="E55" i="154"/>
  <c r="E67" i="154" s="1"/>
  <c r="D55" i="154"/>
  <c r="D67" i="154" s="1"/>
  <c r="J67" i="155"/>
  <c r="I67" i="155"/>
  <c r="H67" i="155"/>
  <c r="G67" i="155"/>
  <c r="F67" i="155"/>
  <c r="D67" i="155"/>
  <c r="J55" i="155"/>
  <c r="I55" i="155"/>
  <c r="H55" i="155"/>
  <c r="G55" i="155"/>
  <c r="F55" i="155"/>
  <c r="E55" i="155"/>
  <c r="E67" i="155" s="1"/>
  <c r="D55" i="155"/>
  <c r="J67" i="156"/>
  <c r="I67" i="156"/>
  <c r="H67" i="156"/>
  <c r="G67" i="156"/>
  <c r="E67" i="156"/>
  <c r="J55" i="156"/>
  <c r="I55" i="156"/>
  <c r="H55" i="156"/>
  <c r="G55" i="156"/>
  <c r="F55" i="156"/>
  <c r="F67" i="156" s="1"/>
  <c r="E55" i="156"/>
  <c r="D55" i="156"/>
  <c r="D67" i="156" s="1"/>
  <c r="J67" i="157"/>
  <c r="I67" i="157"/>
  <c r="H67" i="157"/>
  <c r="G67" i="157"/>
  <c r="F67" i="157"/>
  <c r="E67" i="157"/>
  <c r="J55" i="157"/>
  <c r="I55" i="157"/>
  <c r="H55" i="157"/>
  <c r="G55" i="157"/>
  <c r="F55" i="157"/>
  <c r="E55" i="157"/>
  <c r="D55" i="157"/>
  <c r="D67" i="157" s="1"/>
  <c r="J67" i="158"/>
  <c r="I67" i="158"/>
  <c r="H67" i="158"/>
  <c r="G67" i="158"/>
  <c r="F67" i="158"/>
  <c r="D67" i="158"/>
  <c r="J55" i="158"/>
  <c r="I55" i="158"/>
  <c r="H55" i="158"/>
  <c r="G55" i="158"/>
  <c r="F55" i="158"/>
  <c r="E55" i="158"/>
  <c r="E67" i="158" s="1"/>
  <c r="D55" i="158"/>
  <c r="J67" i="159"/>
  <c r="I67" i="159"/>
  <c r="H67" i="159"/>
  <c r="G67" i="159"/>
  <c r="J55" i="159"/>
  <c r="I55" i="159"/>
  <c r="H55" i="159"/>
  <c r="G55" i="159"/>
  <c r="F55" i="159"/>
  <c r="F67" i="159" s="1"/>
  <c r="E55" i="159"/>
  <c r="E67" i="159" s="1"/>
  <c r="D55" i="159"/>
  <c r="D67" i="159" s="1"/>
  <c r="J67" i="160"/>
  <c r="I67" i="160"/>
  <c r="H67" i="160"/>
  <c r="J55" i="160"/>
  <c r="I55" i="160"/>
  <c r="H55" i="160"/>
  <c r="G55" i="160"/>
  <c r="G67" i="160" s="1"/>
  <c r="F55" i="160"/>
  <c r="F67" i="160" s="1"/>
  <c r="E55" i="160"/>
  <c r="E67" i="160" s="1"/>
  <c r="D55" i="160"/>
  <c r="D67" i="160" s="1"/>
  <c r="J67" i="161"/>
  <c r="I67" i="161"/>
  <c r="J55" i="161"/>
  <c r="I55" i="161"/>
  <c r="H55" i="161"/>
  <c r="H67" i="161" s="1"/>
  <c r="G55" i="161"/>
  <c r="G67" i="161" s="1"/>
  <c r="F55" i="161"/>
  <c r="F67" i="161" s="1"/>
  <c r="E55" i="161"/>
  <c r="E67" i="161" s="1"/>
  <c r="D55" i="161"/>
  <c r="D67" i="161" s="1"/>
  <c r="J67" i="162"/>
  <c r="I67" i="162"/>
  <c r="H67" i="162"/>
  <c r="G67" i="162"/>
  <c r="F67" i="162"/>
  <c r="J55" i="162"/>
  <c r="I55" i="162"/>
  <c r="H55" i="162"/>
  <c r="G55" i="162"/>
  <c r="F55" i="162"/>
  <c r="E55" i="162"/>
  <c r="E67" i="162" s="1"/>
  <c r="D55" i="162"/>
  <c r="D67" i="162" s="1"/>
  <c r="J67" i="163"/>
  <c r="I67" i="163"/>
  <c r="H67" i="163"/>
  <c r="E67" i="163"/>
  <c r="J55" i="163"/>
  <c r="I55" i="163"/>
  <c r="H55" i="163"/>
  <c r="G55" i="163"/>
  <c r="G67" i="163" s="1"/>
  <c r="F55" i="163"/>
  <c r="F67" i="163" s="1"/>
  <c r="E55" i="163"/>
  <c r="D55" i="163"/>
  <c r="D67" i="163" s="1"/>
  <c r="J67" i="164"/>
  <c r="I67" i="164"/>
  <c r="H67" i="164"/>
  <c r="J55" i="164"/>
  <c r="I55" i="164"/>
  <c r="H55" i="164"/>
  <c r="G55" i="164"/>
  <c r="G67" i="164" s="1"/>
  <c r="F55" i="164"/>
  <c r="F67" i="164" s="1"/>
  <c r="E55" i="164"/>
  <c r="E67" i="164" s="1"/>
  <c r="D55" i="164"/>
  <c r="D67" i="164" s="1"/>
  <c r="J67" i="165"/>
  <c r="I67" i="165"/>
  <c r="H67" i="165"/>
  <c r="G67" i="165"/>
  <c r="J55" i="165"/>
  <c r="I55" i="165"/>
  <c r="H55" i="165"/>
  <c r="G55" i="165"/>
  <c r="F55" i="165"/>
  <c r="F67" i="165" s="1"/>
  <c r="E55" i="165"/>
  <c r="E67" i="165" s="1"/>
  <c r="D55" i="165"/>
  <c r="D67" i="165" s="1"/>
  <c r="J67" i="166"/>
  <c r="I67" i="166"/>
  <c r="H67" i="166"/>
  <c r="G67" i="166"/>
  <c r="J55" i="166"/>
  <c r="I55" i="166"/>
  <c r="H55" i="166"/>
  <c r="G55" i="166"/>
  <c r="F55" i="166"/>
  <c r="F67" i="166" s="1"/>
  <c r="E55" i="166"/>
  <c r="E67" i="166" s="1"/>
  <c r="D55" i="166"/>
  <c r="D67" i="166" s="1"/>
  <c r="J67" i="167"/>
  <c r="I67" i="167"/>
  <c r="H67" i="167"/>
  <c r="G67" i="167"/>
  <c r="J55" i="167"/>
  <c r="I55" i="167"/>
  <c r="H55" i="167"/>
  <c r="G55" i="167"/>
  <c r="F55" i="167"/>
  <c r="F67" i="167" s="1"/>
  <c r="E55" i="167"/>
  <c r="E67" i="167" s="1"/>
  <c r="D55" i="167"/>
  <c r="D67" i="167" s="1"/>
  <c r="J67" i="168"/>
  <c r="I67" i="168"/>
  <c r="H67" i="168"/>
  <c r="E67" i="168"/>
  <c r="J55" i="168"/>
  <c r="I55" i="168"/>
  <c r="H55" i="168"/>
  <c r="G55" i="168"/>
  <c r="G67" i="168" s="1"/>
  <c r="F55" i="168"/>
  <c r="F67" i="168" s="1"/>
  <c r="E55" i="168"/>
  <c r="D55" i="168"/>
  <c r="D67" i="168" s="1"/>
  <c r="J67" i="169"/>
  <c r="I67" i="169"/>
  <c r="H67" i="169"/>
  <c r="G67" i="169"/>
  <c r="J55" i="169"/>
  <c r="I55" i="169"/>
  <c r="H55" i="169"/>
  <c r="G55" i="169"/>
  <c r="F55" i="169"/>
  <c r="F67" i="169" s="1"/>
  <c r="E55" i="169"/>
  <c r="E67" i="169" s="1"/>
  <c r="D55" i="169"/>
  <c r="D67" i="169" s="1"/>
  <c r="J67" i="170"/>
  <c r="I67" i="170"/>
  <c r="J55" i="170"/>
  <c r="I55" i="170"/>
  <c r="H55" i="170"/>
  <c r="H67" i="170" s="1"/>
  <c r="G55" i="170"/>
  <c r="G67" i="170" s="1"/>
  <c r="F55" i="170"/>
  <c r="F67" i="170" s="1"/>
  <c r="E55" i="170"/>
  <c r="E67" i="170" s="1"/>
  <c r="D55" i="170"/>
  <c r="D67" i="170" s="1"/>
  <c r="J67" i="171"/>
  <c r="I67" i="171"/>
  <c r="H67" i="171"/>
  <c r="G67" i="171"/>
  <c r="F67" i="171"/>
  <c r="E67" i="171"/>
  <c r="J55" i="171"/>
  <c r="I55" i="171"/>
  <c r="H55" i="171"/>
  <c r="G55" i="171"/>
  <c r="F55" i="171"/>
  <c r="E55" i="171"/>
  <c r="D55" i="171"/>
  <c r="D67" i="171" s="1"/>
  <c r="J67" i="172"/>
  <c r="J55" i="172"/>
  <c r="I55" i="172"/>
  <c r="I67" i="172" s="1"/>
  <c r="H55" i="172"/>
  <c r="H67" i="172" s="1"/>
  <c r="G55" i="172"/>
  <c r="G67" i="172" s="1"/>
  <c r="F55" i="172"/>
  <c r="F67" i="172" s="1"/>
  <c r="E55" i="172"/>
  <c r="E67" i="172" s="1"/>
  <c r="D55" i="172"/>
  <c r="D67" i="172" s="1"/>
  <c r="J67" i="173"/>
  <c r="I67" i="173"/>
  <c r="H67" i="173"/>
  <c r="D67" i="173"/>
  <c r="J55" i="173"/>
  <c r="I55" i="173"/>
  <c r="H55" i="173"/>
  <c r="G55" i="173"/>
  <c r="G67" i="173" s="1"/>
  <c r="F55" i="173"/>
  <c r="F67" i="173" s="1"/>
  <c r="E55" i="173"/>
  <c r="E67" i="173" s="1"/>
  <c r="D55" i="173"/>
  <c r="J67" i="174"/>
  <c r="I67" i="174"/>
  <c r="H67" i="174"/>
  <c r="G67" i="174"/>
  <c r="F67" i="174"/>
  <c r="E67" i="174"/>
  <c r="J55" i="174"/>
  <c r="I55" i="174"/>
  <c r="H55" i="174"/>
  <c r="G55" i="174"/>
  <c r="F55" i="174"/>
  <c r="E55" i="174"/>
  <c r="D55" i="174"/>
  <c r="D67" i="174" s="1"/>
  <c r="J67" i="175"/>
  <c r="I67" i="175"/>
  <c r="H67" i="175"/>
  <c r="G67" i="175"/>
  <c r="E67" i="175"/>
  <c r="J55" i="175"/>
  <c r="I55" i="175"/>
  <c r="H55" i="175"/>
  <c r="G55" i="175"/>
  <c r="F55" i="175"/>
  <c r="F67" i="175" s="1"/>
  <c r="E55" i="175"/>
  <c r="D55" i="175"/>
  <c r="D67" i="175" s="1"/>
  <c r="J67" i="176"/>
  <c r="I67" i="176"/>
  <c r="H67" i="176"/>
  <c r="J55" i="176"/>
  <c r="I55" i="176"/>
  <c r="H55" i="176"/>
  <c r="G55" i="176"/>
  <c r="G67" i="176" s="1"/>
  <c r="F55" i="176"/>
  <c r="F67" i="176" s="1"/>
  <c r="E55" i="176"/>
  <c r="E67" i="176" s="1"/>
  <c r="D55" i="176"/>
  <c r="D67" i="176" s="1"/>
  <c r="J67" i="177"/>
  <c r="I67" i="177"/>
  <c r="H67" i="177"/>
  <c r="G67" i="177"/>
  <c r="J55" i="177"/>
  <c r="I55" i="177"/>
  <c r="H55" i="177"/>
  <c r="G55" i="177"/>
  <c r="F55" i="177"/>
  <c r="F67" i="177" s="1"/>
  <c r="E55" i="177"/>
  <c r="E67" i="177" s="1"/>
  <c r="D55" i="177"/>
  <c r="D67" i="177" s="1"/>
  <c r="J67" i="178"/>
  <c r="I67" i="178"/>
  <c r="H67" i="178"/>
  <c r="J55" i="178"/>
  <c r="I55" i="178"/>
  <c r="H55" i="178"/>
  <c r="G55" i="178"/>
  <c r="G67" i="178" s="1"/>
  <c r="F55" i="178"/>
  <c r="F67" i="178" s="1"/>
  <c r="E55" i="178"/>
  <c r="E67" i="178" s="1"/>
  <c r="D55" i="178"/>
  <c r="D67" i="178" s="1"/>
  <c r="J67" i="179"/>
  <c r="I67" i="179"/>
  <c r="H67" i="179"/>
  <c r="G67" i="179"/>
  <c r="J55" i="179"/>
  <c r="I55" i="179"/>
  <c r="H55" i="179"/>
  <c r="G55" i="179"/>
  <c r="F55" i="179"/>
  <c r="F67" i="179" s="1"/>
  <c r="E55" i="179"/>
  <c r="E67" i="179" s="1"/>
  <c r="D55" i="179"/>
  <c r="D67" i="179" s="1"/>
  <c r="J55" i="180"/>
  <c r="J67" i="180" s="1"/>
  <c r="I55" i="180"/>
  <c r="I67" i="180" s="1"/>
  <c r="H55" i="180"/>
  <c r="H67" i="180" s="1"/>
  <c r="G55" i="180"/>
  <c r="G67" i="180" s="1"/>
  <c r="F55" i="180"/>
  <c r="F67" i="180" s="1"/>
  <c r="E55" i="180"/>
  <c r="E67" i="180" s="1"/>
  <c r="D55" i="180"/>
  <c r="D67" i="180" s="1"/>
  <c r="J67" i="181"/>
  <c r="I67" i="181"/>
  <c r="H67" i="181"/>
  <c r="G67" i="181"/>
  <c r="J55" i="181"/>
  <c r="I55" i="181"/>
  <c r="H55" i="181"/>
  <c r="G55" i="181"/>
  <c r="F55" i="181"/>
  <c r="F67" i="181" s="1"/>
  <c r="E55" i="181"/>
  <c r="E67" i="181" s="1"/>
  <c r="D55" i="181"/>
  <c r="D67" i="181" s="1"/>
  <c r="J67" i="182"/>
  <c r="J55" i="182"/>
  <c r="I55" i="182"/>
  <c r="I67" i="182" s="1"/>
  <c r="H55" i="182"/>
  <c r="H67" i="182" s="1"/>
  <c r="G55" i="182"/>
  <c r="G67" i="182" s="1"/>
  <c r="F55" i="182"/>
  <c r="F67" i="182" s="1"/>
  <c r="E55" i="182"/>
  <c r="E67" i="182" s="1"/>
  <c r="D55" i="182"/>
  <c r="D67" i="182" s="1"/>
  <c r="I14" i="182" s="1"/>
  <c r="J67" i="183"/>
  <c r="I67" i="183"/>
  <c r="H67" i="183"/>
  <c r="G67" i="183"/>
  <c r="J55" i="183"/>
  <c r="I55" i="183"/>
  <c r="H55" i="183"/>
  <c r="G55" i="183"/>
  <c r="F55" i="183"/>
  <c r="F67" i="183" s="1"/>
  <c r="E55" i="183"/>
  <c r="E67" i="183" s="1"/>
  <c r="D55" i="183"/>
  <c r="D67" i="183" s="1"/>
  <c r="J67" i="184"/>
  <c r="I67" i="184"/>
  <c r="H67" i="184"/>
  <c r="G67" i="184"/>
  <c r="F67" i="184"/>
  <c r="E67" i="184"/>
  <c r="J55" i="184"/>
  <c r="I55" i="184"/>
  <c r="H55" i="184"/>
  <c r="G55" i="184"/>
  <c r="F55" i="184"/>
  <c r="E55" i="184"/>
  <c r="D55" i="184"/>
  <c r="D67" i="184" s="1"/>
  <c r="J67" i="185"/>
  <c r="I67" i="185"/>
  <c r="H67" i="185"/>
  <c r="G67" i="185"/>
  <c r="F67" i="185"/>
  <c r="J55" i="185"/>
  <c r="I55" i="185"/>
  <c r="H55" i="185"/>
  <c r="G55" i="185"/>
  <c r="F55" i="185"/>
  <c r="E55" i="185"/>
  <c r="E67" i="185" s="1"/>
  <c r="D55" i="185"/>
  <c r="D67" i="185" s="1"/>
  <c r="J67" i="186"/>
  <c r="I67" i="186"/>
  <c r="H67" i="186"/>
  <c r="G67" i="186"/>
  <c r="F67" i="186"/>
  <c r="J55" i="186"/>
  <c r="I55" i="186"/>
  <c r="H55" i="186"/>
  <c r="G55" i="186"/>
  <c r="F55" i="186"/>
  <c r="E55" i="186"/>
  <c r="E67" i="186" s="1"/>
  <c r="D55" i="186"/>
  <c r="D67" i="186" s="1"/>
  <c r="J67" i="187"/>
  <c r="I67" i="187"/>
  <c r="H67" i="187"/>
  <c r="J55" i="187"/>
  <c r="I55" i="187"/>
  <c r="H55" i="187"/>
  <c r="G55" i="187"/>
  <c r="G67" i="187" s="1"/>
  <c r="F55" i="187"/>
  <c r="F67" i="187" s="1"/>
  <c r="E55" i="187"/>
  <c r="E67" i="187" s="1"/>
  <c r="D55" i="187"/>
  <c r="D67" i="187" s="1"/>
  <c r="J67" i="188"/>
  <c r="I67" i="188"/>
  <c r="H67" i="188"/>
  <c r="J55" i="188"/>
  <c r="I55" i="188"/>
  <c r="H55" i="188"/>
  <c r="G55" i="188"/>
  <c r="G67" i="188" s="1"/>
  <c r="F55" i="188"/>
  <c r="F67" i="188" s="1"/>
  <c r="E55" i="188"/>
  <c r="E67" i="188" s="1"/>
  <c r="D55" i="188"/>
  <c r="D67" i="188" s="1"/>
  <c r="J67" i="96"/>
  <c r="I67" i="96"/>
  <c r="H67" i="96"/>
  <c r="G67" i="96"/>
  <c r="J55" i="96"/>
  <c r="I55" i="96"/>
  <c r="H55" i="96"/>
  <c r="G55" i="96"/>
  <c r="F55" i="96"/>
  <c r="F67" i="96" s="1"/>
  <c r="E55" i="96"/>
  <c r="E67" i="96" s="1"/>
  <c r="D55" i="96"/>
  <c r="D67" i="96" s="1"/>
  <c r="J67" i="8"/>
  <c r="I67" i="8"/>
  <c r="H67" i="8"/>
  <c r="G67" i="8"/>
  <c r="J55" i="8"/>
  <c r="I55" i="8"/>
  <c r="H55" i="8"/>
  <c r="G55" i="8"/>
  <c r="F55" i="8"/>
  <c r="F67" i="8" s="1"/>
  <c r="E55" i="8"/>
  <c r="E67" i="8" s="1"/>
  <c r="D55" i="8"/>
  <c r="D67" i="8" s="1"/>
  <c r="B9" i="1" l="1"/>
  <c r="J44" i="97"/>
  <c r="I44" i="97"/>
  <c r="H44" i="97"/>
  <c r="G44" i="97"/>
  <c r="F44" i="97"/>
  <c r="E44" i="97"/>
  <c r="D44" i="97"/>
  <c r="J43" i="97"/>
  <c r="I43" i="97"/>
  <c r="H43" i="97"/>
  <c r="G43" i="97"/>
  <c r="F43" i="97"/>
  <c r="E43" i="97"/>
  <c r="D43" i="97"/>
  <c r="J41" i="97"/>
  <c r="I41" i="97"/>
  <c r="H41" i="97"/>
  <c r="G41" i="97"/>
  <c r="F41" i="97"/>
  <c r="E41" i="97"/>
  <c r="D41" i="97"/>
  <c r="J40" i="97"/>
  <c r="I40" i="97"/>
  <c r="H40" i="97"/>
  <c r="J38" i="97"/>
  <c r="I38" i="97"/>
  <c r="H38" i="97"/>
  <c r="G38" i="97"/>
  <c r="G40" i="97" s="1"/>
  <c r="F38" i="97"/>
  <c r="F40" i="97" s="1"/>
  <c r="E38" i="97"/>
  <c r="E40" i="97" s="1"/>
  <c r="D38" i="97"/>
  <c r="D40" i="97" s="1"/>
  <c r="J44" i="98"/>
  <c r="I44" i="98"/>
  <c r="H44" i="98"/>
  <c r="G44" i="98"/>
  <c r="F44" i="98"/>
  <c r="E44" i="98"/>
  <c r="D44" i="98"/>
  <c r="J43" i="98"/>
  <c r="I43" i="98"/>
  <c r="H43" i="98"/>
  <c r="G43" i="98"/>
  <c r="F43" i="98"/>
  <c r="E43" i="98"/>
  <c r="D43" i="98"/>
  <c r="J41" i="98"/>
  <c r="I41" i="98"/>
  <c r="H41" i="98"/>
  <c r="G41" i="98"/>
  <c r="F41" i="98"/>
  <c r="E41" i="98"/>
  <c r="D41" i="98"/>
  <c r="J40" i="98"/>
  <c r="I40" i="98"/>
  <c r="J38" i="98"/>
  <c r="I38" i="98"/>
  <c r="H38" i="98"/>
  <c r="H40" i="98" s="1"/>
  <c r="G38" i="98"/>
  <c r="G40" i="98" s="1"/>
  <c r="F38" i="98"/>
  <c r="F40" i="98" s="1"/>
  <c r="E38" i="98"/>
  <c r="E40" i="98" s="1"/>
  <c r="D38" i="98"/>
  <c r="D40" i="98" s="1"/>
  <c r="J44" i="99"/>
  <c r="I44" i="99"/>
  <c r="H44" i="99"/>
  <c r="G44" i="99"/>
  <c r="F44" i="99"/>
  <c r="E44" i="99"/>
  <c r="D44" i="99"/>
  <c r="J43" i="99"/>
  <c r="I43" i="99"/>
  <c r="H43" i="99"/>
  <c r="G43" i="99"/>
  <c r="F43" i="99"/>
  <c r="E43" i="99"/>
  <c r="D43" i="99"/>
  <c r="J41" i="99"/>
  <c r="I41" i="99"/>
  <c r="H41" i="99"/>
  <c r="G41" i="99"/>
  <c r="F41" i="99"/>
  <c r="E41" i="99"/>
  <c r="D41" i="99"/>
  <c r="J40" i="99"/>
  <c r="I40" i="99"/>
  <c r="H40" i="99"/>
  <c r="G40" i="99"/>
  <c r="J38" i="99"/>
  <c r="I38" i="99"/>
  <c r="H38" i="99"/>
  <c r="G38" i="99"/>
  <c r="F38" i="99"/>
  <c r="F40" i="99" s="1"/>
  <c r="E38" i="99"/>
  <c r="E40" i="99" s="1"/>
  <c r="D38" i="99"/>
  <c r="D40" i="99" s="1"/>
  <c r="J44" i="100"/>
  <c r="I44" i="100"/>
  <c r="H44" i="100"/>
  <c r="G44" i="100"/>
  <c r="F44" i="100"/>
  <c r="E44" i="100"/>
  <c r="D44" i="100"/>
  <c r="J43" i="100"/>
  <c r="I43" i="100"/>
  <c r="H43" i="100"/>
  <c r="G43" i="100"/>
  <c r="F43" i="100"/>
  <c r="E43" i="100"/>
  <c r="D43" i="100"/>
  <c r="J41" i="100"/>
  <c r="I41" i="100"/>
  <c r="H41" i="100"/>
  <c r="G41" i="100"/>
  <c r="F41" i="100"/>
  <c r="E41" i="100"/>
  <c r="D41" i="100"/>
  <c r="J40" i="100"/>
  <c r="I40" i="100"/>
  <c r="H40" i="100"/>
  <c r="J38" i="100"/>
  <c r="I38" i="100"/>
  <c r="H38" i="100"/>
  <c r="G38" i="100"/>
  <c r="G40" i="100" s="1"/>
  <c r="F38" i="100"/>
  <c r="F40" i="100" s="1"/>
  <c r="E38" i="100"/>
  <c r="E40" i="100" s="1"/>
  <c r="D38" i="100"/>
  <c r="D40" i="100" s="1"/>
  <c r="J44" i="101"/>
  <c r="I44" i="101"/>
  <c r="H44" i="101"/>
  <c r="G44" i="101"/>
  <c r="F44" i="101"/>
  <c r="E44" i="101"/>
  <c r="D44" i="101"/>
  <c r="J43" i="101"/>
  <c r="I43" i="101"/>
  <c r="H43" i="101"/>
  <c r="G43" i="101"/>
  <c r="F43" i="101"/>
  <c r="E43" i="101"/>
  <c r="D43" i="101"/>
  <c r="J41" i="101"/>
  <c r="I41" i="101"/>
  <c r="H41" i="101"/>
  <c r="G41" i="101"/>
  <c r="F41" i="101"/>
  <c r="E41" i="101"/>
  <c r="D41" i="101"/>
  <c r="J40" i="101"/>
  <c r="I40" i="101"/>
  <c r="H40" i="101"/>
  <c r="G40" i="101"/>
  <c r="F40" i="101"/>
  <c r="J38" i="101"/>
  <c r="I38" i="101"/>
  <c r="H38" i="101"/>
  <c r="G38" i="101"/>
  <c r="F38" i="101"/>
  <c r="E38" i="101"/>
  <c r="E40" i="101" s="1"/>
  <c r="D38" i="101"/>
  <c r="D40" i="101" s="1"/>
  <c r="J44" i="102"/>
  <c r="I44" i="102"/>
  <c r="H44" i="102"/>
  <c r="G44" i="102"/>
  <c r="F44" i="102"/>
  <c r="E44" i="102"/>
  <c r="D44" i="102"/>
  <c r="J43" i="102"/>
  <c r="I43" i="102"/>
  <c r="H43" i="102"/>
  <c r="G43" i="102"/>
  <c r="F43" i="102"/>
  <c r="E43" i="102"/>
  <c r="D43" i="102"/>
  <c r="J41" i="102"/>
  <c r="I41" i="102"/>
  <c r="H41" i="102"/>
  <c r="G41" i="102"/>
  <c r="F41" i="102"/>
  <c r="E41" i="102"/>
  <c r="D41" i="102"/>
  <c r="J40" i="102"/>
  <c r="I40" i="102"/>
  <c r="H40" i="102"/>
  <c r="G40" i="102"/>
  <c r="J38" i="102"/>
  <c r="I38" i="102"/>
  <c r="H38" i="102"/>
  <c r="G38" i="102"/>
  <c r="F38" i="102"/>
  <c r="F40" i="102" s="1"/>
  <c r="E38" i="102"/>
  <c r="E40" i="102" s="1"/>
  <c r="D38" i="102"/>
  <c r="D40" i="102" s="1"/>
  <c r="J44" i="103"/>
  <c r="I44" i="103"/>
  <c r="H44" i="103"/>
  <c r="G44" i="103"/>
  <c r="F44" i="103"/>
  <c r="E44" i="103"/>
  <c r="D44" i="103"/>
  <c r="J43" i="103"/>
  <c r="I43" i="103"/>
  <c r="H43" i="103"/>
  <c r="G43" i="103"/>
  <c r="F43" i="103"/>
  <c r="E43" i="103"/>
  <c r="D43" i="103"/>
  <c r="J41" i="103"/>
  <c r="I41" i="103"/>
  <c r="H41" i="103"/>
  <c r="G41" i="103"/>
  <c r="F41" i="103"/>
  <c r="E41" i="103"/>
  <c r="D41" i="103"/>
  <c r="J40" i="103"/>
  <c r="I40" i="103"/>
  <c r="H40" i="103"/>
  <c r="D40" i="103"/>
  <c r="J38" i="103"/>
  <c r="I38" i="103"/>
  <c r="H38" i="103"/>
  <c r="G38" i="103"/>
  <c r="G40" i="103" s="1"/>
  <c r="F38" i="103"/>
  <c r="F40" i="103" s="1"/>
  <c r="E38" i="103"/>
  <c r="E40" i="103" s="1"/>
  <c r="D38" i="103"/>
  <c r="J44" i="104"/>
  <c r="I44" i="104"/>
  <c r="H44" i="104"/>
  <c r="G44" i="104"/>
  <c r="F44" i="104"/>
  <c r="E44" i="104"/>
  <c r="D44" i="104"/>
  <c r="J43" i="104"/>
  <c r="I43" i="104"/>
  <c r="H43" i="104"/>
  <c r="G43" i="104"/>
  <c r="F43" i="104"/>
  <c r="E43" i="104"/>
  <c r="D43" i="104"/>
  <c r="J41" i="104"/>
  <c r="I41" i="104"/>
  <c r="H41" i="104"/>
  <c r="G41" i="104"/>
  <c r="F41" i="104"/>
  <c r="E41" i="104"/>
  <c r="D41" i="104"/>
  <c r="J40" i="104"/>
  <c r="I40" i="104"/>
  <c r="H40" i="104"/>
  <c r="J38" i="104"/>
  <c r="I38" i="104"/>
  <c r="H38" i="104"/>
  <c r="G38" i="104"/>
  <c r="G40" i="104" s="1"/>
  <c r="F38" i="104"/>
  <c r="F40" i="104" s="1"/>
  <c r="E38" i="104"/>
  <c r="E40" i="104" s="1"/>
  <c r="D38" i="104"/>
  <c r="D40" i="104" s="1"/>
  <c r="J44" i="105"/>
  <c r="I44" i="105"/>
  <c r="H44" i="105"/>
  <c r="G44" i="105"/>
  <c r="F44" i="105"/>
  <c r="E44" i="105"/>
  <c r="D44" i="105"/>
  <c r="J43" i="105"/>
  <c r="I43" i="105"/>
  <c r="H43" i="105"/>
  <c r="G43" i="105"/>
  <c r="F43" i="105"/>
  <c r="E43" i="105"/>
  <c r="D43" i="105"/>
  <c r="J41" i="105"/>
  <c r="I41" i="105"/>
  <c r="H41" i="105"/>
  <c r="G41" i="105"/>
  <c r="F41" i="105"/>
  <c r="E41" i="105"/>
  <c r="D41" i="105"/>
  <c r="J40" i="105"/>
  <c r="I40" i="105"/>
  <c r="H40" i="105"/>
  <c r="J38" i="105"/>
  <c r="I38" i="105"/>
  <c r="H38" i="105"/>
  <c r="G38" i="105"/>
  <c r="G40" i="105" s="1"/>
  <c r="F38" i="105"/>
  <c r="F40" i="105" s="1"/>
  <c r="E38" i="105"/>
  <c r="E40" i="105" s="1"/>
  <c r="D38" i="105"/>
  <c r="D40" i="105" s="1"/>
  <c r="J44" i="106"/>
  <c r="I44" i="106"/>
  <c r="H44" i="106"/>
  <c r="G44" i="106"/>
  <c r="F44" i="106"/>
  <c r="E44" i="106"/>
  <c r="D44" i="106"/>
  <c r="J43" i="106"/>
  <c r="I43" i="106"/>
  <c r="H43" i="106"/>
  <c r="G43" i="106"/>
  <c r="F43" i="106"/>
  <c r="E43" i="106"/>
  <c r="D43" i="106"/>
  <c r="J41" i="106"/>
  <c r="I41" i="106"/>
  <c r="H41" i="106"/>
  <c r="G41" i="106"/>
  <c r="F41" i="106"/>
  <c r="E41" i="106"/>
  <c r="D41" i="106"/>
  <c r="J40" i="106"/>
  <c r="I40" i="106"/>
  <c r="H40" i="106"/>
  <c r="G40" i="106"/>
  <c r="J38" i="106"/>
  <c r="I38" i="106"/>
  <c r="H38" i="106"/>
  <c r="G38" i="106"/>
  <c r="F38" i="106"/>
  <c r="F40" i="106" s="1"/>
  <c r="E38" i="106"/>
  <c r="E40" i="106" s="1"/>
  <c r="D38" i="106"/>
  <c r="D40" i="106" s="1"/>
  <c r="J44" i="107"/>
  <c r="I44" i="107"/>
  <c r="H44" i="107"/>
  <c r="G44" i="107"/>
  <c r="F44" i="107"/>
  <c r="E44" i="107"/>
  <c r="D44" i="107"/>
  <c r="J43" i="107"/>
  <c r="I43" i="107"/>
  <c r="H43" i="107"/>
  <c r="G43" i="107"/>
  <c r="F43" i="107"/>
  <c r="E43" i="107"/>
  <c r="D43" i="107"/>
  <c r="J41" i="107"/>
  <c r="I41" i="107"/>
  <c r="H41" i="107"/>
  <c r="G41" i="107"/>
  <c r="F41" i="107"/>
  <c r="E41" i="107"/>
  <c r="D41" i="107"/>
  <c r="J40" i="107"/>
  <c r="I40" i="107"/>
  <c r="H40" i="107"/>
  <c r="G40" i="107"/>
  <c r="J38" i="107"/>
  <c r="I38" i="107"/>
  <c r="H38" i="107"/>
  <c r="G38" i="107"/>
  <c r="F38" i="107"/>
  <c r="F40" i="107" s="1"/>
  <c r="E38" i="107"/>
  <c r="E40" i="107" s="1"/>
  <c r="D38" i="107"/>
  <c r="D40" i="107" s="1"/>
  <c r="J44" i="108"/>
  <c r="I44" i="108"/>
  <c r="H44" i="108"/>
  <c r="G44" i="108"/>
  <c r="F44" i="108"/>
  <c r="E44" i="108"/>
  <c r="D44" i="108"/>
  <c r="J43" i="108"/>
  <c r="I43" i="108"/>
  <c r="H43" i="108"/>
  <c r="G43" i="108"/>
  <c r="F43" i="108"/>
  <c r="E43" i="108"/>
  <c r="D43" i="108"/>
  <c r="J41" i="108"/>
  <c r="I41" i="108"/>
  <c r="H41" i="108"/>
  <c r="G41" i="108"/>
  <c r="F41" i="108"/>
  <c r="E41" i="108"/>
  <c r="D41" i="108"/>
  <c r="J40" i="108"/>
  <c r="I40" i="108"/>
  <c r="H40" i="108"/>
  <c r="G40" i="108"/>
  <c r="J38" i="108"/>
  <c r="I38" i="108"/>
  <c r="H38" i="108"/>
  <c r="G38" i="108"/>
  <c r="F38" i="108"/>
  <c r="F40" i="108" s="1"/>
  <c r="E38" i="108"/>
  <c r="E40" i="108" s="1"/>
  <c r="D38" i="108"/>
  <c r="D40" i="108" s="1"/>
  <c r="J44" i="109"/>
  <c r="I44" i="109"/>
  <c r="H44" i="109"/>
  <c r="G44" i="109"/>
  <c r="F44" i="109"/>
  <c r="E44" i="109"/>
  <c r="D44" i="109"/>
  <c r="J43" i="109"/>
  <c r="I43" i="109"/>
  <c r="H43" i="109"/>
  <c r="G43" i="109"/>
  <c r="F43" i="109"/>
  <c r="E43" i="109"/>
  <c r="D43" i="109"/>
  <c r="J41" i="109"/>
  <c r="I41" i="109"/>
  <c r="H41" i="109"/>
  <c r="G41" i="109"/>
  <c r="F41" i="109"/>
  <c r="E41" i="109"/>
  <c r="D41" i="109"/>
  <c r="J40" i="109"/>
  <c r="I40" i="109"/>
  <c r="H40" i="109"/>
  <c r="G40" i="109"/>
  <c r="F40" i="109"/>
  <c r="E40" i="109"/>
  <c r="J38" i="109"/>
  <c r="I38" i="109"/>
  <c r="H38" i="109"/>
  <c r="G38" i="109"/>
  <c r="F38" i="109"/>
  <c r="E38" i="109"/>
  <c r="D38" i="109"/>
  <c r="D40" i="109" s="1"/>
  <c r="J44" i="110"/>
  <c r="I44" i="110"/>
  <c r="H44" i="110"/>
  <c r="G44" i="110"/>
  <c r="F44" i="110"/>
  <c r="E44" i="110"/>
  <c r="D44" i="110"/>
  <c r="J43" i="110"/>
  <c r="I43" i="110"/>
  <c r="H43" i="110"/>
  <c r="G43" i="110"/>
  <c r="F43" i="110"/>
  <c r="E43" i="110"/>
  <c r="D43" i="110"/>
  <c r="J41" i="110"/>
  <c r="I41" i="110"/>
  <c r="H41" i="110"/>
  <c r="G41" i="110"/>
  <c r="F41" i="110"/>
  <c r="E41" i="110"/>
  <c r="D41" i="110"/>
  <c r="J40" i="110"/>
  <c r="I40" i="110"/>
  <c r="H40" i="110"/>
  <c r="G40" i="110"/>
  <c r="F40" i="110"/>
  <c r="J38" i="110"/>
  <c r="I38" i="110"/>
  <c r="H38" i="110"/>
  <c r="G38" i="110"/>
  <c r="F38" i="110"/>
  <c r="E38" i="110"/>
  <c r="E40" i="110" s="1"/>
  <c r="D38" i="110"/>
  <c r="D40" i="110" s="1"/>
  <c r="J44" i="111"/>
  <c r="I44" i="111"/>
  <c r="H44" i="111"/>
  <c r="G44" i="111"/>
  <c r="F44" i="111"/>
  <c r="E44" i="111"/>
  <c r="D44" i="111"/>
  <c r="J43" i="111"/>
  <c r="I43" i="111"/>
  <c r="H43" i="111"/>
  <c r="G43" i="111"/>
  <c r="F43" i="111"/>
  <c r="E43" i="111"/>
  <c r="D43" i="111"/>
  <c r="J41" i="111"/>
  <c r="I41" i="111"/>
  <c r="H41" i="111"/>
  <c r="G41" i="111"/>
  <c r="F41" i="111"/>
  <c r="E41" i="111"/>
  <c r="D41" i="111"/>
  <c r="J40" i="111"/>
  <c r="I40" i="111"/>
  <c r="H40" i="111"/>
  <c r="G40" i="111"/>
  <c r="J38" i="111"/>
  <c r="I38" i="111"/>
  <c r="H38" i="111"/>
  <c r="G38" i="111"/>
  <c r="F38" i="111"/>
  <c r="F40" i="111" s="1"/>
  <c r="E38" i="111"/>
  <c r="E40" i="111" s="1"/>
  <c r="D38" i="111"/>
  <c r="D40" i="111" s="1"/>
  <c r="J44" i="112"/>
  <c r="I44" i="112"/>
  <c r="H44" i="112"/>
  <c r="G44" i="112"/>
  <c r="F44" i="112"/>
  <c r="E44" i="112"/>
  <c r="D44" i="112"/>
  <c r="J43" i="112"/>
  <c r="I43" i="112"/>
  <c r="H43" i="112"/>
  <c r="G43" i="112"/>
  <c r="F43" i="112"/>
  <c r="E43" i="112"/>
  <c r="D43" i="112"/>
  <c r="J41" i="112"/>
  <c r="I41" i="112"/>
  <c r="H41" i="112"/>
  <c r="G41" i="112"/>
  <c r="F41" i="112"/>
  <c r="E41" i="112"/>
  <c r="D41" i="112"/>
  <c r="J40" i="112"/>
  <c r="I40" i="112"/>
  <c r="H40" i="112"/>
  <c r="G40" i="112"/>
  <c r="F40" i="112"/>
  <c r="J38" i="112"/>
  <c r="I38" i="112"/>
  <c r="H38" i="112"/>
  <c r="G38" i="112"/>
  <c r="F38" i="112"/>
  <c r="E38" i="112"/>
  <c r="E40" i="112" s="1"/>
  <c r="D38" i="112"/>
  <c r="D40" i="112" s="1"/>
  <c r="J44" i="113"/>
  <c r="I44" i="113"/>
  <c r="H44" i="113"/>
  <c r="G44" i="113"/>
  <c r="F44" i="113"/>
  <c r="E44" i="113"/>
  <c r="D44" i="113"/>
  <c r="J43" i="113"/>
  <c r="I43" i="113"/>
  <c r="H43" i="113"/>
  <c r="G43" i="113"/>
  <c r="F43" i="113"/>
  <c r="E43" i="113"/>
  <c r="D43" i="113"/>
  <c r="J41" i="113"/>
  <c r="I41" i="113"/>
  <c r="H41" i="113"/>
  <c r="G41" i="113"/>
  <c r="F41" i="113"/>
  <c r="E41" i="113"/>
  <c r="D41" i="113"/>
  <c r="J40" i="113"/>
  <c r="J38" i="113"/>
  <c r="I38" i="113"/>
  <c r="I40" i="113" s="1"/>
  <c r="H38" i="113"/>
  <c r="H40" i="113" s="1"/>
  <c r="G38" i="113"/>
  <c r="G40" i="113" s="1"/>
  <c r="F38" i="113"/>
  <c r="F40" i="113" s="1"/>
  <c r="E38" i="113"/>
  <c r="E40" i="113" s="1"/>
  <c r="D38" i="113"/>
  <c r="D40" i="113" s="1"/>
  <c r="J44" i="114"/>
  <c r="I44" i="114"/>
  <c r="H44" i="114"/>
  <c r="G44" i="114"/>
  <c r="F44" i="114"/>
  <c r="E44" i="114"/>
  <c r="D44" i="114"/>
  <c r="J43" i="114"/>
  <c r="I43" i="114"/>
  <c r="H43" i="114"/>
  <c r="G43" i="114"/>
  <c r="F43" i="114"/>
  <c r="E43" i="114"/>
  <c r="D43" i="114"/>
  <c r="J41" i="114"/>
  <c r="I41" i="114"/>
  <c r="H41" i="114"/>
  <c r="G41" i="114"/>
  <c r="F41" i="114"/>
  <c r="E41" i="114"/>
  <c r="D41" i="114"/>
  <c r="J40" i="114"/>
  <c r="I40" i="114"/>
  <c r="H40" i="114"/>
  <c r="G40" i="114"/>
  <c r="F40" i="114"/>
  <c r="E40" i="114"/>
  <c r="J38" i="114"/>
  <c r="I38" i="114"/>
  <c r="H38" i="114"/>
  <c r="G38" i="114"/>
  <c r="F38" i="114"/>
  <c r="E38" i="114"/>
  <c r="D38" i="114"/>
  <c r="D40" i="114" s="1"/>
  <c r="J44" i="115"/>
  <c r="I44" i="115"/>
  <c r="H44" i="115"/>
  <c r="G44" i="115"/>
  <c r="F44" i="115"/>
  <c r="E44" i="115"/>
  <c r="D44" i="115"/>
  <c r="J43" i="115"/>
  <c r="I43" i="115"/>
  <c r="H43" i="115"/>
  <c r="G43" i="115"/>
  <c r="F43" i="115"/>
  <c r="E43" i="115"/>
  <c r="D43" i="115"/>
  <c r="J41" i="115"/>
  <c r="I41" i="115"/>
  <c r="H41" i="115"/>
  <c r="G41" i="115"/>
  <c r="F41" i="115"/>
  <c r="E41" i="115"/>
  <c r="D41" i="115"/>
  <c r="J40" i="115"/>
  <c r="I40" i="115"/>
  <c r="J38" i="115"/>
  <c r="I38" i="115"/>
  <c r="H38" i="115"/>
  <c r="H40" i="115" s="1"/>
  <c r="G38" i="115"/>
  <c r="G40" i="115" s="1"/>
  <c r="F38" i="115"/>
  <c r="F40" i="115" s="1"/>
  <c r="E38" i="115"/>
  <c r="E40" i="115" s="1"/>
  <c r="D38" i="115"/>
  <c r="D40" i="115" s="1"/>
  <c r="J44" i="116"/>
  <c r="I44" i="116"/>
  <c r="H44" i="116"/>
  <c r="G44" i="116"/>
  <c r="F44" i="116"/>
  <c r="E44" i="116"/>
  <c r="D44" i="116"/>
  <c r="J43" i="116"/>
  <c r="I43" i="116"/>
  <c r="H43" i="116"/>
  <c r="G43" i="116"/>
  <c r="F43" i="116"/>
  <c r="E43" i="116"/>
  <c r="D43" i="116"/>
  <c r="J41" i="116"/>
  <c r="I41" i="116"/>
  <c r="H41" i="116"/>
  <c r="G41" i="116"/>
  <c r="F41" i="116"/>
  <c r="E41" i="116"/>
  <c r="D41" i="116"/>
  <c r="J38" i="116"/>
  <c r="J40" i="116" s="1"/>
  <c r="I38" i="116"/>
  <c r="I40" i="116" s="1"/>
  <c r="H38" i="116"/>
  <c r="H40" i="116" s="1"/>
  <c r="G38" i="116"/>
  <c r="G40" i="116" s="1"/>
  <c r="F38" i="116"/>
  <c r="F40" i="116" s="1"/>
  <c r="E38" i="116"/>
  <c r="E40" i="116" s="1"/>
  <c r="D38" i="116"/>
  <c r="D40" i="116" s="1"/>
  <c r="J44" i="117"/>
  <c r="I44" i="117"/>
  <c r="H44" i="117"/>
  <c r="G44" i="117"/>
  <c r="F44" i="117"/>
  <c r="E44" i="117"/>
  <c r="D44" i="117"/>
  <c r="J43" i="117"/>
  <c r="I43" i="117"/>
  <c r="H43" i="117"/>
  <c r="G43" i="117"/>
  <c r="F43" i="117"/>
  <c r="E43" i="117"/>
  <c r="D43" i="117"/>
  <c r="J41" i="117"/>
  <c r="I41" i="117"/>
  <c r="H41" i="117"/>
  <c r="G41" i="117"/>
  <c r="F41" i="117"/>
  <c r="E41" i="117"/>
  <c r="D41" i="117"/>
  <c r="J40" i="117"/>
  <c r="I40" i="117"/>
  <c r="H40" i="117"/>
  <c r="J38" i="117"/>
  <c r="I38" i="117"/>
  <c r="H38" i="117"/>
  <c r="G38" i="117"/>
  <c r="G40" i="117" s="1"/>
  <c r="F38" i="117"/>
  <c r="F40" i="117" s="1"/>
  <c r="E38" i="117"/>
  <c r="E40" i="117" s="1"/>
  <c r="D38" i="117"/>
  <c r="D40" i="117" s="1"/>
  <c r="J44" i="118"/>
  <c r="I44" i="118"/>
  <c r="H44" i="118"/>
  <c r="G44" i="118"/>
  <c r="F44" i="118"/>
  <c r="E44" i="118"/>
  <c r="D44" i="118"/>
  <c r="J43" i="118"/>
  <c r="I43" i="118"/>
  <c r="H43" i="118"/>
  <c r="G43" i="118"/>
  <c r="F43" i="118"/>
  <c r="E43" i="118"/>
  <c r="D43" i="118"/>
  <c r="J41" i="118"/>
  <c r="I41" i="118"/>
  <c r="H41" i="118"/>
  <c r="G41" i="118"/>
  <c r="F41" i="118"/>
  <c r="E41" i="118"/>
  <c r="D41" i="118"/>
  <c r="G40" i="118"/>
  <c r="J38" i="118"/>
  <c r="J40" i="118" s="1"/>
  <c r="I38" i="118"/>
  <c r="I40" i="118" s="1"/>
  <c r="H38" i="118"/>
  <c r="H40" i="118" s="1"/>
  <c r="G38" i="118"/>
  <c r="F38" i="118"/>
  <c r="F40" i="118" s="1"/>
  <c r="E38" i="118"/>
  <c r="E40" i="118" s="1"/>
  <c r="D38" i="118"/>
  <c r="D40" i="118" s="1"/>
  <c r="J44" i="119"/>
  <c r="I44" i="119"/>
  <c r="H44" i="119"/>
  <c r="G44" i="119"/>
  <c r="F44" i="119"/>
  <c r="E44" i="119"/>
  <c r="D44" i="119"/>
  <c r="J43" i="119"/>
  <c r="I43" i="119"/>
  <c r="H43" i="119"/>
  <c r="G43" i="119"/>
  <c r="F43" i="119"/>
  <c r="E43" i="119"/>
  <c r="D43" i="119"/>
  <c r="J41" i="119"/>
  <c r="I41" i="119"/>
  <c r="H41" i="119"/>
  <c r="G41" i="119"/>
  <c r="F41" i="119"/>
  <c r="E41" i="119"/>
  <c r="D41" i="119"/>
  <c r="J40" i="119"/>
  <c r="I40" i="119"/>
  <c r="H40" i="119"/>
  <c r="J38" i="119"/>
  <c r="I38" i="119"/>
  <c r="H38" i="119"/>
  <c r="G38" i="119"/>
  <c r="G40" i="119" s="1"/>
  <c r="F38" i="119"/>
  <c r="F40" i="119" s="1"/>
  <c r="E38" i="119"/>
  <c r="E40" i="119" s="1"/>
  <c r="D38" i="119"/>
  <c r="D40" i="119" s="1"/>
  <c r="J44" i="120"/>
  <c r="I44" i="120"/>
  <c r="H44" i="120"/>
  <c r="G44" i="120"/>
  <c r="F44" i="120"/>
  <c r="E44" i="120"/>
  <c r="D44" i="120"/>
  <c r="J43" i="120"/>
  <c r="I43" i="120"/>
  <c r="H43" i="120"/>
  <c r="G43" i="120"/>
  <c r="F43" i="120"/>
  <c r="E43" i="120"/>
  <c r="D43" i="120"/>
  <c r="J41" i="120"/>
  <c r="I41" i="120"/>
  <c r="H41" i="120"/>
  <c r="G41" i="120"/>
  <c r="F41" i="120"/>
  <c r="E41" i="120"/>
  <c r="D41" i="120"/>
  <c r="J40" i="120"/>
  <c r="I40" i="120"/>
  <c r="H40" i="120"/>
  <c r="J38" i="120"/>
  <c r="I38" i="120"/>
  <c r="H38" i="120"/>
  <c r="G38" i="120"/>
  <c r="G40" i="120" s="1"/>
  <c r="F38" i="120"/>
  <c r="F40" i="120" s="1"/>
  <c r="E38" i="120"/>
  <c r="E40" i="120" s="1"/>
  <c r="D38" i="120"/>
  <c r="D40" i="120" s="1"/>
  <c r="J44" i="121"/>
  <c r="I44" i="121"/>
  <c r="H44" i="121"/>
  <c r="G44" i="121"/>
  <c r="F44" i="121"/>
  <c r="E44" i="121"/>
  <c r="D44" i="121"/>
  <c r="J43" i="121"/>
  <c r="I43" i="121"/>
  <c r="H43" i="121"/>
  <c r="G43" i="121"/>
  <c r="F43" i="121"/>
  <c r="E43" i="121"/>
  <c r="D43" i="121"/>
  <c r="J41" i="121"/>
  <c r="I41" i="121"/>
  <c r="H41" i="121"/>
  <c r="G41" i="121"/>
  <c r="F41" i="121"/>
  <c r="E41" i="121"/>
  <c r="D41" i="121"/>
  <c r="J40" i="121"/>
  <c r="I40" i="121"/>
  <c r="H40" i="121"/>
  <c r="G40" i="121"/>
  <c r="J38" i="121"/>
  <c r="I38" i="121"/>
  <c r="H38" i="121"/>
  <c r="G38" i="121"/>
  <c r="F38" i="121"/>
  <c r="F40" i="121" s="1"/>
  <c r="E38" i="121"/>
  <c r="E40" i="121" s="1"/>
  <c r="D38" i="121"/>
  <c r="D40" i="121" s="1"/>
  <c r="J44" i="122"/>
  <c r="I44" i="122"/>
  <c r="H44" i="122"/>
  <c r="G44" i="122"/>
  <c r="F44" i="122"/>
  <c r="E44" i="122"/>
  <c r="D44" i="122"/>
  <c r="J43" i="122"/>
  <c r="I43" i="122"/>
  <c r="H43" i="122"/>
  <c r="G43" i="122"/>
  <c r="F43" i="122"/>
  <c r="E43" i="122"/>
  <c r="D43" i="122"/>
  <c r="J41" i="122"/>
  <c r="I41" i="122"/>
  <c r="H41" i="122"/>
  <c r="G41" i="122"/>
  <c r="F41" i="122"/>
  <c r="E41" i="122"/>
  <c r="D41" i="122"/>
  <c r="J40" i="122"/>
  <c r="I40" i="122"/>
  <c r="H40" i="122"/>
  <c r="G40" i="122"/>
  <c r="F40" i="122"/>
  <c r="E40" i="122"/>
  <c r="J38" i="122"/>
  <c r="I38" i="122"/>
  <c r="H38" i="122"/>
  <c r="G38" i="122"/>
  <c r="F38" i="122"/>
  <c r="E38" i="122"/>
  <c r="D38" i="122"/>
  <c r="D40" i="122" s="1"/>
  <c r="J44" i="123"/>
  <c r="I44" i="123"/>
  <c r="H44" i="123"/>
  <c r="G44" i="123"/>
  <c r="F44" i="123"/>
  <c r="E44" i="123"/>
  <c r="D44" i="123"/>
  <c r="J43" i="123"/>
  <c r="I43" i="123"/>
  <c r="H43" i="123"/>
  <c r="G43" i="123"/>
  <c r="F43" i="123"/>
  <c r="E43" i="123"/>
  <c r="D43" i="123"/>
  <c r="J41" i="123"/>
  <c r="I41" i="123"/>
  <c r="H41" i="123"/>
  <c r="G41" i="123"/>
  <c r="F41" i="123"/>
  <c r="E41" i="123"/>
  <c r="D41" i="123"/>
  <c r="J40" i="123"/>
  <c r="I40" i="123"/>
  <c r="H40" i="123"/>
  <c r="G40" i="123"/>
  <c r="D40" i="123"/>
  <c r="J38" i="123"/>
  <c r="I38" i="123"/>
  <c r="H38" i="123"/>
  <c r="G38" i="123"/>
  <c r="F38" i="123"/>
  <c r="F40" i="123" s="1"/>
  <c r="E38" i="123"/>
  <c r="E40" i="123" s="1"/>
  <c r="D38" i="123"/>
  <c r="J44" i="124"/>
  <c r="I44" i="124"/>
  <c r="H44" i="124"/>
  <c r="G44" i="124"/>
  <c r="F44" i="124"/>
  <c r="E44" i="124"/>
  <c r="D44" i="124"/>
  <c r="J43" i="124"/>
  <c r="I43" i="124"/>
  <c r="H43" i="124"/>
  <c r="G43" i="124"/>
  <c r="F43" i="124"/>
  <c r="E43" i="124"/>
  <c r="D43" i="124"/>
  <c r="J41" i="124"/>
  <c r="I41" i="124"/>
  <c r="H41" i="124"/>
  <c r="G41" i="124"/>
  <c r="F41" i="124"/>
  <c r="E41" i="124"/>
  <c r="D41" i="124"/>
  <c r="J40" i="124"/>
  <c r="J38" i="124"/>
  <c r="I38" i="124"/>
  <c r="I40" i="124" s="1"/>
  <c r="H38" i="124"/>
  <c r="H40" i="124" s="1"/>
  <c r="G38" i="124"/>
  <c r="G40" i="124" s="1"/>
  <c r="F38" i="124"/>
  <c r="F40" i="124" s="1"/>
  <c r="E38" i="124"/>
  <c r="E40" i="124" s="1"/>
  <c r="D38" i="124"/>
  <c r="D40" i="124" s="1"/>
  <c r="J44" i="125"/>
  <c r="I44" i="125"/>
  <c r="H44" i="125"/>
  <c r="G44" i="125"/>
  <c r="F44" i="125"/>
  <c r="E44" i="125"/>
  <c r="D44" i="125"/>
  <c r="J43" i="125"/>
  <c r="I43" i="125"/>
  <c r="H43" i="125"/>
  <c r="G43" i="125"/>
  <c r="F43" i="125"/>
  <c r="E43" i="125"/>
  <c r="J41" i="125"/>
  <c r="I41" i="125"/>
  <c r="H41" i="125"/>
  <c r="G41" i="125"/>
  <c r="F41" i="125"/>
  <c r="E41" i="125"/>
  <c r="D41" i="125"/>
  <c r="J40" i="125"/>
  <c r="I40" i="125"/>
  <c r="H40" i="125"/>
  <c r="G40" i="125"/>
  <c r="J38" i="125"/>
  <c r="I38" i="125"/>
  <c r="H38" i="125"/>
  <c r="G38" i="125"/>
  <c r="F38" i="125"/>
  <c r="F40" i="125" s="1"/>
  <c r="E38" i="125"/>
  <c r="E40" i="125" s="1"/>
  <c r="D38" i="125"/>
  <c r="D40" i="125" s="1"/>
  <c r="J44" i="126"/>
  <c r="I44" i="126"/>
  <c r="H44" i="126"/>
  <c r="G44" i="126"/>
  <c r="F44" i="126"/>
  <c r="E44" i="126"/>
  <c r="D44" i="126"/>
  <c r="J43" i="126"/>
  <c r="I43" i="126"/>
  <c r="H43" i="126"/>
  <c r="G43" i="126"/>
  <c r="F43" i="126"/>
  <c r="E43" i="126"/>
  <c r="D43" i="126"/>
  <c r="J41" i="126"/>
  <c r="I41" i="126"/>
  <c r="H41" i="126"/>
  <c r="G41" i="126"/>
  <c r="F41" i="126"/>
  <c r="E41" i="126"/>
  <c r="D41" i="126"/>
  <c r="J40" i="126"/>
  <c r="I40" i="126"/>
  <c r="H40" i="126"/>
  <c r="G40" i="126"/>
  <c r="J38" i="126"/>
  <c r="I38" i="126"/>
  <c r="H38" i="126"/>
  <c r="G38" i="126"/>
  <c r="F38" i="126"/>
  <c r="F40" i="126" s="1"/>
  <c r="E38" i="126"/>
  <c r="E40" i="126" s="1"/>
  <c r="D38" i="126"/>
  <c r="D40" i="126" s="1"/>
  <c r="J44" i="127"/>
  <c r="I44" i="127"/>
  <c r="H44" i="127"/>
  <c r="G44" i="127"/>
  <c r="F44" i="127"/>
  <c r="E44" i="127"/>
  <c r="D44" i="127"/>
  <c r="J43" i="127"/>
  <c r="I43" i="127"/>
  <c r="H43" i="127"/>
  <c r="G43" i="127"/>
  <c r="F43" i="127"/>
  <c r="E43" i="127"/>
  <c r="D43" i="127"/>
  <c r="J41" i="127"/>
  <c r="I41" i="127"/>
  <c r="H41" i="127"/>
  <c r="G41" i="127"/>
  <c r="F41" i="127"/>
  <c r="E41" i="127"/>
  <c r="D41" i="127"/>
  <c r="J40" i="127"/>
  <c r="I40" i="127"/>
  <c r="H40" i="127"/>
  <c r="G40" i="127"/>
  <c r="F40" i="127"/>
  <c r="E40" i="127"/>
  <c r="J38" i="127"/>
  <c r="I38" i="127"/>
  <c r="H38" i="127"/>
  <c r="G38" i="127"/>
  <c r="F38" i="127"/>
  <c r="E38" i="127"/>
  <c r="D38" i="127"/>
  <c r="D40" i="127" s="1"/>
  <c r="J44" i="128"/>
  <c r="I44" i="128"/>
  <c r="H44" i="128"/>
  <c r="G44" i="128"/>
  <c r="F44" i="128"/>
  <c r="E44" i="128"/>
  <c r="D44" i="128"/>
  <c r="J43" i="128"/>
  <c r="I43" i="128"/>
  <c r="H43" i="128"/>
  <c r="G43" i="128"/>
  <c r="F43" i="128"/>
  <c r="E43" i="128"/>
  <c r="J41" i="128"/>
  <c r="I41" i="128"/>
  <c r="H41" i="128"/>
  <c r="G41" i="128"/>
  <c r="F41" i="128"/>
  <c r="E41" i="128"/>
  <c r="D41" i="128"/>
  <c r="J40" i="128"/>
  <c r="I40" i="128"/>
  <c r="H40" i="128"/>
  <c r="G40" i="128"/>
  <c r="J38" i="128"/>
  <c r="I38" i="128"/>
  <c r="H38" i="128"/>
  <c r="G38" i="128"/>
  <c r="F38" i="128"/>
  <c r="F40" i="128" s="1"/>
  <c r="E38" i="128"/>
  <c r="E40" i="128" s="1"/>
  <c r="D38" i="128"/>
  <c r="D40" i="128" s="1"/>
  <c r="J44" i="129"/>
  <c r="I44" i="129"/>
  <c r="H44" i="129"/>
  <c r="G44" i="129"/>
  <c r="F44" i="129"/>
  <c r="E44" i="129"/>
  <c r="D44" i="129"/>
  <c r="J43" i="129"/>
  <c r="I43" i="129"/>
  <c r="H43" i="129"/>
  <c r="G43" i="129"/>
  <c r="F43" i="129"/>
  <c r="E43" i="129"/>
  <c r="D43" i="129"/>
  <c r="J41" i="129"/>
  <c r="I41" i="129"/>
  <c r="H41" i="129"/>
  <c r="G41" i="129"/>
  <c r="F41" i="129"/>
  <c r="E41" i="129"/>
  <c r="D41" i="129"/>
  <c r="J40" i="129"/>
  <c r="I40" i="129"/>
  <c r="H40" i="129"/>
  <c r="G40" i="129"/>
  <c r="F40" i="129"/>
  <c r="J38" i="129"/>
  <c r="I38" i="129"/>
  <c r="H38" i="129"/>
  <c r="G38" i="129"/>
  <c r="F38" i="129"/>
  <c r="E38" i="129"/>
  <c r="E40" i="129" s="1"/>
  <c r="D38" i="129"/>
  <c r="D40" i="129" s="1"/>
  <c r="J44" i="130"/>
  <c r="I44" i="130"/>
  <c r="H44" i="130"/>
  <c r="G44" i="130"/>
  <c r="F44" i="130"/>
  <c r="E44" i="130"/>
  <c r="D44" i="130"/>
  <c r="J43" i="130"/>
  <c r="I43" i="130"/>
  <c r="H43" i="130"/>
  <c r="G43" i="130"/>
  <c r="F43" i="130"/>
  <c r="E43" i="130"/>
  <c r="D43" i="130"/>
  <c r="J41" i="130"/>
  <c r="I41" i="130"/>
  <c r="H41" i="130"/>
  <c r="G41" i="130"/>
  <c r="F41" i="130"/>
  <c r="E41" i="130"/>
  <c r="D41" i="130"/>
  <c r="J40" i="130"/>
  <c r="I40" i="130"/>
  <c r="H40" i="130"/>
  <c r="G40" i="130"/>
  <c r="F40" i="130"/>
  <c r="J38" i="130"/>
  <c r="I38" i="130"/>
  <c r="H38" i="130"/>
  <c r="G38" i="130"/>
  <c r="F38" i="130"/>
  <c r="E38" i="130"/>
  <c r="E40" i="130" s="1"/>
  <c r="D38" i="130"/>
  <c r="D40" i="130" s="1"/>
  <c r="J44" i="131"/>
  <c r="I44" i="131"/>
  <c r="H44" i="131"/>
  <c r="G44" i="131"/>
  <c r="F44" i="131"/>
  <c r="E44" i="131"/>
  <c r="D44" i="131"/>
  <c r="J43" i="131"/>
  <c r="I43" i="131"/>
  <c r="H43" i="131"/>
  <c r="G43" i="131"/>
  <c r="F43" i="131"/>
  <c r="E43" i="131"/>
  <c r="D43" i="131"/>
  <c r="J41" i="131"/>
  <c r="I41" i="131"/>
  <c r="H41" i="131"/>
  <c r="G41" i="131"/>
  <c r="F41" i="131"/>
  <c r="E41" i="131"/>
  <c r="D41" i="131"/>
  <c r="J40" i="131"/>
  <c r="I40" i="131"/>
  <c r="H40" i="131"/>
  <c r="G40" i="131"/>
  <c r="F40" i="131"/>
  <c r="J38" i="131"/>
  <c r="I38" i="131"/>
  <c r="H38" i="131"/>
  <c r="G38" i="131"/>
  <c r="F38" i="131"/>
  <c r="E38" i="131"/>
  <c r="E40" i="131" s="1"/>
  <c r="D38" i="131"/>
  <c r="D40" i="131" s="1"/>
  <c r="J44" i="132"/>
  <c r="I44" i="132"/>
  <c r="H44" i="132"/>
  <c r="G44" i="132"/>
  <c r="F44" i="132"/>
  <c r="E44" i="132"/>
  <c r="D44" i="132"/>
  <c r="J43" i="132"/>
  <c r="I43" i="132"/>
  <c r="H43" i="132"/>
  <c r="G43" i="132"/>
  <c r="F43" i="132"/>
  <c r="E43" i="132"/>
  <c r="D43" i="132"/>
  <c r="J41" i="132"/>
  <c r="I41" i="132"/>
  <c r="H41" i="132"/>
  <c r="G41" i="132"/>
  <c r="F41" i="132"/>
  <c r="E41" i="132"/>
  <c r="D41" i="132"/>
  <c r="J40" i="132"/>
  <c r="I40" i="132"/>
  <c r="H40" i="132"/>
  <c r="G40" i="132"/>
  <c r="J38" i="132"/>
  <c r="I38" i="132"/>
  <c r="H38" i="132"/>
  <c r="G38" i="132"/>
  <c r="F38" i="132"/>
  <c r="F40" i="132" s="1"/>
  <c r="E38" i="132"/>
  <c r="E40" i="132" s="1"/>
  <c r="D38" i="132"/>
  <c r="D40" i="132" s="1"/>
  <c r="J44" i="133"/>
  <c r="I44" i="133"/>
  <c r="H44" i="133"/>
  <c r="G44" i="133"/>
  <c r="F44" i="133"/>
  <c r="E44" i="133"/>
  <c r="D44" i="133"/>
  <c r="J43" i="133"/>
  <c r="I43" i="133"/>
  <c r="H43" i="133"/>
  <c r="G43" i="133"/>
  <c r="F43" i="133"/>
  <c r="E43" i="133"/>
  <c r="D43" i="133"/>
  <c r="J41" i="133"/>
  <c r="I41" i="133"/>
  <c r="H41" i="133"/>
  <c r="G41" i="133"/>
  <c r="F41" i="133"/>
  <c r="E41" i="133"/>
  <c r="D41" i="133"/>
  <c r="J40" i="133"/>
  <c r="I40" i="133"/>
  <c r="H40" i="133"/>
  <c r="G40" i="133"/>
  <c r="F40" i="133"/>
  <c r="J38" i="133"/>
  <c r="I38" i="133"/>
  <c r="H38" i="133"/>
  <c r="G38" i="133"/>
  <c r="F38" i="133"/>
  <c r="E38" i="133"/>
  <c r="E40" i="133" s="1"/>
  <c r="D38" i="133"/>
  <c r="D40" i="133" s="1"/>
  <c r="J44" i="134"/>
  <c r="I44" i="134"/>
  <c r="H44" i="134"/>
  <c r="G44" i="134"/>
  <c r="F44" i="134"/>
  <c r="E44" i="134"/>
  <c r="D44" i="134"/>
  <c r="J43" i="134"/>
  <c r="I43" i="134"/>
  <c r="H43" i="134"/>
  <c r="G43" i="134"/>
  <c r="F43" i="134"/>
  <c r="E43" i="134"/>
  <c r="D43" i="134"/>
  <c r="J41" i="134"/>
  <c r="I41" i="134"/>
  <c r="H41" i="134"/>
  <c r="G41" i="134"/>
  <c r="F41" i="134"/>
  <c r="E41" i="134"/>
  <c r="D41" i="134"/>
  <c r="J40" i="134"/>
  <c r="I40" i="134"/>
  <c r="H40" i="134"/>
  <c r="G40" i="134"/>
  <c r="J38" i="134"/>
  <c r="I38" i="134"/>
  <c r="H38" i="134"/>
  <c r="G38" i="134"/>
  <c r="F38" i="134"/>
  <c r="F40" i="134" s="1"/>
  <c r="E38" i="134"/>
  <c r="E40" i="134" s="1"/>
  <c r="D38" i="134"/>
  <c r="D40" i="134" s="1"/>
  <c r="J44" i="135"/>
  <c r="I44" i="135"/>
  <c r="H44" i="135"/>
  <c r="G44" i="135"/>
  <c r="F44" i="135"/>
  <c r="E44" i="135"/>
  <c r="D44" i="135"/>
  <c r="J43" i="135"/>
  <c r="I43" i="135"/>
  <c r="H43" i="135"/>
  <c r="G43" i="135"/>
  <c r="F43" i="135"/>
  <c r="E43" i="135"/>
  <c r="J41" i="135"/>
  <c r="I41" i="135"/>
  <c r="H41" i="135"/>
  <c r="G41" i="135"/>
  <c r="F41" i="135"/>
  <c r="E41" i="135"/>
  <c r="D41" i="135"/>
  <c r="J40" i="135"/>
  <c r="I40" i="135"/>
  <c r="H40" i="135"/>
  <c r="G40" i="135"/>
  <c r="F40" i="135"/>
  <c r="E40" i="135"/>
  <c r="J38" i="135"/>
  <c r="I38" i="135"/>
  <c r="H38" i="135"/>
  <c r="G38" i="135"/>
  <c r="F38" i="135"/>
  <c r="E38" i="135"/>
  <c r="D38" i="135"/>
  <c r="D40" i="135" s="1"/>
  <c r="J44" i="136"/>
  <c r="I44" i="136"/>
  <c r="H44" i="136"/>
  <c r="G44" i="136"/>
  <c r="F44" i="136"/>
  <c r="E44" i="136"/>
  <c r="D44" i="136"/>
  <c r="J43" i="136"/>
  <c r="I43" i="136"/>
  <c r="H43" i="136"/>
  <c r="G43" i="136"/>
  <c r="F43" i="136"/>
  <c r="E43" i="136"/>
  <c r="D43" i="136"/>
  <c r="J41" i="136"/>
  <c r="I41" i="136"/>
  <c r="H41" i="136"/>
  <c r="G41" i="136"/>
  <c r="F41" i="136"/>
  <c r="E41" i="136"/>
  <c r="D41" i="136"/>
  <c r="J40" i="136"/>
  <c r="I40" i="136"/>
  <c r="H40" i="136"/>
  <c r="J38" i="136"/>
  <c r="I38" i="136"/>
  <c r="H38" i="136"/>
  <c r="G38" i="136"/>
  <c r="G40" i="136" s="1"/>
  <c r="F38" i="136"/>
  <c r="F40" i="136" s="1"/>
  <c r="E38" i="136"/>
  <c r="E40" i="136" s="1"/>
  <c r="D38" i="136"/>
  <c r="D40" i="136" s="1"/>
  <c r="J44" i="137"/>
  <c r="I44" i="137"/>
  <c r="H44" i="137"/>
  <c r="G44" i="137"/>
  <c r="F44" i="137"/>
  <c r="E44" i="137"/>
  <c r="D44" i="137"/>
  <c r="J43" i="137"/>
  <c r="I43" i="137"/>
  <c r="H43" i="137"/>
  <c r="G43" i="137"/>
  <c r="E43" i="137"/>
  <c r="D43" i="137"/>
  <c r="J41" i="137"/>
  <c r="I41" i="137"/>
  <c r="H41" i="137"/>
  <c r="G41" i="137"/>
  <c r="F41" i="137"/>
  <c r="E41" i="137"/>
  <c r="D41" i="137"/>
  <c r="J40" i="137"/>
  <c r="I40" i="137"/>
  <c r="H40" i="137"/>
  <c r="G40" i="137"/>
  <c r="J38" i="137"/>
  <c r="I38" i="137"/>
  <c r="H38" i="137"/>
  <c r="G38" i="137"/>
  <c r="F38" i="137"/>
  <c r="F40" i="137" s="1"/>
  <c r="E38" i="137"/>
  <c r="E40" i="137" s="1"/>
  <c r="D38" i="137"/>
  <c r="D40" i="137" s="1"/>
  <c r="J44" i="138"/>
  <c r="I44" i="138"/>
  <c r="H44" i="138"/>
  <c r="G44" i="138"/>
  <c r="F44" i="138"/>
  <c r="E44" i="138"/>
  <c r="D44" i="138"/>
  <c r="J43" i="138"/>
  <c r="I43" i="138"/>
  <c r="H43" i="138"/>
  <c r="G43" i="138"/>
  <c r="F43" i="138"/>
  <c r="E43" i="138"/>
  <c r="D43" i="138"/>
  <c r="J41" i="138"/>
  <c r="I41" i="138"/>
  <c r="H41" i="138"/>
  <c r="G41" i="138"/>
  <c r="F41" i="138"/>
  <c r="E41" i="138"/>
  <c r="D41" i="138"/>
  <c r="J40" i="138"/>
  <c r="I40" i="138"/>
  <c r="H40" i="138"/>
  <c r="G40" i="138"/>
  <c r="F40" i="138"/>
  <c r="J38" i="138"/>
  <c r="I38" i="138"/>
  <c r="H38" i="138"/>
  <c r="G38" i="138"/>
  <c r="F38" i="138"/>
  <c r="E38" i="138"/>
  <c r="E40" i="138" s="1"/>
  <c r="D38" i="138"/>
  <c r="D40" i="138" s="1"/>
  <c r="J44" i="139"/>
  <c r="I44" i="139"/>
  <c r="H44" i="139"/>
  <c r="G44" i="139"/>
  <c r="F44" i="139"/>
  <c r="E44" i="139"/>
  <c r="D44" i="139"/>
  <c r="J43" i="139"/>
  <c r="I43" i="139"/>
  <c r="H43" i="139"/>
  <c r="G43" i="139"/>
  <c r="F43" i="139"/>
  <c r="E43" i="139"/>
  <c r="D43" i="139"/>
  <c r="J41" i="139"/>
  <c r="I41" i="139"/>
  <c r="H41" i="139"/>
  <c r="G41" i="139"/>
  <c r="F41" i="139"/>
  <c r="E41" i="139"/>
  <c r="D41" i="139"/>
  <c r="J40" i="139"/>
  <c r="I40" i="139"/>
  <c r="H40" i="139"/>
  <c r="G40" i="139"/>
  <c r="F40" i="139"/>
  <c r="J38" i="139"/>
  <c r="I38" i="139"/>
  <c r="H38" i="139"/>
  <c r="G38" i="139"/>
  <c r="F38" i="139"/>
  <c r="E38" i="139"/>
  <c r="E40" i="139" s="1"/>
  <c r="D38" i="139"/>
  <c r="D40" i="139" s="1"/>
  <c r="J44" i="140"/>
  <c r="I44" i="140"/>
  <c r="H44" i="140"/>
  <c r="G44" i="140"/>
  <c r="F44" i="140"/>
  <c r="E44" i="140"/>
  <c r="D44" i="140"/>
  <c r="J43" i="140"/>
  <c r="I43" i="140"/>
  <c r="H43" i="140"/>
  <c r="G43" i="140"/>
  <c r="F43" i="140"/>
  <c r="E43" i="140"/>
  <c r="D43" i="140"/>
  <c r="J41" i="140"/>
  <c r="I41" i="140"/>
  <c r="H41" i="140"/>
  <c r="G41" i="140"/>
  <c r="F41" i="140"/>
  <c r="E41" i="140"/>
  <c r="D41" i="140"/>
  <c r="J40" i="140"/>
  <c r="I40" i="140"/>
  <c r="H40" i="140"/>
  <c r="G40" i="140"/>
  <c r="F40" i="140"/>
  <c r="J38" i="140"/>
  <c r="I38" i="140"/>
  <c r="H38" i="140"/>
  <c r="G38" i="140"/>
  <c r="F38" i="140"/>
  <c r="E38" i="140"/>
  <c r="E40" i="140" s="1"/>
  <c r="D38" i="140"/>
  <c r="D40" i="140" s="1"/>
  <c r="J44" i="141"/>
  <c r="I44" i="141"/>
  <c r="H44" i="141"/>
  <c r="G44" i="141"/>
  <c r="F44" i="141"/>
  <c r="E44" i="141"/>
  <c r="D44" i="141"/>
  <c r="J43" i="141"/>
  <c r="I43" i="141"/>
  <c r="H43" i="141"/>
  <c r="G43" i="141"/>
  <c r="F43" i="141"/>
  <c r="E43" i="141"/>
  <c r="D43" i="141"/>
  <c r="J41" i="141"/>
  <c r="I41" i="141"/>
  <c r="H41" i="141"/>
  <c r="G41" i="141"/>
  <c r="F41" i="141"/>
  <c r="E41" i="141"/>
  <c r="D41" i="141"/>
  <c r="J40" i="141"/>
  <c r="I40" i="141"/>
  <c r="H40" i="141"/>
  <c r="G40" i="141"/>
  <c r="F40" i="141"/>
  <c r="J38" i="141"/>
  <c r="I38" i="141"/>
  <c r="H38" i="141"/>
  <c r="G38" i="141"/>
  <c r="F38" i="141"/>
  <c r="E38" i="141"/>
  <c r="E40" i="141" s="1"/>
  <c r="D38" i="141"/>
  <c r="D40" i="141" s="1"/>
  <c r="J44" i="142"/>
  <c r="I44" i="142"/>
  <c r="H44" i="142"/>
  <c r="G44" i="142"/>
  <c r="F44" i="142"/>
  <c r="E44" i="142"/>
  <c r="D44" i="142"/>
  <c r="J43" i="142"/>
  <c r="I43" i="142"/>
  <c r="H43" i="142"/>
  <c r="G43" i="142"/>
  <c r="F43" i="142"/>
  <c r="E43" i="142"/>
  <c r="D43" i="142"/>
  <c r="J41" i="142"/>
  <c r="I41" i="142"/>
  <c r="H41" i="142"/>
  <c r="G41" i="142"/>
  <c r="F41" i="142"/>
  <c r="E41" i="142"/>
  <c r="D41" i="142"/>
  <c r="J40" i="142"/>
  <c r="I40" i="142"/>
  <c r="J38" i="142"/>
  <c r="I38" i="142"/>
  <c r="H38" i="142"/>
  <c r="H40" i="142" s="1"/>
  <c r="G38" i="142"/>
  <c r="G40" i="142" s="1"/>
  <c r="F38" i="142"/>
  <c r="F40" i="142" s="1"/>
  <c r="E38" i="142"/>
  <c r="E40" i="142" s="1"/>
  <c r="D38" i="142"/>
  <c r="D40" i="142" s="1"/>
  <c r="J44" i="143"/>
  <c r="I44" i="143"/>
  <c r="H44" i="143"/>
  <c r="G44" i="143"/>
  <c r="F44" i="143"/>
  <c r="E44" i="143"/>
  <c r="D44" i="143"/>
  <c r="J43" i="143"/>
  <c r="I43" i="143"/>
  <c r="H43" i="143"/>
  <c r="G43" i="143"/>
  <c r="F43" i="143"/>
  <c r="E43" i="143"/>
  <c r="D43" i="143"/>
  <c r="J41" i="143"/>
  <c r="I41" i="143"/>
  <c r="H41" i="143"/>
  <c r="G41" i="143"/>
  <c r="F41" i="143"/>
  <c r="E41" i="143"/>
  <c r="D41" i="143"/>
  <c r="J40" i="143"/>
  <c r="I40" i="143"/>
  <c r="H40" i="143"/>
  <c r="G40" i="143"/>
  <c r="F40" i="143"/>
  <c r="J38" i="143"/>
  <c r="I38" i="143"/>
  <c r="H38" i="143"/>
  <c r="G38" i="143"/>
  <c r="F38" i="143"/>
  <c r="E38" i="143"/>
  <c r="E40" i="143" s="1"/>
  <c r="D38" i="143"/>
  <c r="D40" i="143" s="1"/>
  <c r="J44" i="144"/>
  <c r="I44" i="144"/>
  <c r="H44" i="144"/>
  <c r="G44" i="144"/>
  <c r="F44" i="144"/>
  <c r="E44" i="144"/>
  <c r="D44" i="144"/>
  <c r="J43" i="144"/>
  <c r="I43" i="144"/>
  <c r="H43" i="144"/>
  <c r="G43" i="144"/>
  <c r="F43" i="144"/>
  <c r="E43" i="144"/>
  <c r="D43" i="144"/>
  <c r="J41" i="144"/>
  <c r="I41" i="144"/>
  <c r="H41" i="144"/>
  <c r="G41" i="144"/>
  <c r="F41" i="144"/>
  <c r="E41" i="144"/>
  <c r="D41" i="144"/>
  <c r="J40" i="144"/>
  <c r="I40" i="144"/>
  <c r="H40" i="144"/>
  <c r="J38" i="144"/>
  <c r="I38" i="144"/>
  <c r="H38" i="144"/>
  <c r="G38" i="144"/>
  <c r="G40" i="144" s="1"/>
  <c r="F38" i="144"/>
  <c r="F40" i="144" s="1"/>
  <c r="E38" i="144"/>
  <c r="E40" i="144" s="1"/>
  <c r="D38" i="144"/>
  <c r="D40" i="144" s="1"/>
  <c r="J44" i="145"/>
  <c r="I44" i="145"/>
  <c r="H44" i="145"/>
  <c r="G44" i="145"/>
  <c r="F44" i="145"/>
  <c r="E44" i="145"/>
  <c r="D44" i="145"/>
  <c r="J43" i="145"/>
  <c r="I43" i="145"/>
  <c r="H43" i="145"/>
  <c r="G43" i="145"/>
  <c r="F43" i="145"/>
  <c r="E43" i="145"/>
  <c r="D43" i="145"/>
  <c r="J41" i="145"/>
  <c r="I41" i="145"/>
  <c r="H41" i="145"/>
  <c r="G41" i="145"/>
  <c r="F41" i="145"/>
  <c r="E41" i="145"/>
  <c r="D41" i="145"/>
  <c r="J40" i="145"/>
  <c r="I40" i="145"/>
  <c r="H40" i="145"/>
  <c r="G40" i="145"/>
  <c r="F40" i="145"/>
  <c r="J38" i="145"/>
  <c r="I38" i="145"/>
  <c r="H38" i="145"/>
  <c r="G38" i="145"/>
  <c r="F38" i="145"/>
  <c r="E38" i="145"/>
  <c r="E40" i="145" s="1"/>
  <c r="D38" i="145"/>
  <c r="D40" i="145" s="1"/>
  <c r="J44" i="146"/>
  <c r="I44" i="146"/>
  <c r="H44" i="146"/>
  <c r="G44" i="146"/>
  <c r="F44" i="146"/>
  <c r="E44" i="146"/>
  <c r="D44" i="146"/>
  <c r="J43" i="146"/>
  <c r="I43" i="146"/>
  <c r="H43" i="146"/>
  <c r="G43" i="146"/>
  <c r="F43" i="146"/>
  <c r="E43" i="146"/>
  <c r="D43" i="146"/>
  <c r="J41" i="146"/>
  <c r="I41" i="146"/>
  <c r="H41" i="146"/>
  <c r="G41" i="146"/>
  <c r="F41" i="146"/>
  <c r="E41" i="146"/>
  <c r="D41" i="146"/>
  <c r="J40" i="146"/>
  <c r="I40" i="146"/>
  <c r="H40" i="146"/>
  <c r="G40" i="146"/>
  <c r="F40" i="146"/>
  <c r="J38" i="146"/>
  <c r="I38" i="146"/>
  <c r="H38" i="146"/>
  <c r="G38" i="146"/>
  <c r="F38" i="146"/>
  <c r="E38" i="146"/>
  <c r="E40" i="146" s="1"/>
  <c r="D38" i="146"/>
  <c r="D40" i="146" s="1"/>
  <c r="J44" i="147"/>
  <c r="I44" i="147"/>
  <c r="H44" i="147"/>
  <c r="G44" i="147"/>
  <c r="F44" i="147"/>
  <c r="E44" i="147"/>
  <c r="D44" i="147"/>
  <c r="J43" i="147"/>
  <c r="I43" i="147"/>
  <c r="H43" i="147"/>
  <c r="G43" i="147"/>
  <c r="F43" i="147"/>
  <c r="E43" i="147"/>
  <c r="D43" i="147"/>
  <c r="J41" i="147"/>
  <c r="I41" i="147"/>
  <c r="H41" i="147"/>
  <c r="G41" i="147"/>
  <c r="F41" i="147"/>
  <c r="E41" i="147"/>
  <c r="D41" i="147"/>
  <c r="J40" i="147"/>
  <c r="I40" i="147"/>
  <c r="H40" i="147"/>
  <c r="G40" i="147"/>
  <c r="F40" i="147"/>
  <c r="J38" i="147"/>
  <c r="I38" i="147"/>
  <c r="H38" i="147"/>
  <c r="G38" i="147"/>
  <c r="F38" i="147"/>
  <c r="E38" i="147"/>
  <c r="E40" i="147" s="1"/>
  <c r="D38" i="147"/>
  <c r="D40" i="147" s="1"/>
  <c r="J44" i="148"/>
  <c r="I44" i="148"/>
  <c r="H44" i="148"/>
  <c r="G44" i="148"/>
  <c r="F44" i="148"/>
  <c r="E44" i="148"/>
  <c r="D44" i="148"/>
  <c r="J43" i="148"/>
  <c r="I43" i="148"/>
  <c r="H43" i="148"/>
  <c r="G43" i="148"/>
  <c r="F43" i="148"/>
  <c r="E43" i="148"/>
  <c r="D43" i="148"/>
  <c r="J41" i="148"/>
  <c r="I41" i="148"/>
  <c r="H41" i="148"/>
  <c r="G41" i="148"/>
  <c r="F41" i="148"/>
  <c r="E41" i="148"/>
  <c r="D41" i="148"/>
  <c r="J40" i="148"/>
  <c r="I40" i="148"/>
  <c r="H40" i="148"/>
  <c r="G40" i="148"/>
  <c r="F40" i="148"/>
  <c r="J38" i="148"/>
  <c r="I38" i="148"/>
  <c r="H38" i="148"/>
  <c r="G38" i="148"/>
  <c r="F38" i="148"/>
  <c r="E38" i="148"/>
  <c r="E40" i="148" s="1"/>
  <c r="D38" i="148"/>
  <c r="D40" i="148" s="1"/>
  <c r="J44" i="149"/>
  <c r="I44" i="149"/>
  <c r="H44" i="149"/>
  <c r="G44" i="149"/>
  <c r="F44" i="149"/>
  <c r="E44" i="149"/>
  <c r="D44" i="149"/>
  <c r="J43" i="149"/>
  <c r="I43" i="149"/>
  <c r="H43" i="149"/>
  <c r="G43" i="149"/>
  <c r="F43" i="149"/>
  <c r="E43" i="149"/>
  <c r="D43" i="149"/>
  <c r="J41" i="149"/>
  <c r="I41" i="149"/>
  <c r="H41" i="149"/>
  <c r="G41" i="149"/>
  <c r="F41" i="149"/>
  <c r="E41" i="149"/>
  <c r="D41" i="149"/>
  <c r="J40" i="149"/>
  <c r="I40" i="149"/>
  <c r="H40" i="149"/>
  <c r="G40" i="149"/>
  <c r="J38" i="149"/>
  <c r="I38" i="149"/>
  <c r="H38" i="149"/>
  <c r="G38" i="149"/>
  <c r="F38" i="149"/>
  <c r="F40" i="149" s="1"/>
  <c r="E38" i="149"/>
  <c r="E40" i="149" s="1"/>
  <c r="D38" i="149"/>
  <c r="D40" i="149" s="1"/>
  <c r="J44" i="150"/>
  <c r="I44" i="150"/>
  <c r="H44" i="150"/>
  <c r="G44" i="150"/>
  <c r="F44" i="150"/>
  <c r="E44" i="150"/>
  <c r="D44" i="150"/>
  <c r="J43" i="150"/>
  <c r="I43" i="150"/>
  <c r="H43" i="150"/>
  <c r="G43" i="150"/>
  <c r="F43" i="150"/>
  <c r="E43" i="150"/>
  <c r="D43" i="150"/>
  <c r="J41" i="150"/>
  <c r="I41" i="150"/>
  <c r="H41" i="150"/>
  <c r="G41" i="150"/>
  <c r="F41" i="150"/>
  <c r="E41" i="150"/>
  <c r="D41" i="150"/>
  <c r="J40" i="150"/>
  <c r="I40" i="150"/>
  <c r="H40" i="150"/>
  <c r="G40" i="150"/>
  <c r="J38" i="150"/>
  <c r="I38" i="150"/>
  <c r="H38" i="150"/>
  <c r="G38" i="150"/>
  <c r="F38" i="150"/>
  <c r="F40" i="150" s="1"/>
  <c r="E38" i="150"/>
  <c r="E40" i="150" s="1"/>
  <c r="D38" i="150"/>
  <c r="D40" i="150" s="1"/>
  <c r="J44" i="151"/>
  <c r="I44" i="151"/>
  <c r="H44" i="151"/>
  <c r="G44" i="151"/>
  <c r="F44" i="151"/>
  <c r="E44" i="151"/>
  <c r="D44" i="151"/>
  <c r="J43" i="151"/>
  <c r="I43" i="151"/>
  <c r="H43" i="151"/>
  <c r="G43" i="151"/>
  <c r="F43" i="151"/>
  <c r="E43" i="151"/>
  <c r="D43" i="151"/>
  <c r="J41" i="151"/>
  <c r="I41" i="151"/>
  <c r="H41" i="151"/>
  <c r="G41" i="151"/>
  <c r="F41" i="151"/>
  <c r="E41" i="151"/>
  <c r="D41" i="151"/>
  <c r="J40" i="151"/>
  <c r="I40" i="151"/>
  <c r="H40" i="151"/>
  <c r="G40" i="151"/>
  <c r="F40" i="151"/>
  <c r="J38" i="151"/>
  <c r="I38" i="151"/>
  <c r="H38" i="151"/>
  <c r="G38" i="151"/>
  <c r="F38" i="151"/>
  <c r="E38" i="151"/>
  <c r="E40" i="151" s="1"/>
  <c r="D38" i="151"/>
  <c r="D40" i="151" s="1"/>
  <c r="J44" i="152"/>
  <c r="I44" i="152"/>
  <c r="H44" i="152"/>
  <c r="G44" i="152"/>
  <c r="F44" i="152"/>
  <c r="E44" i="152"/>
  <c r="D44" i="152"/>
  <c r="J43" i="152"/>
  <c r="I43" i="152"/>
  <c r="H43" i="152"/>
  <c r="G43" i="152"/>
  <c r="F43" i="152"/>
  <c r="E43" i="152"/>
  <c r="D43" i="152"/>
  <c r="J41" i="152"/>
  <c r="I41" i="152"/>
  <c r="H41" i="152"/>
  <c r="G41" i="152"/>
  <c r="F41" i="152"/>
  <c r="E41" i="152"/>
  <c r="D41" i="152"/>
  <c r="J40" i="152"/>
  <c r="I40" i="152"/>
  <c r="H40" i="152"/>
  <c r="G40" i="152"/>
  <c r="F40" i="152"/>
  <c r="E40" i="152"/>
  <c r="J38" i="152"/>
  <c r="I38" i="152"/>
  <c r="H38" i="152"/>
  <c r="G38" i="152"/>
  <c r="F38" i="152"/>
  <c r="E38" i="152"/>
  <c r="D38" i="152"/>
  <c r="D40" i="152" s="1"/>
  <c r="J44" i="153"/>
  <c r="I44" i="153"/>
  <c r="H44" i="153"/>
  <c r="G44" i="153"/>
  <c r="F44" i="153"/>
  <c r="E44" i="153"/>
  <c r="D44" i="153"/>
  <c r="J43" i="153"/>
  <c r="I43" i="153"/>
  <c r="H43" i="153"/>
  <c r="G43" i="153"/>
  <c r="F43" i="153"/>
  <c r="E43" i="153"/>
  <c r="D43" i="153"/>
  <c r="J41" i="153"/>
  <c r="I41" i="153"/>
  <c r="H41" i="153"/>
  <c r="G41" i="153"/>
  <c r="F41" i="153"/>
  <c r="E41" i="153"/>
  <c r="D41" i="153"/>
  <c r="J40" i="153"/>
  <c r="I40" i="153"/>
  <c r="H40" i="153"/>
  <c r="D40" i="153"/>
  <c r="J38" i="153"/>
  <c r="I38" i="153"/>
  <c r="H38" i="153"/>
  <c r="G38" i="153"/>
  <c r="G40" i="153" s="1"/>
  <c r="F38" i="153"/>
  <c r="F40" i="153" s="1"/>
  <c r="E38" i="153"/>
  <c r="E40" i="153" s="1"/>
  <c r="D38" i="153"/>
  <c r="J44" i="154"/>
  <c r="I44" i="154"/>
  <c r="H44" i="154"/>
  <c r="G44" i="154"/>
  <c r="F44" i="154"/>
  <c r="E44" i="154"/>
  <c r="D44" i="154"/>
  <c r="J43" i="154"/>
  <c r="I43" i="154"/>
  <c r="H43" i="154"/>
  <c r="G43" i="154"/>
  <c r="F43" i="154"/>
  <c r="E43" i="154"/>
  <c r="D43" i="154"/>
  <c r="J41" i="154"/>
  <c r="I41" i="154"/>
  <c r="H41" i="154"/>
  <c r="G41" i="154"/>
  <c r="F41" i="154"/>
  <c r="E41" i="154"/>
  <c r="D41" i="154"/>
  <c r="J40" i="154"/>
  <c r="I40" i="154"/>
  <c r="H40" i="154"/>
  <c r="G40" i="154"/>
  <c r="J38" i="154"/>
  <c r="I38" i="154"/>
  <c r="H38" i="154"/>
  <c r="G38" i="154"/>
  <c r="F38" i="154"/>
  <c r="F40" i="154" s="1"/>
  <c r="E38" i="154"/>
  <c r="E40" i="154" s="1"/>
  <c r="D38" i="154"/>
  <c r="D40" i="154" s="1"/>
  <c r="J44" i="155"/>
  <c r="I44" i="155"/>
  <c r="H44" i="155"/>
  <c r="G44" i="155"/>
  <c r="F44" i="155"/>
  <c r="E44" i="155"/>
  <c r="D44" i="155"/>
  <c r="J43" i="155"/>
  <c r="I43" i="155"/>
  <c r="H43" i="155"/>
  <c r="G43" i="155"/>
  <c r="F43" i="155"/>
  <c r="D43" i="155"/>
  <c r="J41" i="155"/>
  <c r="I41" i="155"/>
  <c r="H41" i="155"/>
  <c r="G41" i="155"/>
  <c r="F41" i="155"/>
  <c r="E41" i="155"/>
  <c r="D41" i="155"/>
  <c r="J40" i="155"/>
  <c r="I40" i="155"/>
  <c r="H40" i="155"/>
  <c r="G40" i="155"/>
  <c r="F40" i="155"/>
  <c r="J38" i="155"/>
  <c r="I38" i="155"/>
  <c r="H38" i="155"/>
  <c r="G38" i="155"/>
  <c r="F38" i="155"/>
  <c r="E38" i="155"/>
  <c r="E40" i="155" s="1"/>
  <c r="D38" i="155"/>
  <c r="D40" i="155" s="1"/>
  <c r="J44" i="156"/>
  <c r="I44" i="156"/>
  <c r="H44" i="156"/>
  <c r="G44" i="156"/>
  <c r="F44" i="156"/>
  <c r="E44" i="156"/>
  <c r="D44" i="156"/>
  <c r="J43" i="156"/>
  <c r="I43" i="156"/>
  <c r="H43" i="156"/>
  <c r="G43" i="156"/>
  <c r="F43" i="156"/>
  <c r="E43" i="156"/>
  <c r="D43" i="156"/>
  <c r="J41" i="156"/>
  <c r="I41" i="156"/>
  <c r="H41" i="156"/>
  <c r="G41" i="156"/>
  <c r="F41" i="156"/>
  <c r="E41" i="156"/>
  <c r="D41" i="156"/>
  <c r="J40" i="156"/>
  <c r="I40" i="156"/>
  <c r="H40" i="156"/>
  <c r="G40" i="156"/>
  <c r="D40" i="156"/>
  <c r="J38" i="156"/>
  <c r="I38" i="156"/>
  <c r="H38" i="156"/>
  <c r="G38" i="156"/>
  <c r="F38" i="156"/>
  <c r="F40" i="156" s="1"/>
  <c r="E38" i="156"/>
  <c r="E40" i="156" s="1"/>
  <c r="D38" i="156"/>
  <c r="J44" i="157"/>
  <c r="I44" i="157"/>
  <c r="H44" i="157"/>
  <c r="G44" i="157"/>
  <c r="F44" i="157"/>
  <c r="E44" i="157"/>
  <c r="D44" i="157"/>
  <c r="J43" i="157"/>
  <c r="I43" i="157"/>
  <c r="H43" i="157"/>
  <c r="G43" i="157"/>
  <c r="F43" i="157"/>
  <c r="E43" i="157"/>
  <c r="D43" i="157"/>
  <c r="J41" i="157"/>
  <c r="I41" i="157"/>
  <c r="H41" i="157"/>
  <c r="G41" i="157"/>
  <c r="F41" i="157"/>
  <c r="E41" i="157"/>
  <c r="D41" i="157"/>
  <c r="J40" i="157"/>
  <c r="I40" i="157"/>
  <c r="H40" i="157"/>
  <c r="G40" i="157"/>
  <c r="F40" i="157"/>
  <c r="E40" i="157"/>
  <c r="J38" i="157"/>
  <c r="I38" i="157"/>
  <c r="H38" i="157"/>
  <c r="G38" i="157"/>
  <c r="F38" i="157"/>
  <c r="E38" i="157"/>
  <c r="D38" i="157"/>
  <c r="D40" i="157" s="1"/>
  <c r="J44" i="158"/>
  <c r="I44" i="158"/>
  <c r="H44" i="158"/>
  <c r="G44" i="158"/>
  <c r="F44" i="158"/>
  <c r="E44" i="158"/>
  <c r="D44" i="158"/>
  <c r="J43" i="158"/>
  <c r="I43" i="158"/>
  <c r="H43" i="158"/>
  <c r="G43" i="158"/>
  <c r="F43" i="158"/>
  <c r="E43" i="158"/>
  <c r="D43" i="158"/>
  <c r="J41" i="158"/>
  <c r="I41" i="158"/>
  <c r="H41" i="158"/>
  <c r="G41" i="158"/>
  <c r="F41" i="158"/>
  <c r="E41" i="158"/>
  <c r="D41" i="158"/>
  <c r="J40" i="158"/>
  <c r="I40" i="158"/>
  <c r="H40" i="158"/>
  <c r="G40" i="158"/>
  <c r="F40" i="158"/>
  <c r="J38" i="158"/>
  <c r="I38" i="158"/>
  <c r="H38" i="158"/>
  <c r="G38" i="158"/>
  <c r="F38" i="158"/>
  <c r="E38" i="158"/>
  <c r="E40" i="158" s="1"/>
  <c r="D38" i="158"/>
  <c r="D40" i="158" s="1"/>
  <c r="J44" i="159"/>
  <c r="I44" i="159"/>
  <c r="H44" i="159"/>
  <c r="G44" i="159"/>
  <c r="F44" i="159"/>
  <c r="E44" i="159"/>
  <c r="D44" i="159"/>
  <c r="J43" i="159"/>
  <c r="I43" i="159"/>
  <c r="H43" i="159"/>
  <c r="G43" i="159"/>
  <c r="F43" i="159"/>
  <c r="E43" i="159"/>
  <c r="D43" i="159"/>
  <c r="J41" i="159"/>
  <c r="I41" i="159"/>
  <c r="H41" i="159"/>
  <c r="G41" i="159"/>
  <c r="F41" i="159"/>
  <c r="E41" i="159"/>
  <c r="D41" i="159"/>
  <c r="J40" i="159"/>
  <c r="I40" i="159"/>
  <c r="H40" i="159"/>
  <c r="G40" i="159"/>
  <c r="J38" i="159"/>
  <c r="I38" i="159"/>
  <c r="H38" i="159"/>
  <c r="G38" i="159"/>
  <c r="F38" i="159"/>
  <c r="F40" i="159" s="1"/>
  <c r="E38" i="159"/>
  <c r="E40" i="159" s="1"/>
  <c r="D38" i="159"/>
  <c r="D40" i="159" s="1"/>
  <c r="J44" i="160"/>
  <c r="I44" i="160"/>
  <c r="H44" i="160"/>
  <c r="G44" i="160"/>
  <c r="F44" i="160"/>
  <c r="E44" i="160"/>
  <c r="D44" i="160"/>
  <c r="J43" i="160"/>
  <c r="I43" i="160"/>
  <c r="H43" i="160"/>
  <c r="G43" i="160"/>
  <c r="F43" i="160"/>
  <c r="E43" i="160"/>
  <c r="D43" i="160"/>
  <c r="J41" i="160"/>
  <c r="I41" i="160"/>
  <c r="H41" i="160"/>
  <c r="G41" i="160"/>
  <c r="F41" i="160"/>
  <c r="E41" i="160"/>
  <c r="D41" i="160"/>
  <c r="J40" i="160"/>
  <c r="I40" i="160"/>
  <c r="H40" i="160"/>
  <c r="J38" i="160"/>
  <c r="I38" i="160"/>
  <c r="H38" i="160"/>
  <c r="G38" i="160"/>
  <c r="G40" i="160" s="1"/>
  <c r="F38" i="160"/>
  <c r="F40" i="160" s="1"/>
  <c r="E38" i="160"/>
  <c r="E40" i="160" s="1"/>
  <c r="D38" i="160"/>
  <c r="D40" i="160" s="1"/>
  <c r="J44" i="161"/>
  <c r="I44" i="161"/>
  <c r="H44" i="161"/>
  <c r="G44" i="161"/>
  <c r="F44" i="161"/>
  <c r="E44" i="161"/>
  <c r="D44" i="161"/>
  <c r="J43" i="161"/>
  <c r="I43" i="161"/>
  <c r="H43" i="161"/>
  <c r="G43" i="161"/>
  <c r="F43" i="161"/>
  <c r="E43" i="161"/>
  <c r="D43" i="161"/>
  <c r="J41" i="161"/>
  <c r="I41" i="161"/>
  <c r="H41" i="161"/>
  <c r="G41" i="161"/>
  <c r="F41" i="161"/>
  <c r="E41" i="161"/>
  <c r="D41" i="161"/>
  <c r="J40" i="161"/>
  <c r="I40" i="161"/>
  <c r="J38" i="161"/>
  <c r="I38" i="161"/>
  <c r="H38" i="161"/>
  <c r="H40" i="161" s="1"/>
  <c r="G38" i="161"/>
  <c r="G40" i="161" s="1"/>
  <c r="F38" i="161"/>
  <c r="F40" i="161" s="1"/>
  <c r="E38" i="161"/>
  <c r="E40" i="161" s="1"/>
  <c r="D38" i="161"/>
  <c r="D40" i="161" s="1"/>
  <c r="J44" i="162"/>
  <c r="I44" i="162"/>
  <c r="H44" i="162"/>
  <c r="G44" i="162"/>
  <c r="F44" i="162"/>
  <c r="E44" i="162"/>
  <c r="D44" i="162"/>
  <c r="J43" i="162"/>
  <c r="I43" i="162"/>
  <c r="H43" i="162"/>
  <c r="G43" i="162"/>
  <c r="F43" i="162"/>
  <c r="E43" i="162"/>
  <c r="D43" i="162"/>
  <c r="J41" i="162"/>
  <c r="I41" i="162"/>
  <c r="H41" i="162"/>
  <c r="G41" i="162"/>
  <c r="F41" i="162"/>
  <c r="E41" i="162"/>
  <c r="D41" i="162"/>
  <c r="J40" i="162"/>
  <c r="I40" i="162"/>
  <c r="H40" i="162"/>
  <c r="G40" i="162"/>
  <c r="F40" i="162"/>
  <c r="J38" i="162"/>
  <c r="I38" i="162"/>
  <c r="H38" i="162"/>
  <c r="G38" i="162"/>
  <c r="F38" i="162"/>
  <c r="E38" i="162"/>
  <c r="E40" i="162" s="1"/>
  <c r="D38" i="162"/>
  <c r="D40" i="162" s="1"/>
  <c r="J44" i="163"/>
  <c r="I44" i="163"/>
  <c r="H44" i="163"/>
  <c r="G44" i="163"/>
  <c r="F44" i="163"/>
  <c r="E44" i="163"/>
  <c r="D44" i="163"/>
  <c r="J43" i="163"/>
  <c r="I43" i="163"/>
  <c r="H43" i="163"/>
  <c r="G43" i="163"/>
  <c r="F43" i="163"/>
  <c r="E43" i="163"/>
  <c r="D43" i="163"/>
  <c r="J41" i="163"/>
  <c r="I41" i="163"/>
  <c r="H41" i="163"/>
  <c r="G41" i="163"/>
  <c r="F41" i="163"/>
  <c r="E41" i="163"/>
  <c r="D41" i="163"/>
  <c r="J40" i="163"/>
  <c r="I40" i="163"/>
  <c r="H40" i="163"/>
  <c r="J38" i="163"/>
  <c r="I38" i="163"/>
  <c r="H38" i="163"/>
  <c r="G38" i="163"/>
  <c r="G40" i="163" s="1"/>
  <c r="F38" i="163"/>
  <c r="F40" i="163" s="1"/>
  <c r="E38" i="163"/>
  <c r="E40" i="163" s="1"/>
  <c r="D38" i="163"/>
  <c r="D40" i="163" s="1"/>
  <c r="J44" i="164"/>
  <c r="I44" i="164"/>
  <c r="H44" i="164"/>
  <c r="G44" i="164"/>
  <c r="F44" i="164"/>
  <c r="E44" i="164"/>
  <c r="D44" i="164"/>
  <c r="J43" i="164"/>
  <c r="I43" i="164"/>
  <c r="H43" i="164"/>
  <c r="G43" i="164"/>
  <c r="F43" i="164"/>
  <c r="E43" i="164"/>
  <c r="D43" i="164"/>
  <c r="J41" i="164"/>
  <c r="I41" i="164"/>
  <c r="H41" i="164"/>
  <c r="G41" i="164"/>
  <c r="F41" i="164"/>
  <c r="E41" i="164"/>
  <c r="D41" i="164"/>
  <c r="J40" i="164"/>
  <c r="I40" i="164"/>
  <c r="H40" i="164"/>
  <c r="J38" i="164"/>
  <c r="I38" i="164"/>
  <c r="H38" i="164"/>
  <c r="G38" i="164"/>
  <c r="G40" i="164" s="1"/>
  <c r="F38" i="164"/>
  <c r="F40" i="164" s="1"/>
  <c r="E38" i="164"/>
  <c r="E40" i="164" s="1"/>
  <c r="D38" i="164"/>
  <c r="D40" i="164" s="1"/>
  <c r="J44" i="165"/>
  <c r="I44" i="165"/>
  <c r="H44" i="165"/>
  <c r="G44" i="165"/>
  <c r="F44" i="165"/>
  <c r="E44" i="165"/>
  <c r="D44" i="165"/>
  <c r="J43" i="165"/>
  <c r="I43" i="165"/>
  <c r="H43" i="165"/>
  <c r="G43" i="165"/>
  <c r="F43" i="165"/>
  <c r="E43" i="165"/>
  <c r="D43" i="165"/>
  <c r="J41" i="165"/>
  <c r="I41" i="165"/>
  <c r="H41" i="165"/>
  <c r="G41" i="165"/>
  <c r="F41" i="165"/>
  <c r="E41" i="165"/>
  <c r="D41" i="165"/>
  <c r="J40" i="165"/>
  <c r="I40" i="165"/>
  <c r="H40" i="165"/>
  <c r="G40" i="165"/>
  <c r="J38" i="165"/>
  <c r="I38" i="165"/>
  <c r="H38" i="165"/>
  <c r="G38" i="165"/>
  <c r="F38" i="165"/>
  <c r="F40" i="165" s="1"/>
  <c r="E38" i="165"/>
  <c r="E40" i="165" s="1"/>
  <c r="D38" i="165"/>
  <c r="D40" i="165" s="1"/>
  <c r="J44" i="166"/>
  <c r="I44" i="166"/>
  <c r="H44" i="166"/>
  <c r="G44" i="166"/>
  <c r="F44" i="166"/>
  <c r="E44" i="166"/>
  <c r="D44" i="166"/>
  <c r="J43" i="166"/>
  <c r="I43" i="166"/>
  <c r="H43" i="166"/>
  <c r="G43" i="166"/>
  <c r="F43" i="166"/>
  <c r="E43" i="166"/>
  <c r="D43" i="166"/>
  <c r="J41" i="166"/>
  <c r="I41" i="166"/>
  <c r="H41" i="166"/>
  <c r="G41" i="166"/>
  <c r="F41" i="166"/>
  <c r="E41" i="166"/>
  <c r="D41" i="166"/>
  <c r="J40" i="166"/>
  <c r="I40" i="166"/>
  <c r="H40" i="166"/>
  <c r="G40" i="166"/>
  <c r="J38" i="166"/>
  <c r="I38" i="166"/>
  <c r="H38" i="166"/>
  <c r="G38" i="166"/>
  <c r="F38" i="166"/>
  <c r="F40" i="166" s="1"/>
  <c r="E38" i="166"/>
  <c r="E40" i="166" s="1"/>
  <c r="D38" i="166"/>
  <c r="D40" i="166" s="1"/>
  <c r="J44" i="167"/>
  <c r="I44" i="167"/>
  <c r="H44" i="167"/>
  <c r="G44" i="167"/>
  <c r="F44" i="167"/>
  <c r="E44" i="167"/>
  <c r="D44" i="167"/>
  <c r="J43" i="167"/>
  <c r="I43" i="167"/>
  <c r="H43" i="167"/>
  <c r="G43" i="167"/>
  <c r="F43" i="167"/>
  <c r="E43" i="167"/>
  <c r="D43" i="167"/>
  <c r="J41" i="167"/>
  <c r="I41" i="167"/>
  <c r="H41" i="167"/>
  <c r="G41" i="167"/>
  <c r="F41" i="167"/>
  <c r="E41" i="167"/>
  <c r="D41" i="167"/>
  <c r="J40" i="167"/>
  <c r="I40" i="167"/>
  <c r="H40" i="167"/>
  <c r="G40" i="167"/>
  <c r="J38" i="167"/>
  <c r="I38" i="167"/>
  <c r="H38" i="167"/>
  <c r="G38" i="167"/>
  <c r="F38" i="167"/>
  <c r="F40" i="167" s="1"/>
  <c r="E38" i="167"/>
  <c r="E40" i="167" s="1"/>
  <c r="D38" i="167"/>
  <c r="D40" i="167" s="1"/>
  <c r="J44" i="168"/>
  <c r="I44" i="168"/>
  <c r="H44" i="168"/>
  <c r="G44" i="168"/>
  <c r="F44" i="168"/>
  <c r="E44" i="168"/>
  <c r="D44" i="168"/>
  <c r="J43" i="168"/>
  <c r="I43" i="168"/>
  <c r="H43" i="168"/>
  <c r="G43" i="168"/>
  <c r="F43" i="168"/>
  <c r="E43" i="168"/>
  <c r="D43" i="168"/>
  <c r="J41" i="168"/>
  <c r="I41" i="168"/>
  <c r="H41" i="168"/>
  <c r="G41" i="168"/>
  <c r="F41" i="168"/>
  <c r="E41" i="168"/>
  <c r="D41" i="168"/>
  <c r="J40" i="168"/>
  <c r="I40" i="168"/>
  <c r="H40" i="168"/>
  <c r="J38" i="168"/>
  <c r="I38" i="168"/>
  <c r="H38" i="168"/>
  <c r="G38" i="168"/>
  <c r="G40" i="168" s="1"/>
  <c r="F38" i="168"/>
  <c r="F40" i="168" s="1"/>
  <c r="E38" i="168"/>
  <c r="E40" i="168" s="1"/>
  <c r="D38" i="168"/>
  <c r="D40" i="168" s="1"/>
  <c r="J44" i="169"/>
  <c r="I44" i="169"/>
  <c r="H44" i="169"/>
  <c r="G44" i="169"/>
  <c r="F44" i="169"/>
  <c r="E44" i="169"/>
  <c r="D44" i="169"/>
  <c r="J43" i="169"/>
  <c r="I43" i="169"/>
  <c r="H43" i="169"/>
  <c r="G43" i="169"/>
  <c r="F43" i="169"/>
  <c r="E43" i="169"/>
  <c r="D43" i="169"/>
  <c r="J41" i="169"/>
  <c r="I41" i="169"/>
  <c r="H41" i="169"/>
  <c r="G41" i="169"/>
  <c r="F41" i="169"/>
  <c r="E41" i="169"/>
  <c r="D41" i="169"/>
  <c r="J40" i="169"/>
  <c r="I40" i="169"/>
  <c r="H40" i="169"/>
  <c r="G40" i="169"/>
  <c r="J38" i="169"/>
  <c r="I38" i="169"/>
  <c r="H38" i="169"/>
  <c r="G38" i="169"/>
  <c r="F38" i="169"/>
  <c r="F40" i="169" s="1"/>
  <c r="E38" i="169"/>
  <c r="E40" i="169" s="1"/>
  <c r="D38" i="169"/>
  <c r="D40" i="169" s="1"/>
  <c r="J44" i="170"/>
  <c r="I44" i="170"/>
  <c r="H44" i="170"/>
  <c r="G44" i="170"/>
  <c r="F44" i="170"/>
  <c r="E44" i="170"/>
  <c r="D44" i="170"/>
  <c r="J43" i="170"/>
  <c r="I43" i="170"/>
  <c r="H43" i="170"/>
  <c r="G43" i="170"/>
  <c r="F43" i="170"/>
  <c r="E43" i="170"/>
  <c r="D43" i="170"/>
  <c r="J41" i="170"/>
  <c r="I41" i="170"/>
  <c r="H41" i="170"/>
  <c r="G41" i="170"/>
  <c r="F41" i="170"/>
  <c r="E41" i="170"/>
  <c r="D41" i="170"/>
  <c r="J40" i="170"/>
  <c r="I40" i="170"/>
  <c r="J38" i="170"/>
  <c r="I38" i="170"/>
  <c r="H38" i="170"/>
  <c r="H40" i="170" s="1"/>
  <c r="G38" i="170"/>
  <c r="G40" i="170" s="1"/>
  <c r="F38" i="170"/>
  <c r="F40" i="170" s="1"/>
  <c r="E38" i="170"/>
  <c r="E40" i="170" s="1"/>
  <c r="D38" i="170"/>
  <c r="D40" i="170" s="1"/>
  <c r="J44" i="171"/>
  <c r="I44" i="171"/>
  <c r="H44" i="171"/>
  <c r="G44" i="171"/>
  <c r="F44" i="171"/>
  <c r="E44" i="171"/>
  <c r="D44" i="171"/>
  <c r="J43" i="171"/>
  <c r="I43" i="171"/>
  <c r="H43" i="171"/>
  <c r="G43" i="171"/>
  <c r="F43" i="171"/>
  <c r="E43" i="171"/>
  <c r="D43" i="171"/>
  <c r="J41" i="171"/>
  <c r="I41" i="171"/>
  <c r="H41" i="171"/>
  <c r="G41" i="171"/>
  <c r="F41" i="171"/>
  <c r="E41" i="171"/>
  <c r="D41" i="171"/>
  <c r="J40" i="171"/>
  <c r="I40" i="171"/>
  <c r="H40" i="171"/>
  <c r="G40" i="171"/>
  <c r="F40" i="171"/>
  <c r="E40" i="171"/>
  <c r="D40" i="171"/>
  <c r="J38" i="171"/>
  <c r="I38" i="171"/>
  <c r="H38" i="171"/>
  <c r="G38" i="171"/>
  <c r="F38" i="171"/>
  <c r="E38" i="171"/>
  <c r="J44" i="172"/>
  <c r="I44" i="172"/>
  <c r="H44" i="172"/>
  <c r="G44" i="172"/>
  <c r="F44" i="172"/>
  <c r="E44" i="172"/>
  <c r="D44" i="172"/>
  <c r="J43" i="172"/>
  <c r="I43" i="172"/>
  <c r="H43" i="172"/>
  <c r="G43" i="172"/>
  <c r="F43" i="172"/>
  <c r="E43" i="172"/>
  <c r="D43" i="172"/>
  <c r="J41" i="172"/>
  <c r="I41" i="172"/>
  <c r="H41" i="172"/>
  <c r="G41" i="172"/>
  <c r="F41" i="172"/>
  <c r="E41" i="172"/>
  <c r="D41" i="172"/>
  <c r="J40" i="172"/>
  <c r="J38" i="172"/>
  <c r="I38" i="172"/>
  <c r="I40" i="172" s="1"/>
  <c r="H38" i="172"/>
  <c r="H40" i="172" s="1"/>
  <c r="G38" i="172"/>
  <c r="G40" i="172" s="1"/>
  <c r="F38" i="172"/>
  <c r="F40" i="172" s="1"/>
  <c r="E38" i="172"/>
  <c r="E40" i="172" s="1"/>
  <c r="D38" i="172"/>
  <c r="D40" i="172" s="1"/>
  <c r="J44" i="173"/>
  <c r="I44" i="173"/>
  <c r="H44" i="173"/>
  <c r="G44" i="173"/>
  <c r="F44" i="173"/>
  <c r="E44" i="173"/>
  <c r="D44" i="173"/>
  <c r="J43" i="173"/>
  <c r="I43" i="173"/>
  <c r="H43" i="173"/>
  <c r="G43" i="173"/>
  <c r="F43" i="173"/>
  <c r="E43" i="173"/>
  <c r="D43" i="173"/>
  <c r="J41" i="173"/>
  <c r="I41" i="173"/>
  <c r="H41" i="173"/>
  <c r="G41" i="173"/>
  <c r="F41" i="173"/>
  <c r="E41" i="173"/>
  <c r="D41" i="173"/>
  <c r="J40" i="173"/>
  <c r="I40" i="173"/>
  <c r="H40" i="173"/>
  <c r="J38" i="173"/>
  <c r="I38" i="173"/>
  <c r="H38" i="173"/>
  <c r="G38" i="173"/>
  <c r="G40" i="173" s="1"/>
  <c r="F38" i="173"/>
  <c r="F40" i="173" s="1"/>
  <c r="E38" i="173"/>
  <c r="E40" i="173" s="1"/>
  <c r="D38" i="173"/>
  <c r="D40" i="173" s="1"/>
  <c r="J44" i="174"/>
  <c r="I44" i="174"/>
  <c r="H44" i="174"/>
  <c r="G44" i="174"/>
  <c r="F44" i="174"/>
  <c r="E44" i="174"/>
  <c r="D44" i="174"/>
  <c r="J43" i="174"/>
  <c r="I43" i="174"/>
  <c r="H43" i="174"/>
  <c r="G43" i="174"/>
  <c r="F43" i="174"/>
  <c r="E43" i="174"/>
  <c r="D43" i="174"/>
  <c r="J41" i="174"/>
  <c r="I41" i="174"/>
  <c r="H41" i="174"/>
  <c r="G41" i="174"/>
  <c r="F41" i="174"/>
  <c r="E41" i="174"/>
  <c r="D41" i="174"/>
  <c r="J40" i="174"/>
  <c r="I40" i="174"/>
  <c r="H40" i="174"/>
  <c r="G40" i="174"/>
  <c r="F40" i="174"/>
  <c r="E40" i="174"/>
  <c r="J38" i="174"/>
  <c r="I38" i="174"/>
  <c r="H38" i="174"/>
  <c r="G38" i="174"/>
  <c r="F38" i="174"/>
  <c r="E38" i="174"/>
  <c r="D38" i="174"/>
  <c r="D40" i="174" s="1"/>
  <c r="J44" i="175"/>
  <c r="I44" i="175"/>
  <c r="H44" i="175"/>
  <c r="G44" i="175"/>
  <c r="F44" i="175"/>
  <c r="E44" i="175"/>
  <c r="D44" i="175"/>
  <c r="J43" i="175"/>
  <c r="I43" i="175"/>
  <c r="H43" i="175"/>
  <c r="G43" i="175"/>
  <c r="F43" i="175"/>
  <c r="E43" i="175"/>
  <c r="D43" i="175"/>
  <c r="J41" i="175"/>
  <c r="I41" i="175"/>
  <c r="H41" i="175"/>
  <c r="G41" i="175"/>
  <c r="F41" i="175"/>
  <c r="E41" i="175"/>
  <c r="D41" i="175"/>
  <c r="J40" i="175"/>
  <c r="I40" i="175"/>
  <c r="H40" i="175"/>
  <c r="G40" i="175"/>
  <c r="J38" i="175"/>
  <c r="I38" i="175"/>
  <c r="H38" i="175"/>
  <c r="G38" i="175"/>
  <c r="F38" i="175"/>
  <c r="F40" i="175" s="1"/>
  <c r="E38" i="175"/>
  <c r="E40" i="175" s="1"/>
  <c r="D38" i="175"/>
  <c r="D40" i="175" s="1"/>
  <c r="J44" i="176"/>
  <c r="I44" i="176"/>
  <c r="H44" i="176"/>
  <c r="G44" i="176"/>
  <c r="F44" i="176"/>
  <c r="E44" i="176"/>
  <c r="D44" i="176"/>
  <c r="J43" i="176"/>
  <c r="I43" i="176"/>
  <c r="H43" i="176"/>
  <c r="G43" i="176"/>
  <c r="F43" i="176"/>
  <c r="E43" i="176"/>
  <c r="D43" i="176"/>
  <c r="J41" i="176"/>
  <c r="I41" i="176"/>
  <c r="H41" i="176"/>
  <c r="G41" i="176"/>
  <c r="F41" i="176"/>
  <c r="E41" i="176"/>
  <c r="D41" i="176"/>
  <c r="J40" i="176"/>
  <c r="I40" i="176"/>
  <c r="H40" i="176"/>
  <c r="J38" i="176"/>
  <c r="I38" i="176"/>
  <c r="H38" i="176"/>
  <c r="G38" i="176"/>
  <c r="G40" i="176" s="1"/>
  <c r="F38" i="176"/>
  <c r="F40" i="176" s="1"/>
  <c r="E38" i="176"/>
  <c r="E40" i="176" s="1"/>
  <c r="D38" i="176"/>
  <c r="D40" i="176" s="1"/>
  <c r="J44" i="177"/>
  <c r="I44" i="177"/>
  <c r="H44" i="177"/>
  <c r="G44" i="177"/>
  <c r="F44" i="177"/>
  <c r="E44" i="177"/>
  <c r="D44" i="177"/>
  <c r="J43" i="177"/>
  <c r="I43" i="177"/>
  <c r="H43" i="177"/>
  <c r="G43" i="177"/>
  <c r="F43" i="177"/>
  <c r="E43" i="177"/>
  <c r="J41" i="177"/>
  <c r="I41" i="177"/>
  <c r="H41" i="177"/>
  <c r="G41" i="177"/>
  <c r="F41" i="177"/>
  <c r="E41" i="177"/>
  <c r="D41" i="177"/>
  <c r="J40" i="177"/>
  <c r="I40" i="177"/>
  <c r="H40" i="177"/>
  <c r="G40" i="177"/>
  <c r="J38" i="177"/>
  <c r="I38" i="177"/>
  <c r="H38" i="177"/>
  <c r="G38" i="177"/>
  <c r="F38" i="177"/>
  <c r="F40" i="177" s="1"/>
  <c r="E38" i="177"/>
  <c r="E40" i="177" s="1"/>
  <c r="D38" i="177"/>
  <c r="D40" i="177" s="1"/>
  <c r="J44" i="178"/>
  <c r="I44" i="178"/>
  <c r="H44" i="178"/>
  <c r="G44" i="178"/>
  <c r="F44" i="178"/>
  <c r="E44" i="178"/>
  <c r="D44" i="178"/>
  <c r="J43" i="178"/>
  <c r="I43" i="178"/>
  <c r="H43" i="178"/>
  <c r="G43" i="178"/>
  <c r="F43" i="178"/>
  <c r="E43" i="178"/>
  <c r="D43" i="178"/>
  <c r="J41" i="178"/>
  <c r="I41" i="178"/>
  <c r="H41" i="178"/>
  <c r="G41" i="178"/>
  <c r="F41" i="178"/>
  <c r="E41" i="178"/>
  <c r="D41" i="178"/>
  <c r="J40" i="178"/>
  <c r="I40" i="178"/>
  <c r="H40" i="178"/>
  <c r="J38" i="178"/>
  <c r="I38" i="178"/>
  <c r="H38" i="178"/>
  <c r="G38" i="178"/>
  <c r="G40" i="178" s="1"/>
  <c r="F38" i="178"/>
  <c r="F40" i="178" s="1"/>
  <c r="E38" i="178"/>
  <c r="E40" i="178" s="1"/>
  <c r="D38" i="178"/>
  <c r="D40" i="178" s="1"/>
  <c r="J44" i="179"/>
  <c r="I44" i="179"/>
  <c r="H44" i="179"/>
  <c r="G44" i="179"/>
  <c r="F44" i="179"/>
  <c r="E44" i="179"/>
  <c r="D44" i="179"/>
  <c r="J43" i="179"/>
  <c r="I43" i="179"/>
  <c r="H43" i="179"/>
  <c r="G43" i="179"/>
  <c r="F43" i="179"/>
  <c r="E43" i="179"/>
  <c r="D43" i="179"/>
  <c r="J41" i="179"/>
  <c r="I41" i="179"/>
  <c r="H41" i="179"/>
  <c r="G41" i="179"/>
  <c r="F41" i="179"/>
  <c r="E41" i="179"/>
  <c r="D41" i="179"/>
  <c r="J40" i="179"/>
  <c r="I40" i="179"/>
  <c r="H40" i="179"/>
  <c r="G40" i="179"/>
  <c r="J38" i="179"/>
  <c r="I38" i="179"/>
  <c r="H38" i="179"/>
  <c r="G38" i="179"/>
  <c r="F38" i="179"/>
  <c r="F40" i="179" s="1"/>
  <c r="E38" i="179"/>
  <c r="E40" i="179" s="1"/>
  <c r="D38" i="179"/>
  <c r="D40" i="179" s="1"/>
  <c r="J44" i="180"/>
  <c r="I44" i="180"/>
  <c r="H44" i="180"/>
  <c r="G44" i="180"/>
  <c r="F44" i="180"/>
  <c r="E44" i="180"/>
  <c r="D44" i="180"/>
  <c r="J43" i="180"/>
  <c r="I43" i="180"/>
  <c r="H43" i="180"/>
  <c r="G43" i="180"/>
  <c r="F43" i="180"/>
  <c r="E43" i="180"/>
  <c r="D43" i="180"/>
  <c r="J41" i="180"/>
  <c r="I41" i="180"/>
  <c r="H41" i="180"/>
  <c r="G41" i="180"/>
  <c r="F41" i="180"/>
  <c r="E41" i="180"/>
  <c r="D41" i="180"/>
  <c r="J38" i="180"/>
  <c r="J40" i="180" s="1"/>
  <c r="I38" i="180"/>
  <c r="I40" i="180" s="1"/>
  <c r="H38" i="180"/>
  <c r="H40" i="180" s="1"/>
  <c r="G38" i="180"/>
  <c r="G40" i="180" s="1"/>
  <c r="F38" i="180"/>
  <c r="F40" i="180" s="1"/>
  <c r="E38" i="180"/>
  <c r="E40" i="180" s="1"/>
  <c r="D38" i="180"/>
  <c r="D40" i="180" s="1"/>
  <c r="J44" i="181"/>
  <c r="I44" i="181"/>
  <c r="H44" i="181"/>
  <c r="G44" i="181"/>
  <c r="F44" i="181"/>
  <c r="E44" i="181"/>
  <c r="D44" i="181"/>
  <c r="J43" i="181"/>
  <c r="I43" i="181"/>
  <c r="H43" i="181"/>
  <c r="G43" i="181"/>
  <c r="F43" i="181"/>
  <c r="E43" i="181"/>
  <c r="D43" i="181"/>
  <c r="J41" i="181"/>
  <c r="I41" i="181"/>
  <c r="H41" i="181"/>
  <c r="G41" i="181"/>
  <c r="F41" i="181"/>
  <c r="E41" i="181"/>
  <c r="D41" i="181"/>
  <c r="J40" i="181"/>
  <c r="I40" i="181"/>
  <c r="H40" i="181"/>
  <c r="G40" i="181"/>
  <c r="J38" i="181"/>
  <c r="I38" i="181"/>
  <c r="H38" i="181"/>
  <c r="G38" i="181"/>
  <c r="F38" i="181"/>
  <c r="F40" i="181" s="1"/>
  <c r="E38" i="181"/>
  <c r="E40" i="181" s="1"/>
  <c r="D38" i="181"/>
  <c r="D40" i="181" s="1"/>
  <c r="J44" i="182"/>
  <c r="I44" i="182"/>
  <c r="H44" i="182"/>
  <c r="G44" i="182"/>
  <c r="F44" i="182"/>
  <c r="E44" i="182"/>
  <c r="D44" i="182"/>
  <c r="J43" i="182"/>
  <c r="I43" i="182"/>
  <c r="H43" i="182"/>
  <c r="G43" i="182"/>
  <c r="F43" i="182"/>
  <c r="D43" i="182"/>
  <c r="J41" i="182"/>
  <c r="I41" i="182"/>
  <c r="H41" i="182"/>
  <c r="G41" i="182"/>
  <c r="F41" i="182"/>
  <c r="E41" i="182"/>
  <c r="D41" i="182"/>
  <c r="J40" i="182"/>
  <c r="J38" i="182"/>
  <c r="I38" i="182"/>
  <c r="I40" i="182" s="1"/>
  <c r="H38" i="182"/>
  <c r="H40" i="182" s="1"/>
  <c r="G38" i="182"/>
  <c r="G40" i="182" s="1"/>
  <c r="F38" i="182"/>
  <c r="F40" i="182" s="1"/>
  <c r="E38" i="182"/>
  <c r="E40" i="182" s="1"/>
  <c r="D38" i="182"/>
  <c r="D40" i="182" s="1"/>
  <c r="J44" i="183"/>
  <c r="I44" i="183"/>
  <c r="H44" i="183"/>
  <c r="G44" i="183"/>
  <c r="F44" i="183"/>
  <c r="E44" i="183"/>
  <c r="D44" i="183"/>
  <c r="J43" i="183"/>
  <c r="I43" i="183"/>
  <c r="H43" i="183"/>
  <c r="G43" i="183"/>
  <c r="F43" i="183"/>
  <c r="E43" i="183"/>
  <c r="D43" i="183"/>
  <c r="J41" i="183"/>
  <c r="I41" i="183"/>
  <c r="H41" i="183"/>
  <c r="G41" i="183"/>
  <c r="F41" i="183"/>
  <c r="E41" i="183"/>
  <c r="D41" i="183"/>
  <c r="J40" i="183"/>
  <c r="I40" i="183"/>
  <c r="H40" i="183"/>
  <c r="G40" i="183"/>
  <c r="J38" i="183"/>
  <c r="I38" i="183"/>
  <c r="H38" i="183"/>
  <c r="G38" i="183"/>
  <c r="F38" i="183"/>
  <c r="F40" i="183" s="1"/>
  <c r="E38" i="183"/>
  <c r="E40" i="183" s="1"/>
  <c r="D38" i="183"/>
  <c r="D40" i="183" s="1"/>
  <c r="J44" i="184"/>
  <c r="I44" i="184"/>
  <c r="H44" i="184"/>
  <c r="G44" i="184"/>
  <c r="F44" i="184"/>
  <c r="E44" i="184"/>
  <c r="D44" i="184"/>
  <c r="J43" i="184"/>
  <c r="I43" i="184"/>
  <c r="H43" i="184"/>
  <c r="G43" i="184"/>
  <c r="F43" i="184"/>
  <c r="E43" i="184"/>
  <c r="D43" i="184"/>
  <c r="J41" i="184"/>
  <c r="I41" i="184"/>
  <c r="H41" i="184"/>
  <c r="G41" i="184"/>
  <c r="F41" i="184"/>
  <c r="E41" i="184"/>
  <c r="D41" i="184"/>
  <c r="J40" i="184"/>
  <c r="I40" i="184"/>
  <c r="H40" i="184"/>
  <c r="G40" i="184"/>
  <c r="F40" i="184"/>
  <c r="E40" i="184"/>
  <c r="J38" i="184"/>
  <c r="I38" i="184"/>
  <c r="H38" i="184"/>
  <c r="G38" i="184"/>
  <c r="F38" i="184"/>
  <c r="E38" i="184"/>
  <c r="D38" i="184"/>
  <c r="D40" i="184" s="1"/>
  <c r="J44" i="185"/>
  <c r="I44" i="185"/>
  <c r="H44" i="185"/>
  <c r="G44" i="185"/>
  <c r="F44" i="185"/>
  <c r="E44" i="185"/>
  <c r="D44" i="185"/>
  <c r="J43" i="185"/>
  <c r="I43" i="185"/>
  <c r="H43" i="185"/>
  <c r="G43" i="185"/>
  <c r="F43" i="185"/>
  <c r="E43" i="185"/>
  <c r="D43" i="185"/>
  <c r="J41" i="185"/>
  <c r="I41" i="185"/>
  <c r="H41" i="185"/>
  <c r="G41" i="185"/>
  <c r="F41" i="185"/>
  <c r="E41" i="185"/>
  <c r="D41" i="185"/>
  <c r="J40" i="185"/>
  <c r="I40" i="185"/>
  <c r="H40" i="185"/>
  <c r="G40" i="185"/>
  <c r="F40" i="185"/>
  <c r="J38" i="185"/>
  <c r="I38" i="185"/>
  <c r="H38" i="185"/>
  <c r="G38" i="185"/>
  <c r="F38" i="185"/>
  <c r="E38" i="185"/>
  <c r="E40" i="185" s="1"/>
  <c r="D38" i="185"/>
  <c r="D40" i="185" s="1"/>
  <c r="J44" i="186"/>
  <c r="I44" i="186"/>
  <c r="H44" i="186"/>
  <c r="G44" i="186"/>
  <c r="F44" i="186"/>
  <c r="E44" i="186"/>
  <c r="D44" i="186"/>
  <c r="J43" i="186"/>
  <c r="I43" i="186"/>
  <c r="H43" i="186"/>
  <c r="G43" i="186"/>
  <c r="F43" i="186"/>
  <c r="E43" i="186"/>
  <c r="D43" i="186"/>
  <c r="J41" i="186"/>
  <c r="I41" i="186"/>
  <c r="H41" i="186"/>
  <c r="G41" i="186"/>
  <c r="F41" i="186"/>
  <c r="E41" i="186"/>
  <c r="D41" i="186"/>
  <c r="J40" i="186"/>
  <c r="I40" i="186"/>
  <c r="H40" i="186"/>
  <c r="G40" i="186"/>
  <c r="F40" i="186"/>
  <c r="J38" i="186"/>
  <c r="I38" i="186"/>
  <c r="H38" i="186"/>
  <c r="G38" i="186"/>
  <c r="F38" i="186"/>
  <c r="E38" i="186"/>
  <c r="E40" i="186" s="1"/>
  <c r="D38" i="186"/>
  <c r="D40" i="186" s="1"/>
  <c r="J44" i="187"/>
  <c r="I44" i="187"/>
  <c r="H44" i="187"/>
  <c r="G44" i="187"/>
  <c r="F44" i="187"/>
  <c r="E44" i="187"/>
  <c r="D44" i="187"/>
  <c r="J43" i="187"/>
  <c r="I43" i="187"/>
  <c r="H43" i="187"/>
  <c r="G43" i="187"/>
  <c r="F43" i="187"/>
  <c r="E43" i="187"/>
  <c r="J41" i="187"/>
  <c r="I41" i="187"/>
  <c r="H41" i="187"/>
  <c r="G41" i="187"/>
  <c r="F41" i="187"/>
  <c r="E41" i="187"/>
  <c r="D41" i="187"/>
  <c r="J40" i="187"/>
  <c r="I40" i="187"/>
  <c r="H40" i="187"/>
  <c r="D40" i="187"/>
  <c r="J38" i="187"/>
  <c r="I38" i="187"/>
  <c r="H38" i="187"/>
  <c r="G38" i="187"/>
  <c r="G40" i="187" s="1"/>
  <c r="F38" i="187"/>
  <c r="F40" i="187" s="1"/>
  <c r="E38" i="187"/>
  <c r="E40" i="187" s="1"/>
  <c r="D38" i="187"/>
  <c r="D43" i="187" s="1"/>
  <c r="J44" i="188"/>
  <c r="I44" i="188"/>
  <c r="H44" i="188"/>
  <c r="G44" i="188"/>
  <c r="F44" i="188"/>
  <c r="E44" i="188"/>
  <c r="D44" i="188"/>
  <c r="J43" i="188"/>
  <c r="I43" i="188"/>
  <c r="H43" i="188"/>
  <c r="G43" i="188"/>
  <c r="F43" i="188"/>
  <c r="E43" i="188"/>
  <c r="D43" i="188"/>
  <c r="J41" i="188"/>
  <c r="I41" i="188"/>
  <c r="H41" i="188"/>
  <c r="G41" i="188"/>
  <c r="F41" i="188"/>
  <c r="E41" i="188"/>
  <c r="D41" i="188"/>
  <c r="J40" i="188"/>
  <c r="I40" i="188"/>
  <c r="H40" i="188"/>
  <c r="J38" i="188"/>
  <c r="I38" i="188"/>
  <c r="H38" i="188"/>
  <c r="G38" i="188"/>
  <c r="G40" i="188" s="1"/>
  <c r="F38" i="188"/>
  <c r="F40" i="188" s="1"/>
  <c r="E38" i="188"/>
  <c r="E40" i="188" s="1"/>
  <c r="D38" i="188"/>
  <c r="D40" i="188" s="1"/>
  <c r="J44" i="96"/>
  <c r="I44" i="96"/>
  <c r="H44" i="96"/>
  <c r="G44" i="96"/>
  <c r="F44" i="96"/>
  <c r="E44" i="96"/>
  <c r="D44" i="96"/>
  <c r="J43" i="96"/>
  <c r="I43" i="96"/>
  <c r="H43" i="96"/>
  <c r="G43" i="96"/>
  <c r="F43" i="96"/>
  <c r="E43" i="96"/>
  <c r="D43" i="96"/>
  <c r="J41" i="96"/>
  <c r="I41" i="96"/>
  <c r="H41" i="96"/>
  <c r="G41" i="96"/>
  <c r="F41" i="96"/>
  <c r="E41" i="96"/>
  <c r="D41" i="96"/>
  <c r="J40" i="96"/>
  <c r="I40" i="96"/>
  <c r="H40" i="96"/>
  <c r="G40" i="96"/>
  <c r="F40" i="96"/>
  <c r="J38" i="96"/>
  <c r="I38" i="96"/>
  <c r="H38" i="96"/>
  <c r="G38" i="96"/>
  <c r="F38" i="96"/>
  <c r="E38" i="96"/>
  <c r="E40" i="96" s="1"/>
  <c r="D38" i="96"/>
  <c r="D40" i="96" s="1"/>
  <c r="E38" i="8"/>
  <c r="F38" i="8"/>
  <c r="G38" i="8"/>
  <c r="E43" i="182" l="1"/>
  <c r="D43" i="177"/>
  <c r="E43" i="155"/>
  <c r="F43" i="137"/>
  <c r="D43" i="135"/>
  <c r="D43" i="128"/>
  <c r="D43" i="125"/>
  <c r="E15" i="129"/>
  <c r="B99" i="95" l="1"/>
  <c r="B100" i="95"/>
  <c r="B91" i="95"/>
  <c r="B92" i="95"/>
  <c r="B93" i="95"/>
  <c r="B94" i="95"/>
  <c r="B95" i="95"/>
  <c r="B96" i="95"/>
  <c r="B97" i="95"/>
  <c r="B98" i="95"/>
  <c r="D38" i="8" l="1"/>
  <c r="C11" i="181" l="1"/>
  <c r="D17" i="181" s="1"/>
  <c r="C11" i="182"/>
  <c r="D17" i="182" s="1"/>
  <c r="C11" i="183"/>
  <c r="D15" i="183" s="1"/>
  <c r="C11" i="184"/>
  <c r="C11" i="185"/>
  <c r="D21" i="185" s="1"/>
  <c r="C11" i="186"/>
  <c r="D17" i="186" s="1"/>
  <c r="C11" i="187"/>
  <c r="C11" i="188"/>
  <c r="C17" i="188" s="1"/>
  <c r="C11" i="180"/>
  <c r="C11" i="179"/>
  <c r="C15" i="179" s="1"/>
  <c r="D72" i="188"/>
  <c r="C53" i="188"/>
  <c r="C52" i="188"/>
  <c r="C51" i="188"/>
  <c r="C50" i="188"/>
  <c r="J47" i="188"/>
  <c r="J48" i="188" s="1"/>
  <c r="I47" i="188"/>
  <c r="H47" i="188"/>
  <c r="G47" i="188"/>
  <c r="G48" i="188" s="1"/>
  <c r="F47" i="188"/>
  <c r="E47" i="188"/>
  <c r="D47" i="188"/>
  <c r="D48" i="188" s="1"/>
  <c r="J46" i="188"/>
  <c r="I46" i="188"/>
  <c r="H46" i="188"/>
  <c r="G46" i="188"/>
  <c r="F46" i="188"/>
  <c r="E46" i="188"/>
  <c r="D46" i="188"/>
  <c r="I48" i="188"/>
  <c r="H48" i="188"/>
  <c r="B24" i="188"/>
  <c r="I22" i="188"/>
  <c r="C10" i="188"/>
  <c r="L8" i="188" s="1"/>
  <c r="J14" i="188" s="1"/>
  <c r="C9" i="188"/>
  <c r="C8" i="188"/>
  <c r="B4" i="188"/>
  <c r="D72" i="187"/>
  <c r="I22" i="187" s="1"/>
  <c r="C53" i="187"/>
  <c r="C52" i="187"/>
  <c r="C51" i="187"/>
  <c r="C50" i="187"/>
  <c r="J47" i="187"/>
  <c r="I47" i="187"/>
  <c r="I48" i="187" s="1"/>
  <c r="H47" i="187"/>
  <c r="H48" i="187" s="1"/>
  <c r="G47" i="187"/>
  <c r="G48" i="187" s="1"/>
  <c r="F47" i="187"/>
  <c r="E47" i="187"/>
  <c r="E48" i="187" s="1"/>
  <c r="D47" i="187"/>
  <c r="J46" i="187"/>
  <c r="I46" i="187"/>
  <c r="H46" i="187"/>
  <c r="G46" i="187"/>
  <c r="F46" i="187"/>
  <c r="E46" i="187"/>
  <c r="D46" i="187"/>
  <c r="J48" i="187"/>
  <c r="B24" i="187"/>
  <c r="C9" i="187"/>
  <c r="C10" i="187" s="1"/>
  <c r="L8" i="187" s="1"/>
  <c r="J14" i="187" s="1"/>
  <c r="C8" i="187"/>
  <c r="B4" i="187"/>
  <c r="D72" i="186"/>
  <c r="I18" i="186"/>
  <c r="C53" i="186"/>
  <c r="C52" i="186"/>
  <c r="C51" i="186"/>
  <c r="C50" i="186"/>
  <c r="J47" i="186"/>
  <c r="J48" i="186" s="1"/>
  <c r="I47" i="186"/>
  <c r="H47" i="186"/>
  <c r="G47" i="186"/>
  <c r="G48" i="186" s="1"/>
  <c r="F47" i="186"/>
  <c r="F48" i="186" s="1"/>
  <c r="E47" i="186"/>
  <c r="D47" i="186"/>
  <c r="J46" i="186"/>
  <c r="I46" i="186"/>
  <c r="H46" i="186"/>
  <c r="G46" i="186"/>
  <c r="F46" i="186"/>
  <c r="E46" i="186"/>
  <c r="D46" i="186"/>
  <c r="B24" i="186"/>
  <c r="I22" i="186"/>
  <c r="C9" i="186"/>
  <c r="C10" i="186" s="1"/>
  <c r="L8" i="186" s="1"/>
  <c r="J14" i="186" s="1"/>
  <c r="C8" i="186"/>
  <c r="B4" i="186"/>
  <c r="D72" i="185"/>
  <c r="C53" i="185"/>
  <c r="C52" i="185"/>
  <c r="C51" i="185"/>
  <c r="C50" i="185"/>
  <c r="J47" i="185"/>
  <c r="I47" i="185"/>
  <c r="H47" i="185"/>
  <c r="H48" i="185" s="1"/>
  <c r="G47" i="185"/>
  <c r="G48" i="185" s="1"/>
  <c r="F47" i="185"/>
  <c r="E47" i="185"/>
  <c r="E48" i="185" s="1"/>
  <c r="D47" i="185"/>
  <c r="D48" i="185" s="1"/>
  <c r="J46" i="185"/>
  <c r="I46" i="185"/>
  <c r="H46" i="185"/>
  <c r="G46" i="185"/>
  <c r="F46" i="185"/>
  <c r="E46" i="185"/>
  <c r="D46" i="185"/>
  <c r="J48" i="185"/>
  <c r="I48" i="185"/>
  <c r="B24" i="185"/>
  <c r="I22" i="185"/>
  <c r="C9" i="185"/>
  <c r="C10" i="185" s="1"/>
  <c r="L8" i="185" s="1"/>
  <c r="J14" i="185" s="1"/>
  <c r="C8" i="185"/>
  <c r="B4" i="185"/>
  <c r="D72" i="184"/>
  <c r="I22" i="184" s="1"/>
  <c r="C53" i="184"/>
  <c r="C52" i="184"/>
  <c r="C51" i="184"/>
  <c r="C50" i="184"/>
  <c r="J47" i="184"/>
  <c r="J48" i="184" s="1"/>
  <c r="I47" i="184"/>
  <c r="I48" i="184" s="1"/>
  <c r="H47" i="184"/>
  <c r="G47" i="184"/>
  <c r="G48" i="184" s="1"/>
  <c r="F47" i="184"/>
  <c r="F48" i="184" s="1"/>
  <c r="E47" i="184"/>
  <c r="D47" i="184"/>
  <c r="J46" i="184"/>
  <c r="I46" i="184"/>
  <c r="H46" i="184"/>
  <c r="G46" i="184"/>
  <c r="F46" i="184"/>
  <c r="E46" i="184"/>
  <c r="D46" i="184"/>
  <c r="D48" i="184"/>
  <c r="E48" i="184"/>
  <c r="B24" i="184"/>
  <c r="C9" i="184"/>
  <c r="C10" i="184" s="1"/>
  <c r="L8" i="184" s="1"/>
  <c r="J14" i="184" s="1"/>
  <c r="C8" i="184"/>
  <c r="B4" i="184"/>
  <c r="D72" i="183"/>
  <c r="C53" i="183"/>
  <c r="C52" i="183"/>
  <c r="C51" i="183"/>
  <c r="C50" i="183"/>
  <c r="J47" i="183"/>
  <c r="J48" i="183" s="1"/>
  <c r="I47" i="183"/>
  <c r="I48" i="183" s="1"/>
  <c r="H47" i="183"/>
  <c r="H48" i="183" s="1"/>
  <c r="G47" i="183"/>
  <c r="F47" i="183"/>
  <c r="E47" i="183"/>
  <c r="D47" i="183"/>
  <c r="J46" i="183"/>
  <c r="I46" i="183"/>
  <c r="H46" i="183"/>
  <c r="G46" i="183"/>
  <c r="F46" i="183"/>
  <c r="E46" i="183"/>
  <c r="D46" i="183"/>
  <c r="E48" i="183"/>
  <c r="B24" i="183"/>
  <c r="I22" i="183"/>
  <c r="C9" i="183"/>
  <c r="C10" i="183" s="1"/>
  <c r="L8" i="183" s="1"/>
  <c r="J14" i="183" s="1"/>
  <c r="C8" i="183"/>
  <c r="B4" i="183"/>
  <c r="D72" i="182"/>
  <c r="C53" i="182"/>
  <c r="C52" i="182"/>
  <c r="C51" i="182"/>
  <c r="C50" i="182"/>
  <c r="J47" i="182"/>
  <c r="I47" i="182"/>
  <c r="H47" i="182"/>
  <c r="G47" i="182"/>
  <c r="F47" i="182"/>
  <c r="E47" i="182"/>
  <c r="D47" i="182"/>
  <c r="J46" i="182"/>
  <c r="I46" i="182"/>
  <c r="H46" i="182"/>
  <c r="G46" i="182"/>
  <c r="F46" i="182"/>
  <c r="E46" i="182"/>
  <c r="D46" i="182"/>
  <c r="B24" i="182"/>
  <c r="I22" i="182"/>
  <c r="C9" i="182"/>
  <c r="C10" i="182" s="1"/>
  <c r="L8" i="182" s="1"/>
  <c r="J14" i="182" s="1"/>
  <c r="C8" i="182"/>
  <c r="B4" i="182"/>
  <c r="D72" i="181"/>
  <c r="C53" i="181"/>
  <c r="C52" i="181"/>
  <c r="C51" i="181"/>
  <c r="C50" i="181"/>
  <c r="J47" i="181"/>
  <c r="I47" i="181"/>
  <c r="H47" i="181"/>
  <c r="H48" i="181" s="1"/>
  <c r="G47" i="181"/>
  <c r="F47" i="181"/>
  <c r="E47" i="181"/>
  <c r="D47" i="181"/>
  <c r="J46" i="181"/>
  <c r="I46" i="181"/>
  <c r="H46" i="181"/>
  <c r="G46" i="181"/>
  <c r="F46" i="181"/>
  <c r="E46" i="181"/>
  <c r="D46" i="181"/>
  <c r="J48" i="181"/>
  <c r="I48" i="181"/>
  <c r="G48" i="181"/>
  <c r="B24" i="181"/>
  <c r="I22" i="181"/>
  <c r="C9" i="181"/>
  <c r="C10" i="181" s="1"/>
  <c r="L8" i="181" s="1"/>
  <c r="J14" i="181" s="1"/>
  <c r="C8" i="181"/>
  <c r="B4" i="181"/>
  <c r="D72" i="180"/>
  <c r="I22" i="180" s="1"/>
  <c r="C53" i="180"/>
  <c r="C52" i="180"/>
  <c r="C51" i="180"/>
  <c r="C50" i="180"/>
  <c r="G48" i="180"/>
  <c r="J47" i="180"/>
  <c r="J48" i="180" s="1"/>
  <c r="I47" i="180"/>
  <c r="I48" i="180" s="1"/>
  <c r="H47" i="180"/>
  <c r="H48" i="180" s="1"/>
  <c r="G47" i="180"/>
  <c r="F47" i="180"/>
  <c r="F48" i="180" s="1"/>
  <c r="E47" i="180"/>
  <c r="D47" i="180"/>
  <c r="J46" i="180"/>
  <c r="I46" i="180"/>
  <c r="H46" i="180"/>
  <c r="G46" i="180"/>
  <c r="F46" i="180"/>
  <c r="E46" i="180"/>
  <c r="D46" i="180"/>
  <c r="B24" i="180"/>
  <c r="C9" i="180"/>
  <c r="C10" i="180" s="1"/>
  <c r="L8" i="180" s="1"/>
  <c r="J14" i="180" s="1"/>
  <c r="C8" i="180"/>
  <c r="B4" i="180"/>
  <c r="D72" i="179"/>
  <c r="I22" i="179" s="1"/>
  <c r="C53" i="179"/>
  <c r="C52" i="179"/>
  <c r="C51" i="179"/>
  <c r="C50" i="179"/>
  <c r="I48" i="179"/>
  <c r="J47" i="179"/>
  <c r="I47" i="179"/>
  <c r="H47" i="179"/>
  <c r="H48" i="179" s="1"/>
  <c r="G47" i="179"/>
  <c r="G48" i="179" s="1"/>
  <c r="F47" i="179"/>
  <c r="F48" i="179" s="1"/>
  <c r="E47" i="179"/>
  <c r="E48" i="179" s="1"/>
  <c r="D47" i="179"/>
  <c r="D48" i="179" s="1"/>
  <c r="J46" i="179"/>
  <c r="I46" i="179"/>
  <c r="H46" i="179"/>
  <c r="G46" i="179"/>
  <c r="F46" i="179"/>
  <c r="E46" i="179"/>
  <c r="D46" i="179"/>
  <c r="J48" i="179"/>
  <c r="B24" i="179"/>
  <c r="C9" i="179"/>
  <c r="C10" i="179" s="1"/>
  <c r="L8" i="179" s="1"/>
  <c r="J14" i="179" s="1"/>
  <c r="C8" i="179"/>
  <c r="B4" i="179"/>
  <c r="D72" i="178"/>
  <c r="I22" i="178" s="1"/>
  <c r="C53" i="178"/>
  <c r="C52" i="178"/>
  <c r="C51" i="178"/>
  <c r="C50" i="178"/>
  <c r="J47" i="178"/>
  <c r="I47" i="178"/>
  <c r="I48" i="178" s="1"/>
  <c r="H47" i="178"/>
  <c r="G47" i="178"/>
  <c r="G48" i="178" s="1"/>
  <c r="F47" i="178"/>
  <c r="E47" i="178"/>
  <c r="D47" i="178"/>
  <c r="J46" i="178"/>
  <c r="I46" i="178"/>
  <c r="H46" i="178"/>
  <c r="G46" i="178"/>
  <c r="F46" i="178"/>
  <c r="E46" i="178"/>
  <c r="D46" i="178"/>
  <c r="J48" i="178"/>
  <c r="H48" i="178"/>
  <c r="B24" i="178"/>
  <c r="C11" i="178"/>
  <c r="C15" i="178" s="1"/>
  <c r="C9" i="178"/>
  <c r="C10" i="178" s="1"/>
  <c r="L8" i="178" s="1"/>
  <c r="J14" i="178" s="1"/>
  <c r="C8" i="178"/>
  <c r="B4" i="178"/>
  <c r="D72" i="177"/>
  <c r="C53" i="177"/>
  <c r="C52" i="177"/>
  <c r="C51" i="177"/>
  <c r="C50" i="177"/>
  <c r="J47" i="177"/>
  <c r="J48" i="177" s="1"/>
  <c r="I47" i="177"/>
  <c r="I48" i="177" s="1"/>
  <c r="H47" i="177"/>
  <c r="G47" i="177"/>
  <c r="F47" i="177"/>
  <c r="F48" i="177" s="1"/>
  <c r="E47" i="177"/>
  <c r="E48" i="177" s="1"/>
  <c r="D47" i="177"/>
  <c r="D48" i="177" s="1"/>
  <c r="J46" i="177"/>
  <c r="I46" i="177"/>
  <c r="H46" i="177"/>
  <c r="G46" i="177"/>
  <c r="F46" i="177"/>
  <c r="E46" i="177"/>
  <c r="D46" i="177"/>
  <c r="B24" i="177"/>
  <c r="I22" i="177"/>
  <c r="C11" i="177"/>
  <c r="C15" i="177" s="1"/>
  <c r="C9" i="177"/>
  <c r="C10" i="177" s="1"/>
  <c r="L8" i="177" s="1"/>
  <c r="J14" i="177" s="1"/>
  <c r="C8" i="177"/>
  <c r="B4" i="177"/>
  <c r="D72" i="176"/>
  <c r="C53" i="176"/>
  <c r="C52" i="176"/>
  <c r="C51" i="176"/>
  <c r="C50" i="176"/>
  <c r="F48" i="176"/>
  <c r="J47" i="176"/>
  <c r="J48" i="176" s="1"/>
  <c r="I47" i="176"/>
  <c r="I48" i="176" s="1"/>
  <c r="H47" i="176"/>
  <c r="G47" i="176"/>
  <c r="F47" i="176"/>
  <c r="E47" i="176"/>
  <c r="E48" i="176" s="1"/>
  <c r="D47" i="176"/>
  <c r="J46" i="176"/>
  <c r="I46" i="176"/>
  <c r="H46" i="176"/>
  <c r="G46" i="176"/>
  <c r="F46" i="176"/>
  <c r="E46" i="176"/>
  <c r="D46" i="176"/>
  <c r="H48" i="176"/>
  <c r="B24" i="176"/>
  <c r="I22" i="176"/>
  <c r="C11" i="176"/>
  <c r="C15" i="176" s="1"/>
  <c r="C9" i="176"/>
  <c r="C10" i="176" s="1"/>
  <c r="L8" i="176" s="1"/>
  <c r="J14" i="176" s="1"/>
  <c r="C8" i="176"/>
  <c r="B4" i="176"/>
  <c r="D72" i="175"/>
  <c r="I22" i="175" s="1"/>
  <c r="C53" i="175"/>
  <c r="C52" i="175"/>
  <c r="C51" i="175"/>
  <c r="C50" i="175"/>
  <c r="J47" i="175"/>
  <c r="J48" i="175" s="1"/>
  <c r="I47" i="175"/>
  <c r="I48" i="175" s="1"/>
  <c r="H47" i="175"/>
  <c r="H48" i="175" s="1"/>
  <c r="G47" i="175"/>
  <c r="G48" i="175" s="1"/>
  <c r="F47" i="175"/>
  <c r="F48" i="175" s="1"/>
  <c r="E47" i="175"/>
  <c r="D47" i="175"/>
  <c r="D48" i="175" s="1"/>
  <c r="J46" i="175"/>
  <c r="I46" i="175"/>
  <c r="H46" i="175"/>
  <c r="G46" i="175"/>
  <c r="F46" i="175"/>
  <c r="E46" i="175"/>
  <c r="D46" i="175"/>
  <c r="B24" i="175"/>
  <c r="C11" i="175"/>
  <c r="D16" i="175" s="1"/>
  <c r="C9" i="175"/>
  <c r="C10" i="175" s="1"/>
  <c r="L8" i="175" s="1"/>
  <c r="J14" i="175" s="1"/>
  <c r="C8" i="175"/>
  <c r="B4" i="175"/>
  <c r="D72" i="174"/>
  <c r="I22" i="174" s="1"/>
  <c r="C53" i="174"/>
  <c r="C52" i="174"/>
  <c r="C51" i="174"/>
  <c r="C50" i="174"/>
  <c r="J47" i="174"/>
  <c r="I47" i="174"/>
  <c r="H47" i="174"/>
  <c r="H48" i="174" s="1"/>
  <c r="G47" i="174"/>
  <c r="G48" i="174" s="1"/>
  <c r="F47" i="174"/>
  <c r="E47" i="174"/>
  <c r="E48" i="174" s="1"/>
  <c r="D47" i="174"/>
  <c r="D48" i="174" s="1"/>
  <c r="J46" i="174"/>
  <c r="I46" i="174"/>
  <c r="H46" i="174"/>
  <c r="G46" i="174"/>
  <c r="F46" i="174"/>
  <c r="E46" i="174"/>
  <c r="D46" i="174"/>
  <c r="J48" i="174"/>
  <c r="I48" i="174"/>
  <c r="F48" i="174"/>
  <c r="B24" i="174"/>
  <c r="C11" i="174"/>
  <c r="C15" i="174" s="1"/>
  <c r="C9" i="174"/>
  <c r="C10" i="174" s="1"/>
  <c r="L8" i="174" s="1"/>
  <c r="J14" i="174" s="1"/>
  <c r="C8" i="174"/>
  <c r="B4" i="174"/>
  <c r="D72" i="173"/>
  <c r="C53" i="173"/>
  <c r="C52" i="173"/>
  <c r="C51" i="173"/>
  <c r="C50" i="173"/>
  <c r="J47" i="173"/>
  <c r="J48" i="173" s="1"/>
  <c r="I47" i="173"/>
  <c r="H47" i="173"/>
  <c r="G47" i="173"/>
  <c r="G48" i="173" s="1"/>
  <c r="F47" i="173"/>
  <c r="F48" i="173" s="1"/>
  <c r="E47" i="173"/>
  <c r="E48" i="173" s="1"/>
  <c r="D47" i="173"/>
  <c r="D48" i="173" s="1"/>
  <c r="J46" i="173"/>
  <c r="I46" i="173"/>
  <c r="H46" i="173"/>
  <c r="G46" i="173"/>
  <c r="F46" i="173"/>
  <c r="E46" i="173"/>
  <c r="D46" i="173"/>
  <c r="I48" i="173"/>
  <c r="H48" i="173"/>
  <c r="B24" i="173"/>
  <c r="I22" i="173"/>
  <c r="C11" i="173"/>
  <c r="D16" i="173" s="1"/>
  <c r="C9" i="173"/>
  <c r="C10" i="173" s="1"/>
  <c r="L8" i="173" s="1"/>
  <c r="J14" i="173" s="1"/>
  <c r="C8" i="173"/>
  <c r="B4" i="173"/>
  <c r="D72" i="172"/>
  <c r="C53" i="172"/>
  <c r="C52" i="172"/>
  <c r="C51" i="172"/>
  <c r="C50" i="172"/>
  <c r="G48" i="172"/>
  <c r="J47" i="172"/>
  <c r="J48" i="172" s="1"/>
  <c r="I47" i="172"/>
  <c r="H47" i="172"/>
  <c r="H48" i="172" s="1"/>
  <c r="G47" i="172"/>
  <c r="F47" i="172"/>
  <c r="E47" i="172"/>
  <c r="E48" i="172" s="1"/>
  <c r="D47" i="172"/>
  <c r="J46" i="172"/>
  <c r="I46" i="172"/>
  <c r="H46" i="172"/>
  <c r="G46" i="172"/>
  <c r="F46" i="172"/>
  <c r="E46" i="172"/>
  <c r="D46" i="172"/>
  <c r="I48" i="172"/>
  <c r="D48" i="172"/>
  <c r="B24" i="172"/>
  <c r="I22" i="172"/>
  <c r="C11" i="172"/>
  <c r="C15" i="172" s="1"/>
  <c r="C10" i="172"/>
  <c r="L8" i="172" s="1"/>
  <c r="J14" i="172" s="1"/>
  <c r="C9" i="172"/>
  <c r="C8" i="172"/>
  <c r="B4" i="172"/>
  <c r="D72" i="171"/>
  <c r="C53" i="171"/>
  <c r="C52" i="171"/>
  <c r="C51" i="171"/>
  <c r="C50" i="171"/>
  <c r="J47" i="171"/>
  <c r="J48" i="171" s="1"/>
  <c r="I47" i="171"/>
  <c r="I48" i="171" s="1"/>
  <c r="H47" i="171"/>
  <c r="G47" i="171"/>
  <c r="G48" i="171" s="1"/>
  <c r="F47" i="171"/>
  <c r="F48" i="171" s="1"/>
  <c r="E47" i="171"/>
  <c r="E48" i="171" s="1"/>
  <c r="D47" i="171"/>
  <c r="J46" i="171"/>
  <c r="I46" i="171"/>
  <c r="H46" i="171"/>
  <c r="G46" i="171"/>
  <c r="F46" i="171"/>
  <c r="E46" i="171"/>
  <c r="D46" i="171"/>
  <c r="H48" i="171"/>
  <c r="D48" i="171"/>
  <c r="B24" i="171"/>
  <c r="I22" i="171"/>
  <c r="C11" i="171"/>
  <c r="D21" i="171" s="1"/>
  <c r="C9" i="171"/>
  <c r="C10" i="171" s="1"/>
  <c r="L8" i="171" s="1"/>
  <c r="J14" i="171" s="1"/>
  <c r="C8" i="171"/>
  <c r="B4" i="171"/>
  <c r="D72" i="170"/>
  <c r="C53" i="170"/>
  <c r="C52" i="170"/>
  <c r="C51" i="170"/>
  <c r="C50" i="170"/>
  <c r="J47" i="170"/>
  <c r="I47" i="170"/>
  <c r="H47" i="170"/>
  <c r="H48" i="170" s="1"/>
  <c r="G47" i="170"/>
  <c r="F47" i="170"/>
  <c r="F48" i="170" s="1"/>
  <c r="E47" i="170"/>
  <c r="E48" i="170" s="1"/>
  <c r="D47" i="170"/>
  <c r="J46" i="170"/>
  <c r="I46" i="170"/>
  <c r="H46" i="170"/>
  <c r="G46" i="170"/>
  <c r="F46" i="170"/>
  <c r="E46" i="170"/>
  <c r="D46" i="170"/>
  <c r="B24" i="170"/>
  <c r="I22" i="170"/>
  <c r="C11" i="170"/>
  <c r="C15" i="170" s="1"/>
  <c r="C9" i="170"/>
  <c r="C10" i="170" s="1"/>
  <c r="L8" i="170" s="1"/>
  <c r="J14" i="170" s="1"/>
  <c r="C8" i="170"/>
  <c r="B4" i="170"/>
  <c r="D72" i="169"/>
  <c r="C53" i="169"/>
  <c r="C52" i="169"/>
  <c r="C51" i="169"/>
  <c r="C50" i="169"/>
  <c r="J47" i="169"/>
  <c r="J48" i="169" s="1"/>
  <c r="I47" i="169"/>
  <c r="I48" i="169" s="1"/>
  <c r="H47" i="169"/>
  <c r="H48" i="169" s="1"/>
  <c r="G47" i="169"/>
  <c r="G48" i="169" s="1"/>
  <c r="F47" i="169"/>
  <c r="F48" i="169" s="1"/>
  <c r="E47" i="169"/>
  <c r="E48" i="169" s="1"/>
  <c r="D47" i="169"/>
  <c r="J46" i="169"/>
  <c r="I46" i="169"/>
  <c r="H46" i="169"/>
  <c r="G46" i="169"/>
  <c r="F46" i="169"/>
  <c r="E46" i="169"/>
  <c r="D46" i="169"/>
  <c r="D48" i="169"/>
  <c r="B24" i="169"/>
  <c r="I22" i="169"/>
  <c r="C11" i="169"/>
  <c r="D16" i="169" s="1"/>
  <c r="C9" i="169"/>
  <c r="C10" i="169" s="1"/>
  <c r="L8" i="169" s="1"/>
  <c r="J14" i="169" s="1"/>
  <c r="C8" i="169"/>
  <c r="B4" i="169"/>
  <c r="D72" i="168"/>
  <c r="C53" i="168"/>
  <c r="C52" i="168"/>
  <c r="C51" i="168"/>
  <c r="C50" i="168"/>
  <c r="J47" i="168"/>
  <c r="J48" i="168" s="1"/>
  <c r="I47" i="168"/>
  <c r="I48" i="168" s="1"/>
  <c r="H47" i="168"/>
  <c r="G47" i="168"/>
  <c r="G48" i="168" s="1"/>
  <c r="F47" i="168"/>
  <c r="E47" i="168"/>
  <c r="D47" i="168"/>
  <c r="D48" i="168" s="1"/>
  <c r="J46" i="168"/>
  <c r="I46" i="168"/>
  <c r="H46" i="168"/>
  <c r="G46" i="168"/>
  <c r="F46" i="168"/>
  <c r="E46" i="168"/>
  <c r="D46" i="168"/>
  <c r="H48" i="168"/>
  <c r="E48" i="168"/>
  <c r="B24" i="168"/>
  <c r="I22" i="168"/>
  <c r="C11" i="168"/>
  <c r="C15" i="168" s="1"/>
  <c r="C9" i="168"/>
  <c r="C10" i="168" s="1"/>
  <c r="L8" i="168" s="1"/>
  <c r="J14" i="168" s="1"/>
  <c r="C8" i="168"/>
  <c r="B4" i="168"/>
  <c r="D72" i="167"/>
  <c r="C53" i="167"/>
  <c r="C52" i="167"/>
  <c r="C51" i="167"/>
  <c r="C50" i="167"/>
  <c r="J47" i="167"/>
  <c r="J48" i="167" s="1"/>
  <c r="I47" i="167"/>
  <c r="H47" i="167"/>
  <c r="H48" i="167" s="1"/>
  <c r="G47" i="167"/>
  <c r="G48" i="167" s="1"/>
  <c r="F47" i="167"/>
  <c r="F48" i="167" s="1"/>
  <c r="E47" i="167"/>
  <c r="D47" i="167"/>
  <c r="D48" i="167" s="1"/>
  <c r="J46" i="167"/>
  <c r="I46" i="167"/>
  <c r="H46" i="167"/>
  <c r="G46" i="167"/>
  <c r="F46" i="167"/>
  <c r="E46" i="167"/>
  <c r="D46" i="167"/>
  <c r="I48" i="167"/>
  <c r="B24" i="167"/>
  <c r="I22" i="167"/>
  <c r="C11" i="167"/>
  <c r="D16" i="167" s="1"/>
  <c r="C9" i="167"/>
  <c r="C10" i="167" s="1"/>
  <c r="L8" i="167" s="1"/>
  <c r="J14" i="167" s="1"/>
  <c r="C8" i="167"/>
  <c r="B4" i="167"/>
  <c r="D72" i="166"/>
  <c r="C53" i="166"/>
  <c r="C52" i="166"/>
  <c r="C51" i="166"/>
  <c r="C50" i="166"/>
  <c r="J47" i="166"/>
  <c r="J48" i="166" s="1"/>
  <c r="I47" i="166"/>
  <c r="I48" i="166" s="1"/>
  <c r="H47" i="166"/>
  <c r="G47" i="166"/>
  <c r="G48" i="166" s="1"/>
  <c r="F47" i="166"/>
  <c r="F48" i="166" s="1"/>
  <c r="E47" i="166"/>
  <c r="E48" i="166" s="1"/>
  <c r="D47" i="166"/>
  <c r="D48" i="166" s="1"/>
  <c r="J46" i="166"/>
  <c r="I46" i="166"/>
  <c r="H46" i="166"/>
  <c r="G46" i="166"/>
  <c r="F46" i="166"/>
  <c r="E46" i="166"/>
  <c r="D46" i="166"/>
  <c r="H48" i="166"/>
  <c r="B24" i="166"/>
  <c r="I22" i="166"/>
  <c r="C11" i="166"/>
  <c r="D16" i="166" s="1"/>
  <c r="C9" i="166"/>
  <c r="C10" i="166" s="1"/>
  <c r="L8" i="166" s="1"/>
  <c r="J14" i="166" s="1"/>
  <c r="C8" i="166"/>
  <c r="B4" i="166"/>
  <c r="D72" i="165"/>
  <c r="C53" i="165"/>
  <c r="C52" i="165"/>
  <c r="C51" i="165"/>
  <c r="C50" i="165"/>
  <c r="J47" i="165"/>
  <c r="J48" i="165" s="1"/>
  <c r="I47" i="165"/>
  <c r="I48" i="165" s="1"/>
  <c r="H47" i="165"/>
  <c r="H48" i="165" s="1"/>
  <c r="G47" i="165"/>
  <c r="G48" i="165" s="1"/>
  <c r="F47" i="165"/>
  <c r="F48" i="165" s="1"/>
  <c r="E47" i="165"/>
  <c r="D47" i="165"/>
  <c r="J46" i="165"/>
  <c r="I46" i="165"/>
  <c r="H46" i="165"/>
  <c r="G46" i="165"/>
  <c r="F46" i="165"/>
  <c r="E46" i="165"/>
  <c r="D46" i="165"/>
  <c r="B24" i="165"/>
  <c r="I22" i="165"/>
  <c r="C11" i="165"/>
  <c r="C15" i="165" s="1"/>
  <c r="C9" i="165"/>
  <c r="C10" i="165" s="1"/>
  <c r="L8" i="165" s="1"/>
  <c r="J14" i="165" s="1"/>
  <c r="C8" i="165"/>
  <c r="B4" i="165"/>
  <c r="D72" i="164"/>
  <c r="I22" i="164" s="1"/>
  <c r="C53" i="164"/>
  <c r="C52" i="164"/>
  <c r="C51" i="164"/>
  <c r="C50" i="164"/>
  <c r="J47" i="164"/>
  <c r="I47" i="164"/>
  <c r="I48" i="164" s="1"/>
  <c r="H47" i="164"/>
  <c r="H48" i="164" s="1"/>
  <c r="G47" i="164"/>
  <c r="F47" i="164"/>
  <c r="F48" i="164" s="1"/>
  <c r="E47" i="164"/>
  <c r="E48" i="164" s="1"/>
  <c r="D47" i="164"/>
  <c r="D48" i="164" s="1"/>
  <c r="J46" i="164"/>
  <c r="I46" i="164"/>
  <c r="H46" i="164"/>
  <c r="G46" i="164"/>
  <c r="F46" i="164"/>
  <c r="E46" i="164"/>
  <c r="D46" i="164"/>
  <c r="J48" i="164"/>
  <c r="B24" i="164"/>
  <c r="C11" i="164"/>
  <c r="D16" i="164" s="1"/>
  <c r="C9" i="164"/>
  <c r="C10" i="164" s="1"/>
  <c r="L8" i="164" s="1"/>
  <c r="J14" i="164" s="1"/>
  <c r="C8" i="164"/>
  <c r="B4" i="164"/>
  <c r="D72" i="163"/>
  <c r="C53" i="163"/>
  <c r="C52" i="163"/>
  <c r="C51" i="163"/>
  <c r="C50" i="163"/>
  <c r="J47" i="163"/>
  <c r="J48" i="163" s="1"/>
  <c r="I47" i="163"/>
  <c r="I48" i="163" s="1"/>
  <c r="H47" i="163"/>
  <c r="H48" i="163" s="1"/>
  <c r="G47" i="163"/>
  <c r="F47" i="163"/>
  <c r="F48" i="163" s="1"/>
  <c r="E47" i="163"/>
  <c r="E48" i="163" s="1"/>
  <c r="K14" i="163" s="1"/>
  <c r="D47" i="163"/>
  <c r="D48" i="163" s="1"/>
  <c r="J46" i="163"/>
  <c r="I46" i="163"/>
  <c r="H46" i="163"/>
  <c r="G46" i="163"/>
  <c r="F46" i="163"/>
  <c r="E46" i="163"/>
  <c r="D46" i="163"/>
  <c r="G48" i="163"/>
  <c r="B24" i="163"/>
  <c r="I22" i="163"/>
  <c r="C11" i="163"/>
  <c r="C15" i="163" s="1"/>
  <c r="C9" i="163"/>
  <c r="C10" i="163" s="1"/>
  <c r="L8" i="163" s="1"/>
  <c r="J14" i="163" s="1"/>
  <c r="C8" i="163"/>
  <c r="B4" i="163"/>
  <c r="D72" i="162"/>
  <c r="I22" i="162" s="1"/>
  <c r="C53" i="162"/>
  <c r="C52" i="162"/>
  <c r="C51" i="162"/>
  <c r="C50" i="162"/>
  <c r="J47" i="162"/>
  <c r="J48" i="162" s="1"/>
  <c r="I47" i="162"/>
  <c r="I48" i="162" s="1"/>
  <c r="H47" i="162"/>
  <c r="G47" i="162"/>
  <c r="G48" i="162" s="1"/>
  <c r="F47" i="162"/>
  <c r="F48" i="162" s="1"/>
  <c r="E47" i="162"/>
  <c r="E48" i="162" s="1"/>
  <c r="D47" i="162"/>
  <c r="J46" i="162"/>
  <c r="I46" i="162"/>
  <c r="H46" i="162"/>
  <c r="G46" i="162"/>
  <c r="F46" i="162"/>
  <c r="E46" i="162"/>
  <c r="D46" i="162"/>
  <c r="H48" i="162"/>
  <c r="B24" i="162"/>
  <c r="C11" i="162"/>
  <c r="D15" i="162" s="1"/>
  <c r="C9" i="162"/>
  <c r="C10" i="162" s="1"/>
  <c r="L8" i="162" s="1"/>
  <c r="J14" i="162" s="1"/>
  <c r="C8" i="162"/>
  <c r="B4" i="162"/>
  <c r="D72" i="161"/>
  <c r="I22" i="161" s="1"/>
  <c r="C53" i="161"/>
  <c r="C52" i="161"/>
  <c r="C51" i="161"/>
  <c r="C50" i="161"/>
  <c r="J47" i="161"/>
  <c r="J48" i="161" s="1"/>
  <c r="I47" i="161"/>
  <c r="I48" i="161" s="1"/>
  <c r="H47" i="161"/>
  <c r="H48" i="161" s="1"/>
  <c r="G47" i="161"/>
  <c r="G48" i="161" s="1"/>
  <c r="F47" i="161"/>
  <c r="F48" i="161" s="1"/>
  <c r="E47" i="161"/>
  <c r="E48" i="161" s="1"/>
  <c r="D47" i="161"/>
  <c r="J46" i="161"/>
  <c r="I46" i="161"/>
  <c r="H46" i="161"/>
  <c r="G46" i="161"/>
  <c r="F46" i="161"/>
  <c r="E46" i="161"/>
  <c r="D46" i="161"/>
  <c r="B24" i="161"/>
  <c r="C11" i="161"/>
  <c r="C15" i="161" s="1"/>
  <c r="C9" i="161"/>
  <c r="C10" i="161" s="1"/>
  <c r="L8" i="161" s="1"/>
  <c r="J14" i="161" s="1"/>
  <c r="C8" i="161"/>
  <c r="B4" i="161"/>
  <c r="D72" i="160"/>
  <c r="C53" i="160"/>
  <c r="C52" i="160"/>
  <c r="C51" i="160"/>
  <c r="C50" i="160"/>
  <c r="H48" i="160"/>
  <c r="J47" i="160"/>
  <c r="I47" i="160"/>
  <c r="I48" i="160" s="1"/>
  <c r="H47" i="160"/>
  <c r="G47" i="160"/>
  <c r="G48" i="160" s="1"/>
  <c r="F47" i="160"/>
  <c r="E47" i="160"/>
  <c r="D47" i="160"/>
  <c r="J46" i="160"/>
  <c r="I46" i="160"/>
  <c r="H46" i="160"/>
  <c r="G46" i="160"/>
  <c r="F46" i="160"/>
  <c r="E46" i="160"/>
  <c r="D46" i="160"/>
  <c r="J48" i="160"/>
  <c r="B24" i="160"/>
  <c r="I22" i="160"/>
  <c r="C11" i="160"/>
  <c r="C15" i="160" s="1"/>
  <c r="C9" i="160"/>
  <c r="C10" i="160" s="1"/>
  <c r="L8" i="160" s="1"/>
  <c r="J14" i="160" s="1"/>
  <c r="C8" i="160"/>
  <c r="B4" i="160"/>
  <c r="D72" i="159"/>
  <c r="C53" i="159"/>
  <c r="C52" i="159"/>
  <c r="C51" i="159"/>
  <c r="C50" i="159"/>
  <c r="G48" i="159"/>
  <c r="J47" i="159"/>
  <c r="I47" i="159"/>
  <c r="H47" i="159"/>
  <c r="H48" i="159" s="1"/>
  <c r="G47" i="159"/>
  <c r="F47" i="159"/>
  <c r="F48" i="159" s="1"/>
  <c r="E47" i="159"/>
  <c r="E48" i="159" s="1"/>
  <c r="D47" i="159"/>
  <c r="J46" i="159"/>
  <c r="I46" i="159"/>
  <c r="H46" i="159"/>
  <c r="G46" i="159"/>
  <c r="F46" i="159"/>
  <c r="E46" i="159"/>
  <c r="D46" i="159"/>
  <c r="J48" i="159"/>
  <c r="I48" i="159"/>
  <c r="B24" i="159"/>
  <c r="I22" i="159"/>
  <c r="C11" i="159"/>
  <c r="C15" i="159" s="1"/>
  <c r="C9" i="159"/>
  <c r="C10" i="159" s="1"/>
  <c r="L8" i="159" s="1"/>
  <c r="J14" i="159" s="1"/>
  <c r="C8" i="159"/>
  <c r="B4" i="159"/>
  <c r="D72" i="158"/>
  <c r="C53" i="158"/>
  <c r="C52" i="158"/>
  <c r="C51" i="158"/>
  <c r="C50" i="158"/>
  <c r="F48" i="158"/>
  <c r="J47" i="158"/>
  <c r="J48" i="158" s="1"/>
  <c r="I47" i="158"/>
  <c r="I48" i="158" s="1"/>
  <c r="H47" i="158"/>
  <c r="H48" i="158" s="1"/>
  <c r="G47" i="158"/>
  <c r="G48" i="158" s="1"/>
  <c r="F47" i="158"/>
  <c r="E47" i="158"/>
  <c r="D47" i="158"/>
  <c r="J46" i="158"/>
  <c r="I46" i="158"/>
  <c r="H46" i="158"/>
  <c r="G46" i="158"/>
  <c r="F46" i="158"/>
  <c r="E46" i="158"/>
  <c r="D46" i="158"/>
  <c r="B24" i="158"/>
  <c r="I22" i="158"/>
  <c r="C11" i="158"/>
  <c r="C15" i="158" s="1"/>
  <c r="C9" i="158"/>
  <c r="C10" i="158" s="1"/>
  <c r="L8" i="158" s="1"/>
  <c r="J14" i="158" s="1"/>
  <c r="C8" i="158"/>
  <c r="B4" i="158"/>
  <c r="D72" i="157"/>
  <c r="I22" i="157" s="1"/>
  <c r="C53" i="157"/>
  <c r="C52" i="157"/>
  <c r="C51" i="157"/>
  <c r="C50" i="157"/>
  <c r="J47" i="157"/>
  <c r="I47" i="157"/>
  <c r="I48" i="157" s="1"/>
  <c r="H47" i="157"/>
  <c r="H48" i="157" s="1"/>
  <c r="G47" i="157"/>
  <c r="F47" i="157"/>
  <c r="E47" i="157"/>
  <c r="E48" i="157" s="1"/>
  <c r="D47" i="157"/>
  <c r="D48" i="157" s="1"/>
  <c r="J46" i="157"/>
  <c r="I46" i="157"/>
  <c r="H46" i="157"/>
  <c r="G46" i="157"/>
  <c r="F46" i="157"/>
  <c r="E46" i="157"/>
  <c r="D46" i="157"/>
  <c r="J48" i="157"/>
  <c r="G48" i="157"/>
  <c r="B24" i="157"/>
  <c r="C11" i="157"/>
  <c r="C15" i="157" s="1"/>
  <c r="C9" i="157"/>
  <c r="C10" i="157" s="1"/>
  <c r="L8" i="157" s="1"/>
  <c r="J14" i="157" s="1"/>
  <c r="C8" i="157"/>
  <c r="B4" i="157"/>
  <c r="D72" i="156"/>
  <c r="C53" i="156"/>
  <c r="C52" i="156"/>
  <c r="C51" i="156"/>
  <c r="C50" i="156"/>
  <c r="J47" i="156"/>
  <c r="I47" i="156"/>
  <c r="I48" i="156" s="1"/>
  <c r="H47" i="156"/>
  <c r="H48" i="156" s="1"/>
  <c r="G47" i="156"/>
  <c r="G48" i="156" s="1"/>
  <c r="F47" i="156"/>
  <c r="F48" i="156" s="1"/>
  <c r="E47" i="156"/>
  <c r="D47" i="156"/>
  <c r="J46" i="156"/>
  <c r="I46" i="156"/>
  <c r="H46" i="156"/>
  <c r="G46" i="156"/>
  <c r="F46" i="156"/>
  <c r="E46" i="156"/>
  <c r="D46" i="156"/>
  <c r="D48" i="156"/>
  <c r="J48" i="156"/>
  <c r="E48" i="156"/>
  <c r="B24" i="156"/>
  <c r="I22" i="156"/>
  <c r="C11" i="156"/>
  <c r="C15" i="156" s="1"/>
  <c r="C9" i="156"/>
  <c r="C10" i="156" s="1"/>
  <c r="L8" i="156" s="1"/>
  <c r="J14" i="156" s="1"/>
  <c r="C8" i="156"/>
  <c r="B4" i="156"/>
  <c r="D72" i="155"/>
  <c r="C53" i="155"/>
  <c r="C52" i="155"/>
  <c r="C51" i="155"/>
  <c r="C50" i="155"/>
  <c r="F48" i="155"/>
  <c r="J47" i="155"/>
  <c r="I47" i="155"/>
  <c r="I48" i="155" s="1"/>
  <c r="H47" i="155"/>
  <c r="H48" i="155" s="1"/>
  <c r="G47" i="155"/>
  <c r="G48" i="155" s="1"/>
  <c r="F47" i="155"/>
  <c r="E47" i="155"/>
  <c r="D47" i="155"/>
  <c r="J46" i="155"/>
  <c r="I46" i="155"/>
  <c r="H46" i="155"/>
  <c r="G46" i="155"/>
  <c r="F46" i="155"/>
  <c r="E46" i="155"/>
  <c r="D46" i="155"/>
  <c r="J48" i="155"/>
  <c r="B24" i="155"/>
  <c r="I22" i="155"/>
  <c r="C11" i="155"/>
  <c r="C15" i="155" s="1"/>
  <c r="C10" i="155"/>
  <c r="L8" i="155" s="1"/>
  <c r="J14" i="155" s="1"/>
  <c r="C9" i="155"/>
  <c r="C8" i="155"/>
  <c r="B4" i="155"/>
  <c r="D72" i="154"/>
  <c r="I21" i="154"/>
  <c r="C53" i="154"/>
  <c r="C52" i="154"/>
  <c r="C51" i="154"/>
  <c r="C50" i="154"/>
  <c r="J47" i="154"/>
  <c r="J48" i="154" s="1"/>
  <c r="I47" i="154"/>
  <c r="H47" i="154"/>
  <c r="G47" i="154"/>
  <c r="G48" i="154" s="1"/>
  <c r="F47" i="154"/>
  <c r="F48" i="154" s="1"/>
  <c r="E47" i="154"/>
  <c r="E48" i="154" s="1"/>
  <c r="D47" i="154"/>
  <c r="J46" i="154"/>
  <c r="I46" i="154"/>
  <c r="H46" i="154"/>
  <c r="G46" i="154"/>
  <c r="F46" i="154"/>
  <c r="E46" i="154"/>
  <c r="D46" i="154"/>
  <c r="I48" i="154"/>
  <c r="H48" i="154"/>
  <c r="B24" i="154"/>
  <c r="I22" i="154"/>
  <c r="C11" i="154"/>
  <c r="C15" i="154" s="1"/>
  <c r="C10" i="154"/>
  <c r="L8" i="154" s="1"/>
  <c r="J14" i="154" s="1"/>
  <c r="C9" i="154"/>
  <c r="C8" i="154"/>
  <c r="B4" i="154"/>
  <c r="D72" i="153"/>
  <c r="I22" i="153" s="1"/>
  <c r="C53" i="153"/>
  <c r="C52" i="153"/>
  <c r="C51" i="153"/>
  <c r="C50" i="153"/>
  <c r="J47" i="153"/>
  <c r="J48" i="153" s="1"/>
  <c r="I47" i="153"/>
  <c r="I48" i="153" s="1"/>
  <c r="H47" i="153"/>
  <c r="G47" i="153"/>
  <c r="G48" i="153" s="1"/>
  <c r="F47" i="153"/>
  <c r="F48" i="153" s="1"/>
  <c r="E47" i="153"/>
  <c r="E48" i="153" s="1"/>
  <c r="D47" i="153"/>
  <c r="J46" i="153"/>
  <c r="I46" i="153"/>
  <c r="H46" i="153"/>
  <c r="G46" i="153"/>
  <c r="F46" i="153"/>
  <c r="E46" i="153"/>
  <c r="D46" i="153"/>
  <c r="H48" i="153"/>
  <c r="B24" i="153"/>
  <c r="C11" i="153"/>
  <c r="C15" i="153" s="1"/>
  <c r="C9" i="153"/>
  <c r="C10" i="153" s="1"/>
  <c r="L8" i="153" s="1"/>
  <c r="J14" i="153" s="1"/>
  <c r="C8" i="153"/>
  <c r="B4" i="153"/>
  <c r="D72" i="152"/>
  <c r="C53" i="152"/>
  <c r="C52" i="152"/>
  <c r="C51" i="152"/>
  <c r="C50" i="152"/>
  <c r="J47" i="152"/>
  <c r="J48" i="152" s="1"/>
  <c r="I47" i="152"/>
  <c r="I48" i="152" s="1"/>
  <c r="H47" i="152"/>
  <c r="G47" i="152"/>
  <c r="F47" i="152"/>
  <c r="F48" i="152" s="1"/>
  <c r="E47" i="152"/>
  <c r="D47" i="152"/>
  <c r="J46" i="152"/>
  <c r="I46" i="152"/>
  <c r="H46" i="152"/>
  <c r="G46" i="152"/>
  <c r="F46" i="152"/>
  <c r="E46" i="152"/>
  <c r="D46" i="152"/>
  <c r="H48" i="152"/>
  <c r="E48" i="152"/>
  <c r="B24" i="152"/>
  <c r="I22" i="152"/>
  <c r="C11" i="152"/>
  <c r="C15" i="152" s="1"/>
  <c r="C9" i="152"/>
  <c r="C10" i="152" s="1"/>
  <c r="L8" i="152" s="1"/>
  <c r="J14" i="152" s="1"/>
  <c r="C8" i="152"/>
  <c r="B4" i="152"/>
  <c r="D72" i="151"/>
  <c r="C53" i="151"/>
  <c r="C52" i="151"/>
  <c r="C51" i="151"/>
  <c r="C50" i="151"/>
  <c r="J47" i="151"/>
  <c r="I47" i="151"/>
  <c r="I48" i="151" s="1"/>
  <c r="H47" i="151"/>
  <c r="H48" i="151" s="1"/>
  <c r="G47" i="151"/>
  <c r="G48" i="151" s="1"/>
  <c r="F47" i="151"/>
  <c r="F48" i="151" s="1"/>
  <c r="E47" i="151"/>
  <c r="E48" i="151" s="1"/>
  <c r="D47" i="151"/>
  <c r="J46" i="151"/>
  <c r="I46" i="151"/>
  <c r="H46" i="151"/>
  <c r="G46" i="151"/>
  <c r="F46" i="151"/>
  <c r="E46" i="151"/>
  <c r="D46" i="151"/>
  <c r="J48" i="151"/>
  <c r="B24" i="151"/>
  <c r="I22" i="151"/>
  <c r="C11" i="151"/>
  <c r="C15" i="151" s="1"/>
  <c r="C9" i="151"/>
  <c r="C10" i="151" s="1"/>
  <c r="L8" i="151" s="1"/>
  <c r="J14" i="151" s="1"/>
  <c r="C8" i="151"/>
  <c r="B4" i="151"/>
  <c r="D72" i="150"/>
  <c r="I22" i="150" s="1"/>
  <c r="C53" i="150"/>
  <c r="C52" i="150"/>
  <c r="C51" i="150"/>
  <c r="C50" i="150"/>
  <c r="J47" i="150"/>
  <c r="I47" i="150"/>
  <c r="I48" i="150" s="1"/>
  <c r="H47" i="150"/>
  <c r="H48" i="150" s="1"/>
  <c r="G47" i="150"/>
  <c r="F47" i="150"/>
  <c r="E47" i="150"/>
  <c r="E48" i="150" s="1"/>
  <c r="D47" i="150"/>
  <c r="J46" i="150"/>
  <c r="I46" i="150"/>
  <c r="H46" i="150"/>
  <c r="G46" i="150"/>
  <c r="F46" i="150"/>
  <c r="E46" i="150"/>
  <c r="D46" i="150"/>
  <c r="J48" i="150"/>
  <c r="G48" i="150"/>
  <c r="F48" i="150"/>
  <c r="B24" i="150"/>
  <c r="C11" i="150"/>
  <c r="C15" i="150" s="1"/>
  <c r="C9" i="150"/>
  <c r="C10" i="150" s="1"/>
  <c r="L8" i="150" s="1"/>
  <c r="J14" i="150" s="1"/>
  <c r="C8" i="150"/>
  <c r="B4" i="150"/>
  <c r="D72" i="149"/>
  <c r="I22" i="149" s="1"/>
  <c r="C53" i="149"/>
  <c r="C52" i="149"/>
  <c r="C51" i="149"/>
  <c r="C50" i="149"/>
  <c r="J47" i="149"/>
  <c r="J48" i="149" s="1"/>
  <c r="I47" i="149"/>
  <c r="H47" i="149"/>
  <c r="H48" i="149" s="1"/>
  <c r="G47" i="149"/>
  <c r="G48" i="149" s="1"/>
  <c r="F47" i="149"/>
  <c r="F48" i="149" s="1"/>
  <c r="E47" i="149"/>
  <c r="E48" i="149" s="1"/>
  <c r="D47" i="149"/>
  <c r="D48" i="149" s="1"/>
  <c r="J46" i="149"/>
  <c r="I46" i="149"/>
  <c r="H46" i="149"/>
  <c r="G46" i="149"/>
  <c r="F46" i="149"/>
  <c r="E46" i="149"/>
  <c r="D46" i="149"/>
  <c r="I48" i="149"/>
  <c r="B24" i="149"/>
  <c r="C11" i="149"/>
  <c r="C15" i="149" s="1"/>
  <c r="C9" i="149"/>
  <c r="C10" i="149" s="1"/>
  <c r="L8" i="149" s="1"/>
  <c r="J14" i="149" s="1"/>
  <c r="C8" i="149"/>
  <c r="B4" i="149"/>
  <c r="D72" i="148"/>
  <c r="C53" i="148"/>
  <c r="C52" i="148"/>
  <c r="C51" i="148"/>
  <c r="C50" i="148"/>
  <c r="J47" i="148"/>
  <c r="J48" i="148" s="1"/>
  <c r="I47" i="148"/>
  <c r="I48" i="148" s="1"/>
  <c r="H47" i="148"/>
  <c r="G47" i="148"/>
  <c r="G48" i="148" s="1"/>
  <c r="F47" i="148"/>
  <c r="F48" i="148" s="1"/>
  <c r="E47" i="148"/>
  <c r="E48" i="148" s="1"/>
  <c r="D47" i="148"/>
  <c r="J46" i="148"/>
  <c r="I46" i="148"/>
  <c r="H46" i="148"/>
  <c r="G46" i="148"/>
  <c r="F46" i="148"/>
  <c r="E46" i="148"/>
  <c r="D46" i="148"/>
  <c r="H48" i="148"/>
  <c r="B24" i="148"/>
  <c r="I22" i="148"/>
  <c r="C11" i="148"/>
  <c r="C15" i="148" s="1"/>
  <c r="C9" i="148"/>
  <c r="C10" i="148" s="1"/>
  <c r="L8" i="148" s="1"/>
  <c r="J14" i="148" s="1"/>
  <c r="C8" i="148"/>
  <c r="B4" i="148"/>
  <c r="D72" i="147"/>
  <c r="C53" i="147"/>
  <c r="C52" i="147"/>
  <c r="C51" i="147"/>
  <c r="C50" i="147"/>
  <c r="J47" i="147"/>
  <c r="J48" i="147" s="1"/>
  <c r="I47" i="147"/>
  <c r="I48" i="147" s="1"/>
  <c r="H47" i="147"/>
  <c r="G47" i="147"/>
  <c r="F47" i="147"/>
  <c r="F48" i="147" s="1"/>
  <c r="E47" i="147"/>
  <c r="E48" i="147" s="1"/>
  <c r="D47" i="147"/>
  <c r="D48" i="147" s="1"/>
  <c r="J46" i="147"/>
  <c r="I46" i="147"/>
  <c r="H46" i="147"/>
  <c r="G46" i="147"/>
  <c r="F46" i="147"/>
  <c r="E46" i="147"/>
  <c r="D46" i="147"/>
  <c r="H48" i="147"/>
  <c r="G48" i="147"/>
  <c r="B24" i="147"/>
  <c r="I22" i="147"/>
  <c r="C11" i="147"/>
  <c r="C15" i="147" s="1"/>
  <c r="C9" i="147"/>
  <c r="C10" i="147" s="1"/>
  <c r="L8" i="147" s="1"/>
  <c r="J14" i="147" s="1"/>
  <c r="C8" i="147"/>
  <c r="B4" i="147"/>
  <c r="D72" i="146"/>
  <c r="C53" i="146"/>
  <c r="C52" i="146"/>
  <c r="C51" i="146"/>
  <c r="C50" i="146"/>
  <c r="H48" i="146"/>
  <c r="G48" i="146"/>
  <c r="J47" i="146"/>
  <c r="J48" i="146" s="1"/>
  <c r="I47" i="146"/>
  <c r="I48" i="146" s="1"/>
  <c r="H47" i="146"/>
  <c r="G47" i="146"/>
  <c r="F47" i="146"/>
  <c r="F48" i="146" s="1"/>
  <c r="E47" i="146"/>
  <c r="E48" i="146" s="1"/>
  <c r="D47" i="146"/>
  <c r="D48" i="146" s="1"/>
  <c r="J46" i="146"/>
  <c r="I46" i="146"/>
  <c r="H46" i="146"/>
  <c r="G46" i="146"/>
  <c r="F46" i="146"/>
  <c r="E46" i="146"/>
  <c r="D46" i="146"/>
  <c r="B24" i="146"/>
  <c r="I22" i="146"/>
  <c r="C11" i="146"/>
  <c r="C15" i="146" s="1"/>
  <c r="C9" i="146"/>
  <c r="C10" i="146" s="1"/>
  <c r="L8" i="146" s="1"/>
  <c r="J14" i="146" s="1"/>
  <c r="C8" i="146"/>
  <c r="B4" i="146"/>
  <c r="D72" i="145"/>
  <c r="I22" i="145" s="1"/>
  <c r="C53" i="145"/>
  <c r="C52" i="145"/>
  <c r="C51" i="145"/>
  <c r="C50" i="145"/>
  <c r="J47" i="145"/>
  <c r="J48" i="145" s="1"/>
  <c r="I47" i="145"/>
  <c r="I48" i="145" s="1"/>
  <c r="H47" i="145"/>
  <c r="G47" i="145"/>
  <c r="G48" i="145" s="1"/>
  <c r="F47" i="145"/>
  <c r="F48" i="145" s="1"/>
  <c r="E47" i="145"/>
  <c r="E48" i="145" s="1"/>
  <c r="D47" i="145"/>
  <c r="D48" i="145" s="1"/>
  <c r="J46" i="145"/>
  <c r="I46" i="145"/>
  <c r="H46" i="145"/>
  <c r="G46" i="145"/>
  <c r="F46" i="145"/>
  <c r="E46" i="145"/>
  <c r="D46" i="145"/>
  <c r="B24" i="145"/>
  <c r="C11" i="145"/>
  <c r="D16" i="145" s="1"/>
  <c r="C9" i="145"/>
  <c r="C10" i="145" s="1"/>
  <c r="L8" i="145" s="1"/>
  <c r="J14" i="145" s="1"/>
  <c r="C8" i="145"/>
  <c r="B4" i="145"/>
  <c r="D72" i="144"/>
  <c r="I22" i="144" s="1"/>
  <c r="C53" i="144"/>
  <c r="C52" i="144"/>
  <c r="C51" i="144"/>
  <c r="C50" i="144"/>
  <c r="J47" i="144"/>
  <c r="J48" i="144" s="1"/>
  <c r="I47" i="144"/>
  <c r="I48" i="144" s="1"/>
  <c r="H47" i="144"/>
  <c r="H48" i="144" s="1"/>
  <c r="G47" i="144"/>
  <c r="G48" i="144" s="1"/>
  <c r="F47" i="144"/>
  <c r="E47" i="144"/>
  <c r="D47" i="144"/>
  <c r="J46" i="144"/>
  <c r="I46" i="144"/>
  <c r="H46" i="144"/>
  <c r="G46" i="144"/>
  <c r="F46" i="144"/>
  <c r="E46" i="144"/>
  <c r="D46" i="144"/>
  <c r="B24" i="144"/>
  <c r="C11" i="144"/>
  <c r="D16" i="144" s="1"/>
  <c r="C10" i="144"/>
  <c r="L8" i="144" s="1"/>
  <c r="J14" i="144" s="1"/>
  <c r="C9" i="144"/>
  <c r="C8" i="144"/>
  <c r="B4" i="144"/>
  <c r="D72" i="143"/>
  <c r="I22" i="143" s="1"/>
  <c r="C53" i="143"/>
  <c r="C52" i="143"/>
  <c r="C51" i="143"/>
  <c r="C50" i="143"/>
  <c r="J47" i="143"/>
  <c r="J48" i="143" s="1"/>
  <c r="I47" i="143"/>
  <c r="I48" i="143" s="1"/>
  <c r="H47" i="143"/>
  <c r="H48" i="143" s="1"/>
  <c r="G47" i="143"/>
  <c r="F47" i="143"/>
  <c r="F48" i="143" s="1"/>
  <c r="E47" i="143"/>
  <c r="D47" i="143"/>
  <c r="D48" i="143" s="1"/>
  <c r="J46" i="143"/>
  <c r="I46" i="143"/>
  <c r="H46" i="143"/>
  <c r="G46" i="143"/>
  <c r="F46" i="143"/>
  <c r="E46" i="143"/>
  <c r="D46" i="143"/>
  <c r="B24" i="143"/>
  <c r="C11" i="143"/>
  <c r="C15" i="143" s="1"/>
  <c r="C9" i="143"/>
  <c r="C10" i="143" s="1"/>
  <c r="L8" i="143" s="1"/>
  <c r="J14" i="143" s="1"/>
  <c r="C8" i="143"/>
  <c r="B4" i="143"/>
  <c r="I22" i="119"/>
  <c r="I22" i="140"/>
  <c r="I22" i="141"/>
  <c r="A2" i="22"/>
  <c r="D72" i="142"/>
  <c r="I22" i="142" s="1"/>
  <c r="C53" i="142"/>
  <c r="C52" i="142"/>
  <c r="C51" i="142"/>
  <c r="C50" i="142"/>
  <c r="J47" i="142"/>
  <c r="I47" i="142"/>
  <c r="H47" i="142"/>
  <c r="G47" i="142"/>
  <c r="F47" i="142"/>
  <c r="E47" i="142"/>
  <c r="D47" i="142"/>
  <c r="J46" i="142"/>
  <c r="I46" i="142"/>
  <c r="H46" i="142"/>
  <c r="G46" i="142"/>
  <c r="F46" i="142"/>
  <c r="E46" i="142"/>
  <c r="D46" i="142"/>
  <c r="H48" i="142"/>
  <c r="B24" i="142"/>
  <c r="C11" i="142"/>
  <c r="C15" i="142" s="1"/>
  <c r="C9" i="142"/>
  <c r="C10" i="142" s="1"/>
  <c r="L8" i="142" s="1"/>
  <c r="J14" i="142" s="1"/>
  <c r="C8" i="142"/>
  <c r="B4" i="142"/>
  <c r="D72" i="141"/>
  <c r="C53" i="141"/>
  <c r="C52" i="141"/>
  <c r="C51" i="141"/>
  <c r="C50" i="141"/>
  <c r="J47" i="141"/>
  <c r="I47" i="141"/>
  <c r="H47" i="141"/>
  <c r="H48" i="141" s="1"/>
  <c r="G47" i="141"/>
  <c r="F47" i="141"/>
  <c r="E47" i="141"/>
  <c r="D47" i="141"/>
  <c r="D48" i="141" s="1"/>
  <c r="J46" i="141"/>
  <c r="I46" i="141"/>
  <c r="H46" i="141"/>
  <c r="G46" i="141"/>
  <c r="F46" i="141"/>
  <c r="E46" i="141"/>
  <c r="D46" i="141"/>
  <c r="J48" i="141"/>
  <c r="I48" i="141"/>
  <c r="B24" i="141"/>
  <c r="C11" i="141"/>
  <c r="C15" i="141" s="1"/>
  <c r="C9" i="141"/>
  <c r="C10" i="141" s="1"/>
  <c r="L8" i="141" s="1"/>
  <c r="J14" i="141" s="1"/>
  <c r="C8" i="141"/>
  <c r="B4" i="141"/>
  <c r="D72" i="140"/>
  <c r="C53" i="140"/>
  <c r="C52" i="140"/>
  <c r="C51" i="140"/>
  <c r="C50" i="140"/>
  <c r="J47" i="140"/>
  <c r="I47" i="140"/>
  <c r="I48" i="140" s="1"/>
  <c r="H47" i="140"/>
  <c r="G47" i="140"/>
  <c r="F47" i="140"/>
  <c r="E47" i="140"/>
  <c r="D47" i="140"/>
  <c r="J46" i="140"/>
  <c r="I46" i="140"/>
  <c r="H46" i="140"/>
  <c r="G46" i="140"/>
  <c r="F46" i="140"/>
  <c r="E46" i="140"/>
  <c r="D46" i="140"/>
  <c r="B24" i="140"/>
  <c r="C11" i="140"/>
  <c r="C15" i="140" s="1"/>
  <c r="C9" i="140"/>
  <c r="C10" i="140" s="1"/>
  <c r="L8" i="140" s="1"/>
  <c r="J14" i="140" s="1"/>
  <c r="C8" i="140"/>
  <c r="B4" i="140"/>
  <c r="D72" i="139"/>
  <c r="I22" i="139" s="1"/>
  <c r="C53" i="139"/>
  <c r="C52" i="139"/>
  <c r="C51" i="139"/>
  <c r="C50" i="139"/>
  <c r="J47" i="139"/>
  <c r="I47" i="139"/>
  <c r="I48" i="139" s="1"/>
  <c r="H47" i="139"/>
  <c r="G47" i="139"/>
  <c r="F47" i="139"/>
  <c r="E47" i="139"/>
  <c r="D47" i="139"/>
  <c r="J46" i="139"/>
  <c r="I46" i="139"/>
  <c r="H46" i="139"/>
  <c r="G46" i="139"/>
  <c r="F46" i="139"/>
  <c r="E46" i="139"/>
  <c r="D46" i="139"/>
  <c r="B24" i="139"/>
  <c r="C11" i="139"/>
  <c r="C15" i="139" s="1"/>
  <c r="C9" i="139"/>
  <c r="C10" i="139" s="1"/>
  <c r="L8" i="139" s="1"/>
  <c r="J14" i="139" s="1"/>
  <c r="C8" i="139"/>
  <c r="B4" i="139"/>
  <c r="D72" i="138"/>
  <c r="I22" i="138" s="1"/>
  <c r="C53" i="138"/>
  <c r="C52" i="138"/>
  <c r="C51" i="138"/>
  <c r="C50" i="138"/>
  <c r="J47" i="138"/>
  <c r="I47" i="138"/>
  <c r="H47" i="138"/>
  <c r="G47" i="138"/>
  <c r="F47" i="138"/>
  <c r="E47" i="138"/>
  <c r="D47" i="138"/>
  <c r="J46" i="138"/>
  <c r="I46" i="138"/>
  <c r="H46" i="138"/>
  <c r="G46" i="138"/>
  <c r="F46" i="138"/>
  <c r="E46" i="138"/>
  <c r="D46" i="138"/>
  <c r="B24" i="138"/>
  <c r="C11" i="138"/>
  <c r="D16" i="138" s="1"/>
  <c r="C9" i="138"/>
  <c r="C10" i="138" s="1"/>
  <c r="L8" i="138" s="1"/>
  <c r="J14" i="138" s="1"/>
  <c r="C8" i="138"/>
  <c r="B4" i="138"/>
  <c r="D72" i="137"/>
  <c r="I22" i="137" s="1"/>
  <c r="C53" i="137"/>
  <c r="C52" i="137"/>
  <c r="C51" i="137"/>
  <c r="C50" i="137"/>
  <c r="J47" i="137"/>
  <c r="I47" i="137"/>
  <c r="H47" i="137"/>
  <c r="G47" i="137"/>
  <c r="F47" i="137"/>
  <c r="E47" i="137"/>
  <c r="D47" i="137"/>
  <c r="J46" i="137"/>
  <c r="I46" i="137"/>
  <c r="H46" i="137"/>
  <c r="G46" i="137"/>
  <c r="F46" i="137"/>
  <c r="E46" i="137"/>
  <c r="D46" i="137"/>
  <c r="B24" i="137"/>
  <c r="C11" i="137"/>
  <c r="C15" i="137" s="1"/>
  <c r="C9" i="137"/>
  <c r="C10" i="137" s="1"/>
  <c r="L8" i="137" s="1"/>
  <c r="J14" i="137" s="1"/>
  <c r="C8" i="137"/>
  <c r="B4" i="137"/>
  <c r="D72" i="136"/>
  <c r="I22" i="136" s="1"/>
  <c r="C53" i="136"/>
  <c r="C52" i="136"/>
  <c r="C51" i="136"/>
  <c r="C50" i="136"/>
  <c r="J47" i="136"/>
  <c r="I47" i="136"/>
  <c r="H47" i="136"/>
  <c r="H48" i="136" s="1"/>
  <c r="G47" i="136"/>
  <c r="F47" i="136"/>
  <c r="E47" i="136"/>
  <c r="D47" i="136"/>
  <c r="J46" i="136"/>
  <c r="I46" i="136"/>
  <c r="H46" i="136"/>
  <c r="G46" i="136"/>
  <c r="F46" i="136"/>
  <c r="E46" i="136"/>
  <c r="D46" i="136"/>
  <c r="B24" i="136"/>
  <c r="C11" i="136"/>
  <c r="C18" i="136" s="1"/>
  <c r="C9" i="136"/>
  <c r="C10" i="136" s="1"/>
  <c r="L8" i="136" s="1"/>
  <c r="J14" i="136" s="1"/>
  <c r="C8" i="136"/>
  <c r="B4" i="136"/>
  <c r="D72" i="135"/>
  <c r="I22" i="135" s="1"/>
  <c r="C53" i="135"/>
  <c r="C52" i="135"/>
  <c r="C51" i="135"/>
  <c r="C50" i="135"/>
  <c r="J47" i="135"/>
  <c r="I47" i="135"/>
  <c r="I48" i="135" s="1"/>
  <c r="H47" i="135"/>
  <c r="G47" i="135"/>
  <c r="F47" i="135"/>
  <c r="E47" i="135"/>
  <c r="D47" i="135"/>
  <c r="J46" i="135"/>
  <c r="I46" i="135"/>
  <c r="H46" i="135"/>
  <c r="G46" i="135"/>
  <c r="F46" i="135"/>
  <c r="E46" i="135"/>
  <c r="D46" i="135"/>
  <c r="H48" i="135"/>
  <c r="B24" i="135"/>
  <c r="C11" i="135"/>
  <c r="C15" i="135" s="1"/>
  <c r="C9" i="135"/>
  <c r="C10" i="135" s="1"/>
  <c r="L8" i="135" s="1"/>
  <c r="J14" i="135" s="1"/>
  <c r="C8" i="135"/>
  <c r="B4" i="135"/>
  <c r="D72" i="134"/>
  <c r="I22" i="134" s="1"/>
  <c r="C53" i="134"/>
  <c r="C52" i="134"/>
  <c r="C51" i="134"/>
  <c r="C50" i="134"/>
  <c r="J47" i="134"/>
  <c r="I47" i="134"/>
  <c r="I48" i="134" s="1"/>
  <c r="H47" i="134"/>
  <c r="G47" i="134"/>
  <c r="F47" i="134"/>
  <c r="E47" i="134"/>
  <c r="D47" i="134"/>
  <c r="J46" i="134"/>
  <c r="I46" i="134"/>
  <c r="H46" i="134"/>
  <c r="G46" i="134"/>
  <c r="F46" i="134"/>
  <c r="E46" i="134"/>
  <c r="D46" i="134"/>
  <c r="B24" i="134"/>
  <c r="C11" i="134"/>
  <c r="C15" i="134" s="1"/>
  <c r="C9" i="134"/>
  <c r="C10" i="134" s="1"/>
  <c r="L8" i="134" s="1"/>
  <c r="J14" i="134" s="1"/>
  <c r="C8" i="134"/>
  <c r="B4" i="134"/>
  <c r="D72" i="133"/>
  <c r="I22" i="133" s="1"/>
  <c r="C53" i="133"/>
  <c r="C52" i="133"/>
  <c r="C51" i="133"/>
  <c r="C50" i="133"/>
  <c r="J47" i="133"/>
  <c r="I47" i="133"/>
  <c r="H47" i="133"/>
  <c r="G47" i="133"/>
  <c r="F47" i="133"/>
  <c r="E47" i="133"/>
  <c r="D47" i="133"/>
  <c r="J46" i="133"/>
  <c r="I46" i="133"/>
  <c r="H46" i="133"/>
  <c r="G46" i="133"/>
  <c r="F46" i="133"/>
  <c r="E46" i="133"/>
  <c r="D46" i="133"/>
  <c r="I48" i="133"/>
  <c r="B24" i="133"/>
  <c r="C11" i="133"/>
  <c r="C15" i="133" s="1"/>
  <c r="C9" i="133"/>
  <c r="C10" i="133" s="1"/>
  <c r="L8" i="133" s="1"/>
  <c r="J14" i="133" s="1"/>
  <c r="C8" i="133"/>
  <c r="B4" i="133"/>
  <c r="D72" i="132"/>
  <c r="I22" i="132" s="1"/>
  <c r="C53" i="132"/>
  <c r="C52" i="132"/>
  <c r="C51" i="132"/>
  <c r="C50" i="132"/>
  <c r="J47" i="132"/>
  <c r="I47" i="132"/>
  <c r="I48" i="132" s="1"/>
  <c r="H47" i="132"/>
  <c r="G47" i="132"/>
  <c r="F47" i="132"/>
  <c r="E47" i="132"/>
  <c r="D47" i="132"/>
  <c r="J46" i="132"/>
  <c r="I46" i="132"/>
  <c r="H46" i="132"/>
  <c r="G46" i="132"/>
  <c r="F46" i="132"/>
  <c r="E46" i="132"/>
  <c r="D46" i="132"/>
  <c r="H48" i="132"/>
  <c r="B24" i="132"/>
  <c r="C11" i="132"/>
  <c r="C15" i="132" s="1"/>
  <c r="C9" i="132"/>
  <c r="C10" i="132" s="1"/>
  <c r="L8" i="132" s="1"/>
  <c r="J14" i="132" s="1"/>
  <c r="C8" i="132"/>
  <c r="B4" i="132"/>
  <c r="D72" i="131"/>
  <c r="I22" i="131" s="1"/>
  <c r="C53" i="131"/>
  <c r="C52" i="131"/>
  <c r="C51" i="131"/>
  <c r="C50" i="131"/>
  <c r="J47" i="131"/>
  <c r="I47" i="131"/>
  <c r="I48" i="131" s="1"/>
  <c r="H47" i="131"/>
  <c r="H48" i="131" s="1"/>
  <c r="G47" i="131"/>
  <c r="F47" i="131"/>
  <c r="E47" i="131"/>
  <c r="D47" i="131"/>
  <c r="J46" i="131"/>
  <c r="I46" i="131"/>
  <c r="H46" i="131"/>
  <c r="G46" i="131"/>
  <c r="F46" i="131"/>
  <c r="E46" i="131"/>
  <c r="D46" i="131"/>
  <c r="B24" i="131"/>
  <c r="C11" i="131"/>
  <c r="C15" i="131" s="1"/>
  <c r="C9" i="131"/>
  <c r="C10" i="131" s="1"/>
  <c r="L8" i="131" s="1"/>
  <c r="J14" i="131" s="1"/>
  <c r="C8" i="131"/>
  <c r="B4" i="131"/>
  <c r="D72" i="130"/>
  <c r="I22" i="130" s="1"/>
  <c r="C53" i="130"/>
  <c r="C52" i="130"/>
  <c r="C51" i="130"/>
  <c r="C50" i="130"/>
  <c r="J47" i="130"/>
  <c r="I47" i="130"/>
  <c r="H47" i="130"/>
  <c r="G47" i="130"/>
  <c r="F47" i="130"/>
  <c r="E47" i="130"/>
  <c r="D47" i="130"/>
  <c r="J46" i="130"/>
  <c r="I46" i="130"/>
  <c r="H46" i="130"/>
  <c r="G46" i="130"/>
  <c r="F46" i="130"/>
  <c r="E46" i="130"/>
  <c r="D46" i="130"/>
  <c r="H48" i="130"/>
  <c r="B24" i="130"/>
  <c r="C11" i="130"/>
  <c r="C18" i="130" s="1"/>
  <c r="C9" i="130"/>
  <c r="C10" i="130" s="1"/>
  <c r="L8" i="130" s="1"/>
  <c r="J14" i="130" s="1"/>
  <c r="C8" i="130"/>
  <c r="B4" i="130"/>
  <c r="D72" i="129"/>
  <c r="I22" i="129" s="1"/>
  <c r="C53" i="129"/>
  <c r="C52" i="129"/>
  <c r="C51" i="129"/>
  <c r="C50" i="129"/>
  <c r="J47" i="129"/>
  <c r="I47" i="129"/>
  <c r="H47" i="129"/>
  <c r="G47" i="129"/>
  <c r="F47" i="129"/>
  <c r="E47" i="129"/>
  <c r="D47" i="129"/>
  <c r="J46" i="129"/>
  <c r="I46" i="129"/>
  <c r="H46" i="129"/>
  <c r="G46" i="129"/>
  <c r="F46" i="129"/>
  <c r="E46" i="129"/>
  <c r="D46" i="129"/>
  <c r="B24" i="129"/>
  <c r="C11" i="129"/>
  <c r="C18" i="129" s="1"/>
  <c r="C9" i="129"/>
  <c r="C10" i="129" s="1"/>
  <c r="L8" i="129" s="1"/>
  <c r="J14" i="129" s="1"/>
  <c r="C8" i="129"/>
  <c r="B4" i="129"/>
  <c r="D72" i="128"/>
  <c r="I22" i="128" s="1"/>
  <c r="C53" i="128"/>
  <c r="C52" i="128"/>
  <c r="C51" i="128"/>
  <c r="C50" i="128"/>
  <c r="J47" i="128"/>
  <c r="I47" i="128"/>
  <c r="H47" i="128"/>
  <c r="G47" i="128"/>
  <c r="F47" i="128"/>
  <c r="E47" i="128"/>
  <c r="D47" i="128"/>
  <c r="J46" i="128"/>
  <c r="I46" i="128"/>
  <c r="H46" i="128"/>
  <c r="G46" i="128"/>
  <c r="F46" i="128"/>
  <c r="E46" i="128"/>
  <c r="D46" i="128"/>
  <c r="B24" i="128"/>
  <c r="C11" i="128"/>
  <c r="C18" i="128" s="1"/>
  <c r="C9" i="128"/>
  <c r="C10" i="128" s="1"/>
  <c r="L8" i="128" s="1"/>
  <c r="J14" i="128" s="1"/>
  <c r="C8" i="128"/>
  <c r="B4" i="128"/>
  <c r="D72" i="127"/>
  <c r="I22" i="127" s="1"/>
  <c r="C53" i="127"/>
  <c r="C52" i="127"/>
  <c r="C51" i="127"/>
  <c r="C50" i="127"/>
  <c r="J47" i="127"/>
  <c r="J48" i="127" s="1"/>
  <c r="I47" i="127"/>
  <c r="H47" i="127"/>
  <c r="H48" i="127" s="1"/>
  <c r="G47" i="127"/>
  <c r="F47" i="127"/>
  <c r="E47" i="127"/>
  <c r="D47" i="127"/>
  <c r="J46" i="127"/>
  <c r="I46" i="127"/>
  <c r="H46" i="127"/>
  <c r="G46" i="127"/>
  <c r="F46" i="127"/>
  <c r="E46" i="127"/>
  <c r="D46" i="127"/>
  <c r="B24" i="127"/>
  <c r="C11" i="127"/>
  <c r="C15" i="127" s="1"/>
  <c r="C9" i="127"/>
  <c r="C10" i="127" s="1"/>
  <c r="L8" i="127" s="1"/>
  <c r="J14" i="127" s="1"/>
  <c r="C8" i="127"/>
  <c r="B4" i="127"/>
  <c r="D72" i="126"/>
  <c r="I22" i="126" s="1"/>
  <c r="C53" i="126"/>
  <c r="C52" i="126"/>
  <c r="C51" i="126"/>
  <c r="C50" i="126"/>
  <c r="J47" i="126"/>
  <c r="I47" i="126"/>
  <c r="H47" i="126"/>
  <c r="G47" i="126"/>
  <c r="F47" i="126"/>
  <c r="E47" i="126"/>
  <c r="D47" i="126"/>
  <c r="J46" i="126"/>
  <c r="I46" i="126"/>
  <c r="H46" i="126"/>
  <c r="G46" i="126"/>
  <c r="F46" i="126"/>
  <c r="E46" i="126"/>
  <c r="D46" i="126"/>
  <c r="B24" i="126"/>
  <c r="C11" i="126"/>
  <c r="C15" i="126" s="1"/>
  <c r="C9" i="126"/>
  <c r="C10" i="126" s="1"/>
  <c r="L8" i="126" s="1"/>
  <c r="J14" i="126" s="1"/>
  <c r="C8" i="126"/>
  <c r="B4" i="126"/>
  <c r="D72" i="125"/>
  <c r="I22" i="125" s="1"/>
  <c r="C53" i="125"/>
  <c r="C52" i="125"/>
  <c r="C51" i="125"/>
  <c r="C50" i="125"/>
  <c r="J47" i="125"/>
  <c r="I47" i="125"/>
  <c r="H47" i="125"/>
  <c r="G47" i="125"/>
  <c r="F47" i="125"/>
  <c r="E47" i="125"/>
  <c r="D47" i="125"/>
  <c r="J46" i="125"/>
  <c r="I46" i="125"/>
  <c r="H46" i="125"/>
  <c r="G46" i="125"/>
  <c r="F46" i="125"/>
  <c r="E46" i="125"/>
  <c r="D46" i="125"/>
  <c r="B24" i="125"/>
  <c r="C11" i="125"/>
  <c r="C15" i="125" s="1"/>
  <c r="C9" i="125"/>
  <c r="C10" i="125" s="1"/>
  <c r="L8" i="125" s="1"/>
  <c r="J14" i="125" s="1"/>
  <c r="C8" i="125"/>
  <c r="B4" i="125"/>
  <c r="D72" i="124"/>
  <c r="I22" i="124" s="1"/>
  <c r="C53" i="124"/>
  <c r="C52" i="124"/>
  <c r="C51" i="124"/>
  <c r="C50" i="124"/>
  <c r="J47" i="124"/>
  <c r="I47" i="124"/>
  <c r="H47" i="124"/>
  <c r="H48" i="124" s="1"/>
  <c r="G47" i="124"/>
  <c r="F47" i="124"/>
  <c r="E47" i="124"/>
  <c r="D47" i="124"/>
  <c r="J46" i="124"/>
  <c r="I46" i="124"/>
  <c r="H46" i="124"/>
  <c r="G46" i="124"/>
  <c r="F46" i="124"/>
  <c r="E46" i="124"/>
  <c r="D46" i="124"/>
  <c r="B24" i="124"/>
  <c r="C11" i="124"/>
  <c r="C18" i="124" s="1"/>
  <c r="C9" i="124"/>
  <c r="C10" i="124" s="1"/>
  <c r="L8" i="124" s="1"/>
  <c r="J14" i="124" s="1"/>
  <c r="C8" i="124"/>
  <c r="B4" i="124"/>
  <c r="D72" i="123"/>
  <c r="I22" i="123" s="1"/>
  <c r="C53" i="123"/>
  <c r="C52" i="123"/>
  <c r="C51" i="123"/>
  <c r="C50" i="123"/>
  <c r="J47" i="123"/>
  <c r="I47" i="123"/>
  <c r="I48" i="123" s="1"/>
  <c r="H47" i="123"/>
  <c r="H48" i="123" s="1"/>
  <c r="G47" i="123"/>
  <c r="F47" i="123"/>
  <c r="E47" i="123"/>
  <c r="D47" i="123"/>
  <c r="J46" i="123"/>
  <c r="I46" i="123"/>
  <c r="H46" i="123"/>
  <c r="G46" i="123"/>
  <c r="F46" i="123"/>
  <c r="E46" i="123"/>
  <c r="D46" i="123"/>
  <c r="B24" i="123"/>
  <c r="C11" i="123"/>
  <c r="C15" i="123" s="1"/>
  <c r="C9" i="123"/>
  <c r="C10" i="123" s="1"/>
  <c r="L8" i="123" s="1"/>
  <c r="J14" i="123" s="1"/>
  <c r="C8" i="123"/>
  <c r="B4" i="123"/>
  <c r="D72" i="122"/>
  <c r="I22" i="122" s="1"/>
  <c r="C53" i="122"/>
  <c r="C52" i="122"/>
  <c r="C51" i="122"/>
  <c r="C50" i="122"/>
  <c r="J47" i="122"/>
  <c r="I47" i="122"/>
  <c r="H47" i="122"/>
  <c r="H48" i="122" s="1"/>
  <c r="G47" i="122"/>
  <c r="F47" i="122"/>
  <c r="E47" i="122"/>
  <c r="D47" i="122"/>
  <c r="J46" i="122"/>
  <c r="I46" i="122"/>
  <c r="H46" i="122"/>
  <c r="G46" i="122"/>
  <c r="F46" i="122"/>
  <c r="E46" i="122"/>
  <c r="D46" i="122"/>
  <c r="J48" i="122"/>
  <c r="B24" i="122"/>
  <c r="C11" i="122"/>
  <c r="C15" i="122" s="1"/>
  <c r="C9" i="122"/>
  <c r="C10" i="122" s="1"/>
  <c r="L8" i="122" s="1"/>
  <c r="J14" i="122" s="1"/>
  <c r="C8" i="122"/>
  <c r="B4" i="122"/>
  <c r="D72" i="121"/>
  <c r="I22" i="121" s="1"/>
  <c r="C53" i="121"/>
  <c r="C52" i="121"/>
  <c r="C51" i="121"/>
  <c r="C50" i="121"/>
  <c r="J47" i="121"/>
  <c r="I47" i="121"/>
  <c r="H47" i="121"/>
  <c r="H48" i="121" s="1"/>
  <c r="G47" i="121"/>
  <c r="F47" i="121"/>
  <c r="E47" i="121"/>
  <c r="D47" i="121"/>
  <c r="D48" i="121" s="1"/>
  <c r="J46" i="121"/>
  <c r="I46" i="121"/>
  <c r="H46" i="121"/>
  <c r="G46" i="121"/>
  <c r="F46" i="121"/>
  <c r="E46" i="121"/>
  <c r="D46" i="121"/>
  <c r="B24" i="121"/>
  <c r="C11" i="121"/>
  <c r="D16" i="121" s="1"/>
  <c r="C9" i="121"/>
  <c r="C10" i="121" s="1"/>
  <c r="L8" i="121" s="1"/>
  <c r="J14" i="121" s="1"/>
  <c r="C8" i="121"/>
  <c r="B4" i="121"/>
  <c r="D72" i="120"/>
  <c r="I22" i="120" s="1"/>
  <c r="C53" i="120"/>
  <c r="C52" i="120"/>
  <c r="C51" i="120"/>
  <c r="C50" i="120"/>
  <c r="J47" i="120"/>
  <c r="I47" i="120"/>
  <c r="H47" i="120"/>
  <c r="G47" i="120"/>
  <c r="F47" i="120"/>
  <c r="E47" i="120"/>
  <c r="D47" i="120"/>
  <c r="J46" i="120"/>
  <c r="I46" i="120"/>
  <c r="H46" i="120"/>
  <c r="G46" i="120"/>
  <c r="F46" i="120"/>
  <c r="E46" i="120"/>
  <c r="D46" i="120"/>
  <c r="B24" i="120"/>
  <c r="C11" i="120"/>
  <c r="C15" i="120" s="1"/>
  <c r="C9" i="120"/>
  <c r="C10" i="120" s="1"/>
  <c r="L8" i="120" s="1"/>
  <c r="J14" i="120" s="1"/>
  <c r="C8" i="120"/>
  <c r="B4" i="120"/>
  <c r="D72" i="119"/>
  <c r="C53" i="119"/>
  <c r="C52" i="119"/>
  <c r="C51" i="119"/>
  <c r="C50" i="119"/>
  <c r="J47" i="119"/>
  <c r="I47" i="119"/>
  <c r="H47" i="119"/>
  <c r="G47" i="119"/>
  <c r="F47" i="119"/>
  <c r="E47" i="119"/>
  <c r="D47" i="119"/>
  <c r="J46" i="119"/>
  <c r="I46" i="119"/>
  <c r="H46" i="119"/>
  <c r="G46" i="119"/>
  <c r="F46" i="119"/>
  <c r="E46" i="119"/>
  <c r="D46" i="119"/>
  <c r="B24" i="119"/>
  <c r="C11" i="119"/>
  <c r="C15" i="119" s="1"/>
  <c r="C9" i="119"/>
  <c r="C10" i="119" s="1"/>
  <c r="L8" i="119" s="1"/>
  <c r="J14" i="119" s="1"/>
  <c r="C8" i="119"/>
  <c r="B4" i="119"/>
  <c r="D72" i="118"/>
  <c r="I22" i="118" s="1"/>
  <c r="C53" i="118"/>
  <c r="C52" i="118"/>
  <c r="C51" i="118"/>
  <c r="C50" i="118"/>
  <c r="J47" i="118"/>
  <c r="I47" i="118"/>
  <c r="I48" i="118" s="1"/>
  <c r="H47" i="118"/>
  <c r="G47" i="118"/>
  <c r="F47" i="118"/>
  <c r="E47" i="118"/>
  <c r="D47" i="118"/>
  <c r="J46" i="118"/>
  <c r="I46" i="118"/>
  <c r="H46" i="118"/>
  <c r="G46" i="118"/>
  <c r="F46" i="118"/>
  <c r="E46" i="118"/>
  <c r="D46" i="118"/>
  <c r="J48" i="118"/>
  <c r="B24" i="118"/>
  <c r="C11" i="118"/>
  <c r="C15" i="118" s="1"/>
  <c r="C9" i="118"/>
  <c r="C10" i="118" s="1"/>
  <c r="L8" i="118" s="1"/>
  <c r="J14" i="118" s="1"/>
  <c r="C8" i="118"/>
  <c r="B4" i="118"/>
  <c r="D72" i="117"/>
  <c r="I22" i="117" s="1"/>
  <c r="C53" i="117"/>
  <c r="C52" i="117"/>
  <c r="C51" i="117"/>
  <c r="C50" i="117"/>
  <c r="J47" i="117"/>
  <c r="I47" i="117"/>
  <c r="I48" i="117" s="1"/>
  <c r="H47" i="117"/>
  <c r="H48" i="117" s="1"/>
  <c r="G47" i="117"/>
  <c r="F47" i="117"/>
  <c r="E47" i="117"/>
  <c r="D47" i="117"/>
  <c r="J46" i="117"/>
  <c r="I46" i="117"/>
  <c r="H46" i="117"/>
  <c r="G46" i="117"/>
  <c r="F46" i="117"/>
  <c r="E46" i="117"/>
  <c r="D46" i="117"/>
  <c r="B24" i="117"/>
  <c r="C11" i="117"/>
  <c r="C15" i="117" s="1"/>
  <c r="C9" i="117"/>
  <c r="C10" i="117" s="1"/>
  <c r="L8" i="117" s="1"/>
  <c r="J14" i="117" s="1"/>
  <c r="C8" i="117"/>
  <c r="B4" i="117"/>
  <c r="D72" i="116"/>
  <c r="I22" i="116" s="1"/>
  <c r="C53" i="116"/>
  <c r="C52" i="116"/>
  <c r="C51" i="116"/>
  <c r="C50" i="116"/>
  <c r="J47" i="116"/>
  <c r="I47" i="116"/>
  <c r="H47" i="116"/>
  <c r="G47" i="116"/>
  <c r="F47" i="116"/>
  <c r="E47" i="116"/>
  <c r="D47" i="116"/>
  <c r="J46" i="116"/>
  <c r="I46" i="116"/>
  <c r="H46" i="116"/>
  <c r="G46" i="116"/>
  <c r="F46" i="116"/>
  <c r="E46" i="116"/>
  <c r="D46" i="116"/>
  <c r="I48" i="116"/>
  <c r="B24" i="116"/>
  <c r="C11" i="116"/>
  <c r="C15" i="116" s="1"/>
  <c r="C9" i="116"/>
  <c r="C10" i="116" s="1"/>
  <c r="L8" i="116" s="1"/>
  <c r="J14" i="116" s="1"/>
  <c r="C8" i="116"/>
  <c r="B4" i="116"/>
  <c r="D72" i="115"/>
  <c r="I22" i="115" s="1"/>
  <c r="C53" i="115"/>
  <c r="C52" i="115"/>
  <c r="C51" i="115"/>
  <c r="C50" i="115"/>
  <c r="J47" i="115"/>
  <c r="I47" i="115"/>
  <c r="H47" i="115"/>
  <c r="G47" i="115"/>
  <c r="F47" i="115"/>
  <c r="E47" i="115"/>
  <c r="D47" i="115"/>
  <c r="J46" i="115"/>
  <c r="I46" i="115"/>
  <c r="H46" i="115"/>
  <c r="G46" i="115"/>
  <c r="F46" i="115"/>
  <c r="E46" i="115"/>
  <c r="D46" i="115"/>
  <c r="B24" i="115"/>
  <c r="C11" i="115"/>
  <c r="D16" i="115" s="1"/>
  <c r="C9" i="115"/>
  <c r="C10" i="115" s="1"/>
  <c r="L8" i="115" s="1"/>
  <c r="J14" i="115" s="1"/>
  <c r="C8" i="115"/>
  <c r="B4" i="115"/>
  <c r="D72" i="114"/>
  <c r="I22" i="114" s="1"/>
  <c r="C53" i="114"/>
  <c r="C52" i="114"/>
  <c r="C51" i="114"/>
  <c r="C50" i="114"/>
  <c r="J47" i="114"/>
  <c r="I47" i="114"/>
  <c r="H47" i="114"/>
  <c r="G47" i="114"/>
  <c r="F47" i="114"/>
  <c r="E47" i="114"/>
  <c r="D47" i="114"/>
  <c r="J46" i="114"/>
  <c r="I46" i="114"/>
  <c r="H46" i="114"/>
  <c r="G46" i="114"/>
  <c r="F46" i="114"/>
  <c r="E46" i="114"/>
  <c r="D46" i="114"/>
  <c r="B24" i="114"/>
  <c r="C11" i="114"/>
  <c r="C15" i="114" s="1"/>
  <c r="C9" i="114"/>
  <c r="C10" i="114" s="1"/>
  <c r="L8" i="114" s="1"/>
  <c r="J14" i="114" s="1"/>
  <c r="C8" i="114"/>
  <c r="B4" i="114"/>
  <c r="D72" i="113"/>
  <c r="I22" i="113" s="1"/>
  <c r="C53" i="113"/>
  <c r="C52" i="113"/>
  <c r="C51" i="113"/>
  <c r="C50" i="113"/>
  <c r="J47" i="113"/>
  <c r="I47" i="113"/>
  <c r="H47" i="113"/>
  <c r="G47" i="113"/>
  <c r="F47" i="113"/>
  <c r="E47" i="113"/>
  <c r="D47" i="113"/>
  <c r="J46" i="113"/>
  <c r="I46" i="113"/>
  <c r="H46" i="113"/>
  <c r="G46" i="113"/>
  <c r="F46" i="113"/>
  <c r="E46" i="113"/>
  <c r="D46" i="113"/>
  <c r="B24" i="113"/>
  <c r="C11" i="113"/>
  <c r="C15" i="113" s="1"/>
  <c r="C9" i="113"/>
  <c r="C10" i="113" s="1"/>
  <c r="L8" i="113" s="1"/>
  <c r="J14" i="113" s="1"/>
  <c r="C8" i="113"/>
  <c r="B4" i="113"/>
  <c r="D72" i="112"/>
  <c r="I22" i="112" s="1"/>
  <c r="C53" i="112"/>
  <c r="C52" i="112"/>
  <c r="C51" i="112"/>
  <c r="C50" i="112"/>
  <c r="J47" i="112"/>
  <c r="I47" i="112"/>
  <c r="I48" i="112" s="1"/>
  <c r="H47" i="112"/>
  <c r="G47" i="112"/>
  <c r="F47" i="112"/>
  <c r="E47" i="112"/>
  <c r="D47" i="112"/>
  <c r="J46" i="112"/>
  <c r="I46" i="112"/>
  <c r="H46" i="112"/>
  <c r="G46" i="112"/>
  <c r="F46" i="112"/>
  <c r="E46" i="112"/>
  <c r="D46" i="112"/>
  <c r="B24" i="112"/>
  <c r="C11" i="112"/>
  <c r="C15" i="112" s="1"/>
  <c r="C9" i="112"/>
  <c r="C10" i="112" s="1"/>
  <c r="L8" i="112" s="1"/>
  <c r="J14" i="112" s="1"/>
  <c r="C8" i="112"/>
  <c r="B4" i="112"/>
  <c r="D72" i="111"/>
  <c r="I22" i="111" s="1"/>
  <c r="C53" i="111"/>
  <c r="C52" i="111"/>
  <c r="C51" i="111"/>
  <c r="C50" i="111"/>
  <c r="J47" i="111"/>
  <c r="I47" i="111"/>
  <c r="H47" i="111"/>
  <c r="G47" i="111"/>
  <c r="F47" i="111"/>
  <c r="E47" i="111"/>
  <c r="D47" i="111"/>
  <c r="J46" i="111"/>
  <c r="I46" i="111"/>
  <c r="H46" i="111"/>
  <c r="G46" i="111"/>
  <c r="F46" i="111"/>
  <c r="E46" i="111"/>
  <c r="D46" i="111"/>
  <c r="B24" i="111"/>
  <c r="C11" i="111"/>
  <c r="C15" i="111" s="1"/>
  <c r="C9" i="111"/>
  <c r="C10" i="111" s="1"/>
  <c r="L8" i="111" s="1"/>
  <c r="J14" i="111" s="1"/>
  <c r="C8" i="111"/>
  <c r="B4" i="111"/>
  <c r="D72" i="110"/>
  <c r="I22" i="110" s="1"/>
  <c r="C53" i="110"/>
  <c r="C52" i="110"/>
  <c r="C51" i="110"/>
  <c r="C50" i="110"/>
  <c r="J47" i="110"/>
  <c r="I47" i="110"/>
  <c r="H47" i="110"/>
  <c r="G47" i="110"/>
  <c r="F47" i="110"/>
  <c r="E47" i="110"/>
  <c r="D47" i="110"/>
  <c r="J46" i="110"/>
  <c r="I46" i="110"/>
  <c r="H46" i="110"/>
  <c r="G46" i="110"/>
  <c r="F46" i="110"/>
  <c r="E46" i="110"/>
  <c r="D46" i="110"/>
  <c r="B24" i="110"/>
  <c r="C11" i="110"/>
  <c r="C15" i="110" s="1"/>
  <c r="C9" i="110"/>
  <c r="C10" i="110" s="1"/>
  <c r="L8" i="110" s="1"/>
  <c r="J14" i="110" s="1"/>
  <c r="C8" i="110"/>
  <c r="B4" i="110"/>
  <c r="D72" i="109"/>
  <c r="I22" i="109" s="1"/>
  <c r="C53" i="109"/>
  <c r="C52" i="109"/>
  <c r="C51" i="109"/>
  <c r="C50" i="109"/>
  <c r="J47" i="109"/>
  <c r="I47" i="109"/>
  <c r="H47" i="109"/>
  <c r="H48" i="109" s="1"/>
  <c r="G47" i="109"/>
  <c r="F47" i="109"/>
  <c r="E47" i="109"/>
  <c r="D47" i="109"/>
  <c r="J46" i="109"/>
  <c r="I46" i="109"/>
  <c r="H46" i="109"/>
  <c r="G46" i="109"/>
  <c r="F46" i="109"/>
  <c r="E46" i="109"/>
  <c r="D46" i="109"/>
  <c r="B24" i="109"/>
  <c r="C11" i="109"/>
  <c r="C15" i="109" s="1"/>
  <c r="C9" i="109"/>
  <c r="C10" i="109" s="1"/>
  <c r="L8" i="109" s="1"/>
  <c r="J14" i="109" s="1"/>
  <c r="C8" i="109"/>
  <c r="B4" i="109"/>
  <c r="D72" i="108"/>
  <c r="I22" i="108" s="1"/>
  <c r="C53" i="108"/>
  <c r="C52" i="108"/>
  <c r="C51" i="108"/>
  <c r="C50" i="108"/>
  <c r="J47" i="108"/>
  <c r="I47" i="108"/>
  <c r="I48" i="108" s="1"/>
  <c r="H47" i="108"/>
  <c r="G47" i="108"/>
  <c r="F47" i="108"/>
  <c r="F48" i="108" s="1"/>
  <c r="E47" i="108"/>
  <c r="D47" i="108"/>
  <c r="J46" i="108"/>
  <c r="I46" i="108"/>
  <c r="H46" i="108"/>
  <c r="G46" i="108"/>
  <c r="F46" i="108"/>
  <c r="E46" i="108"/>
  <c r="D46" i="108"/>
  <c r="B24" i="108"/>
  <c r="C11" i="108"/>
  <c r="C15" i="108" s="1"/>
  <c r="C9" i="108"/>
  <c r="C10" i="108" s="1"/>
  <c r="L8" i="108" s="1"/>
  <c r="J14" i="108" s="1"/>
  <c r="C8" i="108"/>
  <c r="B4" i="108"/>
  <c r="D72" i="107"/>
  <c r="I22" i="107" s="1"/>
  <c r="C53" i="107"/>
  <c r="C52" i="107"/>
  <c r="C51" i="107"/>
  <c r="C50" i="107"/>
  <c r="J47" i="107"/>
  <c r="I47" i="107"/>
  <c r="H47" i="107"/>
  <c r="G47" i="107"/>
  <c r="F47" i="107"/>
  <c r="F48" i="107" s="1"/>
  <c r="E47" i="107"/>
  <c r="D47" i="107"/>
  <c r="J46" i="107"/>
  <c r="I46" i="107"/>
  <c r="H46" i="107"/>
  <c r="G46" i="107"/>
  <c r="F46" i="107"/>
  <c r="E46" i="107"/>
  <c r="D46" i="107"/>
  <c r="B24" i="107"/>
  <c r="C11" i="107"/>
  <c r="C15" i="107" s="1"/>
  <c r="C9" i="107"/>
  <c r="C10" i="107" s="1"/>
  <c r="L8" i="107" s="1"/>
  <c r="J14" i="107" s="1"/>
  <c r="C8" i="107"/>
  <c r="B4" i="107"/>
  <c r="D72" i="106"/>
  <c r="I22" i="106" s="1"/>
  <c r="C53" i="106"/>
  <c r="C52" i="106"/>
  <c r="C51" i="106"/>
  <c r="C50" i="106"/>
  <c r="J47" i="106"/>
  <c r="I47" i="106"/>
  <c r="H47" i="106"/>
  <c r="G47" i="106"/>
  <c r="F47" i="106"/>
  <c r="E47" i="106"/>
  <c r="D47" i="106"/>
  <c r="J46" i="106"/>
  <c r="I46" i="106"/>
  <c r="H46" i="106"/>
  <c r="G46" i="106"/>
  <c r="F46" i="106"/>
  <c r="E46" i="106"/>
  <c r="D46" i="106"/>
  <c r="H48" i="106"/>
  <c r="B24" i="106"/>
  <c r="C11" i="106"/>
  <c r="C15" i="106" s="1"/>
  <c r="C9" i="106"/>
  <c r="C10" i="106" s="1"/>
  <c r="L8" i="106" s="1"/>
  <c r="J14" i="106" s="1"/>
  <c r="C8" i="106"/>
  <c r="B4" i="106"/>
  <c r="D72" i="105"/>
  <c r="I22" i="105" s="1"/>
  <c r="C53" i="105"/>
  <c r="C52" i="105"/>
  <c r="C51" i="105"/>
  <c r="C50" i="105"/>
  <c r="J47" i="105"/>
  <c r="I47" i="105"/>
  <c r="H47" i="105"/>
  <c r="G47" i="105"/>
  <c r="F47" i="105"/>
  <c r="E47" i="105"/>
  <c r="D47" i="105"/>
  <c r="J46" i="105"/>
  <c r="I46" i="105"/>
  <c r="H46" i="105"/>
  <c r="G46" i="105"/>
  <c r="F46" i="105"/>
  <c r="E46" i="105"/>
  <c r="D46" i="105"/>
  <c r="I48" i="105"/>
  <c r="H48" i="105"/>
  <c r="B24" i="105"/>
  <c r="C11" i="105"/>
  <c r="C18" i="105" s="1"/>
  <c r="C9" i="105"/>
  <c r="C10" i="105" s="1"/>
  <c r="L8" i="105" s="1"/>
  <c r="J14" i="105" s="1"/>
  <c r="C8" i="105"/>
  <c r="B4" i="105"/>
  <c r="D72" i="104"/>
  <c r="I22" i="104" s="1"/>
  <c r="C53" i="104"/>
  <c r="C52" i="104"/>
  <c r="C51" i="104"/>
  <c r="C50" i="104"/>
  <c r="J47" i="104"/>
  <c r="I47" i="104"/>
  <c r="I48" i="104" s="1"/>
  <c r="H47" i="104"/>
  <c r="G47" i="104"/>
  <c r="F47" i="104"/>
  <c r="E47" i="104"/>
  <c r="D47" i="104"/>
  <c r="J46" i="104"/>
  <c r="I46" i="104"/>
  <c r="H46" i="104"/>
  <c r="G46" i="104"/>
  <c r="F46" i="104"/>
  <c r="E46" i="104"/>
  <c r="D46" i="104"/>
  <c r="B24" i="104"/>
  <c r="C11" i="104"/>
  <c r="C15" i="104" s="1"/>
  <c r="C9" i="104"/>
  <c r="C10" i="104" s="1"/>
  <c r="L8" i="104" s="1"/>
  <c r="J14" i="104" s="1"/>
  <c r="C8" i="104"/>
  <c r="B4" i="104"/>
  <c r="D72" i="103"/>
  <c r="I22" i="103" s="1"/>
  <c r="C53" i="103"/>
  <c r="C52" i="103"/>
  <c r="C51" i="103"/>
  <c r="C50" i="103"/>
  <c r="J47" i="103"/>
  <c r="I47" i="103"/>
  <c r="H47" i="103"/>
  <c r="G47" i="103"/>
  <c r="G48" i="103" s="1"/>
  <c r="F47" i="103"/>
  <c r="E47" i="103"/>
  <c r="D47" i="103"/>
  <c r="J46" i="103"/>
  <c r="I46" i="103"/>
  <c r="H46" i="103"/>
  <c r="G46" i="103"/>
  <c r="F46" i="103"/>
  <c r="E46" i="103"/>
  <c r="D46" i="103"/>
  <c r="I48" i="103"/>
  <c r="B24" i="103"/>
  <c r="C11" i="103"/>
  <c r="C15" i="103" s="1"/>
  <c r="C9" i="103"/>
  <c r="C10" i="103" s="1"/>
  <c r="L8" i="103" s="1"/>
  <c r="J14" i="103" s="1"/>
  <c r="C8" i="103"/>
  <c r="B4" i="103"/>
  <c r="D72" i="102"/>
  <c r="I22" i="102" s="1"/>
  <c r="C53" i="102"/>
  <c r="C52" i="102"/>
  <c r="C51" i="102"/>
  <c r="C50" i="102"/>
  <c r="J47" i="102"/>
  <c r="I47" i="102"/>
  <c r="H47" i="102"/>
  <c r="H48" i="102" s="1"/>
  <c r="G47" i="102"/>
  <c r="F47" i="102"/>
  <c r="E47" i="102"/>
  <c r="D47" i="102"/>
  <c r="J46" i="102"/>
  <c r="I46" i="102"/>
  <c r="H46" i="102"/>
  <c r="G46" i="102"/>
  <c r="F46" i="102"/>
  <c r="E46" i="102"/>
  <c r="D46" i="102"/>
  <c r="B24" i="102"/>
  <c r="C11" i="102"/>
  <c r="C15" i="102" s="1"/>
  <c r="C9" i="102"/>
  <c r="C10" i="102" s="1"/>
  <c r="L8" i="102" s="1"/>
  <c r="J14" i="102" s="1"/>
  <c r="C8" i="102"/>
  <c r="B4" i="102"/>
  <c r="D72" i="101"/>
  <c r="I22" i="101" s="1"/>
  <c r="C53" i="101"/>
  <c r="C52" i="101"/>
  <c r="C51" i="101"/>
  <c r="C50" i="101"/>
  <c r="J47" i="101"/>
  <c r="I47" i="101"/>
  <c r="I48" i="101" s="1"/>
  <c r="H47" i="101"/>
  <c r="G47" i="101"/>
  <c r="F47" i="101"/>
  <c r="E47" i="101"/>
  <c r="D47" i="101"/>
  <c r="J46" i="101"/>
  <c r="I46" i="101"/>
  <c r="H46" i="101"/>
  <c r="G46" i="101"/>
  <c r="F46" i="101"/>
  <c r="E46" i="101"/>
  <c r="D46" i="101"/>
  <c r="B24" i="101"/>
  <c r="C11" i="101"/>
  <c r="C15" i="101" s="1"/>
  <c r="C9" i="101"/>
  <c r="C10" i="101" s="1"/>
  <c r="L8" i="101" s="1"/>
  <c r="J14" i="101" s="1"/>
  <c r="C8" i="101"/>
  <c r="B4" i="101"/>
  <c r="D72" i="100"/>
  <c r="I22" i="100" s="1"/>
  <c r="C53" i="100"/>
  <c r="C52" i="100"/>
  <c r="C51" i="100"/>
  <c r="C50" i="100"/>
  <c r="J47" i="100"/>
  <c r="I47" i="100"/>
  <c r="H47" i="100"/>
  <c r="G47" i="100"/>
  <c r="F47" i="100"/>
  <c r="E47" i="100"/>
  <c r="D47" i="100"/>
  <c r="J46" i="100"/>
  <c r="I46" i="100"/>
  <c r="H46" i="100"/>
  <c r="G46" i="100"/>
  <c r="F46" i="100"/>
  <c r="E46" i="100"/>
  <c r="D46" i="100"/>
  <c r="H48" i="100"/>
  <c r="B24" i="100"/>
  <c r="C11" i="100"/>
  <c r="C15" i="100" s="1"/>
  <c r="C9" i="100"/>
  <c r="C10" i="100" s="1"/>
  <c r="L8" i="100" s="1"/>
  <c r="J14" i="100" s="1"/>
  <c r="C8" i="100"/>
  <c r="B4" i="100"/>
  <c r="D72" i="99"/>
  <c r="I22" i="99" s="1"/>
  <c r="C53" i="99"/>
  <c r="C52" i="99"/>
  <c r="C51" i="99"/>
  <c r="C50" i="99"/>
  <c r="J47" i="99"/>
  <c r="J48" i="99" s="1"/>
  <c r="I47" i="99"/>
  <c r="H47" i="99"/>
  <c r="G47" i="99"/>
  <c r="F47" i="99"/>
  <c r="E47" i="99"/>
  <c r="D47" i="99"/>
  <c r="J46" i="99"/>
  <c r="I46" i="99"/>
  <c r="H46" i="99"/>
  <c r="G46" i="99"/>
  <c r="F46" i="99"/>
  <c r="E46" i="99"/>
  <c r="D46" i="99"/>
  <c r="B24" i="99"/>
  <c r="C11" i="99"/>
  <c r="C15" i="99" s="1"/>
  <c r="C9" i="99"/>
  <c r="C10" i="99" s="1"/>
  <c r="L8" i="99" s="1"/>
  <c r="J14" i="99" s="1"/>
  <c r="C8" i="99"/>
  <c r="B4" i="99"/>
  <c r="D72" i="98"/>
  <c r="I22" i="98" s="1"/>
  <c r="C53" i="98"/>
  <c r="C52" i="98"/>
  <c r="C51" i="98"/>
  <c r="C50" i="98"/>
  <c r="J47" i="98"/>
  <c r="I47" i="98"/>
  <c r="H47" i="98"/>
  <c r="G47" i="98"/>
  <c r="F47" i="98"/>
  <c r="E47" i="98"/>
  <c r="E48" i="98" s="1"/>
  <c r="D47" i="98"/>
  <c r="J46" i="98"/>
  <c r="I46" i="98"/>
  <c r="H46" i="98"/>
  <c r="G46" i="98"/>
  <c r="F46" i="98"/>
  <c r="E46" i="98"/>
  <c r="D46" i="98"/>
  <c r="B24" i="98"/>
  <c r="C11" i="98"/>
  <c r="C15" i="98" s="1"/>
  <c r="C9" i="98"/>
  <c r="C10" i="98" s="1"/>
  <c r="L8" i="98" s="1"/>
  <c r="J14" i="98" s="1"/>
  <c r="C8" i="98"/>
  <c r="B4" i="98"/>
  <c r="D72" i="97"/>
  <c r="I22" i="97" s="1"/>
  <c r="C53" i="97"/>
  <c r="C52" i="97"/>
  <c r="C51" i="97"/>
  <c r="C50" i="97"/>
  <c r="J47" i="97"/>
  <c r="I47" i="97"/>
  <c r="I48" i="97" s="1"/>
  <c r="H47" i="97"/>
  <c r="H48" i="97" s="1"/>
  <c r="G47" i="97"/>
  <c r="F47" i="97"/>
  <c r="E47" i="97"/>
  <c r="D47" i="97"/>
  <c r="J46" i="97"/>
  <c r="I46" i="97"/>
  <c r="H46" i="97"/>
  <c r="G46" i="97"/>
  <c r="F46" i="97"/>
  <c r="E46" i="97"/>
  <c r="D46" i="97"/>
  <c r="B24" i="97"/>
  <c r="C11" i="97"/>
  <c r="C15" i="97" s="1"/>
  <c r="C9" i="97"/>
  <c r="C10" i="97" s="1"/>
  <c r="L8" i="97" s="1"/>
  <c r="J14" i="97" s="1"/>
  <c r="C8" i="97"/>
  <c r="B4" i="97"/>
  <c r="D72" i="96"/>
  <c r="I22" i="96" s="1"/>
  <c r="C53" i="96"/>
  <c r="C52" i="96"/>
  <c r="C51" i="96"/>
  <c r="C50" i="96"/>
  <c r="J47" i="96"/>
  <c r="I47" i="96"/>
  <c r="H47" i="96"/>
  <c r="H48" i="96" s="1"/>
  <c r="G47" i="96"/>
  <c r="F47" i="96"/>
  <c r="E47" i="96"/>
  <c r="D47" i="96"/>
  <c r="J46" i="96"/>
  <c r="I46" i="96"/>
  <c r="H46" i="96"/>
  <c r="G46" i="96"/>
  <c r="F46" i="96"/>
  <c r="E46" i="96"/>
  <c r="D46" i="96"/>
  <c r="G48" i="96"/>
  <c r="B24" i="96"/>
  <c r="C11" i="96"/>
  <c r="C15" i="96" s="1"/>
  <c r="C9" i="96"/>
  <c r="C10" i="96" s="1"/>
  <c r="L8" i="96" s="1"/>
  <c r="J14" i="96" s="1"/>
  <c r="C8" i="96"/>
  <c r="B4" i="96"/>
  <c r="B96" i="22"/>
  <c r="B97" i="22"/>
  <c r="B98" i="22"/>
  <c r="B99" i="22"/>
  <c r="B100" i="22"/>
  <c r="B101" i="22"/>
  <c r="B102" i="22"/>
  <c r="B103" i="22"/>
  <c r="B104" i="22"/>
  <c r="B105" i="22"/>
  <c r="B104" i="16"/>
  <c r="B103" i="16"/>
  <c r="B102" i="16"/>
  <c r="B101" i="16"/>
  <c r="B100" i="16"/>
  <c r="B99" i="16"/>
  <c r="B98" i="16"/>
  <c r="B97" i="16"/>
  <c r="B96" i="16"/>
  <c r="B95" i="16"/>
  <c r="M100" i="18"/>
  <c r="C101" i="16" s="1"/>
  <c r="N100" i="18"/>
  <c r="D101" i="16" s="1"/>
  <c r="M101" i="18"/>
  <c r="C102" i="16" s="1"/>
  <c r="N101" i="18"/>
  <c r="D102" i="16" s="1"/>
  <c r="M102" i="18"/>
  <c r="C103" i="16" s="1"/>
  <c r="N102" i="18"/>
  <c r="D103" i="16" s="1"/>
  <c r="M103" i="18"/>
  <c r="C104" i="16" s="1"/>
  <c r="N103" i="18"/>
  <c r="D104" i="16" s="1"/>
  <c r="N99" i="18"/>
  <c r="D100" i="16" s="1"/>
  <c r="M99" i="18"/>
  <c r="C100" i="16" s="1"/>
  <c r="N98" i="18"/>
  <c r="D99" i="16" s="1"/>
  <c r="M98" i="18"/>
  <c r="C99" i="16" s="1"/>
  <c r="N97" i="18"/>
  <c r="D98" i="16" s="1"/>
  <c r="M97" i="18"/>
  <c r="C98" i="16" s="1"/>
  <c r="N96" i="18"/>
  <c r="D97" i="16" s="1"/>
  <c r="M96" i="18"/>
  <c r="C97" i="16" s="1"/>
  <c r="N95" i="18"/>
  <c r="D96" i="16" s="1"/>
  <c r="M95" i="18"/>
  <c r="C96" i="16" s="1"/>
  <c r="B90" i="95"/>
  <c r="B89" i="95"/>
  <c r="D22" i="187" l="1"/>
  <c r="D22" i="184"/>
  <c r="C22" i="180"/>
  <c r="D21" i="153"/>
  <c r="C18" i="148"/>
  <c r="H18" i="148" s="1"/>
  <c r="C18" i="155"/>
  <c r="H18" i="155" s="1"/>
  <c r="D18" i="155"/>
  <c r="D18" i="162"/>
  <c r="C15" i="171"/>
  <c r="E15" i="171" s="1"/>
  <c r="F15" i="171" s="1"/>
  <c r="D17" i="108"/>
  <c r="D17" i="148"/>
  <c r="I21" i="185"/>
  <c r="L16" i="163"/>
  <c r="I14" i="163"/>
  <c r="I18" i="171"/>
  <c r="I18" i="184"/>
  <c r="D21" i="159"/>
  <c r="D17" i="167"/>
  <c r="D15" i="171"/>
  <c r="D17" i="178"/>
  <c r="C18" i="171"/>
  <c r="H18" i="171" s="1"/>
  <c r="D18" i="148"/>
  <c r="D18" i="156"/>
  <c r="D18" i="163"/>
  <c r="C21" i="163"/>
  <c r="H21" i="163" s="1"/>
  <c r="C16" i="159"/>
  <c r="E16" i="159" s="1"/>
  <c r="F16" i="159" s="1"/>
  <c r="C16" i="180"/>
  <c r="E16" i="180" s="1"/>
  <c r="F16" i="180" s="1"/>
  <c r="C17" i="187"/>
  <c r="C18" i="182"/>
  <c r="H18" i="182" s="1"/>
  <c r="D21" i="180"/>
  <c r="C22" i="188"/>
  <c r="D22" i="183"/>
  <c r="D15" i="182"/>
  <c r="D16" i="183"/>
  <c r="D18" i="124"/>
  <c r="C18" i="150"/>
  <c r="H18" i="150" s="1"/>
  <c r="D15" i="169"/>
  <c r="C21" i="186"/>
  <c r="H21" i="186" s="1"/>
  <c r="C17" i="183"/>
  <c r="C18" i="181"/>
  <c r="H18" i="181" s="1"/>
  <c r="C22" i="185"/>
  <c r="D22" i="182"/>
  <c r="D15" i="181"/>
  <c r="D16" i="182"/>
  <c r="C16" i="153"/>
  <c r="E16" i="153" s="1"/>
  <c r="F16" i="153" s="1"/>
  <c r="D17" i="155"/>
  <c r="D21" i="157"/>
  <c r="D17" i="166"/>
  <c r="C21" i="183"/>
  <c r="H21" i="183" s="1"/>
  <c r="C16" i="187"/>
  <c r="E16" i="187" s="1"/>
  <c r="F16" i="187" s="1"/>
  <c r="C17" i="182"/>
  <c r="D18" i="180"/>
  <c r="D21" i="187"/>
  <c r="C22" i="183"/>
  <c r="D22" i="181"/>
  <c r="D16" i="180"/>
  <c r="D16" i="181"/>
  <c r="C21" i="182"/>
  <c r="H21" i="182" s="1"/>
  <c r="C15" i="186"/>
  <c r="E15" i="186" s="1"/>
  <c r="G15" i="186" s="1"/>
  <c r="C16" i="183"/>
  <c r="E16" i="183" s="1"/>
  <c r="F16" i="183" s="1"/>
  <c r="C17" i="181"/>
  <c r="D21" i="183"/>
  <c r="C22" i="182"/>
  <c r="D15" i="180"/>
  <c r="D17" i="180"/>
  <c r="C21" i="181"/>
  <c r="H21" i="181" s="1"/>
  <c r="C15" i="183"/>
  <c r="C16" i="182"/>
  <c r="E16" i="182" s="1"/>
  <c r="C18" i="180"/>
  <c r="E18" i="180" s="1"/>
  <c r="D21" i="182"/>
  <c r="C22" i="181"/>
  <c r="D17" i="187"/>
  <c r="D18" i="158"/>
  <c r="C16" i="149"/>
  <c r="E16" i="149" s="1"/>
  <c r="F16" i="149" s="1"/>
  <c r="D21" i="154"/>
  <c r="C18" i="160"/>
  <c r="H18" i="160" s="1"/>
  <c r="D15" i="179"/>
  <c r="C15" i="180"/>
  <c r="E15" i="180" s="1"/>
  <c r="F15" i="180" s="1"/>
  <c r="C15" i="182"/>
  <c r="E15" i="182" s="1"/>
  <c r="F15" i="182" s="1"/>
  <c r="C16" i="181"/>
  <c r="E16" i="181" s="1"/>
  <c r="G16" i="181" s="1"/>
  <c r="H16" i="181" s="1"/>
  <c r="D18" i="183"/>
  <c r="D21" i="181"/>
  <c r="D22" i="180"/>
  <c r="D17" i="183"/>
  <c r="C21" i="149"/>
  <c r="H21" i="149" s="1"/>
  <c r="D15" i="163"/>
  <c r="C16" i="165"/>
  <c r="E16" i="165" s="1"/>
  <c r="F16" i="165" s="1"/>
  <c r="D18" i="172"/>
  <c r="D21" i="179"/>
  <c r="C21" i="180"/>
  <c r="H21" i="180" s="1"/>
  <c r="C15" i="181"/>
  <c r="E15" i="181" s="1"/>
  <c r="F15" i="181" s="1"/>
  <c r="C17" i="180"/>
  <c r="E17" i="180" s="1"/>
  <c r="D18" i="182"/>
  <c r="D15" i="149"/>
  <c r="C17" i="154"/>
  <c r="E17" i="154" s="1"/>
  <c r="G17" i="154" s="1"/>
  <c r="D17" i="175"/>
  <c r="D21" i="149"/>
  <c r="C18" i="163"/>
  <c r="H18" i="163" s="1"/>
  <c r="C21" i="165"/>
  <c r="H21" i="165" s="1"/>
  <c r="C18" i="183"/>
  <c r="H18" i="183" s="1"/>
  <c r="D18" i="181"/>
  <c r="D16" i="187"/>
  <c r="J48" i="182"/>
  <c r="I48" i="182"/>
  <c r="H48" i="182"/>
  <c r="G48" i="182"/>
  <c r="I18" i="182"/>
  <c r="E48" i="186"/>
  <c r="E48" i="175"/>
  <c r="H48" i="177"/>
  <c r="G48" i="177"/>
  <c r="G48" i="176"/>
  <c r="F48" i="172"/>
  <c r="J48" i="170"/>
  <c r="G48" i="170"/>
  <c r="G48" i="125"/>
  <c r="I18" i="188"/>
  <c r="I14" i="188"/>
  <c r="I20" i="188"/>
  <c r="F48" i="188"/>
  <c r="E48" i="188"/>
  <c r="I18" i="187"/>
  <c r="I19" i="187"/>
  <c r="I21" i="187"/>
  <c r="D48" i="187"/>
  <c r="F48" i="187"/>
  <c r="I20" i="186"/>
  <c r="I14" i="186"/>
  <c r="H48" i="186"/>
  <c r="I48" i="186"/>
  <c r="D48" i="186"/>
  <c r="L16" i="186" s="1"/>
  <c r="I18" i="185"/>
  <c r="I20" i="185"/>
  <c r="I14" i="185"/>
  <c r="F48" i="185"/>
  <c r="L16" i="185" s="1"/>
  <c r="I14" i="184"/>
  <c r="I20" i="184"/>
  <c r="L16" i="184"/>
  <c r="H48" i="184"/>
  <c r="G48" i="183"/>
  <c r="F48" i="183"/>
  <c r="I18" i="183"/>
  <c r="I19" i="183"/>
  <c r="I21" i="183"/>
  <c r="D48" i="183"/>
  <c r="E48" i="182"/>
  <c r="D48" i="182"/>
  <c r="I20" i="182"/>
  <c r="F48" i="182"/>
  <c r="F48" i="181"/>
  <c r="E48" i="181"/>
  <c r="D48" i="181"/>
  <c r="I18" i="181"/>
  <c r="I21" i="181"/>
  <c r="I19" i="181"/>
  <c r="D48" i="180"/>
  <c r="I18" i="180"/>
  <c r="I21" i="180"/>
  <c r="I19" i="180"/>
  <c r="E48" i="180"/>
  <c r="L16" i="179"/>
  <c r="I18" i="179"/>
  <c r="I21" i="179"/>
  <c r="I19" i="179"/>
  <c r="I18" i="178"/>
  <c r="F48" i="178"/>
  <c r="D48" i="178"/>
  <c r="E48" i="178"/>
  <c r="I18" i="177"/>
  <c r="I21" i="177"/>
  <c r="I19" i="177"/>
  <c r="I18" i="176"/>
  <c r="I21" i="176"/>
  <c r="I19" i="176"/>
  <c r="D48" i="176"/>
  <c r="L16" i="176" s="1"/>
  <c r="I18" i="175"/>
  <c r="I21" i="175"/>
  <c r="I19" i="175"/>
  <c r="I18" i="174"/>
  <c r="I21" i="174"/>
  <c r="I19" i="174"/>
  <c r="I18" i="173"/>
  <c r="L16" i="173"/>
  <c r="I14" i="173"/>
  <c r="I20" i="173"/>
  <c r="I21" i="173"/>
  <c r="I18" i="172"/>
  <c r="I21" i="172"/>
  <c r="I19" i="172"/>
  <c r="I19" i="171"/>
  <c r="I18" i="170"/>
  <c r="I20" i="170"/>
  <c r="I14" i="170"/>
  <c r="I48" i="170"/>
  <c r="D48" i="170"/>
  <c r="L16" i="170" s="1"/>
  <c r="I18" i="169"/>
  <c r="I21" i="169"/>
  <c r="I19" i="169"/>
  <c r="I21" i="168"/>
  <c r="I18" i="168"/>
  <c r="I20" i="168"/>
  <c r="I14" i="168"/>
  <c r="F48" i="168"/>
  <c r="L16" i="168" s="1"/>
  <c r="I21" i="167"/>
  <c r="E48" i="167"/>
  <c r="I19" i="167"/>
  <c r="I18" i="167"/>
  <c r="I18" i="166"/>
  <c r="I21" i="166"/>
  <c r="I19" i="166"/>
  <c r="I18" i="165"/>
  <c r="I20" i="165"/>
  <c r="I14" i="165"/>
  <c r="I21" i="165"/>
  <c r="E48" i="165"/>
  <c r="D48" i="165"/>
  <c r="L16" i="165" s="1"/>
  <c r="G48" i="164"/>
  <c r="I18" i="164"/>
  <c r="I21" i="164"/>
  <c r="I19" i="164"/>
  <c r="I18" i="163"/>
  <c r="I21" i="163"/>
  <c r="I19" i="163"/>
  <c r="I18" i="162"/>
  <c r="I21" i="162"/>
  <c r="I19" i="162"/>
  <c r="D48" i="162"/>
  <c r="L16" i="162" s="1"/>
  <c r="I18" i="161"/>
  <c r="I21" i="161"/>
  <c r="I19" i="161"/>
  <c r="D48" i="161"/>
  <c r="I18" i="160"/>
  <c r="I14" i="160"/>
  <c r="I20" i="160"/>
  <c r="E48" i="160"/>
  <c r="D48" i="160"/>
  <c r="F48" i="160"/>
  <c r="I20" i="159"/>
  <c r="I19" i="159"/>
  <c r="I21" i="159"/>
  <c r="D48" i="159"/>
  <c r="I18" i="158"/>
  <c r="I19" i="158"/>
  <c r="I21" i="158"/>
  <c r="D48" i="158"/>
  <c r="E48" i="158"/>
  <c r="F48" i="157"/>
  <c r="I18" i="157"/>
  <c r="I21" i="157"/>
  <c r="I19" i="157"/>
  <c r="I18" i="156"/>
  <c r="I21" i="156"/>
  <c r="I19" i="156"/>
  <c r="I19" i="155"/>
  <c r="D48" i="155"/>
  <c r="E48" i="155"/>
  <c r="L16" i="155" s="1"/>
  <c r="I20" i="155"/>
  <c r="I21" i="155"/>
  <c r="D48" i="154"/>
  <c r="L16" i="154" s="1"/>
  <c r="I18" i="154"/>
  <c r="I14" i="154"/>
  <c r="I20" i="154"/>
  <c r="I18" i="153"/>
  <c r="I21" i="153"/>
  <c r="I19" i="153"/>
  <c r="D48" i="153"/>
  <c r="D48" i="152"/>
  <c r="I18" i="152"/>
  <c r="I21" i="152"/>
  <c r="I19" i="152"/>
  <c r="G48" i="152"/>
  <c r="I18" i="151"/>
  <c r="I21" i="151"/>
  <c r="I19" i="151"/>
  <c r="D48" i="151"/>
  <c r="I18" i="150"/>
  <c r="I21" i="150"/>
  <c r="I19" i="150"/>
  <c r="D48" i="150"/>
  <c r="I18" i="149"/>
  <c r="I19" i="149"/>
  <c r="I21" i="149"/>
  <c r="I18" i="148"/>
  <c r="I19" i="148"/>
  <c r="I21" i="148"/>
  <c r="D48" i="148"/>
  <c r="L16" i="148" s="1"/>
  <c r="I18" i="147"/>
  <c r="I21" i="147"/>
  <c r="I19" i="147"/>
  <c r="I18" i="146"/>
  <c r="I21" i="146"/>
  <c r="I20" i="146"/>
  <c r="I19" i="146"/>
  <c r="I18" i="145"/>
  <c r="I21" i="145"/>
  <c r="I19" i="145"/>
  <c r="H48" i="145"/>
  <c r="D48" i="144"/>
  <c r="L16" i="144" s="1"/>
  <c r="I20" i="144"/>
  <c r="F48" i="144"/>
  <c r="I18" i="144"/>
  <c r="I14" i="144"/>
  <c r="E48" i="144"/>
  <c r="D48" i="122"/>
  <c r="E48" i="118"/>
  <c r="H48" i="113"/>
  <c r="E48" i="138"/>
  <c r="D48" i="128"/>
  <c r="D48" i="107"/>
  <c r="I18" i="97"/>
  <c r="I18" i="143"/>
  <c r="E48" i="143"/>
  <c r="G48" i="143"/>
  <c r="C16" i="188"/>
  <c r="E16" i="188" s="1"/>
  <c r="F16" i="188" s="1"/>
  <c r="D22" i="188"/>
  <c r="D21" i="188"/>
  <c r="D17" i="188"/>
  <c r="D18" i="188"/>
  <c r="D16" i="188"/>
  <c r="C15" i="188"/>
  <c r="E15" i="188" s="1"/>
  <c r="G15" i="188" s="1"/>
  <c r="C18" i="188"/>
  <c r="G18" i="188" s="1"/>
  <c r="D15" i="188"/>
  <c r="C21" i="188"/>
  <c r="H21" i="188" s="1"/>
  <c r="C21" i="187"/>
  <c r="C15" i="187"/>
  <c r="E15" i="187" s="1"/>
  <c r="F15" i="187" s="1"/>
  <c r="D18" i="187"/>
  <c r="C18" i="187"/>
  <c r="F18" i="187" s="1"/>
  <c r="D15" i="187"/>
  <c r="C22" i="187"/>
  <c r="C16" i="186"/>
  <c r="E16" i="186" s="1"/>
  <c r="F16" i="186" s="1"/>
  <c r="C17" i="186"/>
  <c r="C18" i="186"/>
  <c r="H18" i="186" s="1"/>
  <c r="D18" i="186"/>
  <c r="D21" i="186"/>
  <c r="C22" i="186"/>
  <c r="D22" i="186"/>
  <c r="D15" i="186"/>
  <c r="D16" i="186"/>
  <c r="D22" i="185"/>
  <c r="D15" i="185"/>
  <c r="C16" i="185"/>
  <c r="E16" i="185" s="1"/>
  <c r="F16" i="185" s="1"/>
  <c r="D16" i="185"/>
  <c r="C17" i="185"/>
  <c r="D17" i="185"/>
  <c r="C18" i="185"/>
  <c r="H18" i="185" s="1"/>
  <c r="C21" i="185"/>
  <c r="H21" i="185" s="1"/>
  <c r="D18" i="185"/>
  <c r="C15" i="185"/>
  <c r="E15" i="185" s="1"/>
  <c r="F15" i="185" s="1"/>
  <c r="D21" i="184"/>
  <c r="D18" i="184"/>
  <c r="D15" i="184"/>
  <c r="C16" i="184"/>
  <c r="E16" i="184" s="1"/>
  <c r="F16" i="184" s="1"/>
  <c r="C21" i="184"/>
  <c r="H21" i="184" s="1"/>
  <c r="D16" i="184"/>
  <c r="C17" i="184"/>
  <c r="C22" i="184"/>
  <c r="D17" i="184"/>
  <c r="C15" i="184"/>
  <c r="E15" i="184" s="1"/>
  <c r="G15" i="184" s="1"/>
  <c r="C18" i="184"/>
  <c r="H18" i="184" s="1"/>
  <c r="C16" i="179"/>
  <c r="E16" i="179" s="1"/>
  <c r="G16" i="179" s="1"/>
  <c r="C17" i="179"/>
  <c r="D17" i="179"/>
  <c r="C18" i="179"/>
  <c r="F18" i="179" s="1"/>
  <c r="D18" i="179"/>
  <c r="C21" i="179"/>
  <c r="H21" i="179" s="1"/>
  <c r="C18" i="178"/>
  <c r="H18" i="178" s="1"/>
  <c r="D18" i="178"/>
  <c r="C21" i="178"/>
  <c r="H21" i="178" s="1"/>
  <c r="D15" i="178"/>
  <c r="D21" i="178"/>
  <c r="C16" i="178"/>
  <c r="E16" i="178" s="1"/>
  <c r="F16" i="178" s="1"/>
  <c r="C17" i="178"/>
  <c r="D17" i="177"/>
  <c r="C18" i="177"/>
  <c r="H18" i="177" s="1"/>
  <c r="D15" i="177"/>
  <c r="D18" i="177"/>
  <c r="C16" i="177"/>
  <c r="E16" i="177" s="1"/>
  <c r="F16" i="177" s="1"/>
  <c r="D16" i="177"/>
  <c r="C21" i="177"/>
  <c r="F21" i="177" s="1"/>
  <c r="C17" i="177"/>
  <c r="D21" i="177"/>
  <c r="D17" i="176"/>
  <c r="C18" i="176"/>
  <c r="H18" i="176" s="1"/>
  <c r="D18" i="176"/>
  <c r="D15" i="176"/>
  <c r="C21" i="176"/>
  <c r="H21" i="176" s="1"/>
  <c r="C16" i="176"/>
  <c r="E16" i="176" s="1"/>
  <c r="F16" i="176" s="1"/>
  <c r="D21" i="176"/>
  <c r="C17" i="176"/>
  <c r="E17" i="176" s="1"/>
  <c r="C17" i="175"/>
  <c r="C18" i="175"/>
  <c r="H18" i="175" s="1"/>
  <c r="D18" i="175"/>
  <c r="C15" i="175"/>
  <c r="E15" i="175" s="1"/>
  <c r="D15" i="175"/>
  <c r="C21" i="175"/>
  <c r="E21" i="175" s="1"/>
  <c r="C16" i="175"/>
  <c r="D21" i="175"/>
  <c r="D15" i="174"/>
  <c r="C16" i="174"/>
  <c r="E16" i="174" s="1"/>
  <c r="F16" i="174" s="1"/>
  <c r="D21" i="174"/>
  <c r="C17" i="174"/>
  <c r="E17" i="174" s="1"/>
  <c r="D17" i="174"/>
  <c r="C21" i="174"/>
  <c r="H21" i="174" s="1"/>
  <c r="C18" i="174"/>
  <c r="H18" i="174" s="1"/>
  <c r="D18" i="174"/>
  <c r="C15" i="173"/>
  <c r="E15" i="173" s="1"/>
  <c r="F15" i="173" s="1"/>
  <c r="C18" i="173"/>
  <c r="H18" i="173" s="1"/>
  <c r="D15" i="173"/>
  <c r="D18" i="173"/>
  <c r="C16" i="173"/>
  <c r="E16" i="173" s="1"/>
  <c r="F16" i="173" s="1"/>
  <c r="C21" i="173"/>
  <c r="E21" i="173" s="1"/>
  <c r="C17" i="173"/>
  <c r="E17" i="173" s="1"/>
  <c r="D21" i="173"/>
  <c r="D17" i="173"/>
  <c r="C18" i="172"/>
  <c r="H18" i="172" s="1"/>
  <c r="D15" i="172"/>
  <c r="C21" i="172"/>
  <c r="H21" i="172" s="1"/>
  <c r="C16" i="172"/>
  <c r="E16" i="172" s="1"/>
  <c r="G16" i="172" s="1"/>
  <c r="D21" i="172"/>
  <c r="C17" i="172"/>
  <c r="E17" i="172" s="1"/>
  <c r="D17" i="172"/>
  <c r="C16" i="171"/>
  <c r="E16" i="171" s="1"/>
  <c r="D18" i="171"/>
  <c r="D16" i="171"/>
  <c r="C17" i="171"/>
  <c r="C21" i="171"/>
  <c r="D17" i="171"/>
  <c r="D18" i="170"/>
  <c r="D15" i="170"/>
  <c r="C16" i="170"/>
  <c r="E16" i="170" s="1"/>
  <c r="F16" i="170" s="1"/>
  <c r="C21" i="170"/>
  <c r="H21" i="170" s="1"/>
  <c r="D21" i="170"/>
  <c r="C17" i="170"/>
  <c r="E17" i="170" s="1"/>
  <c r="F17" i="170" s="1"/>
  <c r="D17" i="170"/>
  <c r="C18" i="170"/>
  <c r="F18" i="170" s="1"/>
  <c r="C16" i="169"/>
  <c r="E16" i="169" s="1"/>
  <c r="F16" i="169" s="1"/>
  <c r="C21" i="169"/>
  <c r="E21" i="169" s="1"/>
  <c r="C17" i="169"/>
  <c r="E17" i="169" s="1"/>
  <c r="D21" i="169"/>
  <c r="D17" i="169"/>
  <c r="C18" i="169"/>
  <c r="H18" i="169" s="1"/>
  <c r="C15" i="169"/>
  <c r="E15" i="169" s="1"/>
  <c r="D18" i="169"/>
  <c r="C18" i="168"/>
  <c r="H18" i="168" s="1"/>
  <c r="D18" i="168"/>
  <c r="D15" i="168"/>
  <c r="C16" i="168"/>
  <c r="E16" i="168" s="1"/>
  <c r="F16" i="168" s="1"/>
  <c r="C21" i="168"/>
  <c r="H21" i="168" s="1"/>
  <c r="D21" i="168"/>
  <c r="C17" i="168"/>
  <c r="D17" i="168"/>
  <c r="C18" i="167"/>
  <c r="H18" i="167" s="1"/>
  <c r="D18" i="167"/>
  <c r="C15" i="167"/>
  <c r="E15" i="167" s="1"/>
  <c r="D15" i="167"/>
  <c r="C21" i="167"/>
  <c r="H21" i="167" s="1"/>
  <c r="C16" i="167"/>
  <c r="E16" i="167" s="1"/>
  <c r="F16" i="167" s="1"/>
  <c r="D21" i="167"/>
  <c r="C17" i="167"/>
  <c r="E17" i="167" s="1"/>
  <c r="C18" i="166"/>
  <c r="H18" i="166" s="1"/>
  <c r="C15" i="166"/>
  <c r="E15" i="166" s="1"/>
  <c r="D18" i="166"/>
  <c r="D15" i="166"/>
  <c r="C16" i="166"/>
  <c r="C21" i="166"/>
  <c r="C17" i="166"/>
  <c r="E17" i="166" s="1"/>
  <c r="D21" i="166"/>
  <c r="D15" i="165"/>
  <c r="D21" i="165"/>
  <c r="C17" i="165"/>
  <c r="F17" i="165" s="1"/>
  <c r="D17" i="165"/>
  <c r="C18" i="165"/>
  <c r="H18" i="165" s="1"/>
  <c r="D18" i="165"/>
  <c r="C15" i="164"/>
  <c r="E15" i="164" s="1"/>
  <c r="F15" i="164" s="1"/>
  <c r="D15" i="164"/>
  <c r="C21" i="164"/>
  <c r="H21" i="164" s="1"/>
  <c r="D18" i="164"/>
  <c r="C16" i="164"/>
  <c r="E16" i="164" s="1"/>
  <c r="F16" i="164" s="1"/>
  <c r="D21" i="164"/>
  <c r="C17" i="164"/>
  <c r="F17" i="164" s="1"/>
  <c r="D17" i="164"/>
  <c r="C18" i="164"/>
  <c r="H18" i="164" s="1"/>
  <c r="C16" i="163"/>
  <c r="E16" i="163" s="1"/>
  <c r="F16" i="163" s="1"/>
  <c r="D21" i="163"/>
  <c r="C17" i="163"/>
  <c r="F17" i="163" s="1"/>
  <c r="D17" i="163"/>
  <c r="C18" i="162"/>
  <c r="H18" i="162" s="1"/>
  <c r="C16" i="161"/>
  <c r="E16" i="161" s="1"/>
  <c r="F16" i="161" s="1"/>
  <c r="C17" i="161"/>
  <c r="E17" i="161" s="1"/>
  <c r="D17" i="161"/>
  <c r="D15" i="161"/>
  <c r="C18" i="161"/>
  <c r="H18" i="161" s="1"/>
  <c r="C21" i="161"/>
  <c r="H21" i="161" s="1"/>
  <c r="D21" i="161"/>
  <c r="D18" i="161"/>
  <c r="C17" i="160"/>
  <c r="H17" i="160" s="1"/>
  <c r="D18" i="160"/>
  <c r="C21" i="160"/>
  <c r="H21" i="160" s="1"/>
  <c r="D15" i="160"/>
  <c r="C17" i="159"/>
  <c r="E17" i="159" s="1"/>
  <c r="D17" i="159"/>
  <c r="C18" i="159"/>
  <c r="H18" i="159" s="1"/>
  <c r="D18" i="159"/>
  <c r="D15" i="159"/>
  <c r="C21" i="159"/>
  <c r="H21" i="159" s="1"/>
  <c r="D15" i="158"/>
  <c r="C21" i="158"/>
  <c r="H21" i="158" s="1"/>
  <c r="C16" i="158"/>
  <c r="E16" i="158" s="1"/>
  <c r="G16" i="158" s="1"/>
  <c r="H16" i="158" s="1"/>
  <c r="D21" i="158"/>
  <c r="C17" i="158"/>
  <c r="F17" i="158" s="1"/>
  <c r="D17" i="158"/>
  <c r="C18" i="158"/>
  <c r="H18" i="158" s="1"/>
  <c r="D15" i="157"/>
  <c r="C16" i="157"/>
  <c r="E16" i="157" s="1"/>
  <c r="F16" i="157" s="1"/>
  <c r="D17" i="157"/>
  <c r="C18" i="157"/>
  <c r="H18" i="157" s="1"/>
  <c r="D18" i="157"/>
  <c r="D15" i="156"/>
  <c r="C21" i="156"/>
  <c r="F21" i="156" s="1"/>
  <c r="C16" i="156"/>
  <c r="E16" i="156" s="1"/>
  <c r="F16" i="156" s="1"/>
  <c r="D21" i="156"/>
  <c r="C17" i="156"/>
  <c r="F17" i="156" s="1"/>
  <c r="D17" i="156"/>
  <c r="C18" i="156"/>
  <c r="H18" i="156" s="1"/>
  <c r="D15" i="155"/>
  <c r="C21" i="155"/>
  <c r="H21" i="155" s="1"/>
  <c r="C16" i="155"/>
  <c r="E16" i="155" s="1"/>
  <c r="G16" i="155" s="1"/>
  <c r="D21" i="155"/>
  <c r="D16" i="155"/>
  <c r="C17" i="155"/>
  <c r="H17" i="155" s="1"/>
  <c r="D17" i="154"/>
  <c r="C18" i="154"/>
  <c r="H18" i="154" s="1"/>
  <c r="D18" i="154"/>
  <c r="D15" i="154"/>
  <c r="C16" i="154"/>
  <c r="E16" i="154" s="1"/>
  <c r="F16" i="154" s="1"/>
  <c r="C21" i="154"/>
  <c r="H21" i="154" s="1"/>
  <c r="D15" i="153"/>
  <c r="C21" i="153"/>
  <c r="H21" i="153" s="1"/>
  <c r="C17" i="153"/>
  <c r="F17" i="153" s="1"/>
  <c r="D17" i="153"/>
  <c r="C18" i="153"/>
  <c r="H18" i="153" s="1"/>
  <c r="D18" i="153"/>
  <c r="D15" i="152"/>
  <c r="C21" i="152"/>
  <c r="E21" i="152" s="1"/>
  <c r="C16" i="152"/>
  <c r="E16" i="152" s="1"/>
  <c r="F16" i="152" s="1"/>
  <c r="D21" i="152"/>
  <c r="C17" i="152"/>
  <c r="E17" i="152" s="1"/>
  <c r="D17" i="152"/>
  <c r="C18" i="152"/>
  <c r="H18" i="152" s="1"/>
  <c r="D18" i="152"/>
  <c r="C18" i="151"/>
  <c r="H18" i="151" s="1"/>
  <c r="D18" i="151"/>
  <c r="D15" i="151"/>
  <c r="C21" i="151"/>
  <c r="H21" i="151" s="1"/>
  <c r="C16" i="151"/>
  <c r="E16" i="151" s="1"/>
  <c r="F16" i="151" s="1"/>
  <c r="D21" i="151"/>
  <c r="C17" i="151"/>
  <c r="F17" i="151" s="1"/>
  <c r="D17" i="151"/>
  <c r="D18" i="150"/>
  <c r="D15" i="150"/>
  <c r="C17" i="149"/>
  <c r="E17" i="149" s="1"/>
  <c r="D17" i="149"/>
  <c r="C18" i="149"/>
  <c r="H18" i="149" s="1"/>
  <c r="D18" i="149"/>
  <c r="D15" i="148"/>
  <c r="C21" i="148"/>
  <c r="H21" i="148" s="1"/>
  <c r="C16" i="148"/>
  <c r="E16" i="148" s="1"/>
  <c r="F16" i="148" s="1"/>
  <c r="D21" i="148"/>
  <c r="C17" i="148"/>
  <c r="E17" i="148" s="1"/>
  <c r="D15" i="147"/>
  <c r="D18" i="147"/>
  <c r="C18" i="147"/>
  <c r="H18" i="147" s="1"/>
  <c r="C16" i="147"/>
  <c r="E16" i="147" s="1"/>
  <c r="F16" i="147" s="1"/>
  <c r="D16" i="147"/>
  <c r="C21" i="147"/>
  <c r="C17" i="147"/>
  <c r="D21" i="147"/>
  <c r="D17" i="147"/>
  <c r="D15" i="146"/>
  <c r="C21" i="146"/>
  <c r="H21" i="146" s="1"/>
  <c r="C16" i="146"/>
  <c r="E16" i="146" s="1"/>
  <c r="F16" i="146" s="1"/>
  <c r="D21" i="146"/>
  <c r="C17" i="146"/>
  <c r="H17" i="146" s="1"/>
  <c r="D17" i="146"/>
  <c r="C18" i="146"/>
  <c r="H18" i="146" s="1"/>
  <c r="D18" i="146"/>
  <c r="C18" i="145"/>
  <c r="H18" i="145" s="1"/>
  <c r="C15" i="145"/>
  <c r="E15" i="145" s="1"/>
  <c r="D15" i="145"/>
  <c r="C21" i="145"/>
  <c r="H21" i="145" s="1"/>
  <c r="C16" i="145"/>
  <c r="E16" i="145" s="1"/>
  <c r="F16" i="145" s="1"/>
  <c r="D21" i="145"/>
  <c r="C17" i="145"/>
  <c r="D17" i="145"/>
  <c r="D18" i="145"/>
  <c r="D17" i="144"/>
  <c r="D18" i="144"/>
  <c r="C15" i="144"/>
  <c r="E15" i="144" s="1"/>
  <c r="G15" i="144" s="1"/>
  <c r="D15" i="144"/>
  <c r="C18" i="144"/>
  <c r="F18" i="144" s="1"/>
  <c r="C16" i="144"/>
  <c r="E16" i="144" s="1"/>
  <c r="G16" i="144" s="1"/>
  <c r="H16" i="144" s="1"/>
  <c r="C21" i="144"/>
  <c r="H21" i="144" s="1"/>
  <c r="D21" i="144"/>
  <c r="C17" i="144"/>
  <c r="H17" i="144" s="1"/>
  <c r="D18" i="143"/>
  <c r="D15" i="143"/>
  <c r="D21" i="143"/>
  <c r="C16" i="143"/>
  <c r="E16" i="143" s="1"/>
  <c r="F16" i="143" s="1"/>
  <c r="C17" i="143"/>
  <c r="E17" i="143" s="1"/>
  <c r="D17" i="143"/>
  <c r="C21" i="143"/>
  <c r="H21" i="143" s="1"/>
  <c r="C18" i="143"/>
  <c r="H18" i="143" s="1"/>
  <c r="C18" i="137"/>
  <c r="G18" i="137" s="1"/>
  <c r="D18" i="137"/>
  <c r="C21" i="137"/>
  <c r="H21" i="137" s="1"/>
  <c r="C21" i="135"/>
  <c r="H21" i="135" s="1"/>
  <c r="C17" i="135"/>
  <c r="H17" i="135" s="1"/>
  <c r="C18" i="134"/>
  <c r="H18" i="134" s="1"/>
  <c r="D18" i="134"/>
  <c r="D21" i="134"/>
  <c r="D18" i="133"/>
  <c r="D18" i="130"/>
  <c r="D18" i="128"/>
  <c r="D15" i="121"/>
  <c r="D18" i="121"/>
  <c r="C21" i="118"/>
  <c r="H21" i="118" s="1"/>
  <c r="C16" i="114"/>
  <c r="E16" i="114" s="1"/>
  <c r="G16" i="114" s="1"/>
  <c r="D18" i="108"/>
  <c r="C16" i="108"/>
  <c r="E16" i="108" s="1"/>
  <c r="G16" i="108" s="1"/>
  <c r="D16" i="106"/>
  <c r="C17" i="104"/>
  <c r="H17" i="104" s="1"/>
  <c r="C18" i="104"/>
  <c r="H18" i="104" s="1"/>
  <c r="D18" i="104"/>
  <c r="C21" i="104"/>
  <c r="H21" i="104" s="1"/>
  <c r="C18" i="101"/>
  <c r="H18" i="101" s="1"/>
  <c r="C18" i="100"/>
  <c r="H18" i="100" s="1"/>
  <c r="D15" i="96"/>
  <c r="D18" i="96"/>
  <c r="I19" i="188"/>
  <c r="I21" i="188"/>
  <c r="E17" i="188"/>
  <c r="F17" i="188"/>
  <c r="I14" i="187"/>
  <c r="L16" i="187"/>
  <c r="I20" i="187"/>
  <c r="I19" i="186"/>
  <c r="I21" i="186"/>
  <c r="I19" i="185"/>
  <c r="I19" i="184"/>
  <c r="I21" i="184"/>
  <c r="E15" i="183"/>
  <c r="F15" i="183" s="1"/>
  <c r="I14" i="183"/>
  <c r="L16" i="183"/>
  <c r="I20" i="183"/>
  <c r="I19" i="182"/>
  <c r="I21" i="182"/>
  <c r="I14" i="181"/>
  <c r="L16" i="181"/>
  <c r="I20" i="181"/>
  <c r="F18" i="181"/>
  <c r="I14" i="180"/>
  <c r="L16" i="180"/>
  <c r="I20" i="180"/>
  <c r="E15" i="179"/>
  <c r="F15" i="179" s="1"/>
  <c r="I14" i="179"/>
  <c r="I20" i="179"/>
  <c r="D16" i="179"/>
  <c r="E15" i="178"/>
  <c r="G15" i="178" s="1"/>
  <c r="H15" i="178" s="1"/>
  <c r="I19" i="178"/>
  <c r="I21" i="178"/>
  <c r="D16" i="178"/>
  <c r="I14" i="178"/>
  <c r="I20" i="178"/>
  <c r="E15" i="177"/>
  <c r="F15" i="177" s="1"/>
  <c r="I14" i="177"/>
  <c r="L16" i="177"/>
  <c r="I20" i="177"/>
  <c r="E15" i="176"/>
  <c r="F15" i="176" s="1"/>
  <c r="I20" i="176"/>
  <c r="D16" i="176"/>
  <c r="I14" i="176"/>
  <c r="I14" i="175"/>
  <c r="L16" i="175"/>
  <c r="I20" i="175"/>
  <c r="F18" i="175"/>
  <c r="E15" i="174"/>
  <c r="F15" i="174" s="1"/>
  <c r="I14" i="174"/>
  <c r="I20" i="174"/>
  <c r="D16" i="174"/>
  <c r="I19" i="173"/>
  <c r="E15" i="172"/>
  <c r="F15" i="172" s="1"/>
  <c r="I14" i="172"/>
  <c r="L16" i="172"/>
  <c r="I20" i="172"/>
  <c r="D16" i="172"/>
  <c r="I21" i="171"/>
  <c r="I14" i="171"/>
  <c r="L16" i="171"/>
  <c r="I20" i="171"/>
  <c r="E15" i="170"/>
  <c r="G15" i="170" s="1"/>
  <c r="I19" i="170"/>
  <c r="I21" i="170"/>
  <c r="D16" i="170"/>
  <c r="I14" i="169"/>
  <c r="L16" i="169"/>
  <c r="I20" i="169"/>
  <c r="E15" i="168"/>
  <c r="G15" i="168" s="1"/>
  <c r="I19" i="168"/>
  <c r="D16" i="168"/>
  <c r="I14" i="167"/>
  <c r="L16" i="167"/>
  <c r="I20" i="167"/>
  <c r="I14" i="166"/>
  <c r="L16" i="166"/>
  <c r="I20" i="166"/>
  <c r="E15" i="165"/>
  <c r="G15" i="165" s="1"/>
  <c r="I19" i="165"/>
  <c r="D16" i="165"/>
  <c r="I14" i="164"/>
  <c r="L16" i="164"/>
  <c r="I20" i="164"/>
  <c r="E15" i="163"/>
  <c r="G15" i="163" s="1"/>
  <c r="I20" i="163"/>
  <c r="D16" i="163"/>
  <c r="I14" i="162"/>
  <c r="I20" i="162"/>
  <c r="C17" i="162"/>
  <c r="C21" i="162"/>
  <c r="C16" i="162"/>
  <c r="D17" i="162"/>
  <c r="D21" i="162"/>
  <c r="D16" i="162"/>
  <c r="C15" i="162"/>
  <c r="E15" i="161"/>
  <c r="F15" i="161" s="1"/>
  <c r="I14" i="161"/>
  <c r="L16" i="161"/>
  <c r="I20" i="161"/>
  <c r="K18" i="161" s="1"/>
  <c r="D16" i="161"/>
  <c r="E15" i="160"/>
  <c r="F15" i="160" s="1"/>
  <c r="I19" i="160"/>
  <c r="I21" i="160"/>
  <c r="C16" i="160"/>
  <c r="D17" i="160"/>
  <c r="D21" i="160"/>
  <c r="D16" i="160"/>
  <c r="G18" i="160"/>
  <c r="E15" i="159"/>
  <c r="G15" i="159" s="1"/>
  <c r="I14" i="159"/>
  <c r="L16" i="159"/>
  <c r="D16" i="159"/>
  <c r="I18" i="159"/>
  <c r="E15" i="158"/>
  <c r="G15" i="158" s="1"/>
  <c r="I14" i="158"/>
  <c r="L16" i="158"/>
  <c r="I20" i="158"/>
  <c r="D16" i="158"/>
  <c r="E15" i="157"/>
  <c r="G15" i="157" s="1"/>
  <c r="I14" i="157"/>
  <c r="I20" i="157"/>
  <c r="C17" i="157"/>
  <c r="C21" i="157"/>
  <c r="D16" i="157"/>
  <c r="E15" i="156"/>
  <c r="G15" i="156" s="1"/>
  <c r="I14" i="156"/>
  <c r="L16" i="156"/>
  <c r="I20" i="156"/>
  <c r="D16" i="156"/>
  <c r="E15" i="155"/>
  <c r="G15" i="155" s="1"/>
  <c r="F18" i="155"/>
  <c r="I14" i="155"/>
  <c r="G18" i="155"/>
  <c r="E18" i="155"/>
  <c r="I18" i="155"/>
  <c r="E15" i="154"/>
  <c r="G15" i="154" s="1"/>
  <c r="I19" i="154"/>
  <c r="D16" i="154"/>
  <c r="E15" i="153"/>
  <c r="F15" i="153" s="1"/>
  <c r="I14" i="153"/>
  <c r="L16" i="153"/>
  <c r="I20" i="153"/>
  <c r="D16" i="153"/>
  <c r="E15" i="152"/>
  <c r="F15" i="152" s="1"/>
  <c r="I14" i="152"/>
  <c r="L16" i="152"/>
  <c r="I20" i="152"/>
  <c r="D16" i="152"/>
  <c r="E15" i="151"/>
  <c r="G15" i="151" s="1"/>
  <c r="I14" i="151"/>
  <c r="L16" i="151"/>
  <c r="I20" i="151"/>
  <c r="D16" i="151"/>
  <c r="E15" i="150"/>
  <c r="G15" i="150" s="1"/>
  <c r="I14" i="150"/>
  <c r="L16" i="150"/>
  <c r="I20" i="150"/>
  <c r="C17" i="150"/>
  <c r="C21" i="150"/>
  <c r="C16" i="150"/>
  <c r="D17" i="150"/>
  <c r="F18" i="150"/>
  <c r="D21" i="150"/>
  <c r="D16" i="150"/>
  <c r="E15" i="149"/>
  <c r="F15" i="149" s="1"/>
  <c r="I14" i="149"/>
  <c r="I20" i="149"/>
  <c r="D16" i="149"/>
  <c r="L16" i="149"/>
  <c r="G21" i="149"/>
  <c r="E15" i="148"/>
  <c r="F15" i="148" s="1"/>
  <c r="I20" i="148"/>
  <c r="E18" i="148"/>
  <c r="F18" i="148"/>
  <c r="I14" i="148"/>
  <c r="D16" i="148"/>
  <c r="G18" i="148"/>
  <c r="E15" i="147"/>
  <c r="F15" i="147" s="1"/>
  <c r="I20" i="147"/>
  <c r="E15" i="146"/>
  <c r="F15" i="146" s="1"/>
  <c r="I14" i="146"/>
  <c r="D16" i="146"/>
  <c r="L16" i="146"/>
  <c r="L16" i="145"/>
  <c r="I14" i="145"/>
  <c r="I20" i="145"/>
  <c r="I19" i="144"/>
  <c r="I21" i="144"/>
  <c r="E15" i="143"/>
  <c r="G15" i="143" s="1"/>
  <c r="I19" i="143"/>
  <c r="I21" i="143"/>
  <c r="I14" i="143"/>
  <c r="L16" i="143"/>
  <c r="I20" i="143"/>
  <c r="D16" i="143"/>
  <c r="C18" i="113"/>
  <c r="H18" i="113" s="1"/>
  <c r="D15" i="125"/>
  <c r="D17" i="140"/>
  <c r="G48" i="104"/>
  <c r="H48" i="108"/>
  <c r="D16" i="117"/>
  <c r="H48" i="119"/>
  <c r="C17" i="125"/>
  <c r="H17" i="125" s="1"/>
  <c r="H48" i="125"/>
  <c r="I48" i="127"/>
  <c r="J48" i="130"/>
  <c r="J48" i="131"/>
  <c r="H48" i="133"/>
  <c r="J48" i="135"/>
  <c r="D48" i="138"/>
  <c r="H48" i="140"/>
  <c r="J48" i="140"/>
  <c r="H48" i="98"/>
  <c r="C21" i="125"/>
  <c r="H21" i="125" s="1"/>
  <c r="J48" i="142"/>
  <c r="D48" i="97"/>
  <c r="D18" i="101"/>
  <c r="D18" i="103"/>
  <c r="H48" i="103"/>
  <c r="I48" i="106"/>
  <c r="J48" i="108"/>
  <c r="I48" i="109"/>
  <c r="H48" i="110"/>
  <c r="G48" i="111"/>
  <c r="D18" i="114"/>
  <c r="J48" i="117"/>
  <c r="G48" i="120"/>
  <c r="D15" i="122"/>
  <c r="H48" i="128"/>
  <c r="D48" i="130"/>
  <c r="D15" i="131"/>
  <c r="D15" i="132"/>
  <c r="H48" i="134"/>
  <c r="I48" i="136"/>
  <c r="I48" i="137"/>
  <c r="D15" i="141"/>
  <c r="J48" i="96"/>
  <c r="D15" i="97"/>
  <c r="E48" i="97"/>
  <c r="J48" i="98"/>
  <c r="C18" i="99"/>
  <c r="H18" i="99" s="1"/>
  <c r="H48" i="101"/>
  <c r="J48" i="104"/>
  <c r="J48" i="106"/>
  <c r="I48" i="110"/>
  <c r="H48" i="111"/>
  <c r="D21" i="114"/>
  <c r="C17" i="118"/>
  <c r="G48" i="118"/>
  <c r="H48" i="120"/>
  <c r="C18" i="122"/>
  <c r="H18" i="122" s="1"/>
  <c r="C15" i="124"/>
  <c r="E15" i="124" s="1"/>
  <c r="F15" i="124" s="1"/>
  <c r="I48" i="125"/>
  <c r="D48" i="127"/>
  <c r="I48" i="128"/>
  <c r="H48" i="129"/>
  <c r="C17" i="131"/>
  <c r="H17" i="131" s="1"/>
  <c r="C18" i="132"/>
  <c r="H18" i="132" s="1"/>
  <c r="F48" i="132"/>
  <c r="C16" i="134"/>
  <c r="E16" i="134" s="1"/>
  <c r="F16" i="134" s="1"/>
  <c r="J48" i="136"/>
  <c r="D15" i="137"/>
  <c r="D15" i="138"/>
  <c r="C17" i="141"/>
  <c r="H17" i="141" s="1"/>
  <c r="C18" i="97"/>
  <c r="H18" i="97" s="1"/>
  <c r="H48" i="99"/>
  <c r="E48" i="102"/>
  <c r="I48" i="107"/>
  <c r="I48" i="111"/>
  <c r="H48" i="112"/>
  <c r="I48" i="114"/>
  <c r="H48" i="115"/>
  <c r="G48" i="116"/>
  <c r="H48" i="118"/>
  <c r="D18" i="122"/>
  <c r="J48" i="125"/>
  <c r="H48" i="126"/>
  <c r="E48" i="127"/>
  <c r="F48" i="130"/>
  <c r="C18" i="131"/>
  <c r="H18" i="131" s="1"/>
  <c r="D18" i="132"/>
  <c r="C17" i="134"/>
  <c r="H17" i="134" s="1"/>
  <c r="J48" i="134"/>
  <c r="C17" i="137"/>
  <c r="H17" i="137" s="1"/>
  <c r="H48" i="138"/>
  <c r="G48" i="139"/>
  <c r="C18" i="141"/>
  <c r="H18" i="141" s="1"/>
  <c r="G48" i="98"/>
  <c r="C18" i="98"/>
  <c r="H18" i="98" s="1"/>
  <c r="E48" i="99"/>
  <c r="J48" i="100"/>
  <c r="C21" i="97"/>
  <c r="H21" i="97" s="1"/>
  <c r="G48" i="97"/>
  <c r="J48" i="101"/>
  <c r="D15" i="104"/>
  <c r="D18" i="105"/>
  <c r="D48" i="106"/>
  <c r="D15" i="108"/>
  <c r="D48" i="109"/>
  <c r="J48" i="114"/>
  <c r="I48" i="115"/>
  <c r="H48" i="116"/>
  <c r="C15" i="121"/>
  <c r="E15" i="121" s="1"/>
  <c r="F48" i="121"/>
  <c r="D21" i="122"/>
  <c r="C17" i="126"/>
  <c r="H17" i="126" s="1"/>
  <c r="I48" i="126"/>
  <c r="J48" i="129"/>
  <c r="C21" i="131"/>
  <c r="H21" i="131" s="1"/>
  <c r="D17" i="134"/>
  <c r="G48" i="135"/>
  <c r="D18" i="141"/>
  <c r="I21" i="142"/>
  <c r="C21" i="115"/>
  <c r="H21" i="115" s="1"/>
  <c r="D18" i="97"/>
  <c r="I48" i="102"/>
  <c r="E48" i="103"/>
  <c r="H48" i="104"/>
  <c r="J48" i="105"/>
  <c r="C17" i="106"/>
  <c r="H17" i="106" s="1"/>
  <c r="D15" i="107"/>
  <c r="J48" i="107"/>
  <c r="D21" i="108"/>
  <c r="G48" i="108"/>
  <c r="D15" i="109"/>
  <c r="D15" i="110"/>
  <c r="D15" i="111"/>
  <c r="E48" i="111"/>
  <c r="D15" i="112"/>
  <c r="D18" i="113"/>
  <c r="C17" i="114"/>
  <c r="H17" i="114" s="1"/>
  <c r="C15" i="115"/>
  <c r="E15" i="115" s="1"/>
  <c r="D15" i="116"/>
  <c r="C17" i="117"/>
  <c r="H17" i="117" s="1"/>
  <c r="C18" i="118"/>
  <c r="F18" i="118" s="1"/>
  <c r="I48" i="119"/>
  <c r="I48" i="120"/>
  <c r="C16" i="122"/>
  <c r="E16" i="122" s="1"/>
  <c r="G16" i="122" s="1"/>
  <c r="D15" i="123"/>
  <c r="C18" i="125"/>
  <c r="G18" i="125" s="1"/>
  <c r="C21" i="127"/>
  <c r="H21" i="127" s="1"/>
  <c r="F48" i="127"/>
  <c r="E48" i="128"/>
  <c r="D15" i="129"/>
  <c r="F48" i="129"/>
  <c r="D18" i="131"/>
  <c r="J48" i="132"/>
  <c r="C18" i="135"/>
  <c r="F18" i="135" s="1"/>
  <c r="C18" i="138"/>
  <c r="F18" i="138" s="1"/>
  <c r="D15" i="139"/>
  <c r="C18" i="140"/>
  <c r="G18" i="140" s="1"/>
  <c r="I48" i="96"/>
  <c r="F48" i="97"/>
  <c r="D48" i="99"/>
  <c r="D48" i="100"/>
  <c r="J48" i="102"/>
  <c r="C21" i="103"/>
  <c r="H21" i="103" s="1"/>
  <c r="F48" i="103"/>
  <c r="C18" i="106"/>
  <c r="F18" i="106" s="1"/>
  <c r="C17" i="107"/>
  <c r="H17" i="107" s="1"/>
  <c r="C18" i="109"/>
  <c r="H18" i="109" s="1"/>
  <c r="C18" i="110"/>
  <c r="H18" i="110" s="1"/>
  <c r="C18" i="111"/>
  <c r="H18" i="111" s="1"/>
  <c r="F48" i="111"/>
  <c r="C17" i="112"/>
  <c r="H17" i="112" s="1"/>
  <c r="J48" i="112"/>
  <c r="D17" i="114"/>
  <c r="D15" i="115"/>
  <c r="C17" i="116"/>
  <c r="H17" i="116" s="1"/>
  <c r="J48" i="116"/>
  <c r="C18" i="117"/>
  <c r="G18" i="117" s="1"/>
  <c r="D18" i="118"/>
  <c r="J48" i="119"/>
  <c r="J48" i="120"/>
  <c r="I48" i="121"/>
  <c r="D16" i="122"/>
  <c r="I48" i="122"/>
  <c r="C17" i="123"/>
  <c r="E17" i="123" s="1"/>
  <c r="I48" i="124"/>
  <c r="D18" i="125"/>
  <c r="C18" i="126"/>
  <c r="F18" i="126" s="1"/>
  <c r="D15" i="127"/>
  <c r="G48" i="127"/>
  <c r="C15" i="128"/>
  <c r="E15" i="128" s="1"/>
  <c r="F15" i="128" s="1"/>
  <c r="F48" i="128"/>
  <c r="L16" i="128" s="1"/>
  <c r="D18" i="129"/>
  <c r="I48" i="130"/>
  <c r="C21" i="133"/>
  <c r="H21" i="133" s="1"/>
  <c r="F48" i="133"/>
  <c r="D48" i="134"/>
  <c r="D18" i="135"/>
  <c r="D48" i="135"/>
  <c r="G48" i="137"/>
  <c r="D18" i="138"/>
  <c r="F48" i="138"/>
  <c r="C17" i="139"/>
  <c r="H17" i="139" s="1"/>
  <c r="J48" i="139"/>
  <c r="D18" i="140"/>
  <c r="E48" i="141"/>
  <c r="D15" i="98"/>
  <c r="D15" i="99"/>
  <c r="D15" i="100"/>
  <c r="D15" i="101"/>
  <c r="D18" i="106"/>
  <c r="C18" i="107"/>
  <c r="F18" i="107" s="1"/>
  <c r="D18" i="109"/>
  <c r="D18" i="110"/>
  <c r="D18" i="111"/>
  <c r="C18" i="112"/>
  <c r="F18" i="112" s="1"/>
  <c r="I48" i="113"/>
  <c r="C18" i="114"/>
  <c r="G18" i="114" s="1"/>
  <c r="C17" i="115"/>
  <c r="H17" i="115" s="1"/>
  <c r="C18" i="116"/>
  <c r="G18" i="116" s="1"/>
  <c r="D18" i="117"/>
  <c r="J48" i="121"/>
  <c r="D17" i="122"/>
  <c r="J48" i="123"/>
  <c r="J48" i="124"/>
  <c r="D18" i="126"/>
  <c r="J48" i="126"/>
  <c r="D16" i="127"/>
  <c r="D48" i="132"/>
  <c r="G48" i="133"/>
  <c r="D15" i="134"/>
  <c r="C21" i="134"/>
  <c r="H21" i="134" s="1"/>
  <c r="C18" i="139"/>
  <c r="G18" i="139" s="1"/>
  <c r="C21" i="141"/>
  <c r="H21" i="141" s="1"/>
  <c r="F48" i="141"/>
  <c r="D15" i="142"/>
  <c r="D18" i="112"/>
  <c r="J48" i="113"/>
  <c r="C18" i="115"/>
  <c r="F18" i="115" s="1"/>
  <c r="J48" i="115"/>
  <c r="D18" i="116"/>
  <c r="F48" i="118"/>
  <c r="D48" i="119"/>
  <c r="C18" i="123"/>
  <c r="H18" i="123" s="1"/>
  <c r="F48" i="125"/>
  <c r="C17" i="127"/>
  <c r="E17" i="127" s="1"/>
  <c r="I48" i="129"/>
  <c r="E48" i="132"/>
  <c r="E48" i="136"/>
  <c r="D18" i="139"/>
  <c r="D48" i="139"/>
  <c r="H48" i="139"/>
  <c r="D48" i="140"/>
  <c r="C18" i="142"/>
  <c r="H18" i="142" s="1"/>
  <c r="F48" i="98"/>
  <c r="D18" i="107"/>
  <c r="E48" i="107"/>
  <c r="D18" i="98"/>
  <c r="D18" i="99"/>
  <c r="D18" i="100"/>
  <c r="D15" i="102"/>
  <c r="D15" i="103"/>
  <c r="I21" i="113"/>
  <c r="D18" i="115"/>
  <c r="C21" i="117"/>
  <c r="H21" i="117" s="1"/>
  <c r="D15" i="119"/>
  <c r="D15" i="120"/>
  <c r="D18" i="123"/>
  <c r="I14" i="125"/>
  <c r="C18" i="127"/>
  <c r="F18" i="127" s="1"/>
  <c r="D15" i="133"/>
  <c r="I14" i="135"/>
  <c r="C17" i="136"/>
  <c r="H17" i="136" s="1"/>
  <c r="J48" i="137"/>
  <c r="I48" i="138"/>
  <c r="E48" i="139"/>
  <c r="D15" i="140"/>
  <c r="C21" i="140"/>
  <c r="H21" i="140" s="1"/>
  <c r="E48" i="140"/>
  <c r="D18" i="142"/>
  <c r="C18" i="102"/>
  <c r="H18" i="102" s="1"/>
  <c r="C17" i="103"/>
  <c r="H17" i="103" s="1"/>
  <c r="J48" i="103"/>
  <c r="G48" i="105"/>
  <c r="C21" i="106"/>
  <c r="F21" i="106" s="1"/>
  <c r="E48" i="106"/>
  <c r="C21" i="107"/>
  <c r="H21" i="107" s="1"/>
  <c r="J48" i="109"/>
  <c r="J48" i="110"/>
  <c r="J48" i="111"/>
  <c r="C21" i="112"/>
  <c r="H21" i="112" s="1"/>
  <c r="D48" i="114"/>
  <c r="H48" i="114"/>
  <c r="C21" i="116"/>
  <c r="H21" i="116" s="1"/>
  <c r="C18" i="119"/>
  <c r="H18" i="119" s="1"/>
  <c r="C18" i="120"/>
  <c r="H18" i="120" s="1"/>
  <c r="C18" i="121"/>
  <c r="E18" i="121" s="1"/>
  <c r="E48" i="121"/>
  <c r="E48" i="122"/>
  <c r="C21" i="123"/>
  <c r="E21" i="123" s="1"/>
  <c r="D15" i="126"/>
  <c r="C21" i="126"/>
  <c r="F21" i="126" s="1"/>
  <c r="D18" i="127"/>
  <c r="J48" i="128"/>
  <c r="C17" i="133"/>
  <c r="H17" i="133" s="1"/>
  <c r="J48" i="133"/>
  <c r="C21" i="136"/>
  <c r="H21" i="136" s="1"/>
  <c r="G48" i="136"/>
  <c r="J48" i="138"/>
  <c r="C21" i="139"/>
  <c r="H21" i="139" s="1"/>
  <c r="F48" i="139"/>
  <c r="C16" i="140"/>
  <c r="E16" i="140" s="1"/>
  <c r="F16" i="140" s="1"/>
  <c r="D21" i="140"/>
  <c r="D48" i="102"/>
  <c r="J48" i="97"/>
  <c r="C18" i="96"/>
  <c r="H18" i="96" s="1"/>
  <c r="C17" i="97"/>
  <c r="H17" i="97" s="1"/>
  <c r="I48" i="98"/>
  <c r="I48" i="99"/>
  <c r="I48" i="100"/>
  <c r="D18" i="102"/>
  <c r="C18" i="103"/>
  <c r="G18" i="103" s="1"/>
  <c r="D15" i="106"/>
  <c r="F48" i="106"/>
  <c r="H48" i="107"/>
  <c r="C18" i="108"/>
  <c r="H18" i="108" s="1"/>
  <c r="E48" i="108"/>
  <c r="D15" i="113"/>
  <c r="E48" i="113"/>
  <c r="D15" i="114"/>
  <c r="C21" i="114"/>
  <c r="H21" i="114" s="1"/>
  <c r="D15" i="117"/>
  <c r="D15" i="118"/>
  <c r="D18" i="119"/>
  <c r="D18" i="120"/>
  <c r="F48" i="122"/>
  <c r="D16" i="126"/>
  <c r="C18" i="133"/>
  <c r="F18" i="133" s="1"/>
  <c r="I20" i="134"/>
  <c r="D15" i="135"/>
  <c r="H48" i="137"/>
  <c r="C15" i="138"/>
  <c r="E15" i="138" s="1"/>
  <c r="C17" i="140"/>
  <c r="I48" i="142"/>
  <c r="E48" i="126"/>
  <c r="L16" i="126" s="1"/>
  <c r="E48" i="134"/>
  <c r="G48" i="138"/>
  <c r="F48" i="140"/>
  <c r="L16" i="140" s="1"/>
  <c r="G48" i="141"/>
  <c r="F48" i="126"/>
  <c r="G48" i="128"/>
  <c r="E48" i="129"/>
  <c r="E48" i="131"/>
  <c r="L16" i="131" s="1"/>
  <c r="F48" i="134"/>
  <c r="E48" i="137"/>
  <c r="G48" i="140"/>
  <c r="E48" i="142"/>
  <c r="G48" i="126"/>
  <c r="E48" i="130"/>
  <c r="F48" i="131"/>
  <c r="G48" i="134"/>
  <c r="E48" i="135"/>
  <c r="F48" i="142"/>
  <c r="E48" i="125"/>
  <c r="G48" i="129"/>
  <c r="G48" i="131"/>
  <c r="G48" i="132"/>
  <c r="F48" i="135"/>
  <c r="G48" i="142"/>
  <c r="G48" i="130"/>
  <c r="E48" i="133"/>
  <c r="F48" i="136"/>
  <c r="F48" i="137"/>
  <c r="D48" i="126"/>
  <c r="D48" i="129"/>
  <c r="D48" i="131"/>
  <c r="D48" i="142"/>
  <c r="D48" i="125"/>
  <c r="D48" i="137"/>
  <c r="D48" i="133"/>
  <c r="L16" i="133" s="1"/>
  <c r="D48" i="136"/>
  <c r="I21" i="131"/>
  <c r="I21" i="134"/>
  <c r="I14" i="132"/>
  <c r="L16" i="130"/>
  <c r="L16" i="135"/>
  <c r="I21" i="126"/>
  <c r="I21" i="128"/>
  <c r="I21" i="135"/>
  <c r="I21" i="127"/>
  <c r="L16" i="129"/>
  <c r="I20" i="142"/>
  <c r="I14" i="131"/>
  <c r="E48" i="123"/>
  <c r="G48" i="121"/>
  <c r="G48" i="99"/>
  <c r="G48" i="101"/>
  <c r="G48" i="102"/>
  <c r="G48" i="113"/>
  <c r="G48" i="114"/>
  <c r="G48" i="106"/>
  <c r="G48" i="107"/>
  <c r="G48" i="117"/>
  <c r="G48" i="122"/>
  <c r="G48" i="124"/>
  <c r="G48" i="100"/>
  <c r="G48" i="109"/>
  <c r="G48" i="119"/>
  <c r="G48" i="123"/>
  <c r="G48" i="110"/>
  <c r="G48" i="112"/>
  <c r="G48" i="115"/>
  <c r="F48" i="99"/>
  <c r="F48" i="102"/>
  <c r="F48" i="113"/>
  <c r="F48" i="100"/>
  <c r="F48" i="101"/>
  <c r="F48" i="109"/>
  <c r="F48" i="114"/>
  <c r="F48" i="119"/>
  <c r="F48" i="105"/>
  <c r="F48" i="123"/>
  <c r="F48" i="96"/>
  <c r="F48" i="110"/>
  <c r="F48" i="112"/>
  <c r="F48" i="115"/>
  <c r="F48" i="116"/>
  <c r="F48" i="120"/>
  <c r="F48" i="104"/>
  <c r="F48" i="117"/>
  <c r="F48" i="124"/>
  <c r="E48" i="100"/>
  <c r="L16" i="100" s="1"/>
  <c r="E48" i="109"/>
  <c r="E48" i="114"/>
  <c r="E48" i="119"/>
  <c r="E48" i="96"/>
  <c r="E48" i="101"/>
  <c r="E48" i="110"/>
  <c r="E48" i="112"/>
  <c r="E48" i="115"/>
  <c r="E48" i="116"/>
  <c r="E48" i="120"/>
  <c r="E48" i="104"/>
  <c r="E48" i="105"/>
  <c r="E48" i="117"/>
  <c r="E48" i="124"/>
  <c r="D48" i="96"/>
  <c r="D48" i="101"/>
  <c r="D48" i="110"/>
  <c r="L16" i="110" s="1"/>
  <c r="D48" i="112"/>
  <c r="D48" i="115"/>
  <c r="D48" i="116"/>
  <c r="D48" i="120"/>
  <c r="D48" i="123"/>
  <c r="L16" i="123" s="1"/>
  <c r="D48" i="104"/>
  <c r="D48" i="105"/>
  <c r="D48" i="117"/>
  <c r="D48" i="98"/>
  <c r="D48" i="103"/>
  <c r="L16" i="103" s="1"/>
  <c r="D48" i="108"/>
  <c r="L16" i="108" s="1"/>
  <c r="D48" i="111"/>
  <c r="D48" i="118"/>
  <c r="D48" i="124"/>
  <c r="D48" i="113"/>
  <c r="I21" i="117"/>
  <c r="I20" i="120"/>
  <c r="I21" i="100"/>
  <c r="I21" i="112"/>
  <c r="I21" i="115"/>
  <c r="I21" i="116"/>
  <c r="I14" i="103"/>
  <c r="I21" i="106"/>
  <c r="I14" i="118"/>
  <c r="I21" i="103"/>
  <c r="I21" i="118"/>
  <c r="I14" i="102"/>
  <c r="I14" i="113"/>
  <c r="I14" i="100"/>
  <c r="I14" i="109"/>
  <c r="E15" i="142"/>
  <c r="G15" i="142" s="1"/>
  <c r="C17" i="142"/>
  <c r="C21" i="142"/>
  <c r="C16" i="142"/>
  <c r="D17" i="142"/>
  <c r="D21" i="142"/>
  <c r="D16" i="142"/>
  <c r="I18" i="142"/>
  <c r="I14" i="142"/>
  <c r="I19" i="142"/>
  <c r="I21" i="141"/>
  <c r="I19" i="141"/>
  <c r="I18" i="141"/>
  <c r="I20" i="141"/>
  <c r="L16" i="141"/>
  <c r="I14" i="141"/>
  <c r="E15" i="141"/>
  <c r="F15" i="141" s="1"/>
  <c r="C16" i="141"/>
  <c r="D17" i="141"/>
  <c r="D21" i="141"/>
  <c r="D16" i="141"/>
  <c r="E15" i="140"/>
  <c r="G15" i="140" s="1"/>
  <c r="I21" i="140"/>
  <c r="I19" i="140"/>
  <c r="I18" i="140"/>
  <c r="I20" i="140"/>
  <c r="I14" i="140"/>
  <c r="D16" i="140"/>
  <c r="I21" i="139"/>
  <c r="I19" i="139"/>
  <c r="I18" i="139"/>
  <c r="I20" i="139"/>
  <c r="I14" i="139"/>
  <c r="E15" i="139"/>
  <c r="G15" i="139" s="1"/>
  <c r="C16" i="139"/>
  <c r="D17" i="139"/>
  <c r="D21" i="139"/>
  <c r="D16" i="139"/>
  <c r="I21" i="138"/>
  <c r="I14" i="138"/>
  <c r="I20" i="138"/>
  <c r="C17" i="138"/>
  <c r="C21" i="138"/>
  <c r="C16" i="138"/>
  <c r="D17" i="138"/>
  <c r="D21" i="138"/>
  <c r="I18" i="138"/>
  <c r="I19" i="138"/>
  <c r="I21" i="137"/>
  <c r="I19" i="137"/>
  <c r="I18" i="137"/>
  <c r="I20" i="137"/>
  <c r="L16" i="137"/>
  <c r="I14" i="137"/>
  <c r="E15" i="137"/>
  <c r="F15" i="137" s="1"/>
  <c r="C16" i="137"/>
  <c r="D17" i="137"/>
  <c r="D21" i="137"/>
  <c r="D16" i="137"/>
  <c r="E18" i="136"/>
  <c r="H18" i="136"/>
  <c r="G18" i="136"/>
  <c r="F18" i="136"/>
  <c r="I21" i="136"/>
  <c r="I19" i="136"/>
  <c r="I18" i="136"/>
  <c r="I20" i="136"/>
  <c r="I14" i="136"/>
  <c r="D18" i="136"/>
  <c r="C16" i="136"/>
  <c r="D17" i="136"/>
  <c r="D21" i="136"/>
  <c r="D16" i="136"/>
  <c r="C15" i="136"/>
  <c r="D15" i="136"/>
  <c r="E15" i="135"/>
  <c r="G15" i="135" s="1"/>
  <c r="C16" i="135"/>
  <c r="D17" i="135"/>
  <c r="D21" i="135"/>
  <c r="D16" i="135"/>
  <c r="I18" i="135"/>
  <c r="I20" i="135"/>
  <c r="I19" i="135"/>
  <c r="E15" i="134"/>
  <c r="G15" i="134" s="1"/>
  <c r="D16" i="134"/>
  <c r="I14" i="134"/>
  <c r="I18" i="134"/>
  <c r="L16" i="134"/>
  <c r="I19" i="134"/>
  <c r="I21" i="133"/>
  <c r="E15" i="133"/>
  <c r="G15" i="133" s="1"/>
  <c r="C16" i="133"/>
  <c r="D17" i="133"/>
  <c r="D21" i="133"/>
  <c r="D16" i="133"/>
  <c r="I20" i="133"/>
  <c r="I18" i="133"/>
  <c r="I14" i="133"/>
  <c r="I19" i="133"/>
  <c r="I21" i="132"/>
  <c r="E15" i="132"/>
  <c r="G15" i="132" s="1"/>
  <c r="C17" i="132"/>
  <c r="C21" i="132"/>
  <c r="C16" i="132"/>
  <c r="D17" i="132"/>
  <c r="D21" i="132"/>
  <c r="D16" i="132"/>
  <c r="I18" i="132"/>
  <c r="I20" i="132"/>
  <c r="I19" i="132"/>
  <c r="E15" i="131"/>
  <c r="G15" i="131" s="1"/>
  <c r="I20" i="131"/>
  <c r="C16" i="131"/>
  <c r="D17" i="131"/>
  <c r="D21" i="131"/>
  <c r="D16" i="131"/>
  <c r="I18" i="131"/>
  <c r="I19" i="131"/>
  <c r="H18" i="130"/>
  <c r="G18" i="130"/>
  <c r="F18" i="130"/>
  <c r="E18" i="130"/>
  <c r="I21" i="130"/>
  <c r="I14" i="130"/>
  <c r="I20" i="130"/>
  <c r="C17" i="130"/>
  <c r="C21" i="130"/>
  <c r="C16" i="130"/>
  <c r="D17" i="130"/>
  <c r="D21" i="130"/>
  <c r="D16" i="130"/>
  <c r="C15" i="130"/>
  <c r="D15" i="130"/>
  <c r="I18" i="130"/>
  <c r="I19" i="130"/>
  <c r="H18" i="129"/>
  <c r="G18" i="129"/>
  <c r="F18" i="129"/>
  <c r="E18" i="129"/>
  <c r="I21" i="129"/>
  <c r="I18" i="129"/>
  <c r="I20" i="129"/>
  <c r="I14" i="129"/>
  <c r="C17" i="129"/>
  <c r="C21" i="129"/>
  <c r="C16" i="129"/>
  <c r="D17" i="129"/>
  <c r="D21" i="129"/>
  <c r="D16" i="129"/>
  <c r="C15" i="129"/>
  <c r="I19" i="129"/>
  <c r="H18" i="128"/>
  <c r="G18" i="128"/>
  <c r="F18" i="128"/>
  <c r="E18" i="128"/>
  <c r="I14" i="128"/>
  <c r="I20" i="128"/>
  <c r="C17" i="128"/>
  <c r="C21" i="128"/>
  <c r="C16" i="128"/>
  <c r="D17" i="128"/>
  <c r="D21" i="128"/>
  <c r="D16" i="128"/>
  <c r="D15" i="128"/>
  <c r="I18" i="128"/>
  <c r="I19" i="128"/>
  <c r="I14" i="127"/>
  <c r="I20" i="127"/>
  <c r="E15" i="127"/>
  <c r="G15" i="127" s="1"/>
  <c r="C16" i="127"/>
  <c r="D17" i="127"/>
  <c r="D21" i="127"/>
  <c r="I18" i="127"/>
  <c r="I19" i="127"/>
  <c r="E15" i="126"/>
  <c r="G15" i="126" s="1"/>
  <c r="I20" i="126"/>
  <c r="I14" i="126"/>
  <c r="C16" i="126"/>
  <c r="D17" i="126"/>
  <c r="D21" i="126"/>
  <c r="I18" i="126"/>
  <c r="I19" i="126"/>
  <c r="I21" i="125"/>
  <c r="E15" i="125"/>
  <c r="G15" i="125" s="1"/>
  <c r="C16" i="125"/>
  <c r="D17" i="125"/>
  <c r="D21" i="125"/>
  <c r="D16" i="125"/>
  <c r="I20" i="125"/>
  <c r="I18" i="125"/>
  <c r="I19" i="125"/>
  <c r="L16" i="124"/>
  <c r="H18" i="124"/>
  <c r="G18" i="124"/>
  <c r="F18" i="124"/>
  <c r="E18" i="124"/>
  <c r="I21" i="124"/>
  <c r="I20" i="124"/>
  <c r="I14" i="124"/>
  <c r="C17" i="124"/>
  <c r="C21" i="124"/>
  <c r="C16" i="124"/>
  <c r="D17" i="124"/>
  <c r="D21" i="124"/>
  <c r="D16" i="124"/>
  <c r="D15" i="124"/>
  <c r="I18" i="124"/>
  <c r="I19" i="124"/>
  <c r="I21" i="123"/>
  <c r="E15" i="123"/>
  <c r="G15" i="123" s="1"/>
  <c r="I20" i="123"/>
  <c r="I14" i="123"/>
  <c r="C16" i="123"/>
  <c r="D17" i="123"/>
  <c r="D21" i="123"/>
  <c r="D16" i="123"/>
  <c r="I18" i="123"/>
  <c r="I19" i="123"/>
  <c r="E15" i="122"/>
  <c r="G15" i="122" s="1"/>
  <c r="I21" i="122"/>
  <c r="I20" i="122"/>
  <c r="L16" i="122"/>
  <c r="I14" i="122"/>
  <c r="C17" i="122"/>
  <c r="C21" i="122"/>
  <c r="I18" i="122"/>
  <c r="I19" i="122"/>
  <c r="I21" i="121"/>
  <c r="I20" i="121"/>
  <c r="I14" i="121"/>
  <c r="L16" i="121"/>
  <c r="C17" i="121"/>
  <c r="C21" i="121"/>
  <c r="C16" i="121"/>
  <c r="D17" i="121"/>
  <c r="D21" i="121"/>
  <c r="I18" i="121"/>
  <c r="I19" i="121"/>
  <c r="E15" i="120"/>
  <c r="L16" i="120"/>
  <c r="I21" i="120"/>
  <c r="C17" i="120"/>
  <c r="C21" i="120"/>
  <c r="C16" i="120"/>
  <c r="D17" i="120"/>
  <c r="D21" i="120"/>
  <c r="D16" i="120"/>
  <c r="I18" i="120"/>
  <c r="I14" i="120"/>
  <c r="I19" i="120"/>
  <c r="E15" i="119"/>
  <c r="G15" i="119" s="1"/>
  <c r="I21" i="119"/>
  <c r="I14" i="119"/>
  <c r="I20" i="119"/>
  <c r="C17" i="119"/>
  <c r="C21" i="119"/>
  <c r="C16" i="119"/>
  <c r="D17" i="119"/>
  <c r="D21" i="119"/>
  <c r="D16" i="119"/>
  <c r="I18" i="119"/>
  <c r="I19" i="119"/>
  <c r="L16" i="118"/>
  <c r="E15" i="118"/>
  <c r="G15" i="118" s="1"/>
  <c r="C16" i="118"/>
  <c r="D17" i="118"/>
  <c r="D21" i="118"/>
  <c r="D16" i="118"/>
  <c r="I20" i="118"/>
  <c r="I18" i="118"/>
  <c r="I19" i="118"/>
  <c r="E15" i="117"/>
  <c r="G15" i="117" s="1"/>
  <c r="I20" i="117"/>
  <c r="I14" i="117"/>
  <c r="C16" i="117"/>
  <c r="D17" i="117"/>
  <c r="D21" i="117"/>
  <c r="I18" i="117"/>
  <c r="I19" i="117"/>
  <c r="E15" i="116"/>
  <c r="I14" i="116"/>
  <c r="I20" i="116"/>
  <c r="C16" i="116"/>
  <c r="D17" i="116"/>
  <c r="D21" i="116"/>
  <c r="D16" i="116"/>
  <c r="I18" i="116"/>
  <c r="I19" i="116"/>
  <c r="I14" i="115"/>
  <c r="I20" i="115"/>
  <c r="C16" i="115"/>
  <c r="D17" i="115"/>
  <c r="D21" i="115"/>
  <c r="I18" i="115"/>
  <c r="I19" i="115"/>
  <c r="I21" i="114"/>
  <c r="I19" i="114"/>
  <c r="I18" i="114"/>
  <c r="I14" i="114"/>
  <c r="I20" i="114"/>
  <c r="E15" i="114"/>
  <c r="F15" i="114" s="1"/>
  <c r="D16" i="114"/>
  <c r="E15" i="113"/>
  <c r="C17" i="113"/>
  <c r="C21" i="113"/>
  <c r="C16" i="113"/>
  <c r="D17" i="113"/>
  <c r="D21" i="113"/>
  <c r="D16" i="113"/>
  <c r="I20" i="113"/>
  <c r="I18" i="113"/>
  <c r="I19" i="113"/>
  <c r="L16" i="112"/>
  <c r="E15" i="112"/>
  <c r="G15" i="112" s="1"/>
  <c r="I14" i="112"/>
  <c r="I20" i="112"/>
  <c r="C16" i="112"/>
  <c r="D17" i="112"/>
  <c r="D21" i="112"/>
  <c r="D16" i="112"/>
  <c r="I18" i="112"/>
  <c r="I19" i="112"/>
  <c r="E15" i="111"/>
  <c r="I21" i="111"/>
  <c r="I20" i="111"/>
  <c r="I14" i="111"/>
  <c r="C17" i="111"/>
  <c r="C21" i="111"/>
  <c r="C16" i="111"/>
  <c r="D17" i="111"/>
  <c r="D21" i="111"/>
  <c r="D16" i="111"/>
  <c r="I18" i="111"/>
  <c r="I19" i="111"/>
  <c r="E15" i="110"/>
  <c r="G15" i="110" s="1"/>
  <c r="I21" i="110"/>
  <c r="I20" i="110"/>
  <c r="I14" i="110"/>
  <c r="C17" i="110"/>
  <c r="C21" i="110"/>
  <c r="C16" i="110"/>
  <c r="D17" i="110"/>
  <c r="D21" i="110"/>
  <c r="D16" i="110"/>
  <c r="I18" i="110"/>
  <c r="I19" i="110"/>
  <c r="E15" i="109"/>
  <c r="L16" i="109"/>
  <c r="I21" i="109"/>
  <c r="C17" i="109"/>
  <c r="C21" i="109"/>
  <c r="C16" i="109"/>
  <c r="D17" i="109"/>
  <c r="D21" i="109"/>
  <c r="I20" i="109"/>
  <c r="D16" i="109"/>
  <c r="I18" i="109"/>
  <c r="I19" i="109"/>
  <c r="I21" i="108"/>
  <c r="I20" i="108"/>
  <c r="I14" i="108"/>
  <c r="E15" i="108"/>
  <c r="C17" i="108"/>
  <c r="C21" i="108"/>
  <c r="D16" i="108"/>
  <c r="I18" i="108"/>
  <c r="I19" i="108"/>
  <c r="I21" i="107"/>
  <c r="I19" i="107"/>
  <c r="I18" i="107"/>
  <c r="I20" i="107"/>
  <c r="I14" i="107"/>
  <c r="E15" i="107"/>
  <c r="F15" i="107" s="1"/>
  <c r="C16" i="107"/>
  <c r="D17" i="107"/>
  <c r="D21" i="107"/>
  <c r="D16" i="107"/>
  <c r="E15" i="106"/>
  <c r="I14" i="106"/>
  <c r="I20" i="106"/>
  <c r="C16" i="106"/>
  <c r="D17" i="106"/>
  <c r="D21" i="106"/>
  <c r="I18" i="106"/>
  <c r="I19" i="106"/>
  <c r="H18" i="105"/>
  <c r="G18" i="105"/>
  <c r="E18" i="105"/>
  <c r="F18" i="105"/>
  <c r="I21" i="105"/>
  <c r="I14" i="105"/>
  <c r="I20" i="105"/>
  <c r="C16" i="105"/>
  <c r="D17" i="105"/>
  <c r="D21" i="105"/>
  <c r="C17" i="105"/>
  <c r="C21" i="105"/>
  <c r="D16" i="105"/>
  <c r="C15" i="105"/>
  <c r="D15" i="105"/>
  <c r="I18" i="105"/>
  <c r="I19" i="105"/>
  <c r="I21" i="104"/>
  <c r="I19" i="104"/>
  <c r="I18" i="104"/>
  <c r="I20" i="104"/>
  <c r="I14" i="104"/>
  <c r="E15" i="104"/>
  <c r="F15" i="104" s="1"/>
  <c r="C16" i="104"/>
  <c r="D17" i="104"/>
  <c r="D21" i="104"/>
  <c r="D16" i="104"/>
  <c r="E15" i="103"/>
  <c r="G15" i="103" s="1"/>
  <c r="C16" i="103"/>
  <c r="D17" i="103"/>
  <c r="D21" i="103"/>
  <c r="D16" i="103"/>
  <c r="I18" i="103"/>
  <c r="I20" i="103"/>
  <c r="I19" i="103"/>
  <c r="E15" i="102"/>
  <c r="G15" i="102" s="1"/>
  <c r="I21" i="102"/>
  <c r="C17" i="102"/>
  <c r="C21" i="102"/>
  <c r="I20" i="102"/>
  <c r="C16" i="102"/>
  <c r="D17" i="102"/>
  <c r="D21" i="102"/>
  <c r="D16" i="102"/>
  <c r="I18" i="102"/>
  <c r="I19" i="102"/>
  <c r="E15" i="101"/>
  <c r="G15" i="101" s="1"/>
  <c r="I21" i="101"/>
  <c r="I19" i="101"/>
  <c r="I18" i="101"/>
  <c r="I20" i="101"/>
  <c r="I14" i="101"/>
  <c r="C16" i="101"/>
  <c r="D17" i="101"/>
  <c r="D21" i="101"/>
  <c r="C17" i="101"/>
  <c r="C21" i="101"/>
  <c r="D16" i="101"/>
  <c r="E15" i="100"/>
  <c r="G15" i="100" s="1"/>
  <c r="C17" i="100"/>
  <c r="C21" i="100"/>
  <c r="C16" i="100"/>
  <c r="D17" i="100"/>
  <c r="D21" i="100"/>
  <c r="I20" i="100"/>
  <c r="D16" i="100"/>
  <c r="I18" i="100"/>
  <c r="I19" i="100"/>
  <c r="I21" i="99"/>
  <c r="E15" i="99"/>
  <c r="G15" i="99" s="1"/>
  <c r="I14" i="99"/>
  <c r="I20" i="99"/>
  <c r="C17" i="99"/>
  <c r="C21" i="99"/>
  <c r="C16" i="99"/>
  <c r="D17" i="99"/>
  <c r="D21" i="99"/>
  <c r="D16" i="99"/>
  <c r="I18" i="99"/>
  <c r="I19" i="99"/>
  <c r="I21" i="98"/>
  <c r="E15" i="98"/>
  <c r="F15" i="98" s="1"/>
  <c r="I20" i="98"/>
  <c r="I14" i="98"/>
  <c r="C17" i="98"/>
  <c r="C21" i="98"/>
  <c r="C16" i="98"/>
  <c r="D17" i="98"/>
  <c r="D21" i="98"/>
  <c r="D16" i="98"/>
  <c r="I18" i="98"/>
  <c r="I19" i="98"/>
  <c r="E15" i="97"/>
  <c r="G15" i="97" s="1"/>
  <c r="I20" i="97"/>
  <c r="I19" i="97"/>
  <c r="I21" i="97"/>
  <c r="I14" i="97"/>
  <c r="L16" i="97"/>
  <c r="C16" i="97"/>
  <c r="D17" i="97"/>
  <c r="D21" i="97"/>
  <c r="D16" i="97"/>
  <c r="E15" i="96"/>
  <c r="G15" i="96" s="1"/>
  <c r="I21" i="96"/>
  <c r="I14" i="96"/>
  <c r="I18" i="96"/>
  <c r="I19" i="96"/>
  <c r="I20" i="96"/>
  <c r="C17" i="96"/>
  <c r="C21" i="96"/>
  <c r="C16" i="96"/>
  <c r="D17" i="96"/>
  <c r="D21" i="96"/>
  <c r="D16" i="96"/>
  <c r="B95" i="22"/>
  <c r="B94" i="22"/>
  <c r="K18" i="147" l="1"/>
  <c r="L16" i="96"/>
  <c r="L16" i="132"/>
  <c r="L16" i="139"/>
  <c r="L16" i="106"/>
  <c r="L16" i="138"/>
  <c r="L16" i="105"/>
  <c r="L16" i="99"/>
  <c r="L16" i="160"/>
  <c r="L16" i="136"/>
  <c r="L16" i="116"/>
  <c r="L16" i="114"/>
  <c r="L16" i="115"/>
  <c r="L16" i="107"/>
  <c r="L16" i="111"/>
  <c r="L16" i="125"/>
  <c r="L16" i="178"/>
  <c r="L16" i="188"/>
  <c r="K18" i="145"/>
  <c r="F18" i="168"/>
  <c r="F17" i="172"/>
  <c r="E18" i="168"/>
  <c r="G15" i="173"/>
  <c r="K18" i="179"/>
  <c r="K18" i="159"/>
  <c r="K18" i="152"/>
  <c r="K18" i="185"/>
  <c r="L16" i="182"/>
  <c r="F21" i="188"/>
  <c r="K18" i="169"/>
  <c r="F17" i="186"/>
  <c r="K18" i="164"/>
  <c r="H16" i="155"/>
  <c r="K18" i="158"/>
  <c r="K18" i="154"/>
  <c r="K18" i="153"/>
  <c r="K18" i="151"/>
  <c r="K18" i="149"/>
  <c r="E18" i="163"/>
  <c r="G18" i="177"/>
  <c r="E17" i="186"/>
  <c r="H15" i="150"/>
  <c r="K18" i="148"/>
  <c r="L16" i="142"/>
  <c r="G21" i="188"/>
  <c r="E21" i="155"/>
  <c r="F21" i="178"/>
  <c r="E17" i="184"/>
  <c r="E17" i="183"/>
  <c r="F17" i="183" s="1"/>
  <c r="E18" i="175"/>
  <c r="E17" i="163"/>
  <c r="G18" i="157"/>
  <c r="G18" i="175"/>
  <c r="L16" i="119"/>
  <c r="L16" i="117"/>
  <c r="L16" i="113"/>
  <c r="L16" i="102"/>
  <c r="G21" i="163"/>
  <c r="E21" i="170"/>
  <c r="F21" i="104"/>
  <c r="G21" i="151"/>
  <c r="F21" i="165"/>
  <c r="G21" i="104"/>
  <c r="G18" i="168"/>
  <c r="E17" i="156"/>
  <c r="G21" i="126"/>
  <c r="E18" i="171"/>
  <c r="E17" i="182"/>
  <c r="F17" i="182" s="1"/>
  <c r="F18" i="171"/>
  <c r="G18" i="171"/>
  <c r="G18" i="98"/>
  <c r="E21" i="160"/>
  <c r="F17" i="167"/>
  <c r="E21" i="137"/>
  <c r="E18" i="178"/>
  <c r="F17" i="103"/>
  <c r="E21" i="104"/>
  <c r="K18" i="150"/>
  <c r="K18" i="146"/>
  <c r="K18" i="183"/>
  <c r="K18" i="184"/>
  <c r="K18" i="187"/>
  <c r="K18" i="173"/>
  <c r="G21" i="115"/>
  <c r="E17" i="116"/>
  <c r="F21" i="163"/>
  <c r="E21" i="165"/>
  <c r="G18" i="181"/>
  <c r="F21" i="149"/>
  <c r="E21" i="163"/>
  <c r="G21" i="180"/>
  <c r="E18" i="181"/>
  <c r="G18" i="163"/>
  <c r="F21" i="180"/>
  <c r="E17" i="118"/>
  <c r="G17" i="118" s="1"/>
  <c r="H17" i="118" s="1"/>
  <c r="E17" i="125"/>
  <c r="E21" i="176"/>
  <c r="G17" i="106"/>
  <c r="F18" i="169"/>
  <c r="F18" i="163"/>
  <c r="G21" i="165"/>
  <c r="G18" i="186"/>
  <c r="E17" i="103"/>
  <c r="F18" i="137"/>
  <c r="E17" i="151"/>
  <c r="E17" i="160"/>
  <c r="F18" i="100"/>
  <c r="G18" i="112"/>
  <c r="G18" i="120"/>
  <c r="E21" i="146"/>
  <c r="G18" i="174"/>
  <c r="E17" i="181"/>
  <c r="F17" i="181" s="1"/>
  <c r="F21" i="186"/>
  <c r="G18" i="173"/>
  <c r="H18" i="180"/>
  <c r="F18" i="174"/>
  <c r="F15" i="144"/>
  <c r="F17" i="149"/>
  <c r="G17" i="160"/>
  <c r="G18" i="167"/>
  <c r="G18" i="178"/>
  <c r="G18" i="100"/>
  <c r="F17" i="160"/>
  <c r="F18" i="167"/>
  <c r="G21" i="170"/>
  <c r="E18" i="173"/>
  <c r="E22" i="173" s="1"/>
  <c r="K14" i="173" s="1"/>
  <c r="L14" i="173" s="1"/>
  <c r="E18" i="100"/>
  <c r="G17" i="103"/>
  <c r="F21" i="170"/>
  <c r="F18" i="178"/>
  <c r="G18" i="183"/>
  <c r="F18" i="172"/>
  <c r="E17" i="179"/>
  <c r="G17" i="179" s="1"/>
  <c r="H17" i="179" s="1"/>
  <c r="H18" i="187"/>
  <c r="G18" i="187"/>
  <c r="F21" i="182"/>
  <c r="E18" i="187"/>
  <c r="G18" i="172"/>
  <c r="G18" i="150"/>
  <c r="E18" i="150"/>
  <c r="F17" i="185"/>
  <c r="G18" i="169"/>
  <c r="E17" i="185"/>
  <c r="K18" i="186"/>
  <c r="K18" i="157"/>
  <c r="K18" i="171"/>
  <c r="F17" i="115"/>
  <c r="G21" i="118"/>
  <c r="G21" i="158"/>
  <c r="F21" i="164"/>
  <c r="F17" i="176"/>
  <c r="F18" i="177"/>
  <c r="F18" i="183"/>
  <c r="H15" i="157"/>
  <c r="H15" i="151"/>
  <c r="F17" i="137"/>
  <c r="G18" i="143"/>
  <c r="G21" i="148"/>
  <c r="F21" i="151"/>
  <c r="F17" i="152"/>
  <c r="F21" i="158"/>
  <c r="E18" i="177"/>
  <c r="G21" i="183"/>
  <c r="E18" i="183"/>
  <c r="E21" i="186"/>
  <c r="G21" i="103"/>
  <c r="G21" i="146"/>
  <c r="G18" i="147"/>
  <c r="F21" i="148"/>
  <c r="E21" i="151"/>
  <c r="G21" i="155"/>
  <c r="E17" i="165"/>
  <c r="G18" i="180"/>
  <c r="F21" i="183"/>
  <c r="G18" i="104"/>
  <c r="E18" i="104"/>
  <c r="E21" i="149"/>
  <c r="F21" i="118"/>
  <c r="F18" i="143"/>
  <c r="H15" i="143"/>
  <c r="F18" i="147"/>
  <c r="E21" i="158"/>
  <c r="F17" i="159"/>
  <c r="F18" i="180"/>
  <c r="F18" i="188"/>
  <c r="F18" i="104"/>
  <c r="E21" i="118"/>
  <c r="E18" i="143"/>
  <c r="F21" i="146"/>
  <c r="E18" i="147"/>
  <c r="E21" i="148"/>
  <c r="E22" i="148" s="1"/>
  <c r="K14" i="148" s="1"/>
  <c r="L14" i="148" s="1"/>
  <c r="F16" i="155"/>
  <c r="G18" i="158"/>
  <c r="E18" i="188"/>
  <c r="E21" i="183"/>
  <c r="G21" i="186"/>
  <c r="G18" i="107"/>
  <c r="F21" i="168"/>
  <c r="H18" i="188"/>
  <c r="G21" i="107"/>
  <c r="G21" i="131"/>
  <c r="F17" i="146"/>
  <c r="E18" i="98"/>
  <c r="F21" i="103"/>
  <c r="F21" i="115"/>
  <c r="F21" i="123"/>
  <c r="G21" i="182"/>
  <c r="E18" i="160"/>
  <c r="F17" i="123"/>
  <c r="F21" i="131"/>
  <c r="F21" i="135"/>
  <c r="H15" i="139"/>
  <c r="G18" i="161"/>
  <c r="E21" i="115"/>
  <c r="E21" i="135"/>
  <c r="E18" i="169"/>
  <c r="E22" i="169" s="1"/>
  <c r="K14" i="169" s="1"/>
  <c r="L14" i="169" s="1"/>
  <c r="E18" i="172"/>
  <c r="G21" i="176"/>
  <c r="F21" i="185"/>
  <c r="H15" i="110"/>
  <c r="E21" i="103"/>
  <c r="G21" i="97"/>
  <c r="G17" i="116"/>
  <c r="F18" i="160"/>
  <c r="F18" i="166"/>
  <c r="H15" i="173"/>
  <c r="F21" i="176"/>
  <c r="G21" i="177"/>
  <c r="F16" i="182"/>
  <c r="K14" i="182"/>
  <c r="E17" i="106"/>
  <c r="G21" i="116"/>
  <c r="F21" i="97"/>
  <c r="F17" i="116"/>
  <c r="G17" i="139"/>
  <c r="G17" i="146"/>
  <c r="H15" i="163"/>
  <c r="G18" i="166"/>
  <c r="E21" i="182"/>
  <c r="K18" i="182"/>
  <c r="K18" i="180"/>
  <c r="F17" i="106"/>
  <c r="G21" i="133"/>
  <c r="E21" i="139"/>
  <c r="E21" i="168"/>
  <c r="F18" i="186"/>
  <c r="H15" i="99"/>
  <c r="H15" i="100"/>
  <c r="H15" i="103"/>
  <c r="G18" i="119"/>
  <c r="E21" i="131"/>
  <c r="E18" i="186"/>
  <c r="F18" i="108"/>
  <c r="E21" i="133"/>
  <c r="E18" i="119"/>
  <c r="F18" i="102"/>
  <c r="G18" i="97"/>
  <c r="E21" i="154"/>
  <c r="F21" i="175"/>
  <c r="H15" i="118"/>
  <c r="G21" i="168"/>
  <c r="K18" i="174"/>
  <c r="K18" i="172"/>
  <c r="K18" i="165"/>
  <c r="K18" i="163"/>
  <c r="K18" i="167"/>
  <c r="F18" i="146"/>
  <c r="F18" i="154"/>
  <c r="G18" i="164"/>
  <c r="G21" i="167"/>
  <c r="E18" i="101"/>
  <c r="G17" i="104"/>
  <c r="F18" i="109"/>
  <c r="F21" i="127"/>
  <c r="F21" i="154"/>
  <c r="E18" i="159"/>
  <c r="F17" i="161"/>
  <c r="G21" i="164"/>
  <c r="G18" i="165"/>
  <c r="E21" i="167"/>
  <c r="E21" i="172"/>
  <c r="H15" i="144"/>
  <c r="G18" i="146"/>
  <c r="G17" i="155"/>
  <c r="E17" i="155"/>
  <c r="F18" i="157"/>
  <c r="F18" i="158"/>
  <c r="G18" i="159"/>
  <c r="F18" i="165"/>
  <c r="E18" i="167"/>
  <c r="G21" i="178"/>
  <c r="F18" i="101"/>
  <c r="G18" i="101"/>
  <c r="G18" i="109"/>
  <c r="E17" i="114"/>
  <c r="G17" i="136"/>
  <c r="F21" i="139"/>
  <c r="E21" i="164"/>
  <c r="E18" i="165"/>
  <c r="F18" i="173"/>
  <c r="G21" i="185"/>
  <c r="H15" i="96"/>
  <c r="F21" i="155"/>
  <c r="G18" i="154"/>
  <c r="F18" i="98"/>
  <c r="G21" i="137"/>
  <c r="E18" i="146"/>
  <c r="E18" i="154"/>
  <c r="F17" i="155"/>
  <c r="F18" i="159"/>
  <c r="F18" i="164"/>
  <c r="F21" i="167"/>
  <c r="F17" i="104"/>
  <c r="E17" i="104"/>
  <c r="G17" i="134"/>
  <c r="F21" i="112"/>
  <c r="F18" i="117"/>
  <c r="E21" i="127"/>
  <c r="F17" i="134"/>
  <c r="F21" i="137"/>
  <c r="G21" i="154"/>
  <c r="H15" i="158"/>
  <c r="E18" i="164"/>
  <c r="E21" i="178"/>
  <c r="E21" i="185"/>
  <c r="G17" i="117"/>
  <c r="E18" i="122"/>
  <c r="G18" i="144"/>
  <c r="E18" i="166"/>
  <c r="H16" i="172"/>
  <c r="H15" i="184"/>
  <c r="E18" i="120"/>
  <c r="F18" i="121"/>
  <c r="F17" i="139"/>
  <c r="G18" i="96"/>
  <c r="E17" i="134"/>
  <c r="H15" i="140"/>
  <c r="E17" i="146"/>
  <c r="F21" i="152"/>
  <c r="G18" i="123"/>
  <c r="H15" i="97"/>
  <c r="F18" i="123"/>
  <c r="F17" i="125"/>
  <c r="E18" i="138"/>
  <c r="E17" i="175"/>
  <c r="F17" i="175" s="1"/>
  <c r="E21" i="114"/>
  <c r="E17" i="115"/>
  <c r="E18" i="123"/>
  <c r="G17" i="126"/>
  <c r="F21" i="134"/>
  <c r="G18" i="142"/>
  <c r="E18" i="142"/>
  <c r="H17" i="154"/>
  <c r="H15" i="168"/>
  <c r="G18" i="111"/>
  <c r="F18" i="119"/>
  <c r="H15" i="132"/>
  <c r="E17" i="137"/>
  <c r="F17" i="143"/>
  <c r="E18" i="149"/>
  <c r="F15" i="178"/>
  <c r="E17" i="133"/>
  <c r="E17" i="140"/>
  <c r="G17" i="140" s="1"/>
  <c r="H17" i="140" s="1"/>
  <c r="F17" i="126"/>
  <c r="G18" i="102"/>
  <c r="G21" i="106"/>
  <c r="G17" i="125"/>
  <c r="H15" i="125"/>
  <c r="H17" i="127"/>
  <c r="E21" i="134"/>
  <c r="G21" i="139"/>
  <c r="F18" i="142"/>
  <c r="F18" i="110"/>
  <c r="F18" i="111"/>
  <c r="G17" i="115"/>
  <c r="G21" i="127"/>
  <c r="G21" i="134"/>
  <c r="E17" i="135"/>
  <c r="H15" i="165"/>
  <c r="G18" i="132"/>
  <c r="E18" i="132"/>
  <c r="F18" i="125"/>
  <c r="H15" i="101"/>
  <c r="E17" i="107"/>
  <c r="G21" i="112"/>
  <c r="F21" i="125"/>
  <c r="F17" i="135"/>
  <c r="G21" i="136"/>
  <c r="G17" i="137"/>
  <c r="F17" i="144"/>
  <c r="F18" i="149"/>
  <c r="G18" i="151"/>
  <c r="E17" i="153"/>
  <c r="H15" i="156"/>
  <c r="G15" i="166"/>
  <c r="H15" i="166" s="1"/>
  <c r="E18" i="176"/>
  <c r="E17" i="144"/>
  <c r="G15" i="171"/>
  <c r="H15" i="171" s="1"/>
  <c r="F18" i="103"/>
  <c r="G17" i="107"/>
  <c r="E21" i="112"/>
  <c r="F21" i="136"/>
  <c r="F18" i="151"/>
  <c r="G21" i="153"/>
  <c r="F18" i="97"/>
  <c r="F21" i="107"/>
  <c r="G17" i="127"/>
  <c r="F17" i="136"/>
  <c r="G18" i="149"/>
  <c r="E18" i="151"/>
  <c r="F21" i="153"/>
  <c r="H15" i="170"/>
  <c r="G21" i="173"/>
  <c r="G18" i="176"/>
  <c r="E21" i="156"/>
  <c r="F15" i="166"/>
  <c r="F17" i="107"/>
  <c r="E21" i="136"/>
  <c r="G21" i="141"/>
  <c r="F18" i="134"/>
  <c r="H15" i="155"/>
  <c r="G15" i="167"/>
  <c r="H15" i="167" s="1"/>
  <c r="G21" i="172"/>
  <c r="E16" i="175"/>
  <c r="F16" i="175" s="1"/>
  <c r="F18" i="176"/>
  <c r="F18" i="132"/>
  <c r="E21" i="107"/>
  <c r="G17" i="135"/>
  <c r="H15" i="117"/>
  <c r="H15" i="126"/>
  <c r="F17" i="127"/>
  <c r="G18" i="134"/>
  <c r="H15" i="135"/>
  <c r="E17" i="136"/>
  <c r="F21" i="141"/>
  <c r="E18" i="134"/>
  <c r="G17" i="144"/>
  <c r="G21" i="145"/>
  <c r="E21" i="153"/>
  <c r="F15" i="167"/>
  <c r="G18" i="170"/>
  <c r="F21" i="172"/>
  <c r="H15" i="188"/>
  <c r="K18" i="188"/>
  <c r="G15" i="182"/>
  <c r="H15" i="182" s="1"/>
  <c r="K18" i="181"/>
  <c r="G15" i="180"/>
  <c r="H15" i="180" s="1"/>
  <c r="G15" i="179"/>
  <c r="H15" i="179" s="1"/>
  <c r="K18" i="178"/>
  <c r="K18" i="177"/>
  <c r="K18" i="176"/>
  <c r="K18" i="175"/>
  <c r="K18" i="170"/>
  <c r="K18" i="168"/>
  <c r="K18" i="166"/>
  <c r="K18" i="162"/>
  <c r="K18" i="160"/>
  <c r="G16" i="157"/>
  <c r="H16" i="157" s="1"/>
  <c r="K18" i="156"/>
  <c r="K18" i="155"/>
  <c r="F17" i="154"/>
  <c r="G15" i="152"/>
  <c r="H15" i="152" s="1"/>
  <c r="K18" i="144"/>
  <c r="L16" i="104"/>
  <c r="L16" i="101"/>
  <c r="L16" i="98"/>
  <c r="K18" i="143"/>
  <c r="E21" i="188"/>
  <c r="G17" i="186"/>
  <c r="H17" i="186" s="1"/>
  <c r="H15" i="186"/>
  <c r="E18" i="185"/>
  <c r="G17" i="185"/>
  <c r="H17" i="185" s="1"/>
  <c r="G15" i="185"/>
  <c r="H15" i="185" s="1"/>
  <c r="G18" i="185"/>
  <c r="F18" i="185"/>
  <c r="E21" i="184"/>
  <c r="G18" i="184"/>
  <c r="F18" i="184"/>
  <c r="G21" i="184"/>
  <c r="E18" i="184"/>
  <c r="F21" i="184"/>
  <c r="F17" i="184"/>
  <c r="G17" i="184"/>
  <c r="H17" i="184" s="1"/>
  <c r="G15" i="181"/>
  <c r="H15" i="181" s="1"/>
  <c r="F15" i="184"/>
  <c r="F17" i="180"/>
  <c r="E21" i="181"/>
  <c r="G16" i="186"/>
  <c r="H16" i="186" s="1"/>
  <c r="G17" i="188"/>
  <c r="H17" i="188" s="1"/>
  <c r="G21" i="181"/>
  <c r="F21" i="181"/>
  <c r="G18" i="182"/>
  <c r="F18" i="182"/>
  <c r="E18" i="182"/>
  <c r="E18" i="179"/>
  <c r="G18" i="179"/>
  <c r="H18" i="179"/>
  <c r="G17" i="181"/>
  <c r="H17" i="181" s="1"/>
  <c r="E21" i="180"/>
  <c r="E22" i="180" s="1"/>
  <c r="K14" i="180" s="1"/>
  <c r="L14" i="180" s="1"/>
  <c r="G17" i="180"/>
  <c r="H17" i="180" s="1"/>
  <c r="E21" i="179"/>
  <c r="G21" i="179"/>
  <c r="F21" i="179"/>
  <c r="H16" i="179"/>
  <c r="H17" i="178"/>
  <c r="G17" i="178"/>
  <c r="E17" i="178"/>
  <c r="F17" i="178"/>
  <c r="E17" i="177"/>
  <c r="F17" i="177" s="1"/>
  <c r="H21" i="177"/>
  <c r="E21" i="177"/>
  <c r="H17" i="176"/>
  <c r="G17" i="176"/>
  <c r="G15" i="175"/>
  <c r="H15" i="175" s="1"/>
  <c r="H21" i="175"/>
  <c r="G21" i="175"/>
  <c r="F15" i="175"/>
  <c r="E21" i="174"/>
  <c r="H17" i="174"/>
  <c r="G17" i="174"/>
  <c r="F21" i="174"/>
  <c r="E18" i="174"/>
  <c r="G21" i="174"/>
  <c r="F17" i="174"/>
  <c r="H17" i="173"/>
  <c r="F17" i="173"/>
  <c r="G17" i="173"/>
  <c r="H21" i="173"/>
  <c r="F21" i="173"/>
  <c r="H17" i="172"/>
  <c r="G17" i="172"/>
  <c r="H21" i="171"/>
  <c r="G21" i="171"/>
  <c r="F21" i="171"/>
  <c r="E21" i="171"/>
  <c r="H17" i="171"/>
  <c r="G17" i="171"/>
  <c r="F17" i="171"/>
  <c r="E17" i="171"/>
  <c r="F16" i="171"/>
  <c r="G17" i="170"/>
  <c r="H17" i="170" s="1"/>
  <c r="H18" i="170"/>
  <c r="E18" i="170"/>
  <c r="F15" i="169"/>
  <c r="H17" i="169"/>
  <c r="G17" i="169"/>
  <c r="F17" i="169"/>
  <c r="G15" i="169"/>
  <c r="H15" i="169" s="1"/>
  <c r="H21" i="169"/>
  <c r="G21" i="169"/>
  <c r="F21" i="169"/>
  <c r="H17" i="168"/>
  <c r="G17" i="168"/>
  <c r="E17" i="168"/>
  <c r="F17" i="168"/>
  <c r="H17" i="167"/>
  <c r="G17" i="167"/>
  <c r="H21" i="166"/>
  <c r="F21" i="166"/>
  <c r="E21" i="166"/>
  <c r="E16" i="166"/>
  <c r="G16" i="166" s="1"/>
  <c r="H16" i="166" s="1"/>
  <c r="G21" i="166"/>
  <c r="H17" i="166"/>
  <c r="G17" i="166"/>
  <c r="F17" i="166"/>
  <c r="H17" i="165"/>
  <c r="G17" i="165"/>
  <c r="H17" i="164"/>
  <c r="G17" i="164"/>
  <c r="G15" i="164"/>
  <c r="H15" i="164" s="1"/>
  <c r="E17" i="164"/>
  <c r="H17" i="163"/>
  <c r="G17" i="163"/>
  <c r="G18" i="162"/>
  <c r="E18" i="162"/>
  <c r="F18" i="162"/>
  <c r="E21" i="161"/>
  <c r="G21" i="161"/>
  <c r="F18" i="161"/>
  <c r="F21" i="161"/>
  <c r="E18" i="161"/>
  <c r="H17" i="161"/>
  <c r="G17" i="161"/>
  <c r="F21" i="160"/>
  <c r="G21" i="160"/>
  <c r="F21" i="159"/>
  <c r="E21" i="159"/>
  <c r="F15" i="159"/>
  <c r="H15" i="159"/>
  <c r="G21" i="159"/>
  <c r="H17" i="159"/>
  <c r="G17" i="159"/>
  <c r="E18" i="158"/>
  <c r="H17" i="158"/>
  <c r="G17" i="158"/>
  <c r="E17" i="158"/>
  <c r="E18" i="157"/>
  <c r="F18" i="156"/>
  <c r="H17" i="156"/>
  <c r="G17" i="156"/>
  <c r="E18" i="156"/>
  <c r="H21" i="156"/>
  <c r="G21" i="156"/>
  <c r="G18" i="156"/>
  <c r="H15" i="154"/>
  <c r="F18" i="153"/>
  <c r="E18" i="153"/>
  <c r="H17" i="153"/>
  <c r="G17" i="153"/>
  <c r="G18" i="153"/>
  <c r="F18" i="152"/>
  <c r="E18" i="152"/>
  <c r="H17" i="152"/>
  <c r="G17" i="152"/>
  <c r="H21" i="152"/>
  <c r="G21" i="152"/>
  <c r="G18" i="152"/>
  <c r="H17" i="151"/>
  <c r="G17" i="151"/>
  <c r="H17" i="149"/>
  <c r="G17" i="149"/>
  <c r="H17" i="148"/>
  <c r="G17" i="148"/>
  <c r="F17" i="148"/>
  <c r="H21" i="147"/>
  <c r="G21" i="147"/>
  <c r="E21" i="147"/>
  <c r="E17" i="147"/>
  <c r="F17" i="147" s="1"/>
  <c r="F21" i="147"/>
  <c r="G16" i="147"/>
  <c r="H16" i="147" s="1"/>
  <c r="G18" i="145"/>
  <c r="E18" i="145"/>
  <c r="F18" i="145"/>
  <c r="F21" i="145"/>
  <c r="E21" i="145"/>
  <c r="G15" i="145"/>
  <c r="H15" i="145" s="1"/>
  <c r="F15" i="145"/>
  <c r="H17" i="145"/>
  <c r="G17" i="145"/>
  <c r="E17" i="145"/>
  <c r="E21" i="144"/>
  <c r="H18" i="144"/>
  <c r="E18" i="144"/>
  <c r="G21" i="144"/>
  <c r="F21" i="144"/>
  <c r="F21" i="143"/>
  <c r="H17" i="143"/>
  <c r="G17" i="143"/>
  <c r="E21" i="143"/>
  <c r="G21" i="143"/>
  <c r="H15" i="142"/>
  <c r="E18" i="141"/>
  <c r="G17" i="141"/>
  <c r="F17" i="141"/>
  <c r="E21" i="141"/>
  <c r="G18" i="141"/>
  <c r="E17" i="141"/>
  <c r="E21" i="140"/>
  <c r="F18" i="139"/>
  <c r="E17" i="139"/>
  <c r="H18" i="137"/>
  <c r="E18" i="137"/>
  <c r="G18" i="135"/>
  <c r="G21" i="135"/>
  <c r="G18" i="133"/>
  <c r="G17" i="133"/>
  <c r="F21" i="133"/>
  <c r="F17" i="133"/>
  <c r="F18" i="131"/>
  <c r="G17" i="131"/>
  <c r="H15" i="131"/>
  <c r="H15" i="127"/>
  <c r="E17" i="126"/>
  <c r="H15" i="123"/>
  <c r="H16" i="122"/>
  <c r="H15" i="122"/>
  <c r="G18" i="122"/>
  <c r="F18" i="122"/>
  <c r="F18" i="120"/>
  <c r="H15" i="119"/>
  <c r="G18" i="118"/>
  <c r="F17" i="117"/>
  <c r="E17" i="117"/>
  <c r="F18" i="116"/>
  <c r="F21" i="116"/>
  <c r="E21" i="116"/>
  <c r="G21" i="114"/>
  <c r="G17" i="114"/>
  <c r="F21" i="114"/>
  <c r="F17" i="114"/>
  <c r="F18" i="113"/>
  <c r="G18" i="113"/>
  <c r="E18" i="113"/>
  <c r="E18" i="111"/>
  <c r="G18" i="110"/>
  <c r="E18" i="110"/>
  <c r="E18" i="109"/>
  <c r="E18" i="108"/>
  <c r="H16" i="108"/>
  <c r="G18" i="108"/>
  <c r="H15" i="102"/>
  <c r="E18" i="102"/>
  <c r="G18" i="99"/>
  <c r="E18" i="99"/>
  <c r="F18" i="99"/>
  <c r="E21" i="97"/>
  <c r="E18" i="96"/>
  <c r="F18" i="96"/>
  <c r="F15" i="188"/>
  <c r="G16" i="188"/>
  <c r="H16" i="188" s="1"/>
  <c r="H16" i="187"/>
  <c r="H21" i="187"/>
  <c r="G21" i="187"/>
  <c r="F21" i="187"/>
  <c r="E21" i="187"/>
  <c r="G15" i="187"/>
  <c r="H15" i="187" s="1"/>
  <c r="G17" i="187"/>
  <c r="H17" i="187" s="1"/>
  <c r="E17" i="187"/>
  <c r="F17" i="187" s="1"/>
  <c r="F15" i="186"/>
  <c r="G16" i="185"/>
  <c r="H16" i="185" s="1"/>
  <c r="G16" i="184"/>
  <c r="H16" i="184" s="1"/>
  <c r="G15" i="183"/>
  <c r="H15" i="183" s="1"/>
  <c r="G16" i="183"/>
  <c r="H16" i="183" s="1"/>
  <c r="G16" i="182"/>
  <c r="H16" i="182" s="1"/>
  <c r="F16" i="181"/>
  <c r="G16" i="180"/>
  <c r="H16" i="180" s="1"/>
  <c r="F16" i="179"/>
  <c r="G16" i="178"/>
  <c r="H16" i="178" s="1"/>
  <c r="G16" i="177"/>
  <c r="H16" i="177" s="1"/>
  <c r="G15" i="177"/>
  <c r="H15" i="177" s="1"/>
  <c r="G15" i="176"/>
  <c r="H15" i="176" s="1"/>
  <c r="G16" i="176"/>
  <c r="H16" i="176" s="1"/>
  <c r="G15" i="174"/>
  <c r="H15" i="174" s="1"/>
  <c r="G16" i="174"/>
  <c r="H16" i="174" s="1"/>
  <c r="G16" i="173"/>
  <c r="H16" i="173" s="1"/>
  <c r="G15" i="172"/>
  <c r="H15" i="172" s="1"/>
  <c r="F16" i="172"/>
  <c r="G16" i="171"/>
  <c r="H16" i="171" s="1"/>
  <c r="F15" i="170"/>
  <c r="G16" i="170"/>
  <c r="H16" i="170" s="1"/>
  <c r="G16" i="169"/>
  <c r="H16" i="169" s="1"/>
  <c r="F15" i="168"/>
  <c r="G16" i="168"/>
  <c r="H16" i="168" s="1"/>
  <c r="G16" i="167"/>
  <c r="H16" i="167" s="1"/>
  <c r="F15" i="165"/>
  <c r="G16" i="165"/>
  <c r="H16" i="165" s="1"/>
  <c r="G16" i="164"/>
  <c r="H16" i="164" s="1"/>
  <c r="F15" i="163"/>
  <c r="G16" i="163"/>
  <c r="H16" i="163" s="1"/>
  <c r="E15" i="162"/>
  <c r="F15" i="162" s="1"/>
  <c r="H21" i="162"/>
  <c r="G21" i="162"/>
  <c r="F21" i="162"/>
  <c r="E21" i="162"/>
  <c r="H17" i="162"/>
  <c r="G17" i="162"/>
  <c r="F17" i="162"/>
  <c r="E17" i="162"/>
  <c r="E16" i="162"/>
  <c r="G16" i="162" s="1"/>
  <c r="H16" i="162" s="1"/>
  <c r="G15" i="161"/>
  <c r="H15" i="161" s="1"/>
  <c r="G16" i="161"/>
  <c r="H16" i="161" s="1"/>
  <c r="G15" i="160"/>
  <c r="H15" i="160" s="1"/>
  <c r="E16" i="160"/>
  <c r="G16" i="159"/>
  <c r="H16" i="159" s="1"/>
  <c r="F15" i="158"/>
  <c r="F16" i="158"/>
  <c r="H21" i="157"/>
  <c r="G21" i="157"/>
  <c r="F21" i="157"/>
  <c r="E21" i="157"/>
  <c r="F15" i="157"/>
  <c r="H17" i="157"/>
  <c r="G17" i="157"/>
  <c r="F17" i="157"/>
  <c r="E17" i="157"/>
  <c r="G16" i="156"/>
  <c r="H16" i="156" s="1"/>
  <c r="F15" i="156"/>
  <c r="F15" i="155"/>
  <c r="F15" i="154"/>
  <c r="G16" i="154"/>
  <c r="H16" i="154" s="1"/>
  <c r="G15" i="153"/>
  <c r="H15" i="153" s="1"/>
  <c r="G16" i="153"/>
  <c r="H16" i="153" s="1"/>
  <c r="G16" i="152"/>
  <c r="H16" i="152" s="1"/>
  <c r="F15" i="151"/>
  <c r="G16" i="151"/>
  <c r="H16" i="151" s="1"/>
  <c r="E16" i="150"/>
  <c r="G16" i="150" s="1"/>
  <c r="H16" i="150" s="1"/>
  <c r="F15" i="150"/>
  <c r="H21" i="150"/>
  <c r="G21" i="150"/>
  <c r="F21" i="150"/>
  <c r="E21" i="150"/>
  <c r="H17" i="150"/>
  <c r="G17" i="150"/>
  <c r="F17" i="150"/>
  <c r="E17" i="150"/>
  <c r="G15" i="149"/>
  <c r="H15" i="149" s="1"/>
  <c r="G16" i="149"/>
  <c r="H16" i="149" s="1"/>
  <c r="G15" i="148"/>
  <c r="H15" i="148" s="1"/>
  <c r="G16" i="148"/>
  <c r="H16" i="148" s="1"/>
  <c r="G15" i="147"/>
  <c r="H15" i="147" s="1"/>
  <c r="G16" i="146"/>
  <c r="H16" i="146" s="1"/>
  <c r="G15" i="146"/>
  <c r="H15" i="146" s="1"/>
  <c r="G16" i="145"/>
  <c r="H16" i="145" s="1"/>
  <c r="F16" i="144"/>
  <c r="G16" i="143"/>
  <c r="H16" i="143" s="1"/>
  <c r="F15" i="143"/>
  <c r="E18" i="97"/>
  <c r="E17" i="97"/>
  <c r="G17" i="112"/>
  <c r="G17" i="97"/>
  <c r="G21" i="117"/>
  <c r="E21" i="125"/>
  <c r="F17" i="131"/>
  <c r="F17" i="112"/>
  <c r="G21" i="140"/>
  <c r="F21" i="117"/>
  <c r="G21" i="125"/>
  <c r="G18" i="131"/>
  <c r="F18" i="141"/>
  <c r="E17" i="131"/>
  <c r="H15" i="134"/>
  <c r="F21" i="140"/>
  <c r="E18" i="131"/>
  <c r="F17" i="97"/>
  <c r="E17" i="112"/>
  <c r="H15" i="112"/>
  <c r="E21" i="117"/>
  <c r="H15" i="133"/>
  <c r="G16" i="134"/>
  <c r="H16" i="134" s="1"/>
  <c r="H18" i="133"/>
  <c r="E18" i="133"/>
  <c r="G18" i="115"/>
  <c r="H18" i="115"/>
  <c r="E18" i="115"/>
  <c r="H21" i="123"/>
  <c r="G21" i="123"/>
  <c r="H18" i="139"/>
  <c r="E18" i="139"/>
  <c r="H18" i="126"/>
  <c r="G18" i="126"/>
  <c r="E18" i="126"/>
  <c r="H18" i="116"/>
  <c r="E18" i="116"/>
  <c r="H18" i="107"/>
  <c r="E18" i="107"/>
  <c r="H21" i="106"/>
  <c r="E21" i="106"/>
  <c r="H18" i="117"/>
  <c r="E18" i="117"/>
  <c r="H18" i="106"/>
  <c r="G18" i="106"/>
  <c r="E18" i="106"/>
  <c r="H18" i="125"/>
  <c r="E18" i="125"/>
  <c r="H18" i="114"/>
  <c r="F18" i="114"/>
  <c r="E18" i="114"/>
  <c r="G17" i="123"/>
  <c r="H17" i="123" s="1"/>
  <c r="H18" i="140"/>
  <c r="F18" i="140"/>
  <c r="E18" i="140"/>
  <c r="H18" i="118"/>
  <c r="E18" i="118"/>
  <c r="G18" i="121"/>
  <c r="H18" i="121"/>
  <c r="H16" i="114"/>
  <c r="H21" i="126"/>
  <c r="E21" i="126"/>
  <c r="H18" i="127"/>
  <c r="E18" i="127"/>
  <c r="G18" i="127"/>
  <c r="H18" i="112"/>
  <c r="E18" i="112"/>
  <c r="G18" i="138"/>
  <c r="H18" i="138"/>
  <c r="H18" i="103"/>
  <c r="E18" i="103"/>
  <c r="H18" i="135"/>
  <c r="E18" i="135"/>
  <c r="K18" i="128"/>
  <c r="G15" i="141"/>
  <c r="H15" i="141" s="1"/>
  <c r="K18" i="135"/>
  <c r="K18" i="127"/>
  <c r="K18" i="134"/>
  <c r="K18" i="138"/>
  <c r="F15" i="140"/>
  <c r="K18" i="132"/>
  <c r="F15" i="139"/>
  <c r="K18" i="137"/>
  <c r="K18" i="136"/>
  <c r="K18" i="140"/>
  <c r="F15" i="117"/>
  <c r="K18" i="97"/>
  <c r="F15" i="102"/>
  <c r="K18" i="106"/>
  <c r="K18" i="111"/>
  <c r="K18" i="121"/>
  <c r="G15" i="114"/>
  <c r="H15" i="114" s="1"/>
  <c r="F15" i="97"/>
  <c r="K18" i="96"/>
  <c r="K18" i="105"/>
  <c r="K18" i="107"/>
  <c r="K18" i="98"/>
  <c r="K18" i="99"/>
  <c r="K18" i="104"/>
  <c r="K18" i="117"/>
  <c r="K18" i="122"/>
  <c r="K18" i="103"/>
  <c r="F16" i="122"/>
  <c r="K18" i="142"/>
  <c r="H21" i="142"/>
  <c r="G21" i="142"/>
  <c r="F21" i="142"/>
  <c r="E21" i="142"/>
  <c r="H17" i="142"/>
  <c r="G17" i="142"/>
  <c r="F17" i="142"/>
  <c r="E17" i="142"/>
  <c r="E16" i="142"/>
  <c r="F15" i="142"/>
  <c r="E16" i="141"/>
  <c r="K18" i="141"/>
  <c r="G16" i="140"/>
  <c r="H16" i="140" s="1"/>
  <c r="E16" i="139"/>
  <c r="K18" i="139"/>
  <c r="H17" i="138"/>
  <c r="G17" i="138"/>
  <c r="F17" i="138"/>
  <c r="E17" i="138"/>
  <c r="G15" i="138"/>
  <c r="H15" i="138" s="1"/>
  <c r="E16" i="138"/>
  <c r="G16" i="138" s="1"/>
  <c r="H16" i="138" s="1"/>
  <c r="F15" i="138"/>
  <c r="H21" i="138"/>
  <c r="F21" i="138"/>
  <c r="G21" i="138"/>
  <c r="E21" i="138"/>
  <c r="E16" i="137"/>
  <c r="G15" i="137"/>
  <c r="H15" i="137" s="1"/>
  <c r="E16" i="136"/>
  <c r="G16" i="136" s="1"/>
  <c r="H16" i="136" s="1"/>
  <c r="E15" i="136"/>
  <c r="G15" i="136" s="1"/>
  <c r="H15" i="136" s="1"/>
  <c r="E16" i="135"/>
  <c r="G16" i="135" s="1"/>
  <c r="H16" i="135" s="1"/>
  <c r="F15" i="135"/>
  <c r="F15" i="134"/>
  <c r="E16" i="133"/>
  <c r="F16" i="133" s="1"/>
  <c r="K18" i="133"/>
  <c r="F15" i="133"/>
  <c r="H17" i="132"/>
  <c r="G17" i="132"/>
  <c r="F17" i="132"/>
  <c r="E17" i="132"/>
  <c r="E16" i="132"/>
  <c r="F16" i="132" s="1"/>
  <c r="F15" i="132"/>
  <c r="H21" i="132"/>
  <c r="G21" i="132"/>
  <c r="F21" i="132"/>
  <c r="E21" i="132"/>
  <c r="E16" i="131"/>
  <c r="G16" i="131" s="1"/>
  <c r="H16" i="131" s="1"/>
  <c r="K18" i="131"/>
  <c r="F15" i="131"/>
  <c r="E15" i="130"/>
  <c r="G15" i="130" s="1"/>
  <c r="H15" i="130" s="1"/>
  <c r="H17" i="130"/>
  <c r="G17" i="130"/>
  <c r="F17" i="130"/>
  <c r="E17" i="130"/>
  <c r="E16" i="130"/>
  <c r="G16" i="130" s="1"/>
  <c r="H16" i="130" s="1"/>
  <c r="K18" i="130"/>
  <c r="H21" i="130"/>
  <c r="G21" i="130"/>
  <c r="F21" i="130"/>
  <c r="E21" i="130"/>
  <c r="K18" i="129"/>
  <c r="E16" i="129"/>
  <c r="G16" i="129" s="1"/>
  <c r="H16" i="129" s="1"/>
  <c r="H21" i="129"/>
  <c r="G21" i="129"/>
  <c r="F21" i="129"/>
  <c r="E21" i="129"/>
  <c r="H17" i="129"/>
  <c r="G17" i="129"/>
  <c r="F17" i="129"/>
  <c r="E17" i="129"/>
  <c r="E16" i="128"/>
  <c r="H21" i="128"/>
  <c r="F21" i="128"/>
  <c r="G21" i="128"/>
  <c r="E21" i="128"/>
  <c r="G15" i="128"/>
  <c r="H15" i="128" s="1"/>
  <c r="F17" i="128"/>
  <c r="H17" i="128"/>
  <c r="G17" i="128"/>
  <c r="E17" i="128"/>
  <c r="E16" i="127"/>
  <c r="G16" i="127" s="1"/>
  <c r="H16" i="127" s="1"/>
  <c r="F15" i="127"/>
  <c r="E16" i="126"/>
  <c r="G16" i="126" s="1"/>
  <c r="H16" i="126" s="1"/>
  <c r="K18" i="126"/>
  <c r="F15" i="126"/>
  <c r="E16" i="125"/>
  <c r="G16" i="125" s="1"/>
  <c r="H16" i="125" s="1"/>
  <c r="K18" i="125"/>
  <c r="F15" i="125"/>
  <c r="G15" i="124"/>
  <c r="H15" i="124" s="1"/>
  <c r="H21" i="124"/>
  <c r="G21" i="124"/>
  <c r="F21" i="124"/>
  <c r="E21" i="124"/>
  <c r="E16" i="124"/>
  <c r="K18" i="124"/>
  <c r="E17" i="124"/>
  <c r="F17" i="124" s="1"/>
  <c r="K18" i="123"/>
  <c r="F15" i="123"/>
  <c r="E16" i="123"/>
  <c r="E21" i="122"/>
  <c r="H21" i="122"/>
  <c r="G21" i="122"/>
  <c r="F21" i="122"/>
  <c r="H17" i="122"/>
  <c r="G17" i="122"/>
  <c r="E17" i="122"/>
  <c r="F17" i="122"/>
  <c r="F15" i="122"/>
  <c r="E17" i="121"/>
  <c r="F17" i="121" s="1"/>
  <c r="E16" i="121"/>
  <c r="G15" i="121"/>
  <c r="H15" i="121" s="1"/>
  <c r="F21" i="121"/>
  <c r="H21" i="121"/>
  <c r="G21" i="121"/>
  <c r="E21" i="121"/>
  <c r="F15" i="121"/>
  <c r="H17" i="120"/>
  <c r="G17" i="120"/>
  <c r="F17" i="120"/>
  <c r="E17" i="120"/>
  <c r="E16" i="120"/>
  <c r="G15" i="120"/>
  <c r="H15" i="120" s="1"/>
  <c r="K18" i="120"/>
  <c r="H21" i="120"/>
  <c r="G21" i="120"/>
  <c r="F21" i="120"/>
  <c r="E21" i="120"/>
  <c r="F15" i="120"/>
  <c r="E16" i="119"/>
  <c r="G16" i="119" s="1"/>
  <c r="H16" i="119" s="1"/>
  <c r="K18" i="119"/>
  <c r="H21" i="119"/>
  <c r="G21" i="119"/>
  <c r="F21" i="119"/>
  <c r="E21" i="119"/>
  <c r="H17" i="119"/>
  <c r="G17" i="119"/>
  <c r="F17" i="119"/>
  <c r="E17" i="119"/>
  <c r="F15" i="119"/>
  <c r="E16" i="118"/>
  <c r="G16" i="118" s="1"/>
  <c r="H16" i="118" s="1"/>
  <c r="K18" i="118"/>
  <c r="F15" i="118"/>
  <c r="E16" i="117"/>
  <c r="F16" i="117" s="1"/>
  <c r="E16" i="116"/>
  <c r="G16" i="116" s="1"/>
  <c r="H16" i="116" s="1"/>
  <c r="K18" i="116"/>
  <c r="G15" i="116"/>
  <c r="H15" i="116" s="1"/>
  <c r="F15" i="116"/>
  <c r="G15" i="115"/>
  <c r="H15" i="115" s="1"/>
  <c r="K18" i="115"/>
  <c r="E16" i="115"/>
  <c r="F15" i="115"/>
  <c r="K18" i="114"/>
  <c r="F16" i="114"/>
  <c r="H21" i="113"/>
  <c r="G21" i="113"/>
  <c r="F21" i="113"/>
  <c r="E21" i="113"/>
  <c r="E17" i="113"/>
  <c r="G17" i="113" s="1"/>
  <c r="H17" i="113" s="1"/>
  <c r="E16" i="113"/>
  <c r="G15" i="113"/>
  <c r="H15" i="113" s="1"/>
  <c r="K18" i="113"/>
  <c r="F15" i="113"/>
  <c r="E16" i="112"/>
  <c r="G16" i="112" s="1"/>
  <c r="H16" i="112" s="1"/>
  <c r="K18" i="112"/>
  <c r="F15" i="112"/>
  <c r="E16" i="111"/>
  <c r="H21" i="111"/>
  <c r="G21" i="111"/>
  <c r="F21" i="111"/>
  <c r="E21" i="111"/>
  <c r="G15" i="111"/>
  <c r="H15" i="111" s="1"/>
  <c r="H17" i="111"/>
  <c r="G17" i="111"/>
  <c r="F17" i="111"/>
  <c r="E17" i="111"/>
  <c r="F15" i="111"/>
  <c r="E16" i="110"/>
  <c r="G16" i="110" s="1"/>
  <c r="H16" i="110" s="1"/>
  <c r="K18" i="110"/>
  <c r="H21" i="110"/>
  <c r="G21" i="110"/>
  <c r="F21" i="110"/>
  <c r="E21" i="110"/>
  <c r="H17" i="110"/>
  <c r="G17" i="110"/>
  <c r="F17" i="110"/>
  <c r="E17" i="110"/>
  <c r="F15" i="110"/>
  <c r="E17" i="109"/>
  <c r="F17" i="109" s="1"/>
  <c r="E16" i="109"/>
  <c r="K18" i="109"/>
  <c r="G15" i="109"/>
  <c r="H15" i="109" s="1"/>
  <c r="H21" i="109"/>
  <c r="G21" i="109"/>
  <c r="F21" i="109"/>
  <c r="E21" i="109"/>
  <c r="F15" i="109"/>
  <c r="G15" i="108"/>
  <c r="H15" i="108" s="1"/>
  <c r="F15" i="108"/>
  <c r="H21" i="108"/>
  <c r="G21" i="108"/>
  <c r="F21" i="108"/>
  <c r="E21" i="108"/>
  <c r="K18" i="108"/>
  <c r="F16" i="108"/>
  <c r="H17" i="108"/>
  <c r="G17" i="108"/>
  <c r="F17" i="108"/>
  <c r="E17" i="108"/>
  <c r="E16" i="107"/>
  <c r="G15" i="107"/>
  <c r="H15" i="107" s="1"/>
  <c r="G15" i="106"/>
  <c r="H15" i="106" s="1"/>
  <c r="E16" i="106"/>
  <c r="F15" i="106"/>
  <c r="E16" i="105"/>
  <c r="G16" i="105" s="1"/>
  <c r="H16" i="105" s="1"/>
  <c r="H21" i="105"/>
  <c r="G21" i="105"/>
  <c r="F21" i="105"/>
  <c r="E21" i="105"/>
  <c r="E15" i="105"/>
  <c r="G15" i="105" s="1"/>
  <c r="H15" i="105" s="1"/>
  <c r="H17" i="105"/>
  <c r="G17" i="105"/>
  <c r="F17" i="105"/>
  <c r="E17" i="105"/>
  <c r="E16" i="104"/>
  <c r="G15" i="104"/>
  <c r="H15" i="104" s="1"/>
  <c r="E16" i="103"/>
  <c r="G16" i="103" s="1"/>
  <c r="H16" i="103" s="1"/>
  <c r="F15" i="103"/>
  <c r="H17" i="102"/>
  <c r="G17" i="102"/>
  <c r="F17" i="102"/>
  <c r="E17" i="102"/>
  <c r="H21" i="102"/>
  <c r="G21" i="102"/>
  <c r="F21" i="102"/>
  <c r="E21" i="102"/>
  <c r="E16" i="102"/>
  <c r="K18" i="102"/>
  <c r="H21" i="101"/>
  <c r="G21" i="101"/>
  <c r="F21" i="101"/>
  <c r="E21" i="101"/>
  <c r="K18" i="101"/>
  <c r="H17" i="101"/>
  <c r="G17" i="101"/>
  <c r="F17" i="101"/>
  <c r="E17" i="101"/>
  <c r="E16" i="101"/>
  <c r="G16" i="101" s="1"/>
  <c r="H16" i="101" s="1"/>
  <c r="F15" i="101"/>
  <c r="E17" i="100"/>
  <c r="F17" i="100" s="1"/>
  <c r="H21" i="100"/>
  <c r="G21" i="100"/>
  <c r="F21" i="100"/>
  <c r="E21" i="100"/>
  <c r="E16" i="100"/>
  <c r="G16" i="100" s="1"/>
  <c r="H16" i="100" s="1"/>
  <c r="K18" i="100"/>
  <c r="F15" i="100"/>
  <c r="H17" i="99"/>
  <c r="G17" i="99"/>
  <c r="F17" i="99"/>
  <c r="E17" i="99"/>
  <c r="E16" i="99"/>
  <c r="G16" i="99" s="1"/>
  <c r="H16" i="99" s="1"/>
  <c r="F15" i="99"/>
  <c r="H21" i="99"/>
  <c r="G21" i="99"/>
  <c r="F21" i="99"/>
  <c r="E21" i="99"/>
  <c r="H17" i="98"/>
  <c r="G17" i="98"/>
  <c r="F17" i="98"/>
  <c r="E17" i="98"/>
  <c r="E16" i="98"/>
  <c r="G16" i="98" s="1"/>
  <c r="H16" i="98" s="1"/>
  <c r="G15" i="98"/>
  <c r="H15" i="98" s="1"/>
  <c r="H21" i="98"/>
  <c r="G21" i="98"/>
  <c r="F21" i="98"/>
  <c r="E21" i="98"/>
  <c r="E16" i="97"/>
  <c r="G16" i="97" s="1"/>
  <c r="H16" i="97" s="1"/>
  <c r="E16" i="96"/>
  <c r="G16" i="96" s="1"/>
  <c r="H16" i="96" s="1"/>
  <c r="H21" i="96"/>
  <c r="G21" i="96"/>
  <c r="F21" i="96"/>
  <c r="E21" i="96"/>
  <c r="F15" i="96"/>
  <c r="H17" i="96"/>
  <c r="G17" i="96"/>
  <c r="F17" i="96"/>
  <c r="E17" i="96"/>
  <c r="B8" i="95"/>
  <c r="B9" i="95"/>
  <c r="B10" i="95"/>
  <c r="B11" i="95"/>
  <c r="B12" i="95"/>
  <c r="B13" i="95"/>
  <c r="B14" i="95"/>
  <c r="B15" i="95"/>
  <c r="B16" i="95"/>
  <c r="B17" i="95"/>
  <c r="B18" i="95"/>
  <c r="B19" i="95"/>
  <c r="B20" i="95"/>
  <c r="B21" i="95"/>
  <c r="B22" i="95"/>
  <c r="B23" i="95"/>
  <c r="B24" i="95"/>
  <c r="B25" i="95"/>
  <c r="B26" i="95"/>
  <c r="B27" i="95"/>
  <c r="B28" i="95"/>
  <c r="B29" i="95"/>
  <c r="B30" i="95"/>
  <c r="B31" i="95"/>
  <c r="B32" i="95"/>
  <c r="B33" i="95"/>
  <c r="B34" i="95"/>
  <c r="B35" i="95"/>
  <c r="B36" i="95"/>
  <c r="B37" i="95"/>
  <c r="B38" i="95"/>
  <c r="B39" i="95"/>
  <c r="B40" i="95"/>
  <c r="B41" i="95"/>
  <c r="B42" i="95"/>
  <c r="B43" i="95"/>
  <c r="B44" i="95"/>
  <c r="B45" i="95"/>
  <c r="B46" i="95"/>
  <c r="B47" i="95"/>
  <c r="B48" i="95"/>
  <c r="B49" i="95"/>
  <c r="B50" i="95"/>
  <c r="B51" i="95"/>
  <c r="B52" i="95"/>
  <c r="B53" i="95"/>
  <c r="B54" i="95"/>
  <c r="B55" i="95"/>
  <c r="B56" i="95"/>
  <c r="B57" i="95"/>
  <c r="B58" i="95"/>
  <c r="B59" i="95"/>
  <c r="B60" i="95"/>
  <c r="B61" i="95"/>
  <c r="B62" i="95"/>
  <c r="B63" i="95"/>
  <c r="B64" i="95"/>
  <c r="B65" i="95"/>
  <c r="B66" i="95"/>
  <c r="B67" i="95"/>
  <c r="B68" i="95"/>
  <c r="B69" i="95"/>
  <c r="B70" i="95"/>
  <c r="B71" i="95"/>
  <c r="B72" i="95"/>
  <c r="B73" i="95"/>
  <c r="B74" i="95"/>
  <c r="B75" i="95"/>
  <c r="B76" i="95"/>
  <c r="B77" i="95"/>
  <c r="B78" i="95"/>
  <c r="B79" i="95"/>
  <c r="B80" i="95"/>
  <c r="B81" i="95"/>
  <c r="B82" i="95"/>
  <c r="B83" i="95"/>
  <c r="B84" i="95"/>
  <c r="B85" i="95"/>
  <c r="B86" i="95"/>
  <c r="B87" i="95"/>
  <c r="B88" i="95"/>
  <c r="B93" i="22"/>
  <c r="B38" i="22"/>
  <c r="B39" i="22"/>
  <c r="B40" i="22"/>
  <c r="B41" i="22"/>
  <c r="B42" i="22"/>
  <c r="B43" i="22"/>
  <c r="B44" i="22"/>
  <c r="B45" i="22"/>
  <c r="B46" i="22"/>
  <c r="B47" i="22"/>
  <c r="B48" i="22"/>
  <c r="B49" i="22"/>
  <c r="B50" i="22"/>
  <c r="B51" i="22"/>
  <c r="B52" i="22"/>
  <c r="B53" i="22"/>
  <c r="B54" i="22"/>
  <c r="B55" i="22"/>
  <c r="B56" i="22"/>
  <c r="B57" i="22"/>
  <c r="B58" i="22"/>
  <c r="B59" i="22"/>
  <c r="B60" i="22"/>
  <c r="B61" i="22"/>
  <c r="B62" i="22"/>
  <c r="B63" i="22"/>
  <c r="B64" i="22"/>
  <c r="B65" i="22"/>
  <c r="B66" i="22"/>
  <c r="B67" i="22"/>
  <c r="B68" i="22"/>
  <c r="B69" i="22"/>
  <c r="B70" i="22"/>
  <c r="B71" i="22"/>
  <c r="B72" i="22"/>
  <c r="B73" i="22"/>
  <c r="B74" i="22"/>
  <c r="B75" i="22"/>
  <c r="B76" i="22"/>
  <c r="B77" i="22"/>
  <c r="B78" i="22"/>
  <c r="B79" i="22"/>
  <c r="B80" i="22"/>
  <c r="B81" i="22"/>
  <c r="B82" i="22"/>
  <c r="B83" i="22"/>
  <c r="B84" i="22"/>
  <c r="B85" i="22"/>
  <c r="B86" i="22"/>
  <c r="B87" i="22"/>
  <c r="B88" i="22"/>
  <c r="B89" i="22"/>
  <c r="B90" i="22"/>
  <c r="B91" i="22"/>
  <c r="B92" i="22"/>
  <c r="B92" i="16"/>
  <c r="B93" i="16"/>
  <c r="B94" i="16"/>
  <c r="B91" i="16"/>
  <c r="M90" i="18"/>
  <c r="C22" i="175" s="1"/>
  <c r="N90" i="18"/>
  <c r="D22" i="175" s="1"/>
  <c r="M91" i="18"/>
  <c r="C22" i="176" s="1"/>
  <c r="N91" i="18"/>
  <c r="D22" i="176" s="1"/>
  <c r="M92" i="18"/>
  <c r="C22" i="177" s="1"/>
  <c r="N92" i="18"/>
  <c r="D22" i="177" s="1"/>
  <c r="M94" i="18"/>
  <c r="N94" i="18"/>
  <c r="M71" i="18"/>
  <c r="C22" i="156" s="1"/>
  <c r="N71" i="18"/>
  <c r="D22" i="156" s="1"/>
  <c r="M72" i="18"/>
  <c r="C22" i="157" s="1"/>
  <c r="N72" i="18"/>
  <c r="D22" i="157" s="1"/>
  <c r="M73" i="18"/>
  <c r="C22" i="158" s="1"/>
  <c r="N73" i="18"/>
  <c r="D22" i="158" s="1"/>
  <c r="M74" i="18"/>
  <c r="C22" i="159" s="1"/>
  <c r="N74" i="18"/>
  <c r="D22" i="159" s="1"/>
  <c r="M75" i="18"/>
  <c r="C22" i="160" s="1"/>
  <c r="N75" i="18"/>
  <c r="D22" i="160" s="1"/>
  <c r="M76" i="18"/>
  <c r="C22" i="161" s="1"/>
  <c r="N76" i="18"/>
  <c r="D22" i="161" s="1"/>
  <c r="M77" i="18"/>
  <c r="C22" i="162" s="1"/>
  <c r="N77" i="18"/>
  <c r="D22" i="162" s="1"/>
  <c r="M78" i="18"/>
  <c r="C22" i="163" s="1"/>
  <c r="N78" i="18"/>
  <c r="D22" i="163" s="1"/>
  <c r="M79" i="18"/>
  <c r="C22" i="164" s="1"/>
  <c r="N79" i="18"/>
  <c r="D22" i="164" s="1"/>
  <c r="M80" i="18"/>
  <c r="C22" i="165" s="1"/>
  <c r="N80" i="18"/>
  <c r="D22" i="165" s="1"/>
  <c r="M81" i="18"/>
  <c r="C22" i="166" s="1"/>
  <c r="N81" i="18"/>
  <c r="D22" i="166" s="1"/>
  <c r="M82" i="18"/>
  <c r="C22" i="167" s="1"/>
  <c r="N82" i="18"/>
  <c r="D22" i="167" s="1"/>
  <c r="M83" i="18"/>
  <c r="C22" i="168" s="1"/>
  <c r="N83" i="18"/>
  <c r="D22" i="168" s="1"/>
  <c r="M84" i="18"/>
  <c r="C22" i="169" s="1"/>
  <c r="N84" i="18"/>
  <c r="D22" i="169" s="1"/>
  <c r="M85" i="18"/>
  <c r="C22" i="170" s="1"/>
  <c r="N85" i="18"/>
  <c r="D22" i="170" s="1"/>
  <c r="M86" i="18"/>
  <c r="C22" i="171" s="1"/>
  <c r="N86" i="18"/>
  <c r="D22" i="171" s="1"/>
  <c r="M87" i="18"/>
  <c r="C22" i="172" s="1"/>
  <c r="N87" i="18"/>
  <c r="D22" i="172" s="1"/>
  <c r="M88" i="18"/>
  <c r="C22" i="173" s="1"/>
  <c r="N88" i="18"/>
  <c r="D22" i="173" s="1"/>
  <c r="M89" i="18"/>
  <c r="C22" i="174" s="1"/>
  <c r="N89" i="18"/>
  <c r="D22" i="174" s="1"/>
  <c r="M93" i="18"/>
  <c r="C22" i="178" s="1"/>
  <c r="N93" i="18"/>
  <c r="D22" i="178" s="1"/>
  <c r="M70" i="18"/>
  <c r="C22" i="155" s="1"/>
  <c r="N70" i="18"/>
  <c r="D22" i="155" s="1"/>
  <c r="M36" i="18"/>
  <c r="C22" i="121" s="1"/>
  <c r="N36" i="18"/>
  <c r="D22" i="121" s="1"/>
  <c r="M37" i="18"/>
  <c r="C22" i="122" s="1"/>
  <c r="N37" i="18"/>
  <c r="D22" i="122" s="1"/>
  <c r="M38" i="18"/>
  <c r="C22" i="123" s="1"/>
  <c r="N38" i="18"/>
  <c r="D22" i="123" s="1"/>
  <c r="M39" i="18"/>
  <c r="C22" i="124" s="1"/>
  <c r="N39" i="18"/>
  <c r="D22" i="124" s="1"/>
  <c r="M40" i="18"/>
  <c r="C22" i="125" s="1"/>
  <c r="N40" i="18"/>
  <c r="D22" i="125" s="1"/>
  <c r="M41" i="18"/>
  <c r="C22" i="126" s="1"/>
  <c r="N41" i="18"/>
  <c r="D22" i="126" s="1"/>
  <c r="M42" i="18"/>
  <c r="C22" i="127" s="1"/>
  <c r="N42" i="18"/>
  <c r="D22" i="127" s="1"/>
  <c r="M43" i="18"/>
  <c r="C22" i="128" s="1"/>
  <c r="N43" i="18"/>
  <c r="D22" i="128" s="1"/>
  <c r="M44" i="18"/>
  <c r="C22" i="129" s="1"/>
  <c r="N44" i="18"/>
  <c r="D22" i="129" s="1"/>
  <c r="M45" i="18"/>
  <c r="C22" i="130" s="1"/>
  <c r="N45" i="18"/>
  <c r="D22" i="130" s="1"/>
  <c r="M46" i="18"/>
  <c r="C22" i="131" s="1"/>
  <c r="N46" i="18"/>
  <c r="D22" i="131" s="1"/>
  <c r="M47" i="18"/>
  <c r="C22" i="132" s="1"/>
  <c r="N47" i="18"/>
  <c r="D22" i="132" s="1"/>
  <c r="M48" i="18"/>
  <c r="C22" i="133" s="1"/>
  <c r="N48" i="18"/>
  <c r="D22" i="133" s="1"/>
  <c r="M49" i="18"/>
  <c r="C22" i="134" s="1"/>
  <c r="N49" i="18"/>
  <c r="D22" i="134" s="1"/>
  <c r="M50" i="18"/>
  <c r="C22" i="135" s="1"/>
  <c r="N50" i="18"/>
  <c r="D22" i="135" s="1"/>
  <c r="M51" i="18"/>
  <c r="C22" i="136" s="1"/>
  <c r="N51" i="18"/>
  <c r="D22" i="136" s="1"/>
  <c r="M52" i="18"/>
  <c r="C22" i="137" s="1"/>
  <c r="N52" i="18"/>
  <c r="D22" i="137" s="1"/>
  <c r="M53" i="18"/>
  <c r="C22" i="138" s="1"/>
  <c r="N53" i="18"/>
  <c r="D22" i="138" s="1"/>
  <c r="M54" i="18"/>
  <c r="C22" i="139" s="1"/>
  <c r="N54" i="18"/>
  <c r="D22" i="139" s="1"/>
  <c r="M55" i="18"/>
  <c r="C22" i="140" s="1"/>
  <c r="N55" i="18"/>
  <c r="D22" i="140" s="1"/>
  <c r="M56" i="18"/>
  <c r="C22" i="141" s="1"/>
  <c r="N56" i="18"/>
  <c r="D22" i="141" s="1"/>
  <c r="M57" i="18"/>
  <c r="C22" i="142" s="1"/>
  <c r="N57" i="18"/>
  <c r="D22" i="142" s="1"/>
  <c r="M58" i="18"/>
  <c r="C22" i="143" s="1"/>
  <c r="N58" i="18"/>
  <c r="D22" i="143" s="1"/>
  <c r="M59" i="18"/>
  <c r="C22" i="144" s="1"/>
  <c r="N59" i="18"/>
  <c r="D22" i="144" s="1"/>
  <c r="M60" i="18"/>
  <c r="C22" i="145" s="1"/>
  <c r="N60" i="18"/>
  <c r="D22" i="145" s="1"/>
  <c r="M61" i="18"/>
  <c r="C22" i="146" s="1"/>
  <c r="N61" i="18"/>
  <c r="D22" i="146" s="1"/>
  <c r="M62" i="18"/>
  <c r="C22" i="147" s="1"/>
  <c r="N62" i="18"/>
  <c r="D22" i="147" s="1"/>
  <c r="M63" i="18"/>
  <c r="C22" i="148" s="1"/>
  <c r="N63" i="18"/>
  <c r="D22" i="148" s="1"/>
  <c r="M64" i="18"/>
  <c r="C22" i="149" s="1"/>
  <c r="N64" i="18"/>
  <c r="D22" i="149" s="1"/>
  <c r="M65" i="18"/>
  <c r="C22" i="150" s="1"/>
  <c r="N65" i="18"/>
  <c r="D22" i="150" s="1"/>
  <c r="M66" i="18"/>
  <c r="C22" i="151" s="1"/>
  <c r="N66" i="18"/>
  <c r="D22" i="151" s="1"/>
  <c r="M67" i="18"/>
  <c r="C22" i="152" s="1"/>
  <c r="N67" i="18"/>
  <c r="D22" i="152" s="1"/>
  <c r="M68" i="18"/>
  <c r="C22" i="153" s="1"/>
  <c r="N68" i="18"/>
  <c r="D22" i="153" s="1"/>
  <c r="M69" i="18"/>
  <c r="C22" i="154" s="1"/>
  <c r="N69" i="18"/>
  <c r="D22" i="154" s="1"/>
  <c r="G17" i="182" l="1"/>
  <c r="H17" i="182" s="1"/>
  <c r="F17" i="179"/>
  <c r="C95" i="16"/>
  <c r="C22" i="179"/>
  <c r="G17" i="177"/>
  <c r="H17" i="177" s="1"/>
  <c r="D95" i="16"/>
  <c r="D22" i="179"/>
  <c r="F17" i="140"/>
  <c r="G17" i="183"/>
  <c r="H17" i="183" s="1"/>
  <c r="F22" i="177"/>
  <c r="E22" i="163"/>
  <c r="L14" i="163" s="1"/>
  <c r="E22" i="176"/>
  <c r="K14" i="176" s="1"/>
  <c r="L14" i="176" s="1"/>
  <c r="E22" i="185"/>
  <c r="K14" i="185" s="1"/>
  <c r="L14" i="185" s="1"/>
  <c r="G17" i="121"/>
  <c r="H17" i="121" s="1"/>
  <c r="F22" i="188"/>
  <c r="F17" i="118"/>
  <c r="E22" i="186"/>
  <c r="K14" i="186" s="1"/>
  <c r="L14" i="186" s="1"/>
  <c r="F22" i="185"/>
  <c r="E22" i="154"/>
  <c r="K14" i="154" s="1"/>
  <c r="L14" i="154" s="1"/>
  <c r="E22" i="165"/>
  <c r="K14" i="165" s="1"/>
  <c r="L14" i="165" s="1"/>
  <c r="E22" i="168"/>
  <c r="K14" i="168" s="1"/>
  <c r="L14" i="168" s="1"/>
  <c r="F22" i="146"/>
  <c r="E22" i="151"/>
  <c r="K14" i="151" s="1"/>
  <c r="L14" i="151" s="1"/>
  <c r="E22" i="183"/>
  <c r="K14" i="183" s="1"/>
  <c r="L14" i="183" s="1"/>
  <c r="F22" i="149"/>
  <c r="E22" i="149"/>
  <c r="K14" i="149" s="1"/>
  <c r="L14" i="149" s="1"/>
  <c r="F22" i="143"/>
  <c r="F22" i="183"/>
  <c r="F22" i="163"/>
  <c r="E22" i="182"/>
  <c r="F22" i="148"/>
  <c r="F22" i="186"/>
  <c r="F22" i="152"/>
  <c r="E22" i="161"/>
  <c r="K14" i="161" s="1"/>
  <c r="L14" i="161" s="1"/>
  <c r="E22" i="181"/>
  <c r="K14" i="181" s="1"/>
  <c r="L14" i="181" s="1"/>
  <c r="F22" i="180"/>
  <c r="E22" i="156"/>
  <c r="K14" i="156" s="1"/>
  <c r="L14" i="156" s="1"/>
  <c r="E22" i="159"/>
  <c r="K14" i="159" s="1"/>
  <c r="L14" i="159" s="1"/>
  <c r="F22" i="164"/>
  <c r="F22" i="156"/>
  <c r="E22" i="188"/>
  <c r="K14" i="188" s="1"/>
  <c r="L14" i="188" s="1"/>
  <c r="F22" i="170"/>
  <c r="E22" i="160"/>
  <c r="K14" i="160" s="1"/>
  <c r="L14" i="160" s="1"/>
  <c r="F22" i="165"/>
  <c r="E22" i="146"/>
  <c r="K14" i="146" s="1"/>
  <c r="L14" i="146" s="1"/>
  <c r="E22" i="145"/>
  <c r="K14" i="145" s="1"/>
  <c r="L14" i="145" s="1"/>
  <c r="E22" i="184"/>
  <c r="K14" i="184" s="1"/>
  <c r="L14" i="184" s="1"/>
  <c r="G22" i="186"/>
  <c r="L14" i="182"/>
  <c r="F22" i="176"/>
  <c r="F22" i="134"/>
  <c r="F22" i="182"/>
  <c r="H22" i="151"/>
  <c r="F22" i="153"/>
  <c r="F22" i="151"/>
  <c r="F22" i="155"/>
  <c r="G22" i="155"/>
  <c r="F22" i="154"/>
  <c r="F22" i="168"/>
  <c r="F22" i="114"/>
  <c r="F22" i="147"/>
  <c r="F22" i="159"/>
  <c r="F22" i="178"/>
  <c r="E22" i="134"/>
  <c r="K14" i="134" s="1"/>
  <c r="L14" i="134" s="1"/>
  <c r="E22" i="143"/>
  <c r="K14" i="143" s="1"/>
  <c r="L14" i="143" s="1"/>
  <c r="H22" i="155"/>
  <c r="G17" i="175"/>
  <c r="H17" i="175" s="1"/>
  <c r="E22" i="164"/>
  <c r="K14" i="164" s="1"/>
  <c r="L14" i="164" s="1"/>
  <c r="G16" i="175"/>
  <c r="H16" i="175" s="1"/>
  <c r="G22" i="188"/>
  <c r="E22" i="155"/>
  <c r="K14" i="155" s="1"/>
  <c r="L14" i="155" s="1"/>
  <c r="E22" i="153"/>
  <c r="K14" i="153" s="1"/>
  <c r="L14" i="153" s="1"/>
  <c r="E22" i="175"/>
  <c r="K14" i="175" s="1"/>
  <c r="L14" i="175" s="1"/>
  <c r="E22" i="174"/>
  <c r="K14" i="174" s="1"/>
  <c r="L14" i="174" s="1"/>
  <c r="H22" i="172"/>
  <c r="G22" i="170"/>
  <c r="F22" i="167"/>
  <c r="E22" i="167"/>
  <c r="K14" i="167" s="1"/>
  <c r="L14" i="167" s="1"/>
  <c r="E22" i="172"/>
  <c r="K14" i="172" s="1"/>
  <c r="L14" i="172" s="1"/>
  <c r="H22" i="173"/>
  <c r="G22" i="172"/>
  <c r="H22" i="188"/>
  <c r="H22" i="186"/>
  <c r="H22" i="159"/>
  <c r="H22" i="185"/>
  <c r="H22" i="134"/>
  <c r="E22" i="144"/>
  <c r="K14" i="144" s="1"/>
  <c r="L14" i="144" s="1"/>
  <c r="H22" i="143"/>
  <c r="H22" i="170"/>
  <c r="G22" i="146"/>
  <c r="H22" i="153"/>
  <c r="G22" i="163"/>
  <c r="E22" i="171"/>
  <c r="K14" i="171" s="1"/>
  <c r="L14" i="171" s="1"/>
  <c r="G22" i="185"/>
  <c r="G22" i="178"/>
  <c r="E22" i="140"/>
  <c r="K14" i="140" s="1"/>
  <c r="L14" i="140" s="1"/>
  <c r="H22" i="152"/>
  <c r="H22" i="163"/>
  <c r="E22" i="139"/>
  <c r="K14" i="139" s="1"/>
  <c r="L14" i="139" s="1"/>
  <c r="H22" i="168"/>
  <c r="H22" i="174"/>
  <c r="G22" i="153"/>
  <c r="F22" i="172"/>
  <c r="H22" i="176"/>
  <c r="H22" i="146"/>
  <c r="H22" i="171"/>
  <c r="H22" i="140"/>
  <c r="G22" i="149"/>
  <c r="E22" i="152"/>
  <c r="K14" i="152" s="1"/>
  <c r="L14" i="152" s="1"/>
  <c r="G22" i="168"/>
  <c r="F22" i="175"/>
  <c r="H22" i="149"/>
  <c r="G22" i="152"/>
  <c r="G22" i="165"/>
  <c r="E22" i="158"/>
  <c r="K14" i="158" s="1"/>
  <c r="L14" i="158" s="1"/>
  <c r="F22" i="184"/>
  <c r="H22" i="144"/>
  <c r="H22" i="154"/>
  <c r="H22" i="167"/>
  <c r="G22" i="161"/>
  <c r="H22" i="179"/>
  <c r="H22" i="161"/>
  <c r="G17" i="124"/>
  <c r="H17" i="124" s="1"/>
  <c r="H22" i="184"/>
  <c r="G22" i="184"/>
  <c r="H22" i="183"/>
  <c r="H22" i="182"/>
  <c r="G22" i="181"/>
  <c r="H22" i="181"/>
  <c r="G22" i="179"/>
  <c r="E22" i="179"/>
  <c r="K14" i="179" s="1"/>
  <c r="L14" i="179" s="1"/>
  <c r="H22" i="178"/>
  <c r="G22" i="177"/>
  <c r="H22" i="177"/>
  <c r="E22" i="177"/>
  <c r="K14" i="177" s="1"/>
  <c r="L14" i="177" s="1"/>
  <c r="G22" i="176"/>
  <c r="G22" i="174"/>
  <c r="G22" i="167"/>
  <c r="H22" i="166"/>
  <c r="H22" i="165"/>
  <c r="G22" i="158"/>
  <c r="H22" i="158"/>
  <c r="H22" i="157"/>
  <c r="E22" i="157"/>
  <c r="K14" i="157" s="1"/>
  <c r="L14" i="157" s="1"/>
  <c r="H22" i="156"/>
  <c r="G22" i="156"/>
  <c r="G22" i="154"/>
  <c r="H22" i="150"/>
  <c r="H22" i="148"/>
  <c r="G22" i="148"/>
  <c r="E22" i="147"/>
  <c r="K14" i="147" s="1"/>
  <c r="L14" i="147" s="1"/>
  <c r="G22" i="144"/>
  <c r="G22" i="140"/>
  <c r="G22" i="134"/>
  <c r="G17" i="109"/>
  <c r="H17" i="109" s="1"/>
  <c r="G17" i="100"/>
  <c r="H17" i="100" s="1"/>
  <c r="H22" i="100" s="1"/>
  <c r="F22" i="173"/>
  <c r="F22" i="169"/>
  <c r="H22" i="187"/>
  <c r="G22" i="169"/>
  <c r="H22" i="169"/>
  <c r="F22" i="161"/>
  <c r="G22" i="151"/>
  <c r="F22" i="179"/>
  <c r="F22" i="171"/>
  <c r="F22" i="145"/>
  <c r="F22" i="144"/>
  <c r="G22" i="159"/>
  <c r="G22" i="173"/>
  <c r="F22" i="181"/>
  <c r="F22" i="174"/>
  <c r="E22" i="187"/>
  <c r="K14" i="187" s="1"/>
  <c r="L14" i="187" s="1"/>
  <c r="G22" i="187"/>
  <c r="G22" i="180"/>
  <c r="G22" i="183"/>
  <c r="H22" i="180"/>
  <c r="G22" i="182"/>
  <c r="F22" i="187"/>
  <c r="E22" i="178"/>
  <c r="K14" i="178" s="1"/>
  <c r="L14" i="178" s="1"/>
  <c r="G22" i="171"/>
  <c r="E22" i="170"/>
  <c r="K14" i="170" s="1"/>
  <c r="L14" i="170" s="1"/>
  <c r="E22" i="166"/>
  <c r="K14" i="166" s="1"/>
  <c r="L14" i="166" s="1"/>
  <c r="G22" i="166"/>
  <c r="F16" i="166"/>
  <c r="F22" i="166" s="1"/>
  <c r="H22" i="164"/>
  <c r="G22" i="164"/>
  <c r="F22" i="158"/>
  <c r="G22" i="157"/>
  <c r="F22" i="157"/>
  <c r="G22" i="150"/>
  <c r="G17" i="147"/>
  <c r="H17" i="147" s="1"/>
  <c r="H22" i="147" s="1"/>
  <c r="H22" i="145"/>
  <c r="G22" i="145"/>
  <c r="F22" i="117"/>
  <c r="H22" i="114"/>
  <c r="F17" i="113"/>
  <c r="F16" i="162"/>
  <c r="F22" i="162" s="1"/>
  <c r="G15" i="162"/>
  <c r="H15" i="162" s="1"/>
  <c r="H22" i="162" s="1"/>
  <c r="E22" i="162"/>
  <c r="K14" i="162" s="1"/>
  <c r="L14" i="162" s="1"/>
  <c r="F16" i="160"/>
  <c r="F22" i="160" s="1"/>
  <c r="G16" i="160"/>
  <c r="H16" i="160" s="1"/>
  <c r="H22" i="160" s="1"/>
  <c r="E22" i="150"/>
  <c r="K14" i="150" s="1"/>
  <c r="L14" i="150" s="1"/>
  <c r="F16" i="150"/>
  <c r="F22" i="150" s="1"/>
  <c r="G22" i="143"/>
  <c r="E22" i="114"/>
  <c r="K14" i="114" s="1"/>
  <c r="L14" i="114" s="1"/>
  <c r="G22" i="114"/>
  <c r="F22" i="140"/>
  <c r="E22" i="138"/>
  <c r="K14" i="138" s="1"/>
  <c r="L14" i="138" s="1"/>
  <c r="F16" i="142"/>
  <c r="F22" i="142" s="1"/>
  <c r="G16" i="142"/>
  <c r="H16" i="142" s="1"/>
  <c r="H22" i="142" s="1"/>
  <c r="E22" i="131"/>
  <c r="K14" i="131" s="1"/>
  <c r="L14" i="131" s="1"/>
  <c r="G16" i="132"/>
  <c r="H16" i="132" s="1"/>
  <c r="H22" i="132" s="1"/>
  <c r="E22" i="135"/>
  <c r="K14" i="135" s="1"/>
  <c r="L14" i="135" s="1"/>
  <c r="G16" i="133"/>
  <c r="H16" i="133" s="1"/>
  <c r="H22" i="133" s="1"/>
  <c r="E22" i="97"/>
  <c r="K14" i="97" s="1"/>
  <c r="L14" i="97" s="1"/>
  <c r="H22" i="103"/>
  <c r="H22" i="108"/>
  <c r="E22" i="112"/>
  <c r="K14" i="112" s="1"/>
  <c r="L14" i="112" s="1"/>
  <c r="E22" i="116"/>
  <c r="K14" i="116" s="1"/>
  <c r="L14" i="116" s="1"/>
  <c r="G22" i="98"/>
  <c r="F16" i="121"/>
  <c r="F22" i="121" s="1"/>
  <c r="F16" i="98"/>
  <c r="F22" i="98" s="1"/>
  <c r="H22" i="98"/>
  <c r="E22" i="98"/>
  <c r="K14" i="98" s="1"/>
  <c r="L14" i="98" s="1"/>
  <c r="H22" i="118"/>
  <c r="G16" i="121"/>
  <c r="H16" i="121" s="1"/>
  <c r="H22" i="121" s="1"/>
  <c r="E22" i="110"/>
  <c r="K14" i="110" s="1"/>
  <c r="L14" i="110" s="1"/>
  <c r="E22" i="118"/>
  <c r="K14" i="118" s="1"/>
  <c r="L14" i="118" s="1"/>
  <c r="F16" i="124"/>
  <c r="F22" i="124" s="1"/>
  <c r="E22" i="100"/>
  <c r="K14" i="100" s="1"/>
  <c r="L14" i="100" s="1"/>
  <c r="E22" i="122"/>
  <c r="K14" i="122" s="1"/>
  <c r="L14" i="122" s="1"/>
  <c r="G22" i="97"/>
  <c r="E22" i="99"/>
  <c r="K14" i="99" s="1"/>
  <c r="L14" i="99" s="1"/>
  <c r="E22" i="101"/>
  <c r="K14" i="101" s="1"/>
  <c r="L14" i="101" s="1"/>
  <c r="F16" i="109"/>
  <c r="F22" i="109" s="1"/>
  <c r="E22" i="102"/>
  <c r="K14" i="102" s="1"/>
  <c r="L14" i="102" s="1"/>
  <c r="G22" i="99"/>
  <c r="G22" i="101"/>
  <c r="E22" i="96"/>
  <c r="K14" i="96" s="1"/>
  <c r="L14" i="96" s="1"/>
  <c r="H22" i="101"/>
  <c r="G16" i="115"/>
  <c r="H16" i="115" s="1"/>
  <c r="H22" i="115" s="1"/>
  <c r="E22" i="117"/>
  <c r="K14" i="117" s="1"/>
  <c r="L14" i="117" s="1"/>
  <c r="E22" i="119"/>
  <c r="K14" i="119" s="1"/>
  <c r="L14" i="119" s="1"/>
  <c r="E22" i="142"/>
  <c r="K14" i="142" s="1"/>
  <c r="L14" i="142" s="1"/>
  <c r="F16" i="141"/>
  <c r="F22" i="141" s="1"/>
  <c r="G16" i="141"/>
  <c r="H16" i="141" s="1"/>
  <c r="H22" i="141" s="1"/>
  <c r="E22" i="141"/>
  <c r="K14" i="141" s="1"/>
  <c r="L14" i="141" s="1"/>
  <c r="F16" i="139"/>
  <c r="F22" i="139" s="1"/>
  <c r="G16" i="139"/>
  <c r="H16" i="139" s="1"/>
  <c r="H22" i="139" s="1"/>
  <c r="H22" i="138"/>
  <c r="G22" i="138"/>
  <c r="F16" i="138"/>
  <c r="F22" i="138" s="1"/>
  <c r="F16" i="137"/>
  <c r="F22" i="137" s="1"/>
  <c r="G16" i="137"/>
  <c r="H16" i="137" s="1"/>
  <c r="H22" i="137" s="1"/>
  <c r="E22" i="137"/>
  <c r="K14" i="137" s="1"/>
  <c r="L14" i="137" s="1"/>
  <c r="H22" i="136"/>
  <c r="G22" i="136"/>
  <c r="E22" i="136"/>
  <c r="K14" i="136" s="1"/>
  <c r="L14" i="136" s="1"/>
  <c r="F15" i="136"/>
  <c r="F16" i="136"/>
  <c r="G22" i="135"/>
  <c r="H22" i="135"/>
  <c r="F16" i="135"/>
  <c r="F22" i="135" s="1"/>
  <c r="E22" i="133"/>
  <c r="K14" i="133" s="1"/>
  <c r="L14" i="133" s="1"/>
  <c r="F22" i="133"/>
  <c r="E22" i="132"/>
  <c r="K14" i="132" s="1"/>
  <c r="L14" i="132" s="1"/>
  <c r="F22" i="132"/>
  <c r="G22" i="131"/>
  <c r="H22" i="131"/>
  <c r="F16" i="131"/>
  <c r="F22" i="131" s="1"/>
  <c r="F16" i="130"/>
  <c r="H22" i="130"/>
  <c r="G22" i="130"/>
  <c r="E22" i="130"/>
  <c r="K14" i="130" s="1"/>
  <c r="L14" i="130" s="1"/>
  <c r="F15" i="130"/>
  <c r="E22" i="129"/>
  <c r="K14" i="129" s="1"/>
  <c r="L14" i="129" s="1"/>
  <c r="F15" i="129"/>
  <c r="F16" i="129"/>
  <c r="G15" i="129"/>
  <c r="H15" i="129" s="1"/>
  <c r="H22" i="129" s="1"/>
  <c r="E22" i="128"/>
  <c r="K14" i="128" s="1"/>
  <c r="L14" i="128" s="1"/>
  <c r="F16" i="128"/>
  <c r="F22" i="128" s="1"/>
  <c r="G16" i="128"/>
  <c r="H16" i="128" s="1"/>
  <c r="H22" i="128" s="1"/>
  <c r="E22" i="127"/>
  <c r="K14" i="127" s="1"/>
  <c r="L14" i="127" s="1"/>
  <c r="G22" i="127"/>
  <c r="H22" i="127"/>
  <c r="F16" i="127"/>
  <c r="F22" i="127" s="1"/>
  <c r="E22" i="126"/>
  <c r="K14" i="126" s="1"/>
  <c r="L14" i="126" s="1"/>
  <c r="G22" i="126"/>
  <c r="H22" i="126"/>
  <c r="F16" i="126"/>
  <c r="F22" i="126" s="1"/>
  <c r="E22" i="125"/>
  <c r="K14" i="125" s="1"/>
  <c r="L14" i="125" s="1"/>
  <c r="G22" i="125"/>
  <c r="H22" i="125"/>
  <c r="F16" i="125"/>
  <c r="F22" i="125" s="1"/>
  <c r="G16" i="124"/>
  <c r="H16" i="124" s="1"/>
  <c r="E22" i="124"/>
  <c r="K14" i="124" s="1"/>
  <c r="L14" i="124" s="1"/>
  <c r="F16" i="123"/>
  <c r="F22" i="123" s="1"/>
  <c r="G16" i="123"/>
  <c r="H16" i="123" s="1"/>
  <c r="H22" i="123" s="1"/>
  <c r="E22" i="123"/>
  <c r="K14" i="123" s="1"/>
  <c r="L14" i="123" s="1"/>
  <c r="F22" i="122"/>
  <c r="G22" i="122"/>
  <c r="H22" i="122"/>
  <c r="E22" i="121"/>
  <c r="K14" i="121" s="1"/>
  <c r="L14" i="121" s="1"/>
  <c r="F16" i="120"/>
  <c r="F22" i="120" s="1"/>
  <c r="G16" i="120"/>
  <c r="H16" i="120" s="1"/>
  <c r="H22" i="120" s="1"/>
  <c r="E22" i="120"/>
  <c r="K14" i="120" s="1"/>
  <c r="L14" i="120" s="1"/>
  <c r="G22" i="119"/>
  <c r="F16" i="119"/>
  <c r="F22" i="119" s="1"/>
  <c r="H22" i="119"/>
  <c r="G22" i="118"/>
  <c r="F16" i="118"/>
  <c r="F22" i="118" s="1"/>
  <c r="G16" i="117"/>
  <c r="H16" i="117" s="1"/>
  <c r="H22" i="117" s="1"/>
  <c r="G22" i="116"/>
  <c r="H22" i="116"/>
  <c r="F16" i="116"/>
  <c r="F22" i="116" s="1"/>
  <c r="F16" i="115"/>
  <c r="F22" i="115" s="1"/>
  <c r="E22" i="115"/>
  <c r="K14" i="115" s="1"/>
  <c r="L14" i="115" s="1"/>
  <c r="F16" i="113"/>
  <c r="G16" i="113"/>
  <c r="H16" i="113" s="1"/>
  <c r="H22" i="113" s="1"/>
  <c r="E22" i="113"/>
  <c r="K14" i="113" s="1"/>
  <c r="L14" i="113" s="1"/>
  <c r="G22" i="112"/>
  <c r="H22" i="112"/>
  <c r="F16" i="112"/>
  <c r="F22" i="112" s="1"/>
  <c r="E22" i="111"/>
  <c r="K14" i="111" s="1"/>
  <c r="L14" i="111" s="1"/>
  <c r="F16" i="111"/>
  <c r="F22" i="111" s="1"/>
  <c r="G16" i="111"/>
  <c r="H16" i="111" s="1"/>
  <c r="H22" i="111" s="1"/>
  <c r="G22" i="110"/>
  <c r="F16" i="110"/>
  <c r="F22" i="110" s="1"/>
  <c r="H22" i="110"/>
  <c r="G16" i="109"/>
  <c r="H16" i="109" s="1"/>
  <c r="E22" i="109"/>
  <c r="K14" i="109" s="1"/>
  <c r="L14" i="109" s="1"/>
  <c r="F22" i="108"/>
  <c r="E22" i="108"/>
  <c r="K14" i="108" s="1"/>
  <c r="L14" i="108" s="1"/>
  <c r="G22" i="108"/>
  <c r="F16" i="107"/>
  <c r="F22" i="107" s="1"/>
  <c r="G16" i="107"/>
  <c r="H16" i="107" s="1"/>
  <c r="H22" i="107" s="1"/>
  <c r="E22" i="107"/>
  <c r="K14" i="107" s="1"/>
  <c r="L14" i="107" s="1"/>
  <c r="F16" i="106"/>
  <c r="F22" i="106" s="1"/>
  <c r="G16" i="106"/>
  <c r="H16" i="106" s="1"/>
  <c r="H22" i="106" s="1"/>
  <c r="E22" i="106"/>
  <c r="K14" i="106" s="1"/>
  <c r="L14" i="106" s="1"/>
  <c r="F16" i="105"/>
  <c r="H22" i="105"/>
  <c r="G22" i="105"/>
  <c r="E22" i="105"/>
  <c r="K14" i="105" s="1"/>
  <c r="L14" i="105" s="1"/>
  <c r="F15" i="105"/>
  <c r="F16" i="104"/>
  <c r="F22" i="104" s="1"/>
  <c r="G16" i="104"/>
  <c r="H16" i="104" s="1"/>
  <c r="H22" i="104" s="1"/>
  <c r="E22" i="104"/>
  <c r="K14" i="104" s="1"/>
  <c r="L14" i="104" s="1"/>
  <c r="E22" i="103"/>
  <c r="K14" i="103" s="1"/>
  <c r="L14" i="103" s="1"/>
  <c r="G22" i="103"/>
  <c r="F16" i="103"/>
  <c r="F22" i="103" s="1"/>
  <c r="F16" i="102"/>
  <c r="F22" i="102" s="1"/>
  <c r="G16" i="102"/>
  <c r="H16" i="102" s="1"/>
  <c r="H22" i="102" s="1"/>
  <c r="F16" i="101"/>
  <c r="F22" i="101" s="1"/>
  <c r="F16" i="100"/>
  <c r="F22" i="100" s="1"/>
  <c r="H22" i="99"/>
  <c r="F16" i="99"/>
  <c r="F22" i="99" s="1"/>
  <c r="H22" i="97"/>
  <c r="F16" i="97"/>
  <c r="F22" i="97" s="1"/>
  <c r="G22" i="96"/>
  <c r="H22" i="96"/>
  <c r="F16" i="96"/>
  <c r="F22" i="96" s="1"/>
  <c r="D94" i="16"/>
  <c r="C94" i="16"/>
  <c r="D93" i="16"/>
  <c r="C93" i="16"/>
  <c r="D92" i="16"/>
  <c r="C92" i="16"/>
  <c r="D91" i="16"/>
  <c r="C91" i="16"/>
  <c r="D37" i="16"/>
  <c r="D38" i="16"/>
  <c r="D39" i="16"/>
  <c r="D40" i="16"/>
  <c r="D41" i="16"/>
  <c r="D42" i="16"/>
  <c r="D43" i="16"/>
  <c r="D44" i="16"/>
  <c r="D45" i="16"/>
  <c r="D46" i="16"/>
  <c r="D47" i="16"/>
  <c r="D48" i="16"/>
  <c r="D49" i="16"/>
  <c r="D50" i="16"/>
  <c r="D51" i="16"/>
  <c r="D52" i="16"/>
  <c r="D53" i="16"/>
  <c r="D54" i="16"/>
  <c r="D55" i="16"/>
  <c r="D56" i="16"/>
  <c r="D57" i="16"/>
  <c r="D58" i="16"/>
  <c r="D59" i="16"/>
  <c r="D60" i="16"/>
  <c r="D61" i="16"/>
  <c r="D62" i="16"/>
  <c r="D63" i="16"/>
  <c r="D64" i="16"/>
  <c r="D65" i="16"/>
  <c r="D66" i="16"/>
  <c r="D67" i="16"/>
  <c r="D68" i="16"/>
  <c r="D69" i="16"/>
  <c r="D70" i="16"/>
  <c r="D72" i="16"/>
  <c r="D73" i="16"/>
  <c r="D74" i="16"/>
  <c r="D75" i="16"/>
  <c r="D76" i="16"/>
  <c r="D77" i="16"/>
  <c r="D78" i="16"/>
  <c r="D79" i="16"/>
  <c r="D80" i="16"/>
  <c r="D81" i="16"/>
  <c r="D82" i="16"/>
  <c r="D83" i="16"/>
  <c r="D84" i="16"/>
  <c r="D85" i="16"/>
  <c r="D86" i="16"/>
  <c r="D87" i="16"/>
  <c r="D88" i="16"/>
  <c r="D89" i="16"/>
  <c r="D90" i="16"/>
  <c r="C43" i="16"/>
  <c r="C44" i="16"/>
  <c r="C45" i="16"/>
  <c r="C46" i="16"/>
  <c r="C47" i="16"/>
  <c r="C48" i="16"/>
  <c r="C49" i="16"/>
  <c r="C50" i="16"/>
  <c r="C51" i="16"/>
  <c r="C52" i="16"/>
  <c r="C53" i="16"/>
  <c r="C54" i="16"/>
  <c r="C55" i="16"/>
  <c r="C56" i="16"/>
  <c r="C57" i="16"/>
  <c r="C58" i="16"/>
  <c r="C59" i="16"/>
  <c r="C60" i="16"/>
  <c r="C61" i="16"/>
  <c r="C62" i="16"/>
  <c r="C63" i="16"/>
  <c r="C64" i="16"/>
  <c r="C65" i="16"/>
  <c r="C66" i="16"/>
  <c r="C67" i="16"/>
  <c r="C68" i="16"/>
  <c r="C69" i="16"/>
  <c r="C70" i="16"/>
  <c r="C72" i="16"/>
  <c r="C73" i="16"/>
  <c r="C74" i="16"/>
  <c r="C75" i="16"/>
  <c r="C76" i="16"/>
  <c r="C77" i="16"/>
  <c r="C78" i="16"/>
  <c r="C79" i="16"/>
  <c r="C80" i="16"/>
  <c r="C81" i="16"/>
  <c r="C82" i="16"/>
  <c r="C83" i="16"/>
  <c r="C84" i="16"/>
  <c r="C85" i="16"/>
  <c r="C86" i="16"/>
  <c r="C87" i="16"/>
  <c r="C88" i="16"/>
  <c r="C89" i="16"/>
  <c r="C90" i="16"/>
  <c r="C37" i="16"/>
  <c r="C38" i="16"/>
  <c r="C39" i="16"/>
  <c r="C40" i="16"/>
  <c r="C41" i="16"/>
  <c r="C42" i="16"/>
  <c r="B19" i="16"/>
  <c r="B20" i="16"/>
  <c r="B21" i="16"/>
  <c r="B22" i="16"/>
  <c r="B23" i="16"/>
  <c r="B24" i="16"/>
  <c r="B25" i="16"/>
  <c r="B26" i="16"/>
  <c r="B27" i="16"/>
  <c r="B28" i="16"/>
  <c r="B29" i="16"/>
  <c r="B30" i="16"/>
  <c r="B31" i="16"/>
  <c r="B32" i="16"/>
  <c r="B33" i="16"/>
  <c r="B34" i="16"/>
  <c r="B35" i="16"/>
  <c r="B36" i="16"/>
  <c r="B37" i="16"/>
  <c r="B38" i="16"/>
  <c r="B39" i="16"/>
  <c r="B40" i="16"/>
  <c r="B41" i="16"/>
  <c r="B42" i="16"/>
  <c r="B43" i="16"/>
  <c r="B44" i="16"/>
  <c r="B45" i="16"/>
  <c r="B46" i="16"/>
  <c r="B47" i="16"/>
  <c r="B48" i="16"/>
  <c r="B49" i="16"/>
  <c r="B50" i="16"/>
  <c r="B51" i="16"/>
  <c r="B52" i="16"/>
  <c r="B53" i="16"/>
  <c r="B54" i="16"/>
  <c r="B55" i="16"/>
  <c r="B56" i="16"/>
  <c r="B57" i="16"/>
  <c r="B58" i="16"/>
  <c r="B59" i="16"/>
  <c r="B60" i="16"/>
  <c r="B61" i="16"/>
  <c r="B62" i="16"/>
  <c r="B63" i="16"/>
  <c r="B64" i="16"/>
  <c r="B65" i="16"/>
  <c r="B66" i="16"/>
  <c r="B67" i="16"/>
  <c r="B68" i="16"/>
  <c r="B69" i="16"/>
  <c r="B70" i="16"/>
  <c r="B71" i="16"/>
  <c r="B72" i="16"/>
  <c r="B73" i="16"/>
  <c r="B74" i="16"/>
  <c r="B75" i="16"/>
  <c r="B76" i="16"/>
  <c r="B77" i="16"/>
  <c r="B78" i="16"/>
  <c r="B79" i="16"/>
  <c r="B80" i="16"/>
  <c r="B81" i="16"/>
  <c r="B82" i="16"/>
  <c r="B83" i="16"/>
  <c r="B84" i="16"/>
  <c r="B85" i="16"/>
  <c r="B86" i="16"/>
  <c r="B87" i="16"/>
  <c r="B88" i="16"/>
  <c r="B89" i="16"/>
  <c r="B90" i="16"/>
  <c r="B12" i="16"/>
  <c r="B13" i="16"/>
  <c r="B14" i="16"/>
  <c r="B15" i="16"/>
  <c r="B16" i="16"/>
  <c r="B17" i="16"/>
  <c r="B18" i="16"/>
  <c r="B30" i="22"/>
  <c r="B31" i="22"/>
  <c r="B32" i="22"/>
  <c r="B33" i="22"/>
  <c r="B34" i="22"/>
  <c r="B35" i="22"/>
  <c r="B36" i="22"/>
  <c r="B37" i="22"/>
  <c r="M28" i="18"/>
  <c r="C22" i="113" s="1"/>
  <c r="N28" i="18"/>
  <c r="D22" i="113" s="1"/>
  <c r="M29" i="18"/>
  <c r="C22" i="114" s="1"/>
  <c r="N29" i="18"/>
  <c r="D22" i="114" s="1"/>
  <c r="M30" i="18"/>
  <c r="C22" i="115" s="1"/>
  <c r="N30" i="18"/>
  <c r="D22" i="115" s="1"/>
  <c r="M31" i="18"/>
  <c r="C22" i="116" s="1"/>
  <c r="N31" i="18"/>
  <c r="D22" i="116" s="1"/>
  <c r="M32" i="18"/>
  <c r="C22" i="117" s="1"/>
  <c r="N32" i="18"/>
  <c r="D22" i="117" s="1"/>
  <c r="M33" i="18"/>
  <c r="C22" i="118" s="1"/>
  <c r="N33" i="18"/>
  <c r="D22" i="118" s="1"/>
  <c r="M34" i="18"/>
  <c r="C22" i="119" s="1"/>
  <c r="N34" i="18"/>
  <c r="D22" i="119" s="1"/>
  <c r="M35" i="18"/>
  <c r="C22" i="120" s="1"/>
  <c r="N35" i="18"/>
  <c r="D22" i="120" s="1"/>
  <c r="C71" i="16"/>
  <c r="D71" i="16"/>
  <c r="F22" i="113" l="1"/>
  <c r="G22" i="100"/>
  <c r="I11" i="100" s="1"/>
  <c r="E16" i="16" s="1"/>
  <c r="I11" i="159"/>
  <c r="E75" i="16" s="1"/>
  <c r="I11" i="186"/>
  <c r="E102" i="16" s="1"/>
  <c r="G22" i="175"/>
  <c r="I11" i="151"/>
  <c r="E67" i="16" s="1"/>
  <c r="H22" i="175"/>
  <c r="I11" i="188"/>
  <c r="E104" i="16" s="1"/>
  <c r="I11" i="176"/>
  <c r="E92" i="16" s="1"/>
  <c r="I11" i="155"/>
  <c r="E71" i="16" s="1"/>
  <c r="I11" i="143"/>
  <c r="E59" i="16" s="1"/>
  <c r="I11" i="163"/>
  <c r="E79" i="16" s="1"/>
  <c r="I11" i="154"/>
  <c r="E70" i="16" s="1"/>
  <c r="I11" i="134"/>
  <c r="E50" i="16" s="1"/>
  <c r="I11" i="185"/>
  <c r="E101" i="16" s="1"/>
  <c r="I11" i="149"/>
  <c r="E65" i="16" s="1"/>
  <c r="I11" i="153"/>
  <c r="E69" i="16" s="1"/>
  <c r="I11" i="146"/>
  <c r="E62" i="16" s="1"/>
  <c r="H22" i="124"/>
  <c r="I11" i="172"/>
  <c r="E88" i="16" s="1"/>
  <c r="I11" i="170"/>
  <c r="E86" i="16" s="1"/>
  <c r="I11" i="167"/>
  <c r="E83" i="16" s="1"/>
  <c r="G22" i="113"/>
  <c r="I11" i="113" s="1"/>
  <c r="E29" i="16" s="1"/>
  <c r="I11" i="161"/>
  <c r="I11" i="156"/>
  <c r="E72" i="16" s="1"/>
  <c r="I11" i="152"/>
  <c r="E68" i="16" s="1"/>
  <c r="G22" i="109"/>
  <c r="I11" i="183"/>
  <c r="E99" i="16" s="1"/>
  <c r="J99" i="16" s="1"/>
  <c r="I11" i="157"/>
  <c r="I11" i="148"/>
  <c r="E64" i="16" s="1"/>
  <c r="G22" i="137"/>
  <c r="I11" i="137" s="1"/>
  <c r="E53" i="16" s="1"/>
  <c r="I11" i="165"/>
  <c r="E81" i="16" s="1"/>
  <c r="J81" i="16" s="1"/>
  <c r="H22" i="109"/>
  <c r="I11" i="158"/>
  <c r="E74" i="16" s="1"/>
  <c r="I11" i="168"/>
  <c r="E84" i="16" s="1"/>
  <c r="G22" i="139"/>
  <c r="I11" i="139" s="1"/>
  <c r="E55" i="16" s="1"/>
  <c r="I11" i="182"/>
  <c r="E98" i="16" s="1"/>
  <c r="J98" i="16" s="1"/>
  <c r="D94" i="95" s="1"/>
  <c r="G22" i="129"/>
  <c r="G22" i="121"/>
  <c r="I11" i="121" s="1"/>
  <c r="E37" i="16" s="1"/>
  <c r="I11" i="171"/>
  <c r="E87" i="16" s="1"/>
  <c r="I11" i="173"/>
  <c r="E89" i="16" s="1"/>
  <c r="I11" i="177"/>
  <c r="E93" i="16" s="1"/>
  <c r="G22" i="141"/>
  <c r="I11" i="141" s="1"/>
  <c r="E57" i="16" s="1"/>
  <c r="I11" i="184"/>
  <c r="E100" i="16" s="1"/>
  <c r="J100" i="16" s="1"/>
  <c r="G22" i="124"/>
  <c r="G22" i="133"/>
  <c r="I11" i="133" s="1"/>
  <c r="E49" i="16" s="1"/>
  <c r="I11" i="144"/>
  <c r="E60" i="16" s="1"/>
  <c r="G22" i="107"/>
  <c r="I11" i="107" s="1"/>
  <c r="E23" i="16" s="1"/>
  <c r="G22" i="142"/>
  <c r="I11" i="142" s="1"/>
  <c r="E58" i="16" s="1"/>
  <c r="I11" i="169"/>
  <c r="E85" i="16" s="1"/>
  <c r="I11" i="181"/>
  <c r="E97" i="16" s="1"/>
  <c r="J97" i="16" s="1"/>
  <c r="I11" i="179"/>
  <c r="E95" i="16" s="1"/>
  <c r="J95" i="16" s="1"/>
  <c r="I11" i="178"/>
  <c r="E94" i="16" s="1"/>
  <c r="I11" i="174"/>
  <c r="J90" i="16" s="1"/>
  <c r="I11" i="164"/>
  <c r="E80" i="16" s="1"/>
  <c r="G22" i="162"/>
  <c r="I11" i="162" s="1"/>
  <c r="E78" i="16" s="1"/>
  <c r="G22" i="147"/>
  <c r="I11" i="147" s="1"/>
  <c r="G22" i="120"/>
  <c r="I11" i="120" s="1"/>
  <c r="E36" i="16" s="1"/>
  <c r="G22" i="115"/>
  <c r="I11" i="115" s="1"/>
  <c r="E31" i="16" s="1"/>
  <c r="I11" i="140"/>
  <c r="E56" i="16" s="1"/>
  <c r="G22" i="132"/>
  <c r="I11" i="132" s="1"/>
  <c r="E48" i="16" s="1"/>
  <c r="G22" i="128"/>
  <c r="I11" i="128" s="1"/>
  <c r="E44" i="16" s="1"/>
  <c r="G22" i="106"/>
  <c r="I11" i="106" s="1"/>
  <c r="E22" i="16" s="1"/>
  <c r="I11" i="114"/>
  <c r="E30" i="16" s="1"/>
  <c r="G22" i="104"/>
  <c r="I11" i="104" s="1"/>
  <c r="E20" i="16" s="1"/>
  <c r="G22" i="111"/>
  <c r="I11" i="111" s="1"/>
  <c r="E27" i="16" s="1"/>
  <c r="G22" i="123"/>
  <c r="I11" i="123" s="1"/>
  <c r="E39" i="16" s="1"/>
  <c r="I11" i="150"/>
  <c r="E66" i="16" s="1"/>
  <c r="I11" i="166"/>
  <c r="E82" i="16" s="1"/>
  <c r="J82" i="16" s="1"/>
  <c r="I11" i="180"/>
  <c r="E96" i="16" s="1"/>
  <c r="J96" i="16" s="1"/>
  <c r="D92" i="95" s="1"/>
  <c r="I11" i="187"/>
  <c r="E103" i="16" s="1"/>
  <c r="J103" i="16" s="1"/>
  <c r="G22" i="160"/>
  <c r="I11" i="160" s="1"/>
  <c r="E76" i="16" s="1"/>
  <c r="I11" i="145"/>
  <c r="E61" i="16" s="1"/>
  <c r="G22" i="117"/>
  <c r="I11" i="117" s="1"/>
  <c r="E33" i="16" s="1"/>
  <c r="G22" i="102"/>
  <c r="I11" i="102" s="1"/>
  <c r="E18" i="16" s="1"/>
  <c r="I11" i="127"/>
  <c r="E43" i="16" s="1"/>
  <c r="I11" i="138"/>
  <c r="E54" i="16" s="1"/>
  <c r="I11" i="126"/>
  <c r="E42" i="16" s="1"/>
  <c r="I11" i="125"/>
  <c r="E41" i="16" s="1"/>
  <c r="F22" i="129"/>
  <c r="F22" i="136"/>
  <c r="I11" i="136" s="1"/>
  <c r="E52" i="16" s="1"/>
  <c r="F22" i="130"/>
  <c r="I11" i="130" s="1"/>
  <c r="E46" i="16" s="1"/>
  <c r="I11" i="135"/>
  <c r="I11" i="116"/>
  <c r="E32" i="16" s="1"/>
  <c r="I11" i="99"/>
  <c r="E15" i="16" s="1"/>
  <c r="I11" i="110"/>
  <c r="E26" i="16" s="1"/>
  <c r="I11" i="98"/>
  <c r="E14" i="16" s="1"/>
  <c r="I11" i="118"/>
  <c r="E34" i="16" s="1"/>
  <c r="I11" i="119"/>
  <c r="E35" i="16" s="1"/>
  <c r="I11" i="103"/>
  <c r="E19" i="16" s="1"/>
  <c r="I11" i="101"/>
  <c r="E17" i="16" s="1"/>
  <c r="I11" i="131"/>
  <c r="E47" i="16" s="1"/>
  <c r="I11" i="122"/>
  <c r="E38" i="16" s="1"/>
  <c r="I11" i="112"/>
  <c r="E28" i="16" s="1"/>
  <c r="I11" i="108"/>
  <c r="E24" i="16" s="1"/>
  <c r="F22" i="105"/>
  <c r="I11" i="105" s="1"/>
  <c r="E21" i="16" s="1"/>
  <c r="I11" i="97"/>
  <c r="E13" i="16" s="1"/>
  <c r="I11" i="96"/>
  <c r="E12" i="16" s="1"/>
  <c r="D35" i="16"/>
  <c r="C35" i="16"/>
  <c r="D34" i="16"/>
  <c r="C34" i="16"/>
  <c r="D33" i="16"/>
  <c r="C33" i="16"/>
  <c r="D36" i="16"/>
  <c r="C36" i="16"/>
  <c r="D32" i="16"/>
  <c r="C32" i="16"/>
  <c r="D31" i="16"/>
  <c r="C31" i="16"/>
  <c r="D30" i="16"/>
  <c r="C30" i="16"/>
  <c r="D29" i="16"/>
  <c r="C29" i="16"/>
  <c r="D86" i="95" l="1"/>
  <c r="J22" i="16"/>
  <c r="J21" i="16"/>
  <c r="J34" i="16"/>
  <c r="J76" i="16"/>
  <c r="D72" i="95" s="1"/>
  <c r="J30" i="16"/>
  <c r="J78" i="16"/>
  <c r="D74" i="95" s="1"/>
  <c r="J23" i="16"/>
  <c r="J87" i="16"/>
  <c r="D83" i="95" s="1"/>
  <c r="J77" i="16"/>
  <c r="D73" i="95" s="1"/>
  <c r="J65" i="16"/>
  <c r="D61" i="95" s="1"/>
  <c r="J104" i="16"/>
  <c r="D100" i="95" s="1"/>
  <c r="G100" i="95" s="1"/>
  <c r="J14" i="16"/>
  <c r="D10" i="95" s="1"/>
  <c r="J80" i="16"/>
  <c r="D76" i="95" s="1"/>
  <c r="J26" i="16"/>
  <c r="J42" i="16"/>
  <c r="J44" i="16"/>
  <c r="J49" i="16"/>
  <c r="D45" i="95" s="1"/>
  <c r="J64" i="16"/>
  <c r="D60" i="95" s="1"/>
  <c r="J83" i="16"/>
  <c r="D79" i="95" s="1"/>
  <c r="J50" i="16"/>
  <c r="D46" i="95" s="1"/>
  <c r="J67" i="16"/>
  <c r="D63" i="95" s="1"/>
  <c r="J37" i="16"/>
  <c r="J28" i="16"/>
  <c r="J38" i="16"/>
  <c r="J15" i="16"/>
  <c r="D11" i="95" s="1"/>
  <c r="J54" i="16"/>
  <c r="D50" i="95" s="1"/>
  <c r="J48" i="16"/>
  <c r="D44" i="95" s="1"/>
  <c r="J94" i="16"/>
  <c r="D90" i="95" s="1"/>
  <c r="J86" i="16"/>
  <c r="D82" i="95" s="1"/>
  <c r="J70" i="16"/>
  <c r="D66" i="95" s="1"/>
  <c r="J24" i="16"/>
  <c r="J29" i="16"/>
  <c r="J47" i="16"/>
  <c r="J32" i="16"/>
  <c r="J43" i="16"/>
  <c r="J66" i="16"/>
  <c r="D62" i="95" s="1"/>
  <c r="J56" i="16"/>
  <c r="D52" i="95" s="1"/>
  <c r="J55" i="16"/>
  <c r="D51" i="95" s="1"/>
  <c r="J88" i="16"/>
  <c r="D84" i="95" s="1"/>
  <c r="J79" i="16"/>
  <c r="D75" i="95" s="1"/>
  <c r="J102" i="16"/>
  <c r="D98" i="95" s="1"/>
  <c r="J53" i="16"/>
  <c r="D49" i="95" s="1"/>
  <c r="J17" i="16"/>
  <c r="J51" i="16"/>
  <c r="D47" i="95" s="1"/>
  <c r="J18" i="16"/>
  <c r="J39" i="16"/>
  <c r="J31" i="16"/>
  <c r="J57" i="16"/>
  <c r="D53" i="95" s="1"/>
  <c r="J84" i="16"/>
  <c r="D80" i="95" s="1"/>
  <c r="J59" i="16"/>
  <c r="D55" i="95" s="1"/>
  <c r="J75" i="16"/>
  <c r="D71" i="95" s="1"/>
  <c r="J41" i="16"/>
  <c r="J60" i="16"/>
  <c r="D56" i="95" s="1"/>
  <c r="J12" i="16"/>
  <c r="D8" i="95" s="1"/>
  <c r="J19" i="16"/>
  <c r="J46" i="16"/>
  <c r="J33" i="16"/>
  <c r="J27" i="16"/>
  <c r="J36" i="16"/>
  <c r="J85" i="16"/>
  <c r="D81" i="95" s="1"/>
  <c r="J93" i="16"/>
  <c r="D89" i="95" s="1"/>
  <c r="J74" i="16"/>
  <c r="D70" i="95" s="1"/>
  <c r="J68" i="16"/>
  <c r="D64" i="95" s="1"/>
  <c r="J62" i="16"/>
  <c r="D58" i="95" s="1"/>
  <c r="J71" i="16"/>
  <c r="D67" i="95" s="1"/>
  <c r="J16" i="16"/>
  <c r="D12" i="95" s="1"/>
  <c r="J101" i="16"/>
  <c r="D97" i="95" s="1"/>
  <c r="J13" i="16"/>
  <c r="D9" i="95" s="1"/>
  <c r="J35" i="16"/>
  <c r="J52" i="16"/>
  <c r="D48" i="95" s="1"/>
  <c r="J61" i="16"/>
  <c r="D57" i="95" s="1"/>
  <c r="J20" i="16"/>
  <c r="J58" i="16"/>
  <c r="D54" i="95" s="1"/>
  <c r="J89" i="16"/>
  <c r="D85" i="95" s="1"/>
  <c r="J72" i="16"/>
  <c r="D68" i="95" s="1"/>
  <c r="J69" i="16"/>
  <c r="D65" i="95" s="1"/>
  <c r="J92" i="16"/>
  <c r="D88" i="95" s="1"/>
  <c r="I11" i="175"/>
  <c r="E91" i="16" s="1"/>
  <c r="I11" i="124"/>
  <c r="E40" i="16" s="1"/>
  <c r="I11" i="129"/>
  <c r="E45" i="16" s="1"/>
  <c r="D91" i="95"/>
  <c r="D96" i="95"/>
  <c r="D93" i="95"/>
  <c r="D99" i="95"/>
  <c r="G99" i="95" s="1"/>
  <c r="D78" i="95"/>
  <c r="D77" i="95"/>
  <c r="D95" i="95"/>
  <c r="I11" i="109"/>
  <c r="E25" i="16" s="1"/>
  <c r="C11" i="8"/>
  <c r="D69" i="95" l="1"/>
  <c r="H2" i="95" s="1"/>
  <c r="C105" i="22"/>
  <c r="C102" i="22"/>
  <c r="J40" i="16"/>
  <c r="C103" i="22"/>
  <c r="J25" i="16"/>
  <c r="J91" i="16"/>
  <c r="D87" i="95" s="1"/>
  <c r="J45" i="16"/>
  <c r="C98" i="22"/>
  <c r="C104" i="22"/>
  <c r="C101" i="22"/>
  <c r="C96" i="22"/>
  <c r="C99" i="22"/>
  <c r="C97" i="22"/>
  <c r="C100" i="22"/>
  <c r="C15" i="8"/>
  <c r="C21" i="8"/>
  <c r="H21" i="8" s="1"/>
  <c r="C17" i="8"/>
  <c r="H17" i="8" s="1"/>
  <c r="C18" i="8"/>
  <c r="H18" i="8" s="1"/>
  <c r="C16" i="8"/>
  <c r="G4" i="22"/>
  <c r="G5" i="22"/>
  <c r="E1" i="95"/>
  <c r="B1" i="95" l="1"/>
  <c r="B7" i="95"/>
  <c r="E4" i="16"/>
  <c r="E5" i="16"/>
  <c r="D72" i="8"/>
  <c r="I22" i="8" s="1"/>
  <c r="C95" i="22" l="1"/>
  <c r="C94" i="22"/>
  <c r="C70" i="22" l="1"/>
  <c r="C66" i="22"/>
  <c r="C78" i="22"/>
  <c r="C86" i="22"/>
  <c r="C67" i="22"/>
  <c r="C45" i="22"/>
  <c r="C77" i="22"/>
  <c r="C46" i="22"/>
  <c r="C79" i="22"/>
  <c r="C44" i="22"/>
  <c r="C87" i="22"/>
  <c r="C57" i="22"/>
  <c r="C52" i="22"/>
  <c r="C85" i="22"/>
  <c r="B22" i="22"/>
  <c r="B23" i="22"/>
  <c r="B24" i="22"/>
  <c r="B25" i="22"/>
  <c r="B26" i="22"/>
  <c r="B27" i="22"/>
  <c r="B28" i="22"/>
  <c r="B29" i="22"/>
  <c r="B13" i="22"/>
  <c r="B14" i="22"/>
  <c r="B15" i="22"/>
  <c r="B16" i="22"/>
  <c r="B17" i="22"/>
  <c r="B18" i="22"/>
  <c r="B19" i="22"/>
  <c r="B20" i="22"/>
  <c r="B21" i="22"/>
  <c r="A7" i="16"/>
  <c r="B24" i="8"/>
  <c r="J47" i="8"/>
  <c r="J46" i="8"/>
  <c r="J44" i="8"/>
  <c r="J43" i="8"/>
  <c r="J41" i="8"/>
  <c r="J38" i="8"/>
  <c r="J40" i="8" s="1"/>
  <c r="C50" i="8"/>
  <c r="C51" i="8"/>
  <c r="C52" i="8"/>
  <c r="C53" i="8"/>
  <c r="C5" i="18"/>
  <c r="C62" i="22" l="1"/>
  <c r="C49" i="22"/>
  <c r="C59" i="22"/>
  <c r="C58" i="22"/>
  <c r="C63" i="22"/>
  <c r="C73" i="22"/>
  <c r="C69" i="22"/>
  <c r="C74" i="22"/>
  <c r="C53" i="22"/>
  <c r="C65" i="22"/>
  <c r="C47" i="22"/>
  <c r="C40" i="22"/>
  <c r="C89" i="22"/>
  <c r="C38" i="22"/>
  <c r="C48" i="22"/>
  <c r="C80" i="22"/>
  <c r="C54" i="22"/>
  <c r="C68" i="22"/>
  <c r="C72" i="22"/>
  <c r="C91" i="22"/>
  <c r="C56" i="22"/>
  <c r="C76" i="22"/>
  <c r="C42" i="22"/>
  <c r="C50" i="22"/>
  <c r="C39" i="22"/>
  <c r="C81" i="22"/>
  <c r="C60" i="22"/>
  <c r="C64" i="22"/>
  <c r="C41" i="22"/>
  <c r="C88" i="22"/>
  <c r="C51" i="22"/>
  <c r="C75" i="22"/>
  <c r="C93" i="22"/>
  <c r="C55" i="22"/>
  <c r="C61" i="22"/>
  <c r="C90" i="22"/>
  <c r="C82" i="22"/>
  <c r="C83" i="22"/>
  <c r="C84" i="22"/>
  <c r="C71" i="22"/>
  <c r="C43" i="22"/>
  <c r="C35" i="22"/>
  <c r="C33" i="22"/>
  <c r="C37" i="22"/>
  <c r="C36" i="22"/>
  <c r="C34" i="22"/>
  <c r="C30" i="22"/>
  <c r="C32" i="22"/>
  <c r="C31" i="22"/>
  <c r="J48" i="8"/>
  <c r="C18" i="22" l="1"/>
  <c r="C24" i="22"/>
  <c r="C28" i="22"/>
  <c r="C17" i="22"/>
  <c r="C14" i="22"/>
  <c r="C26" i="22"/>
  <c r="C21" i="22"/>
  <c r="C16" i="22"/>
  <c r="C22" i="22"/>
  <c r="C15" i="22"/>
  <c r="C27" i="22"/>
  <c r="C92" i="22"/>
  <c r="C25" i="22"/>
  <c r="C20" i="22"/>
  <c r="C13" i="22"/>
  <c r="C23" i="22"/>
  <c r="C19" i="22"/>
  <c r="L5" i="22"/>
  <c r="J5" i="16"/>
  <c r="C9" i="8"/>
  <c r="C10" i="8" s="1"/>
  <c r="A7" i="22"/>
  <c r="C29" i="22" l="1"/>
  <c r="N17" i="18"/>
  <c r="D22" i="102" s="1"/>
  <c r="N18" i="18"/>
  <c r="D22" i="103" s="1"/>
  <c r="N19" i="18"/>
  <c r="D22" i="104" s="1"/>
  <c r="N20" i="18"/>
  <c r="D22" i="105" s="1"/>
  <c r="N21" i="18"/>
  <c r="D22" i="106" s="1"/>
  <c r="N22" i="18"/>
  <c r="D22" i="107" s="1"/>
  <c r="N23" i="18"/>
  <c r="D22" i="108" s="1"/>
  <c r="N24" i="18"/>
  <c r="D22" i="109" s="1"/>
  <c r="N25" i="18"/>
  <c r="D22" i="110" s="1"/>
  <c r="N26" i="18"/>
  <c r="D22" i="111" s="1"/>
  <c r="N27" i="18"/>
  <c r="D22" i="112" s="1"/>
  <c r="M11" i="18"/>
  <c r="C22" i="96" s="1"/>
  <c r="M12" i="18"/>
  <c r="C22" i="97" s="1"/>
  <c r="M13" i="18"/>
  <c r="C22" i="98" s="1"/>
  <c r="M14" i="18"/>
  <c r="C22" i="99" s="1"/>
  <c r="M15" i="18"/>
  <c r="C22" i="100" s="1"/>
  <c r="M16" i="18"/>
  <c r="C22" i="101" s="1"/>
  <c r="M17" i="18"/>
  <c r="C22" i="102" s="1"/>
  <c r="M18" i="18"/>
  <c r="C22" i="103" s="1"/>
  <c r="M19" i="18"/>
  <c r="C22" i="104" s="1"/>
  <c r="M20" i="18"/>
  <c r="C22" i="105" s="1"/>
  <c r="M21" i="18"/>
  <c r="C22" i="106" s="1"/>
  <c r="M22" i="18"/>
  <c r="C22" i="107" s="1"/>
  <c r="M23" i="18"/>
  <c r="C22" i="108" s="1"/>
  <c r="M24" i="18"/>
  <c r="C22" i="109" s="1"/>
  <c r="M25" i="18"/>
  <c r="C22" i="110" s="1"/>
  <c r="M26" i="18"/>
  <c r="C22" i="111" s="1"/>
  <c r="M27" i="18"/>
  <c r="C22" i="112" s="1"/>
  <c r="D5" i="18"/>
  <c r="O5" i="18"/>
  <c r="N5" i="18"/>
  <c r="A9" i="1"/>
  <c r="H52" i="19"/>
  <c r="C27" i="16" l="1"/>
  <c r="C26" i="16"/>
  <c r="C18" i="16"/>
  <c r="D27" i="16"/>
  <c r="D19" i="16"/>
  <c r="C19" i="16"/>
  <c r="D28" i="16"/>
  <c r="D20" i="16"/>
  <c r="C25" i="16"/>
  <c r="C17" i="16"/>
  <c r="D26" i="16"/>
  <c r="D18" i="16"/>
  <c r="C24" i="16"/>
  <c r="C16" i="16"/>
  <c r="D25" i="16"/>
  <c r="C23" i="16"/>
  <c r="C15" i="16"/>
  <c r="D24" i="16"/>
  <c r="C22" i="16"/>
  <c r="C14" i="16"/>
  <c r="D23" i="16"/>
  <c r="C21" i="16"/>
  <c r="C13" i="16"/>
  <c r="D22" i="16"/>
  <c r="C28" i="16"/>
  <c r="C20" i="16"/>
  <c r="C12" i="16"/>
  <c r="D21" i="16"/>
  <c r="E47" i="8" l="1"/>
  <c r="F47" i="8"/>
  <c r="G47" i="8"/>
  <c r="H47" i="8"/>
  <c r="I47" i="8"/>
  <c r="D47" i="8"/>
  <c r="E44" i="8"/>
  <c r="F44" i="8"/>
  <c r="G44" i="8"/>
  <c r="H44" i="8"/>
  <c r="I44" i="8"/>
  <c r="D44" i="8"/>
  <c r="E46" i="8"/>
  <c r="F46" i="8"/>
  <c r="G46" i="8"/>
  <c r="H38" i="8"/>
  <c r="H46" i="8" s="1"/>
  <c r="I38" i="8"/>
  <c r="I46" i="8" s="1"/>
  <c r="D46" i="8"/>
  <c r="H4" i="18"/>
  <c r="C4" i="18"/>
  <c r="E2" i="18"/>
  <c r="B12" i="22" l="1"/>
  <c r="B43" i="20"/>
  <c r="B38" i="20"/>
  <c r="B33" i="20"/>
  <c r="B28" i="20"/>
  <c r="B23" i="20"/>
  <c r="B18" i="20"/>
  <c r="B13" i="20"/>
  <c r="C9" i="20"/>
  <c r="C8" i="20"/>
  <c r="A4" i="20"/>
  <c r="B18" i="19"/>
  <c r="C9" i="19"/>
  <c r="C8" i="19"/>
  <c r="A4" i="19"/>
  <c r="B43" i="19"/>
  <c r="B38" i="19"/>
  <c r="B33" i="19"/>
  <c r="B28" i="19"/>
  <c r="B23" i="19"/>
  <c r="B13" i="19"/>
  <c r="C44" i="19" l="1"/>
  <c r="C43" i="19"/>
  <c r="C46" i="19"/>
  <c r="C45" i="19"/>
  <c r="C47" i="19"/>
  <c r="L47" i="19" s="1"/>
  <c r="C47" i="20"/>
  <c r="N47" i="20" s="1"/>
  <c r="C46" i="20"/>
  <c r="N46" i="20" s="1"/>
  <c r="C45" i="20"/>
  <c r="N45" i="20" s="1"/>
  <c r="C44" i="20"/>
  <c r="N44" i="20" s="1"/>
  <c r="C43" i="20"/>
  <c r="N43" i="20" s="1"/>
  <c r="C41" i="19"/>
  <c r="C40" i="19"/>
  <c r="C39" i="19"/>
  <c r="C38" i="19"/>
  <c r="C42" i="19"/>
  <c r="K42" i="19" s="1"/>
  <c r="D40" i="20"/>
  <c r="C39" i="20"/>
  <c r="N39" i="20" s="1"/>
  <c r="C38" i="20"/>
  <c r="N38" i="20" s="1"/>
  <c r="C42" i="20"/>
  <c r="N42" i="20" s="1"/>
  <c r="C41" i="20"/>
  <c r="N41" i="20" s="1"/>
  <c r="C40" i="20"/>
  <c r="N40" i="20" s="1"/>
  <c r="C37" i="19"/>
  <c r="C36" i="19"/>
  <c r="C35" i="19"/>
  <c r="K35" i="19" s="1"/>
  <c r="C34" i="19"/>
  <c r="C33" i="19"/>
  <c r="D34" i="20"/>
  <c r="C37" i="20"/>
  <c r="N37" i="20" s="1"/>
  <c r="C36" i="20"/>
  <c r="N36" i="20" s="1"/>
  <c r="C35" i="20"/>
  <c r="N35" i="20" s="1"/>
  <c r="C34" i="20"/>
  <c r="N34" i="20" s="1"/>
  <c r="C33" i="20"/>
  <c r="N33" i="20" s="1"/>
  <c r="C28" i="19"/>
  <c r="C32" i="19"/>
  <c r="L32" i="19" s="1"/>
  <c r="C31" i="19"/>
  <c r="C30" i="19"/>
  <c r="C29" i="19"/>
  <c r="C31" i="20"/>
  <c r="N31" i="20" s="1"/>
  <c r="C30" i="20"/>
  <c r="N30" i="20" s="1"/>
  <c r="C29" i="20"/>
  <c r="N29" i="20" s="1"/>
  <c r="C28" i="20"/>
  <c r="N28" i="20" s="1"/>
  <c r="C32" i="20"/>
  <c r="N32" i="20" s="1"/>
  <c r="C23" i="20"/>
  <c r="N23" i="20" s="1"/>
  <c r="C27" i="20"/>
  <c r="N27" i="20" s="1"/>
  <c r="C26" i="20"/>
  <c r="N26" i="20" s="1"/>
  <c r="C25" i="20"/>
  <c r="N25" i="20" s="1"/>
  <c r="C24" i="20"/>
  <c r="N24" i="20" s="1"/>
  <c r="D25" i="19"/>
  <c r="C24" i="19"/>
  <c r="C27" i="19"/>
  <c r="C26" i="19"/>
  <c r="C23" i="19"/>
  <c r="C25" i="19"/>
  <c r="J25" i="19" s="1"/>
  <c r="C22" i="20"/>
  <c r="N22" i="20" s="1"/>
  <c r="C21" i="20"/>
  <c r="N21" i="20" s="1"/>
  <c r="C20" i="20"/>
  <c r="N20" i="20" s="1"/>
  <c r="C19" i="20"/>
  <c r="N19" i="20" s="1"/>
  <c r="C18" i="20"/>
  <c r="N18" i="20" s="1"/>
  <c r="C21" i="19"/>
  <c r="K21" i="19" s="1"/>
  <c r="C20" i="19"/>
  <c r="K20" i="19" s="1"/>
  <c r="C19" i="19"/>
  <c r="K19" i="19" s="1"/>
  <c r="C18" i="19"/>
  <c r="K18" i="19" s="1"/>
  <c r="C22" i="19"/>
  <c r="K22" i="19" s="1"/>
  <c r="D13" i="20"/>
  <c r="C17" i="20"/>
  <c r="N17" i="20" s="1"/>
  <c r="D17" i="19"/>
  <c r="C17" i="19"/>
  <c r="D26" i="19"/>
  <c r="D31" i="20"/>
  <c r="D23" i="19"/>
  <c r="D24" i="19"/>
  <c r="D27" i="19"/>
  <c r="P23" i="20"/>
  <c r="P18" i="20"/>
  <c r="P38" i="20"/>
  <c r="C10" i="19"/>
  <c r="O23" i="19"/>
  <c r="O18" i="19"/>
  <c r="O33" i="19"/>
  <c r="O28" i="19"/>
  <c r="O13" i="19"/>
  <c r="O38" i="19"/>
  <c r="O43" i="19"/>
  <c r="D16" i="20"/>
  <c r="D14" i="20"/>
  <c r="D17" i="20"/>
  <c r="C13" i="20"/>
  <c r="N13" i="20" s="1"/>
  <c r="C14" i="20"/>
  <c r="N14" i="20" s="1"/>
  <c r="C15" i="20"/>
  <c r="N15" i="20" s="1"/>
  <c r="D15" i="20"/>
  <c r="C16" i="20"/>
  <c r="N16" i="20" s="1"/>
  <c r="D32" i="20"/>
  <c r="D28" i="20"/>
  <c r="P28" i="20"/>
  <c r="P43" i="20"/>
  <c r="D20" i="20"/>
  <c r="D44" i="20"/>
  <c r="D46" i="20"/>
  <c r="D43" i="20"/>
  <c r="D38" i="20"/>
  <c r="D24" i="20"/>
  <c r="D26" i="20"/>
  <c r="D23" i="20"/>
  <c r="D27" i="20"/>
  <c r="D36" i="20"/>
  <c r="D37" i="20"/>
  <c r="D22" i="20"/>
  <c r="D19" i="20"/>
  <c r="D18" i="20"/>
  <c r="D21" i="20"/>
  <c r="D25" i="20"/>
  <c r="D42" i="20"/>
  <c r="D41" i="20"/>
  <c r="D39" i="20"/>
  <c r="D47" i="20"/>
  <c r="D33" i="20"/>
  <c r="D45" i="20"/>
  <c r="D35" i="20"/>
  <c r="C10" i="20"/>
  <c r="P13" i="20"/>
  <c r="D30" i="20"/>
  <c r="D29" i="20"/>
  <c r="P33" i="20"/>
  <c r="C14" i="19"/>
  <c r="C15" i="19"/>
  <c r="C16" i="19"/>
  <c r="D44" i="19"/>
  <c r="D16" i="19"/>
  <c r="C13" i="19"/>
  <c r="D41" i="19"/>
  <c r="D42" i="19"/>
  <c r="D43" i="19"/>
  <c r="D18" i="19"/>
  <c r="D36" i="19"/>
  <c r="D35" i="19"/>
  <c r="D15" i="19"/>
  <c r="D14" i="19"/>
  <c r="D13" i="19"/>
  <c r="D22" i="19"/>
  <c r="D21" i="19"/>
  <c r="D19" i="19"/>
  <c r="D33" i="19"/>
  <c r="D34" i="19"/>
  <c r="D37" i="19"/>
  <c r="D20" i="19"/>
  <c r="D32" i="19"/>
  <c r="D31" i="19"/>
  <c r="D30" i="19"/>
  <c r="D29" i="19"/>
  <c r="D28" i="19"/>
  <c r="D40" i="19"/>
  <c r="D39" i="19"/>
  <c r="D38" i="19"/>
  <c r="D47" i="19"/>
  <c r="D46" i="19"/>
  <c r="D45" i="19"/>
  <c r="J47" i="19" l="1"/>
  <c r="K47" i="19"/>
  <c r="J35" i="19"/>
  <c r="L42" i="19"/>
  <c r="L35" i="19"/>
  <c r="J32" i="19"/>
  <c r="J42" i="19"/>
  <c r="J22" i="19"/>
  <c r="M35" i="19"/>
  <c r="K32" i="19"/>
  <c r="L22" i="19"/>
  <c r="J26" i="19"/>
  <c r="M42" i="19"/>
  <c r="M47" i="19"/>
  <c r="J37" i="19"/>
  <c r="J39" i="19"/>
  <c r="J46" i="19"/>
  <c r="J44" i="19"/>
  <c r="J43" i="19"/>
  <c r="J34" i="19"/>
  <c r="M32" i="19"/>
  <c r="J33" i="19"/>
  <c r="M22" i="19"/>
  <c r="J29" i="19"/>
  <c r="J36" i="19"/>
  <c r="L39" i="19"/>
  <c r="K39" i="19"/>
  <c r="J17" i="19"/>
  <c r="L17" i="19"/>
  <c r="K17" i="19"/>
  <c r="M17" i="19"/>
  <c r="K27" i="19"/>
  <c r="L27" i="19"/>
  <c r="J27" i="19"/>
  <c r="L28" i="19"/>
  <c r="K28" i="19"/>
  <c r="J28" i="19"/>
  <c r="K43" i="19"/>
  <c r="L43" i="19"/>
  <c r="K44" i="19"/>
  <c r="L44" i="19"/>
  <c r="K45" i="19"/>
  <c r="L45" i="19"/>
  <c r="J45" i="19"/>
  <c r="K30" i="19"/>
  <c r="L30" i="19"/>
  <c r="J30" i="19"/>
  <c r="K33" i="19"/>
  <c r="L33" i="19"/>
  <c r="K34" i="19"/>
  <c r="L34" i="19"/>
  <c r="K29" i="19"/>
  <c r="L29" i="19"/>
  <c r="K13" i="19"/>
  <c r="L13" i="19"/>
  <c r="K40" i="19"/>
  <c r="L40" i="19"/>
  <c r="J40" i="19"/>
  <c r="L14" i="19"/>
  <c r="K14" i="19"/>
  <c r="J23" i="19"/>
  <c r="J38" i="19"/>
  <c r="L24" i="19"/>
  <c r="K24" i="19"/>
  <c r="K25" i="19"/>
  <c r="L25" i="19"/>
  <c r="K26" i="19"/>
  <c r="L26" i="19"/>
  <c r="L23" i="19"/>
  <c r="K23" i="19"/>
  <c r="K31" i="19"/>
  <c r="L31" i="19"/>
  <c r="K41" i="19"/>
  <c r="L41" i="19"/>
  <c r="K15" i="19"/>
  <c r="L15" i="19"/>
  <c r="L38" i="19"/>
  <c r="K38" i="19"/>
  <c r="J41" i="19"/>
  <c r="L36" i="19"/>
  <c r="K36" i="19"/>
  <c r="J16" i="19"/>
  <c r="L16" i="19"/>
  <c r="K16" i="19"/>
  <c r="M16" i="19"/>
  <c r="J31" i="19"/>
  <c r="K46" i="19"/>
  <c r="L46" i="19"/>
  <c r="K37" i="19"/>
  <c r="L37" i="19"/>
  <c r="J24" i="19"/>
  <c r="L18" i="19"/>
  <c r="J18" i="19"/>
  <c r="L20" i="19"/>
  <c r="J20" i="19"/>
  <c r="J19" i="19"/>
  <c r="L19" i="19"/>
  <c r="J21" i="19"/>
  <c r="L21" i="19"/>
  <c r="J14" i="19"/>
  <c r="J15" i="19"/>
  <c r="J13" i="19"/>
  <c r="M26" i="19" l="1"/>
  <c r="M43" i="19"/>
  <c r="M45" i="19"/>
  <c r="M36" i="19"/>
  <c r="M38" i="19"/>
  <c r="M40" i="19"/>
  <c r="M44" i="19"/>
  <c r="M13" i="19"/>
  <c r="M18" i="19"/>
  <c r="M37" i="19"/>
  <c r="M24" i="19"/>
  <c r="M46" i="19"/>
  <c r="M25" i="19"/>
  <c r="M29" i="19"/>
  <c r="M34" i="19"/>
  <c r="M33" i="19"/>
  <c r="M39" i="19"/>
  <c r="M41" i="19"/>
  <c r="M27" i="19"/>
  <c r="M23" i="19"/>
  <c r="M15" i="19"/>
  <c r="M14" i="19"/>
  <c r="M31" i="19"/>
  <c r="M30" i="19"/>
  <c r="M28" i="19"/>
  <c r="M21" i="19"/>
  <c r="M20" i="19"/>
  <c r="M19" i="19"/>
  <c r="N43" i="19" l="1"/>
  <c r="P43" i="19" s="1"/>
  <c r="N33" i="19"/>
  <c r="P33" i="19" s="1"/>
  <c r="N23" i="19"/>
  <c r="P23" i="19" s="1"/>
  <c r="N38" i="19"/>
  <c r="P38" i="19" s="1"/>
  <c r="N13" i="19"/>
  <c r="P13" i="19" s="1"/>
  <c r="N28" i="19"/>
  <c r="N18" i="19"/>
  <c r="P18" i="19" s="1"/>
  <c r="D41" i="8"/>
  <c r="D48" i="8" s="1"/>
  <c r="I43" i="8"/>
  <c r="I40" i="8"/>
  <c r="I14" i="8" l="1"/>
  <c r="I20" i="8"/>
  <c r="I21" i="8"/>
  <c r="O43" i="20"/>
  <c r="Q43" i="20" s="1"/>
  <c r="O38" i="20"/>
  <c r="Q38" i="20" s="1"/>
  <c r="O18" i="20"/>
  <c r="Q18" i="20" s="1"/>
  <c r="O23" i="20"/>
  <c r="Q23" i="20" s="1"/>
  <c r="O33" i="20"/>
  <c r="Q33" i="20" s="1"/>
  <c r="O13" i="20"/>
  <c r="Q13" i="20" s="1"/>
  <c r="O28" i="20"/>
  <c r="Q28" i="20" s="1"/>
  <c r="P28" i="19"/>
  <c r="I41" i="8"/>
  <c r="I48" i="8" s="1"/>
  <c r="I18" i="8" l="1"/>
  <c r="I19" i="8"/>
  <c r="N10" i="18"/>
  <c r="B11" i="16"/>
  <c r="K18" i="8" l="1"/>
  <c r="D11" i="16"/>
  <c r="D18" i="8"/>
  <c r="D17" i="8"/>
  <c r="D22" i="8"/>
  <c r="D16" i="8"/>
  <c r="D21" i="8"/>
  <c r="D15" i="8"/>
  <c r="L8" i="8"/>
  <c r="J14" i="8" s="1"/>
  <c r="M10" i="18"/>
  <c r="C8" i="8"/>
  <c r="B4" i="8"/>
  <c r="C22" i="8" l="1"/>
  <c r="E17" i="8"/>
  <c r="E18" i="8"/>
  <c r="E21" i="8"/>
  <c r="G21" i="8"/>
  <c r="F21" i="8"/>
  <c r="G18" i="8"/>
  <c r="F18" i="8"/>
  <c r="C11" i="16"/>
  <c r="N13" i="18" l="1"/>
  <c r="D22" i="98" s="1"/>
  <c r="N16" i="18"/>
  <c r="D22" i="101" s="1"/>
  <c r="N12" i="18"/>
  <c r="D22" i="97" s="1"/>
  <c r="N14" i="18"/>
  <c r="D22" i="99" s="1"/>
  <c r="N11" i="18"/>
  <c r="D22" i="96" s="1"/>
  <c r="N15" i="18"/>
  <c r="D22" i="100" s="1"/>
  <c r="C9" i="1"/>
  <c r="D16" i="16" l="1"/>
  <c r="D17" i="16"/>
  <c r="D12" i="16"/>
  <c r="D15" i="16"/>
  <c r="D13" i="16"/>
  <c r="D14" i="16"/>
  <c r="D43" i="8"/>
  <c r="D40" i="8"/>
  <c r="G40" i="8"/>
  <c r="G43" i="8"/>
  <c r="F43" i="8"/>
  <c r="F40" i="8"/>
  <c r="H40" i="8"/>
  <c r="H43" i="8"/>
  <c r="E43" i="8"/>
  <c r="E41" i="8"/>
  <c r="E16" i="8" s="1"/>
  <c r="E40" i="8"/>
  <c r="H41" i="8"/>
  <c r="H48" i="8" s="1"/>
  <c r="G41" i="8"/>
  <c r="G48" i="8" s="1"/>
  <c r="F41" i="8"/>
  <c r="E15" i="8" l="1"/>
  <c r="F48" i="8"/>
  <c r="E48" i="8"/>
  <c r="L16" i="8" s="1"/>
  <c r="G16" i="8"/>
  <c r="H16" i="8" s="1"/>
  <c r="F16" i="8"/>
  <c r="G94" i="95" l="1"/>
  <c r="F15" i="8"/>
  <c r="E22" i="8"/>
  <c r="G15" i="8"/>
  <c r="H15" i="8" s="1"/>
  <c r="G17" i="8"/>
  <c r="F17" i="8"/>
  <c r="K14" i="8" l="1"/>
  <c r="L14" i="8" s="1"/>
  <c r="H22" i="8"/>
  <c r="G22" i="8"/>
  <c r="F22" i="8"/>
  <c r="I11" i="8" l="1"/>
  <c r="E11" i="16" s="1"/>
  <c r="J11" i="16" l="1"/>
  <c r="D7" i="95" s="1"/>
  <c r="F2" i="95" l="1"/>
  <c r="F3" i="95" s="1" a="1"/>
  <c r="F3" i="95" s="1"/>
  <c r="J2" i="95"/>
  <c r="E4" i="95"/>
  <c r="F4" i="95" s="1"/>
  <c r="C12" i="22"/>
  <c r="C36" i="95"/>
  <c r="C94" i="95" l="1"/>
  <c r="E94" i="95"/>
  <c r="C92" i="95"/>
  <c r="C78" i="95"/>
  <c r="E25" i="95"/>
  <c r="E92" i="95"/>
  <c r="C77" i="95"/>
  <c r="C79" i="95"/>
  <c r="C86" i="95"/>
  <c r="C75" i="95"/>
  <c r="C25" i="95"/>
  <c r="C32" i="95"/>
  <c r="C17" i="95"/>
  <c r="C34" i="95"/>
  <c r="C100" i="95"/>
  <c r="C43" i="95"/>
  <c r="C11" i="95"/>
  <c r="C38" i="95"/>
  <c r="C95" i="95"/>
  <c r="C22" i="95"/>
  <c r="C99" i="95"/>
  <c r="C8" i="95"/>
  <c r="C23" i="95"/>
  <c r="C96" i="95"/>
  <c r="C12" i="95"/>
  <c r="C30" i="95"/>
  <c r="C16" i="95"/>
  <c r="C9" i="95"/>
  <c r="C20" i="95"/>
  <c r="C21" i="95"/>
  <c r="C45" i="95"/>
  <c r="C26" i="95"/>
  <c r="C13" i="95"/>
  <c r="C18" i="95"/>
  <c r="C28" i="95"/>
  <c r="C29" i="95"/>
  <c r="C24" i="95"/>
  <c r="C33" i="95"/>
  <c r="C31" i="95"/>
  <c r="C10" i="95"/>
  <c r="C37" i="95"/>
  <c r="C93" i="95"/>
  <c r="C47" i="95"/>
  <c r="C46" i="95"/>
  <c r="C39" i="95"/>
  <c r="C40" i="95"/>
  <c r="C19" i="95"/>
  <c r="C42" i="95"/>
  <c r="C91" i="95"/>
  <c r="C14" i="95"/>
  <c r="C97" i="95"/>
  <c r="C27" i="95"/>
  <c r="C98" i="95"/>
  <c r="C35" i="95"/>
  <c r="C15" i="95"/>
  <c r="C44" i="95"/>
  <c r="C41" i="95"/>
  <c r="C7" i="95"/>
  <c r="C61" i="95"/>
  <c r="C83" i="95"/>
  <c r="C58" i="95"/>
  <c r="C88" i="95"/>
  <c r="C80" i="95"/>
  <c r="C81" i="95"/>
  <c r="C85" i="95"/>
  <c r="C90" i="95"/>
  <c r="C53" i="95"/>
  <c r="C67" i="95"/>
  <c r="C50" i="95"/>
  <c r="C56" i="95"/>
  <c r="C57" i="95"/>
  <c r="C49" i="95"/>
  <c r="C87" i="95"/>
  <c r="C54" i="95"/>
  <c r="C59" i="95"/>
  <c r="C62" i="95"/>
  <c r="C72" i="95"/>
  <c r="C65" i="95"/>
  <c r="C66" i="95"/>
  <c r="C71" i="95"/>
  <c r="C84" i="95"/>
  <c r="C51" i="95"/>
  <c r="C64" i="95"/>
  <c r="C74" i="95"/>
  <c r="C63" i="95"/>
  <c r="C76" i="95"/>
  <c r="C70" i="95"/>
  <c r="C73" i="95"/>
  <c r="C60" i="95"/>
  <c r="C55" i="95"/>
  <c r="C68" i="95"/>
  <c r="C82" i="95"/>
  <c r="C48" i="95"/>
  <c r="C69" i="95"/>
  <c r="C52" i="95"/>
  <c r="E91" i="95"/>
  <c r="E95" i="95"/>
  <c r="E100" i="95"/>
  <c r="E97" i="95"/>
  <c r="E93" i="95"/>
  <c r="E96" i="95"/>
  <c r="E98" i="95"/>
  <c r="E99" i="95"/>
  <c r="E7" i="95"/>
  <c r="E82" i="95"/>
  <c r="E30" i="95"/>
  <c r="E76" i="95"/>
  <c r="E26" i="95"/>
  <c r="E44" i="95"/>
  <c r="E27" i="95"/>
  <c r="E61" i="95"/>
  <c r="E47" i="95"/>
  <c r="E46" i="95"/>
  <c r="E57" i="95"/>
  <c r="E69" i="95"/>
  <c r="E43" i="95"/>
  <c r="E70" i="95"/>
  <c r="E58" i="95"/>
  <c r="E60" i="95"/>
  <c r="E22" i="95"/>
  <c r="E21" i="95"/>
  <c r="E23" i="95"/>
  <c r="E88" i="95"/>
  <c r="E89" i="95"/>
  <c r="E75" i="95"/>
  <c r="E78" i="95"/>
  <c r="E64" i="95"/>
  <c r="E68" i="95"/>
  <c r="E45" i="95"/>
  <c r="E56" i="95"/>
  <c r="E41" i="95"/>
  <c r="E42" i="95"/>
  <c r="E36" i="95"/>
  <c r="E38" i="95"/>
  <c r="E18" i="95"/>
  <c r="E24" i="95"/>
  <c r="E66" i="95"/>
  <c r="E28" i="95"/>
  <c r="E80" i="95"/>
  <c r="E48" i="95"/>
  <c r="E53" i="95"/>
  <c r="E83" i="95"/>
  <c r="E85" i="95"/>
  <c r="E14" i="95"/>
  <c r="E87" i="95"/>
  <c r="E8" i="95"/>
  <c r="E31" i="95"/>
  <c r="E54" i="95"/>
  <c r="E62" i="95"/>
  <c r="E71" i="95"/>
  <c r="E10" i="95"/>
  <c r="E55" i="95"/>
  <c r="E63" i="95"/>
  <c r="E84" i="95"/>
  <c r="E11" i="95"/>
  <c r="E86" i="95"/>
  <c r="E37" i="95"/>
  <c r="E12" i="95"/>
  <c r="E77" i="95"/>
  <c r="E39" i="95"/>
  <c r="E67" i="95"/>
  <c r="E16" i="95"/>
  <c r="E19" i="95"/>
  <c r="E51" i="95"/>
  <c r="E59" i="95"/>
  <c r="E79" i="95"/>
  <c r="E17" i="95"/>
  <c r="E9" i="95"/>
  <c r="E52" i="95"/>
  <c r="E32" i="95"/>
  <c r="E34" i="95"/>
  <c r="E72" i="95"/>
  <c r="E90" i="95"/>
  <c r="E40" i="95"/>
  <c r="E74" i="95"/>
  <c r="E50" i="95"/>
  <c r="E29" i="95"/>
  <c r="E13" i="95"/>
  <c r="E20" i="95"/>
  <c r="E81" i="95"/>
  <c r="E73" i="95"/>
  <c r="E65" i="95"/>
  <c r="E49" i="95"/>
  <c r="E33" i="95"/>
  <c r="E35" i="95"/>
  <c r="E15" i="95"/>
  <c r="H3" i="95" l="1"/>
  <c r="G9" i="95" l="1"/>
  <c r="G7" i="95"/>
  <c r="G98" i="95"/>
  <c r="G87" i="95"/>
  <c r="G91" i="95"/>
  <c r="G97" i="95"/>
  <c r="G88" i="95"/>
  <c r="G25" i="95"/>
  <c r="G89" i="95"/>
  <c r="G96" i="95"/>
  <c r="G93" i="95"/>
  <c r="G90" i="95"/>
  <c r="G95" i="95"/>
  <c r="G92" i="95"/>
  <c r="G82" i="95"/>
  <c r="G47" i="95"/>
  <c r="G61" i="95"/>
  <c r="G44" i="95"/>
  <c r="G60" i="95"/>
  <c r="G46" i="95"/>
  <c r="G58" i="95"/>
  <c r="G57" i="95"/>
  <c r="G69" i="95"/>
  <c r="G70" i="95"/>
  <c r="G43" i="95"/>
  <c r="G26" i="95"/>
  <c r="G30" i="95"/>
  <c r="G27" i="95"/>
  <c r="G22" i="95"/>
  <c r="G23" i="95"/>
  <c r="G21" i="95"/>
  <c r="G75" i="95"/>
  <c r="G78" i="95"/>
  <c r="G64" i="95"/>
  <c r="G68" i="95"/>
  <c r="G45" i="95"/>
  <c r="G56" i="95"/>
  <c r="G41" i="95"/>
  <c r="G42" i="95"/>
  <c r="G36" i="95"/>
  <c r="G38" i="95"/>
  <c r="G18" i="95"/>
  <c r="G24" i="95"/>
  <c r="G48" i="95"/>
  <c r="G53" i="95"/>
  <c r="G83" i="95"/>
  <c r="G85" i="95"/>
  <c r="G14" i="95"/>
  <c r="G28" i="95"/>
  <c r="G80" i="95"/>
  <c r="G8" i="95"/>
  <c r="G66" i="95"/>
  <c r="G32" i="95"/>
  <c r="G52" i="95"/>
  <c r="G76" i="95"/>
  <c r="G37" i="95"/>
  <c r="G77" i="95"/>
  <c r="G86" i="95"/>
  <c r="G50" i="95"/>
  <c r="G51" i="95"/>
  <c r="G54" i="95"/>
  <c r="G62" i="95"/>
  <c r="G74" i="95"/>
  <c r="G39" i="95"/>
  <c r="G55" i="95"/>
  <c r="G63" i="95"/>
  <c r="G71" i="95"/>
  <c r="G79" i="95"/>
  <c r="G81" i="95"/>
  <c r="G49" i="95"/>
  <c r="G65" i="95"/>
  <c r="G73" i="95"/>
  <c r="G40" i="95"/>
  <c r="G72" i="95"/>
  <c r="G33" i="95"/>
  <c r="G67" i="95"/>
  <c r="G34" i="95"/>
  <c r="G35" i="95"/>
  <c r="G59" i="95"/>
  <c r="G84" i="95"/>
  <c r="G29" i="95"/>
  <c r="G31" i="95"/>
  <c r="G19" i="95"/>
  <c r="G20" i="95"/>
  <c r="G16" i="95"/>
  <c r="G17" i="95"/>
  <c r="G10" i="95"/>
  <c r="G15" i="95"/>
  <c r="G13" i="95"/>
  <c r="G11" i="95"/>
  <c r="G12" i="95"/>
  <c r="J3" i="95" l="1"/>
  <c r="J4" i="95" s="1"/>
  <c r="I36" i="95" s="1"/>
  <c r="K41" i="22" s="1"/>
  <c r="I94" i="95" l="1"/>
  <c r="I92" i="95"/>
  <c r="K97" i="22" s="1"/>
  <c r="I78" i="95"/>
  <c r="K83" i="22" s="1"/>
  <c r="I77" i="95"/>
  <c r="K82" i="22" s="1"/>
  <c r="I79" i="95"/>
  <c r="K84" i="22" s="1"/>
  <c r="I86" i="95"/>
  <c r="K91" i="22" s="1"/>
  <c r="I75" i="95"/>
  <c r="K80" i="22" s="1"/>
  <c r="I25" i="95"/>
  <c r="K30" i="22" s="1"/>
  <c r="I32" i="95"/>
  <c r="K37" i="22" s="1"/>
  <c r="I17" i="95"/>
  <c r="K22" i="22" s="1"/>
  <c r="I34" i="95"/>
  <c r="K39" i="22" s="1"/>
  <c r="I58" i="95"/>
  <c r="K63" i="22" s="1"/>
  <c r="I76" i="95"/>
  <c r="K81" i="22" s="1"/>
  <c r="I15" i="95"/>
  <c r="K20" i="22" s="1"/>
  <c r="I23" i="95"/>
  <c r="K28" i="22" s="1"/>
  <c r="I73" i="95"/>
  <c r="K78" i="22" s="1"/>
  <c r="I70" i="95"/>
  <c r="K75" i="22" s="1"/>
  <c r="I10" i="95"/>
  <c r="K15" i="22" s="1"/>
  <c r="I30" i="95"/>
  <c r="K35" i="22" s="1"/>
  <c r="I82" i="95"/>
  <c r="K87" i="22" s="1"/>
  <c r="I57" i="95"/>
  <c r="K62" i="22" s="1"/>
  <c r="I88" i="95"/>
  <c r="K93" i="22" s="1"/>
  <c r="I60" i="95"/>
  <c r="K65" i="22" s="1"/>
  <c r="I85" i="95"/>
  <c r="K90" i="22" s="1"/>
  <c r="I64" i="95"/>
  <c r="K69" i="22" s="1"/>
  <c r="I12" i="95"/>
  <c r="K17" i="22" s="1"/>
  <c r="I33" i="95"/>
  <c r="K38" i="22" s="1"/>
  <c r="I9" i="95"/>
  <c r="K14" i="22" s="1"/>
  <c r="I46" i="95"/>
  <c r="K51" i="22" s="1"/>
  <c r="I61" i="95"/>
  <c r="K66" i="22" s="1"/>
  <c r="I16" i="95"/>
  <c r="K21" i="22" s="1"/>
  <c r="I47" i="95"/>
  <c r="K52" i="22" s="1"/>
  <c r="I20" i="95"/>
  <c r="K25" i="22" s="1"/>
  <c r="I7" i="95"/>
  <c r="K12" i="22" s="1"/>
  <c r="I96" i="95"/>
  <c r="I90" i="95"/>
  <c r="K94" i="22" s="1"/>
  <c r="I44" i="95"/>
  <c r="K49" i="22" s="1"/>
  <c r="I95" i="95"/>
  <c r="K99" i="22" s="1"/>
  <c r="I84" i="95"/>
  <c r="K89" i="22" s="1"/>
  <c r="I41" i="95"/>
  <c r="K46" i="22" s="1"/>
  <c r="I81" i="95"/>
  <c r="K86" i="22" s="1"/>
  <c r="I29" i="95"/>
  <c r="K34" i="22" s="1"/>
  <c r="I39" i="95"/>
  <c r="K44" i="22" s="1"/>
  <c r="I71" i="95"/>
  <c r="K76" i="22" s="1"/>
  <c r="I51" i="95"/>
  <c r="K56" i="22" s="1"/>
  <c r="I19" i="95"/>
  <c r="K24" i="22" s="1"/>
  <c r="I45" i="95"/>
  <c r="K50" i="22" s="1"/>
  <c r="I98" i="95"/>
  <c r="K103" i="22" s="1"/>
  <c r="I38" i="95"/>
  <c r="K43" i="22" s="1"/>
  <c r="I97" i="95"/>
  <c r="K102" i="22" s="1"/>
  <c r="I11" i="95"/>
  <c r="K16" i="22" s="1"/>
  <c r="I63" i="95"/>
  <c r="K68" i="22" s="1"/>
  <c r="I50" i="95"/>
  <c r="K55" i="22" s="1"/>
  <c r="I52" i="95"/>
  <c r="K57" i="22" s="1"/>
  <c r="I48" i="95"/>
  <c r="K53" i="22" s="1"/>
  <c r="I59" i="95"/>
  <c r="K64" i="22" s="1"/>
  <c r="I55" i="95"/>
  <c r="K60" i="22" s="1"/>
  <c r="I37" i="95"/>
  <c r="K42" i="22" s="1"/>
  <c r="I22" i="95"/>
  <c r="K27" i="22" s="1"/>
  <c r="I74" i="95"/>
  <c r="K79" i="22" s="1"/>
  <c r="I28" i="95"/>
  <c r="K33" i="22" s="1"/>
  <c r="I49" i="95"/>
  <c r="K54" i="22" s="1"/>
  <c r="I14" i="95"/>
  <c r="K19" i="22" s="1"/>
  <c r="I53" i="95"/>
  <c r="K58" i="22" s="1"/>
  <c r="I62" i="95"/>
  <c r="K67" i="22" s="1"/>
  <c r="I56" i="95"/>
  <c r="K61" i="22" s="1"/>
  <c r="I72" i="95"/>
  <c r="K77" i="22" s="1"/>
  <c r="I80" i="95"/>
  <c r="K85" i="22" s="1"/>
  <c r="I35" i="95"/>
  <c r="K40" i="22" s="1"/>
  <c r="I93" i="95"/>
  <c r="K98" i="22" s="1"/>
  <c r="I91" i="95"/>
  <c r="I40" i="95"/>
  <c r="K45" i="22" s="1"/>
  <c r="I13" i="95"/>
  <c r="K18" i="22" s="1"/>
  <c r="I31" i="95"/>
  <c r="K36" i="22" s="1"/>
  <c r="I27" i="95"/>
  <c r="K32" i="22" s="1"/>
  <c r="I65" i="95"/>
  <c r="K70" i="22" s="1"/>
  <c r="I26" i="95"/>
  <c r="K31" i="22" s="1"/>
  <c r="I8" i="95"/>
  <c r="K13" i="22" s="1"/>
  <c r="I24" i="95"/>
  <c r="K29" i="22" s="1"/>
  <c r="I54" i="95"/>
  <c r="K59" i="22" s="1"/>
  <c r="I87" i="95"/>
  <c r="K92" i="22" s="1"/>
  <c r="I89" i="95"/>
  <c r="I100" i="95"/>
  <c r="K104" i="22" s="1"/>
  <c r="I42" i="95"/>
  <c r="K47" i="22" s="1"/>
  <c r="I83" i="95"/>
  <c r="K88" i="22" s="1"/>
  <c r="I43" i="95"/>
  <c r="K48" i="22" s="1"/>
  <c r="I21" i="95"/>
  <c r="K26" i="22" s="1"/>
  <c r="I67" i="95"/>
  <c r="K72" i="22" s="1"/>
  <c r="I68" i="95"/>
  <c r="K73" i="22" s="1"/>
  <c r="I69" i="95"/>
  <c r="K74" i="22" s="1"/>
  <c r="I18" i="95"/>
  <c r="K23" i="22" s="1"/>
  <c r="I99" i="95"/>
  <c r="I66" i="95"/>
  <c r="K71" i="22" s="1"/>
  <c r="K105" i="22" l="1"/>
  <c r="K96" i="22"/>
  <c r="K95" i="22"/>
  <c r="K100" i="22"/>
  <c r="K101" i="22"/>
  <c r="L13" i="22" l="1"/>
  <c r="L21" i="22"/>
  <c r="L29" i="22"/>
  <c r="L37" i="22"/>
  <c r="L45" i="22"/>
  <c r="L53" i="22"/>
  <c r="L61" i="22"/>
  <c r="L69" i="22"/>
  <c r="L77" i="22"/>
  <c r="L85" i="22"/>
  <c r="L93" i="22"/>
  <c r="L101" i="22"/>
  <c r="L24" i="22"/>
  <c r="L64" i="22"/>
  <c r="L34" i="22"/>
  <c r="L82" i="22"/>
  <c r="L14" i="22"/>
  <c r="L22" i="22"/>
  <c r="L30" i="22"/>
  <c r="L38" i="22"/>
  <c r="L46" i="22"/>
  <c r="L54" i="22"/>
  <c r="L62" i="22"/>
  <c r="L70" i="22"/>
  <c r="L78" i="22"/>
  <c r="L86" i="22"/>
  <c r="L94" i="22"/>
  <c r="L102" i="22"/>
  <c r="L16" i="22"/>
  <c r="L48" i="22"/>
  <c r="L88" i="22"/>
  <c r="L42" i="22"/>
  <c r="L90" i="22"/>
  <c r="L15" i="22"/>
  <c r="L23" i="22"/>
  <c r="L31" i="22"/>
  <c r="L39" i="22"/>
  <c r="L47" i="22"/>
  <c r="L55" i="22"/>
  <c r="L63" i="22"/>
  <c r="L71" i="22"/>
  <c r="L79" i="22"/>
  <c r="L87" i="22"/>
  <c r="L95" i="22"/>
  <c r="L103" i="22"/>
  <c r="L32" i="22"/>
  <c r="L80" i="22"/>
  <c r="L104" i="22"/>
  <c r="L66" i="22"/>
  <c r="L17" i="22"/>
  <c r="L25" i="22"/>
  <c r="L33" i="22"/>
  <c r="L41" i="22"/>
  <c r="L49" i="22"/>
  <c r="L57" i="22"/>
  <c r="L65" i="22"/>
  <c r="L73" i="22"/>
  <c r="L81" i="22"/>
  <c r="L89" i="22"/>
  <c r="L97" i="22"/>
  <c r="L105" i="22"/>
  <c r="L18" i="22"/>
  <c r="L26" i="22"/>
  <c r="L58" i="22"/>
  <c r="L19" i="22"/>
  <c r="L27" i="22"/>
  <c r="L35" i="22"/>
  <c r="L43" i="22"/>
  <c r="L51" i="22"/>
  <c r="L59" i="22"/>
  <c r="L67" i="22"/>
  <c r="L75" i="22"/>
  <c r="L83" i="22"/>
  <c r="L91" i="22"/>
  <c r="L99" i="22"/>
  <c r="L12" i="22"/>
  <c r="L40" i="22"/>
  <c r="L72" i="22"/>
  <c r="L74" i="22"/>
  <c r="L20" i="22"/>
  <c r="L28" i="22"/>
  <c r="L36" i="22"/>
  <c r="L44" i="22"/>
  <c r="L52" i="22"/>
  <c r="L60" i="22"/>
  <c r="L68" i="22"/>
  <c r="L76" i="22"/>
  <c r="L84" i="22"/>
  <c r="L92" i="22"/>
  <c r="L100" i="22"/>
  <c r="L56" i="22"/>
  <c r="L96" i="22"/>
  <c r="L50" i="22"/>
  <c r="L98" i="2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D29" authorId="0" shapeId="0" xr:uid="{00000000-0006-0000-3100-000001000000}">
      <text>
        <r>
          <rPr>
            <sz val="11"/>
            <color theme="1"/>
            <rFont val="Calibri"/>
            <family val="2"/>
            <scheme val="minor"/>
          </rPr>
          <t>======
ID#AAAA5P2Vk6k
AMPM    (2021-01-21 13:38:28)
IDU-CMA-SGI-026-2009</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<sst xmlns="http://schemas.openxmlformats.org/spreadsheetml/2006/main" count="20574" uniqueCount="1433">
  <si>
    <t xml:space="preserve">OBJETO DEL CONTRATO: </t>
  </si>
  <si>
    <t xml:space="preserve">DATOS DEL PROCESO </t>
  </si>
  <si>
    <t xml:space="preserve">MODALIDAD DE CONTRATACION </t>
  </si>
  <si>
    <t>CONCURSO DE MERITOS ABIERTO</t>
  </si>
  <si>
    <t>No. Del Proceso</t>
  </si>
  <si>
    <t>VALOR DEL PROCESO:</t>
  </si>
  <si>
    <t>PRESUPUESTO</t>
  </si>
  <si>
    <t>PLAZO:</t>
  </si>
  <si>
    <t>MESES</t>
  </si>
  <si>
    <t>PRESUPUESTO OFICIAL EN PESOS</t>
  </si>
  <si>
    <t>VALOR SMMLV</t>
  </si>
  <si>
    <t>PRESUPUESTO OFICIAL SMMLV</t>
  </si>
  <si>
    <t>VIGENCIA</t>
  </si>
  <si>
    <t>VALOR</t>
  </si>
  <si>
    <t>CODIGO UNSPSC</t>
  </si>
  <si>
    <t>DESCRIPCION</t>
  </si>
  <si>
    <t>Gerencia de proyectos</t>
  </si>
  <si>
    <t>Ingeniería civil</t>
  </si>
  <si>
    <t>Ingeniería de transporte</t>
  </si>
  <si>
    <t>HABILITADO</t>
  </si>
  <si>
    <t>SI</t>
  </si>
  <si>
    <t>INHABILITADO</t>
  </si>
  <si>
    <t>NO</t>
  </si>
  <si>
    <t>N/A</t>
  </si>
  <si>
    <t>CUMPLE</t>
  </si>
  <si>
    <t>REPORTADO</t>
  </si>
  <si>
    <t>NO CUMPLE</t>
  </si>
  <si>
    <t>NO REPORTADO</t>
  </si>
  <si>
    <t>CONTRATO No. 1</t>
  </si>
  <si>
    <t>CONTRATO No. 2</t>
  </si>
  <si>
    <t>CONTRATO No. 3</t>
  </si>
  <si>
    <t>CONTRATO No. 4</t>
  </si>
  <si>
    <t>CONTRATO No. 5</t>
  </si>
  <si>
    <t>CONTRATO No. 6</t>
  </si>
  <si>
    <t>CONTRATO No. 7</t>
  </si>
  <si>
    <t>PLAZO</t>
  </si>
  <si>
    <t>INFORMACIÓN GENERAL DE LOS PROPONENTES GRUPO 1</t>
  </si>
  <si>
    <t>No.</t>
  </si>
  <si>
    <t>NOMBRE DEL PROPONENTE</t>
  </si>
  <si>
    <t>INTEGRANTE 1</t>
  </si>
  <si>
    <t>% PARTICIPACION</t>
  </si>
  <si>
    <t>INTEGRANTE 2</t>
  </si>
  <si>
    <t>INTEGRANTE 3</t>
  </si>
  <si>
    <t>INTEGRANTE 4</t>
  </si>
  <si>
    <t>INTEGRANTE 5</t>
  </si>
  <si>
    <t>TOTAL INTEGRANTES</t>
  </si>
  <si>
    <t>SUMATORIA 
%PARTICIPACIÓN</t>
  </si>
  <si>
    <t>EUROESTUDIOS INGENIEROS DE CONSULTA SAS</t>
  </si>
  <si>
    <t>Ciudad</t>
  </si>
  <si>
    <t>BOGOTÁ D.C</t>
  </si>
  <si>
    <t>Fecha de Evaluación</t>
  </si>
  <si>
    <t>Fecha de Cierre</t>
  </si>
  <si>
    <t>DATOS GENERALES</t>
  </si>
  <si>
    <t>VALOR MINIMO A CERTIFICAR</t>
  </si>
  <si>
    <t>OBJETO DE LA CONVOCATORIA</t>
  </si>
  <si>
    <t>DE 1 HASTA 4, 5, 6 ó 7</t>
  </si>
  <si>
    <t>VALOR DEL PROCESO EN PESOS</t>
  </si>
  <si>
    <t>VALOR DEL PROCESO EN SMMLV</t>
  </si>
  <si>
    <t>PROPONENTE</t>
  </si>
  <si>
    <t>CONCEPTO FINAL</t>
  </si>
  <si>
    <t>ACREDITACIÓN DE EXPERIENCIA FIGURA ASOCIATIVA</t>
  </si>
  <si>
    <t>TOTAL CONTRATOS VÁLIDOS</t>
  </si>
  <si>
    <t>VALOR TOTAL A ACREDITAR (SMMLV)</t>
  </si>
  <si>
    <t>VALOR TOTAL ACREDITADO (SMMLV)</t>
  </si>
  <si>
    <t>CONCEPTO</t>
  </si>
  <si>
    <t>MIEMBRO UNICO O INTEGRANTES DEL CONSORCIO O UNION TEMPORAL.</t>
  </si>
  <si>
    <t>INTEGRANTE</t>
  </si>
  <si>
    <t>% PARTICIPACIÓN</t>
  </si>
  <si>
    <t>EXPERIENCIA TOTAL APORTADA</t>
  </si>
  <si>
    <t>¿AL MENOS UNO APORTA EL 50% DE EXPERIENCIA?</t>
  </si>
  <si>
    <t>¿APORTA MÍNIMO EL 5% DE EXPERIENCIA?</t>
  </si>
  <si>
    <t>SI NO APORTA ¿TIENE COMO MAXIMO EL 10% DE PARTICIPACIÓN?</t>
  </si>
  <si>
    <t>VALOR PROMEDIO DE CONTRATOS VALIDOS</t>
  </si>
  <si>
    <t xml:space="preserve"> EXP. ESPECIFICA ACREDITADA</t>
  </si>
  <si>
    <t xml:space="preserve"> EXP. ESPECIFICA SOLICITADA</t>
  </si>
  <si>
    <t>TOTAL</t>
  </si>
  <si>
    <t>NÚMERO DE CERTIFICACIONES</t>
  </si>
  <si>
    <t xml:space="preserve">Máximo 5, 6 o 7 contratos </t>
  </si>
  <si>
    <t>OBSERVACIONES</t>
  </si>
  <si>
    <t>INTEGRANTE 1 DEL CONTRATO APORTADO</t>
  </si>
  <si>
    <t>INTEGRANTE 2 DEL CONTRATO APORTADO</t>
  </si>
  <si>
    <t>INTEGRANTE 3 DEL CONTRATO APORTADO</t>
  </si>
  <si>
    <t>DATOS DEL CONTRATO</t>
  </si>
  <si>
    <t>N° del contrato y año de suscripción</t>
  </si>
  <si>
    <t>Objeto</t>
  </si>
  <si>
    <t>Fecha de iniciación del contrato. (dd/mm/aaaa)</t>
  </si>
  <si>
    <t>Fecha de terminación del contrato. (dd/mm/aaaa)</t>
  </si>
  <si>
    <t>Año de terminación para convertir en SMMLV</t>
  </si>
  <si>
    <t>Nombre o razón social del contratante</t>
  </si>
  <si>
    <t>Nombre o razón social del contratista</t>
  </si>
  <si>
    <t>No. Consecutivo RUP</t>
  </si>
  <si>
    <t>Valor final del contrato en SMMLV reportado en el RUP</t>
  </si>
  <si>
    <t>Valor final contrato en pesos</t>
  </si>
  <si>
    <t>Porcentaje de Participación INTEGRANTE 1</t>
  </si>
  <si>
    <t>Valor final según porcentaje de participación INTEGRANTE 1 EN PESOS</t>
  </si>
  <si>
    <t>Valor final según porcentaje de participación INTEGRANTE 1 en SMMLV</t>
  </si>
  <si>
    <t>Porcentaje de Participación INTEGRANTE 2</t>
  </si>
  <si>
    <t>Valor final según porcentaje de participación INTEGRANTE 2 EN PESOS</t>
  </si>
  <si>
    <t>Valor final según porcentaje de participación INTEGRANTE 2 en SMMLV</t>
  </si>
  <si>
    <t>Porcentaje de Participación INTEGRANTE 3</t>
  </si>
  <si>
    <t>Valor final según porcentaje de participación INTEGRANTE 3 EN PESOS</t>
  </si>
  <si>
    <t>Valor final según porcentaje de participación INTEGRANTE 3 en SMMLV</t>
  </si>
  <si>
    <t>VALOR TOTAL ACREDITADO POR CONTRATO</t>
  </si>
  <si>
    <t>REGISTRO UNICO DE PROPONENTES</t>
  </si>
  <si>
    <t>¿RUP vigente y en firme antes del cierre del proceso?</t>
  </si>
  <si>
    <t>¿El contrato se encuentra clasificado en alguno de los anteriores códigos?</t>
  </si>
  <si>
    <t xml:space="preserve">D.Estar relacionados en el “Formato 3 – Experiencia”. Los Proponentes Plurales deben indicar qué integrante aporta cada uno de los contratos señalados en el “Formato 3 – Experiencia”. Este documento debe presentarlo el Proponente Plural y no sus integrantes. </t>
  </si>
  <si>
    <t xml:space="preserve">Los contratos acreditados deben haber terminado antes de la fecha de cierre del presente Proceso de Contratación. </t>
  </si>
  <si>
    <t>CONCEPTO POR CONTRATO</t>
  </si>
  <si>
    <t>DOCUMENTACIÓN PERSONAL</t>
  </si>
  <si>
    <t>REQUISITO</t>
  </si>
  <si>
    <t>CONCEPTO DOCUMENTACION PERSONAL</t>
  </si>
  <si>
    <t>FONDO DE DESARROLLO LOCAL DE KENNEDY</t>
  </si>
  <si>
    <t>PLAZO DEL CONTRATO (MESES)</t>
  </si>
  <si>
    <t>ANTICIPO</t>
  </si>
  <si>
    <t>%</t>
  </si>
  <si>
    <t>RUP VIGENTE Y EN FIRME</t>
  </si>
  <si>
    <t>BALANCE GENERAL Y CERTIFICACION DE ESTADOS FINANCIEROS</t>
  </si>
  <si>
    <t>ESTADO DE RESULTADOS</t>
  </si>
  <si>
    <t>INFORME DE AUDITORIA</t>
  </si>
  <si>
    <t xml:space="preserve">TARJETA PROFESIONAL Y CERTIFICADO DE ANTECEDENTES DEL CONTADOR, REVISOR FISCAL Y AUDITOR </t>
  </si>
  <si>
    <t>FORMATO 4 - CAPACIDAD FINANCIERA Y ORGANIZACIONAL PARA EXTRANJEROS</t>
  </si>
  <si>
    <t>FORMATO 5 - CAPACIDAD RESIDUAL EN EL SEGMENTO 72</t>
  </si>
  <si>
    <t>FORMATO 5 - CAPACIDAD TECNICA</t>
  </si>
  <si>
    <t>FORMATO 5 - SALDO DE CONTRATOS EN EJECUCIÓN</t>
  </si>
  <si>
    <t>K RESIDUAL DOCUMENTOS</t>
  </si>
  <si>
    <t>K RESIDUAL ACREDITADO</t>
  </si>
  <si>
    <t>K RESIDUAL REQUERIDO</t>
  </si>
  <si>
    <t>CONCEPTO
FINAL K RESIDUAL</t>
  </si>
  <si>
    <r>
      <t xml:space="preserve">- El estado de resultados aportado no cuenta con la firma del revisor fiscal según lo solicitado en el pliego de condiciones en el numeral 3.10.2 CALCULO DE LA CAPACIDAD RESIDUAL DEL PROPONENTE (CRP), literal A. CAPACIDAD DE ORGANIZACIÓN, subliteral </t>
    </r>
    <r>
      <rPr>
        <i/>
        <sz val="11"/>
        <color theme="1"/>
        <rFont val="Calibri"/>
        <family val="2"/>
        <scheme val="minor"/>
      </rPr>
      <t>i. Estado de resultados integral (estado de resultado o pérdida o ganancias), del año en que hayan obtenido el mayor ingreso operacional en los últimos cinco (5) años, debidamente firmado por el representante legal, contador y revisor fiscal y/o contador independiente (externo), si están obligados a tenerlos
-</t>
    </r>
    <r>
      <rPr>
        <sz val="11"/>
        <color theme="1"/>
        <rFont val="Calibri"/>
        <family val="2"/>
        <scheme val="minor"/>
      </rPr>
      <t>- Se debe aportar el informe del revisor fiscal 
- Se deben aportar los documentos del revisor fiscal (TP y certificado de antecedentes)
- Debe corregir el Formato 5 - Saldo de contratos en ejecución, toda vez que la fecha de cierre reportada en el formato no coincide con la fecha del cierre del proceso de selección.</t>
    </r>
  </si>
  <si>
    <r>
      <t xml:space="preserve">- El estado de resultados aportado no cuenta con la firma del revisor fiscal según lo solicitado en el pliego de condiciones en el numeral 3.10.2 CALCULO DE LA CAPACIDAD RESIDUAL DEL PROPONENTE (CRP), literal A. CAPACIDAD DE ORGANIZACIÓN, subliteral </t>
    </r>
    <r>
      <rPr>
        <i/>
        <sz val="11"/>
        <color theme="1"/>
        <rFont val="Calibri"/>
        <family val="2"/>
        <scheme val="minor"/>
      </rPr>
      <t>i. Estado de resultados integral (estado de resultado o pérdida o ganancias), del año en que hayan obtenido el mayor ingreso operacional en los últimos cinco (5) años, debidamente firmado por el representante legal, contador y revisor fiscal y/o contador independiente (externo), si están obligados a tenerlos
-</t>
    </r>
    <r>
      <rPr>
        <sz val="11"/>
        <color theme="1"/>
        <rFont val="Calibri"/>
        <family val="2"/>
        <scheme val="minor"/>
      </rPr>
      <t xml:space="preserve">- Se debe aportar el informe del revisor fiscal 
- Se deben aportar los documentos del revisor fiscal (TP y certificado de antecedentes)
</t>
    </r>
  </si>
  <si>
    <t xml:space="preserve">El CIVIL CONSTRUCTOR SAS, no presenta  el informe de auditoria correspondiente. </t>
  </si>
  <si>
    <t>Los integrantes del proponenete no presentan los formatos 5, ni los documentos solicitados en el numeral 3,10, motivo por el cual es imposible calcular el K residual.</t>
  </si>
  <si>
    <t>El contador Neil Constantino Zarate identificado con C.C. 79.055.708 no aporta un certificado de antecedentes de contador vigente, ya que el certificado que se adjunta a la oferta tiene fecha de expedición del 9 de agosto 2021 y estos certificados solamente tienen tres (3) meses de vigencia. Por lo tanto, el certificado aportado por el contador Neil Constantino Zarate, no está vigente a la fecha de la presentación de las ofertas cuya fecha de cierre fue el 26 de noviembre de 2021.
Lo anterior, se hace necesario indicar para dar cumplimiento a lo establecido en el pliego de condiciones y los demás documentos contractuales de la licitación pública FDLK-LP-12-2021.</t>
  </si>
  <si>
    <t>Los proponentes que conforman la UNION TEMPORAL KENNEDY VEHICULAR, NO aportan el informe de auditoría de los estados financieros debidamente suscrito por un revisor fiscal o un contador independiente.
Por otro lado, los dos proponentes que conforman al oferente UNION TEMPORAL KENNEDY VEHICULAR NO aportan la tarjeta profesional de los contadores que firman los documentos presentados en la propuesta, ni tampoco el certificado de antecedentes profesionales vigente de los contadores (certificado de la junta de contadores).
Lo anterior, se hace necesario indicar para dar cumplimiento a lo establecido en el pliego de condiciones y los demás documentos contractuales de la licitación pública FDLK-LP-12-2021.</t>
  </si>
  <si>
    <t>INDICE DE LIQUIDEZ</t>
  </si>
  <si>
    <t>MEJOR INGRESO OPERACIONAL DE LOS ULTIMOS 5 AÑOS</t>
  </si>
  <si>
    <t>VALOR TOTAL CONTRATOS CODIGO 72</t>
  </si>
  <si>
    <t>CANTIDAD DE SOCIOS Y PROFESIONALES DE LA ARQUITECTURA, INGENIERÍA Y GEOLOGÍA VINCULADOS</t>
  </si>
  <si>
    <t>SALDO DE CONTRATOS EN EJECUCIÓN</t>
  </si>
  <si>
    <t>PUNTAJE
EXPERIENCIA (E)</t>
  </si>
  <si>
    <t>CAPACIDAD FINANCIERA (CF)</t>
  </si>
  <si>
    <t>CAPACIDAD TECNICA (CT)</t>
  </si>
  <si>
    <t>K RESIDUAL</t>
  </si>
  <si>
    <t>activo corriemte</t>
  </si>
  <si>
    <t>pasivo corriente</t>
  </si>
  <si>
    <t>ALCALDIA LOCAL DE USAQUEN</t>
  </si>
  <si>
    <t xml:space="preserve">OBJETO DE CONTRATO </t>
  </si>
  <si>
    <t>VALOR DEL CONTRATO</t>
  </si>
  <si>
    <t>CANTIDAD DE INTEGRANTES</t>
  </si>
  <si>
    <t>EVALUACIÓN TÉCNICA</t>
  </si>
  <si>
    <t>EVALUACIÓN JURÍDICA</t>
  </si>
  <si>
    <t>EVALUACIÓN FINANCIERA</t>
  </si>
  <si>
    <t>OFERTA ECONOMICA</t>
  </si>
  <si>
    <t xml:space="preserve">RESULTADO EVALUACIÓN  </t>
  </si>
  <si>
    <t>REQUISITOS HABILITANTES</t>
  </si>
  <si>
    <t>PUNTAJE TOTAL</t>
  </si>
  <si>
    <t>ORDEN DE ELEGIBILIDAD</t>
  </si>
  <si>
    <t>METODO</t>
  </si>
  <si>
    <t>TRM</t>
  </si>
  <si>
    <t>Me</t>
  </si>
  <si>
    <t>MG</t>
  </si>
  <si>
    <t>Promedio</t>
  </si>
  <si>
    <t>Vme</t>
  </si>
  <si>
    <t>Mas cercano</t>
  </si>
  <si>
    <t>Maximo Valor</t>
  </si>
  <si>
    <t>DECIMAL</t>
  </si>
  <si>
    <t>Media A. Alta</t>
  </si>
  <si>
    <t>PUNTAJE MAX</t>
  </si>
  <si>
    <t>N°</t>
  </si>
  <si>
    <t>OFERENTE</t>
  </si>
  <si>
    <t>DIFERENCIA MEDIA GEOMETRICA</t>
  </si>
  <si>
    <t>VALOR PROMEDIO DE EXPERIENCIA (SLMMV)</t>
  </si>
  <si>
    <t>MEDIA GEOMETRICA PUNTAJE</t>
  </si>
  <si>
    <t>MEDIA ARITMETICA ALTA PUNTAJE</t>
  </si>
  <si>
    <r>
      <t xml:space="preserve">3.8.2 EXIGENCIAS MÍNIMAS DE EXPERIENCIA Y FORMACIÓN ACADÉMICA DEL EQUIPO DE TRABAJO (Personal Clave Evaluable)
</t>
    </r>
    <r>
      <rPr>
        <sz val="11"/>
        <color theme="1"/>
        <rFont val="Calibri"/>
        <family val="2"/>
        <scheme val="minor"/>
      </rPr>
      <t xml:space="preserve">Durante el desarrollo del Proceso de Contratación NO se evaluarán los soportes de los perfiles
requeridos, por lo que no serán exigidos como parte de los documentos que conformen la propuesta.
En tal sentido, para habilitarse en el Proceso de Contratación, el Proponente deberá cumplir las
siguientes reglas:
I. Aportar y diligenciar en forma clara, completa, correcta y legible el “Formato 8 - Aceptación
y cumplimiento de la formación académica y la experiencia del personal clave
evaluable”, de acuerdo con los requisitos y condiciones que allí se indican y demás
señaladas en el Pliego de Condiciones y sus documentos anexos.
II. El “Formato 8 – Aceptación y cumplimiento de la formación académica y la experiencia
del personal clave evaluable” debe suscribirlo el Proponente persona natural,
representante legal de la persona jurídica o representante del Proponente Plural.
Director de Interventoría
Residente de interventoría
Especialista en Pavimentos y Geotecnia
</t>
    </r>
    <r>
      <rPr>
        <b/>
        <sz val="11"/>
        <color theme="1"/>
        <rFont val="Calibri"/>
        <family val="2"/>
        <scheme val="minor"/>
      </rPr>
      <t xml:space="preserve">
</t>
    </r>
  </si>
  <si>
    <t xml:space="preserve">Experiencia General: INTERVENTORÍA A PROYECTOS DE: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a las cuales se realizó la interventoría: componentes de seguridad vial o semaforización o puentes.
Nota 2: En todo caso la interventoría a la obra civil en infraestructura vial que se pretenda acreditar como experiencia, debe demostrar las labores de interventoría a la intervención de la estructura del pavimento. 
</t>
  </si>
  <si>
    <t>Experiencia Específica: Por lo menos uno (1) de los contratos válidos aportados como experiencia general donde haya realizado actividades de interventoría para el diagnóstico y/o estudios y diseños, para actividades de conservación de vías.</t>
  </si>
  <si>
    <t xml:space="preserve">En caso de que el Proponente persona natural o jurídica pruebe la calidad de Mipyme y de emprendimiento y empresa de mujeres con domicilio en el territorio nacional de manera conjunta, podrá demostrar la experiencia solicitada con dos (2) contratos adicionales a los cinco (5) inicialmente previstos, para un máximo de siete (7). 
</t>
  </si>
  <si>
    <t>Si el Proponente no diligencie el “Formato 3 – Experiencia”, la Entidad solicitará su subsanación en los términos del numeral 1.6 del Pliego de condiciones.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la interventoría a obras, bienes o servicios ajenos a la obra pública de infraestructura de transporte, en caso de que proceda.</t>
  </si>
  <si>
    <t>Para los contratos que sean aportados por personas jurídicas que no cuentan con más de tres (3) años de constituidas y pretendan acreditar la experiencia de sus socios, accionistas o constituyentes, en los términos establecidos en el numeral 2.5 del artículo 2.2.1.1.1.5.2. del Decreto 1082 de 2015, además del Registro Único de Proponentes (RUP), deben adjuntar un documento suscrito por el representante legal y el revisor fiscal o contador público (según corresponda) donde se indique la conformación de la persona jurídica. La Entidad tendrá en cuenta la experiencia de los accionistas, socios o constituyentes de las sociedades con menos de tres (3) años de constituidas. Pasado este tiempo, la sociedad conservará esta experiencia, tal y como haya quedado registrada en el RUP.</t>
  </si>
  <si>
    <t>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demostrar experiencia. En este último caso, el porcentaje de participación del integrante que no aporta experiencia en la estructura plural no podrá superar el diez por ciento (10 %).
En armonía con lo anterior, para cumplir el requisito previsto en este literal no se solicitará la acreditación de longitudes, magnitudes, volúmenes o porcentajes requeridos en la experiencia específica, sino que bastará con acreditar los SMMLV.</t>
  </si>
  <si>
    <t xml:space="preserve">Cuando el contrato que se aporte para la experiencia haya sido ejecutado por un Consorcio o por una Unión Temporal, y dos (2) o más de sus integrantes conformen un Proponente Plural para participar en el presente proceso, dicho contrato se entenderá aportado como un (1) solo contrato y se tendrá en cuenta para el aporte de la experiencia la sumatoria de los porcentajes de los integrantes del Consorcio o de la Unión Temporal que ejecutaron el contrato y que están participando en el Proceso de Contratación, siempre y cuando en el “Formato 3 – Experiencia” se indique qué integrantes y porcentajes de participación se ofrecen como experiencia. </t>
  </si>
  <si>
    <t xml:space="preserve">ACREDITACIÓN DE LA EXPERIENCIA REQUERIDA
Los Proponentes acreditarán para cada uno de los contratos aportados la siguiente información, mediante alguno de los documentos señalados en la sección 10.1.5 del Pliego de Condiciones: 
I. Contratante.
II. Objeto del contrato.
III. Principales actividades ejecutadas.
IV. Las longitudes, volúmenes, dimensiones, tipologías y demás condiciones de experiencia establecidas en la “Matriz 1 – Experiencia a la cual se le realizó la interventoría, si aplica.
V. La fecha de iniciación de la ejecución del contrato. 
VI. La fecha de terminación de la ejecución del contrato.
VII. Nombre y cargo de la persona que expide la certificación.
VIII.El porcentaje de participación del integrante del Contratista plural, el cual corresponderá con el consignado en el Registro Único de Proponentes (RUP), o en alguno de los documentos válidos para la acreditación de experiencia en caso de que el integrante no esté obligado a tener RUP. . 
IX.Valor total ejecutado. Tratándose de personas obligadas a tener Registro Único de Proponentes (RUP) el valor ejecutado o facturado se tomará del valor registrado en el RUP. 
</t>
  </si>
  <si>
    <t>PARA SUBCONTRATOS
Para acreditar la experiencia de subcontratos, cuyo contrato principal fue suscrito con particulares, se aplicarán las disposiciones establecidas en el numeral anterior.  
Para acreditar la experiencia de contratos derivados de contratos suscritos con Entidades Estatales el Proponente deberá aportar los documentos que se enlistan a continuación:
A. Certificación del subcontrato. Certificación expedida con posterioridad a la fecha de terminación del subcontrato, la cual deberá estar suscrita por el representante legal del contratista del contrato principal, del Concesionario, o del EPC o Consorcio Constructor. Así mismo, debe contener la información requerida en el Pliego de Condiciones para efectos de la acreditación de la experiencia.
B. Certificación expedida por la Entidad Estatal del contrato principal del cual se derivó el subcontrato. Esta certificación debe contener la información básica del contrato principal y la siguiente:
I. Alcance de las actividades de interventoría ejecutadas en el contrato principal
II. Información en la cual se evidencie que la figura de la subcontratación es permitida en el marco del contrato principal. En caso de que no requiera autorización para subcontratar, el Proponente podrá aportar con su propuesta alguno de los siguientes documentos que den cuenta de esa circunstancia: i) copia del contrato o ii) certificación emitida por la Entidad, donde acredite que para subcontratar no se requería autorización.</t>
  </si>
  <si>
    <t xml:space="preserve">PUNTAJE EQUIPO DE TRABAJO (personal clave evaluable)
10 puntos
</t>
  </si>
  <si>
    <t>PUNTAJE EXPERIENCIA DEL PROPONENTE
67,5 puntos</t>
  </si>
  <si>
    <t>FACTOR DE SOSTENIBILIDAD
1 punto</t>
  </si>
  <si>
    <t>PUNTAJE APOYO A LA INDUSTRIA NACIONAL
20 puntos</t>
  </si>
  <si>
    <t>PUNTAJE VINCULACION DE PERSONAS CON DISCAPACIDAD
1 punto</t>
  </si>
  <si>
    <t>PUNTAJE EMPRENDIMIENTOS Y EMPRESAS DE MUJERES
0,25 puntos</t>
  </si>
  <si>
    <t>PUNTAJE MIPYME
0,25 puntos</t>
  </si>
  <si>
    <t>ARINCO SAS</t>
  </si>
  <si>
    <t>CONSULTORES DONOVAN SAS</t>
  </si>
  <si>
    <t>CONSORCIO MALLA VIAL USAQUEN</t>
  </si>
  <si>
    <t>ALIANZA INTEGRAL DE PROYECTOS SAS BIC</t>
  </si>
  <si>
    <t>DF CONSULTORIA SAS</t>
  </si>
  <si>
    <t>INTERVENTORIA Y CONSTRUCIVILES SAS</t>
  </si>
  <si>
    <t>GRUPO METRO COLOMBIA SAS</t>
  </si>
  <si>
    <t>PROBINTEC SAS</t>
  </si>
  <si>
    <t>FORMATO 7</t>
  </si>
  <si>
    <t>FORMATO 6</t>
  </si>
  <si>
    <t>FORMATO 12</t>
  </si>
  <si>
    <t>FORMATO 13</t>
  </si>
  <si>
    <t>FORMATO 9</t>
  </si>
  <si>
    <t>"INTERVENTORÍA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t>
  </si>
  <si>
    <t xml:space="preserve"> FDLUSA-CMA-003-2025</t>
  </si>
  <si>
    <t>11 de NOVIEMBRE de 2025</t>
  </si>
  <si>
    <t>CONSORCIO INTERVIAS USAQUEN AI</t>
  </si>
  <si>
    <t>CONSORCIO PROYECTA VIAL</t>
  </si>
  <si>
    <t>PROYECTOS E INTERVENTORIAS S.A.S.</t>
  </si>
  <si>
    <t>CONSORCIO GAB VIAL USAQUEN 2025</t>
  </si>
  <si>
    <t>CONSORCIO INTER TS 03</t>
  </si>
  <si>
    <t>Inveler Consultoría S.A.S.</t>
  </si>
  <si>
    <t>CONSORCIO VYE USAQUÉN</t>
  </si>
  <si>
    <t>CONSORCIO INGENIERIA PROES LATAM</t>
  </si>
  <si>
    <t>COMPAÑÍA DE PROYECTOS TÉCNICOS CPT S.A.</t>
  </si>
  <si>
    <t>CONSORCIO 3797 KAPROY USAQUEN</t>
  </si>
  <si>
    <t>CONSORCIO MIRALTA</t>
  </si>
  <si>
    <t>INT TERRA</t>
  </si>
  <si>
    <t>CONSORCIO SAN RAFAEL</t>
  </si>
  <si>
    <t>CONSORCIO INTER MALLA USAQUEN</t>
  </si>
  <si>
    <t>GAVINCO INGENIEROS CONSULTORES SAS</t>
  </si>
  <si>
    <t>INGEOCILCON S.A.S.</t>
  </si>
  <si>
    <t>CONSORCIO TORCA</t>
  </si>
  <si>
    <t>CONSORCIO INTER USAQUEN JGK</t>
  </si>
  <si>
    <t>CONSORCIO LGI USAQUÉN</t>
  </si>
  <si>
    <t>CONSORCIO INTERDESARROLLO USAQUÉN</t>
  </si>
  <si>
    <t>COBA B&amp;C SAS</t>
  </si>
  <si>
    <t>CONSORCIO USAQUEN 3M</t>
  </si>
  <si>
    <t>CB INGENIEROS SAS</t>
  </si>
  <si>
    <t>PD USAQUEN</t>
  </si>
  <si>
    <t>VICOS USAQUEN</t>
  </si>
  <si>
    <t>CONSORCIO INTERVENTORIA COANDINA</t>
  </si>
  <si>
    <t>CONSORCIO USAQUEN AVANZA MIC</t>
  </si>
  <si>
    <t>CONSORCIO INTER-USAQUEN 003 HCPC</t>
  </si>
  <si>
    <t>CONSORCIO VIAS USA 2025</t>
  </si>
  <si>
    <t>CONSORCIO VIAL TAED USAQUEN</t>
  </si>
  <si>
    <t>COLOMBOINGENIERIA S.A.S.</t>
  </si>
  <si>
    <t>URBANO - USAQUEN 03</t>
  </si>
  <si>
    <t>CONSORCIO INTERUSAQUEN RH</t>
  </si>
  <si>
    <t>CONSORCIO USAQUEN 2025</t>
  </si>
  <si>
    <t>PRODEINCOL S.A.S.</t>
  </si>
  <si>
    <t>PROYECTOS TECNICOS DE COLOMBIA SAS</t>
  </si>
  <si>
    <t>CONSORCIO INTERPROVIAS USQ</t>
  </si>
  <si>
    <t>CONSORCIO INTER Y19</t>
  </si>
  <si>
    <t>CONSORCIO INTER AXPROCOL</t>
  </si>
  <si>
    <t>CONSERVACIÓN USAQUEN IC</t>
  </si>
  <si>
    <t>CONSORCIO HGR–INCON 13</t>
  </si>
  <si>
    <t>MALLAUSA</t>
  </si>
  <si>
    <t>CONSORCIO VÍAS URBANAS P&amp;C-U-2025</t>
  </si>
  <si>
    <t>GES-USAQUEN-003</t>
  </si>
  <si>
    <t>CONSORCIO SOLIING USAQUEN</t>
  </si>
  <si>
    <t>INEXIA</t>
  </si>
  <si>
    <t>INCOLTA S.A.S.</t>
  </si>
  <si>
    <t>DIN INGENIERIA SAS</t>
  </si>
  <si>
    <t>UNIOBRAS DEL ORIENTE S.A.S</t>
  </si>
  <si>
    <t>INGESCOR S.A.S.</t>
  </si>
  <si>
    <t>CONSORCIO FENIX</t>
  </si>
  <si>
    <t>INGOSER SAS</t>
  </si>
  <si>
    <t>CONSORCIO CUARZO 37</t>
  </si>
  <si>
    <t>INGENIERIA MASTER S.A.S.</t>
  </si>
  <si>
    <t>VERBENAL 25</t>
  </si>
  <si>
    <t>CONSORCIO GL USAQUEN 2025</t>
  </si>
  <si>
    <t>TORRES &amp; ASOCIADOS</t>
  </si>
  <si>
    <t>TRIPLE C SAS</t>
  </si>
  <si>
    <t>CONSORCIO VERTEX</t>
  </si>
  <si>
    <t>UMBRELLA INTERNATIONAL S.A.S</t>
  </si>
  <si>
    <t>ICE S.A.S.</t>
  </si>
  <si>
    <t>CONSORCIO BLUCK</t>
  </si>
  <si>
    <t>CONSORCIO DESARROLLO URBANO USAQUEN</t>
  </si>
  <si>
    <t>PIV Ingenieria S.A.S.</t>
  </si>
  <si>
    <t>TECNUMEC S.A.S.</t>
  </si>
  <si>
    <t>CONSORCIO USAQUÉN VELNEC</t>
  </si>
  <si>
    <t>GEVIAL S.A.S.</t>
  </si>
  <si>
    <t>CONSORCIO HUPK VIAS DE USAQUEN</t>
  </si>
  <si>
    <t>EMPRESA DE INFRAESTRUCTURA COLOMBIANA S.A.S</t>
  </si>
  <si>
    <t>CONSORCIO VIAS LOCALES 2025</t>
  </si>
  <si>
    <t>CONSORCIO MALLA VIAL USA</t>
  </si>
  <si>
    <t>ESCALA CCI SAS</t>
  </si>
  <si>
    <t>C. SAN MARTIN 003</t>
  </si>
  <si>
    <t>CONSORCIO INTERVENTORES GTI 003</t>
  </si>
  <si>
    <t>INGCONSASAS</t>
  </si>
  <si>
    <t>AESA PROYECTOS SAS</t>
  </si>
  <si>
    <t>C INTERUSAQUEN EI</t>
  </si>
  <si>
    <t>ARCA ARQUITECTURA E INGENIERÍA S.A.</t>
  </si>
  <si>
    <t>CONSORCIO VIAL USAQUEN 2026</t>
  </si>
  <si>
    <t>CS USAQUEN JINT 3</t>
  </si>
  <si>
    <t>CONSORCIO MT USAQUEN 2025</t>
  </si>
  <si>
    <t>TERRA PROYECTOS CIVILES SAS</t>
  </si>
  <si>
    <t>ONSORCIO FLU 003 GH 2025</t>
  </si>
  <si>
    <t>INGEVAL SAS</t>
  </si>
  <si>
    <t>INTERVENTORIA TECNICA, ADMINISTRATIVA, FINANCIERA Y AMBIENTAL PARA LA CONSTRUCCION Y REHABILITACION DE RUTAS ALIMENTADORAS DEL SISTEMA TRANSMILENIO, ZONA 7, GRUPO 3 EN BOGOTA D.C., CON FINANCIACION DEL BANCO MUNDIAL EN BOGOTÁ D.C.</t>
  </si>
  <si>
    <t>INTERVENTORÍA TÉCNICA, ADMINISTRATIVA, FINANCIERA, LEGAL, SOCIAL Y AMBIENTAL PARA LA EJECUCIÓN DE OBRAS Y ACTIVIDADES DE CONSERVACIÓN PARA LA MALLA VIAL ARTERIAL E INTERMEDIA EN LAS LOCALIDADES DE RAFAEL URIBE, SAN CRISTOBAL, CANDELARIA Y SANTA FÉ GRUPO 1 Y 2 EN BOGOTÁ D.C.</t>
  </si>
  <si>
    <t>REALIZAR LA INTERVENTORÍA TÉCNICA, ADMINISTRATIVA, FINANCIERA, JURIDICA, SOCIAL, AMBIENTAL Y SST AL CONTRATO DE OBRA PUBLICA QUE TENDRÁ POR OBJETO: CONTRATAR A PRECIOS FIJOS Y A MONTO AGOTABLE LA COMPLEMENTACIÓN Y/O ACTUALIZACIÓN Y/O AJUSTES DE DISEÑOS Y CONSTRUCCIÓN O RECONSTRUCCIÓN DE LA MALLA VIAL ,DE LA LOCALIDAD DE CIUDAD BOLÍVAR, EN BOGOTÁ D.C.</t>
  </si>
  <si>
    <t>IDU-211-2005</t>
  </si>
  <si>
    <t>IDU-002-2013</t>
  </si>
  <si>
    <t>ALC-BOLIVAR-CIN-326-2018</t>
  </si>
  <si>
    <t>INSTITUTO DE DESARROLLO URBANO</t>
  </si>
  <si>
    <t>ALCALDIA LOCAL DE CIUDAD BOLIVAR</t>
  </si>
  <si>
    <t>AIRTIFICIAL   CW INFRASTRUCTURES
COLOMBIA S.A.S.</t>
  </si>
  <si>
    <t xml:space="preserve">INNOBRAS LTDA </t>
  </si>
  <si>
    <t>GRUPO POSSO S.A.S.</t>
  </si>
  <si>
    <t xml:space="preserve">INGENIERÍA MONCADA GONZÁLEZ Y ASOCIADOS S.A.S. </t>
  </si>
  <si>
    <t>Interventoria técnica, adminitrativa y financiera para la construcción de obras de infraestructura vial y de servicios públicos, espacio público, la gestión social y ambiental para la construcción de la siguiente obra identificada asi: MG-20 intersección Avenida Ciudad de Cali con carrera 1ra. que forma parte del plan megaobras aprobadas mediante el acuerdo 0241 de 2008</t>
  </si>
  <si>
    <t xml:space="preserve">CONTROL Y VIGILANCIA DE LAS OBRAS: DIPLICACION DE CARRETERAS DE
ACCESO A LA DÁRSENA DE ESCOMBRERAS. CN-343 (CT-34) CARTAGENA ALUMBRES- ESCOMBRERAS,
PROVINCIA DE MURCIA
</t>
  </si>
  <si>
    <t>ADMINISTRACION VIAL DE LAS CARRETERAS NACIONALES A CARGO DE LA
DIRECCION TERRITORIAL CASANARE CODIGO 6211 VIA SOGAMOSO- AGUAZUL
SECTOR EL CRUCERO AGUAZUL DEL PR 16+0000 ALPR118+0616 CODIGO 6512 VIA
MONTERREY YOPAL SECTOR AGUAZUL YOPAL DEL PR77+0500 AL PR0 105+0448
EN UNA LONGITUD DE 130,85 KM PARA INVERTIR EN EL DEPARTAMENTO DE
CASANARE INCLUYO *INTERVENTORIA A CONTRATOS DE VIAS*</t>
  </si>
  <si>
    <t>4151.0.26.1.5
82 de 2014</t>
  </si>
  <si>
    <t>3740-2013</t>
  </si>
  <si>
    <t>47-MU-5260</t>
  </si>
  <si>
    <t>municipio de cali</t>
  </si>
  <si>
    <t>ministerio de fomento de murcia</t>
  </si>
  <si>
    <t>invias</t>
  </si>
  <si>
    <t>INTERVENTORIA TECNICA, ADMINISTRATIVA, FINANCIERA Y AMBIENTAL PARA LA CONSERVACION DE LA
INFRAESTRUCTURA DEL SISTEMA INTEGRADO DE TRANSPORTE PÙBLICO; TRONCALES DEL SISTEMA
TRANSMILENIO Y RUTAS AUXILIARES, ALIMENTADORAS COMPLEMENTARIAS Y ESPECIALES: TRONCAL AVENIDA
CARACAS Y EL PORTAL TUNAL: Y RUTAS AUXILIARES, ALIMENTADORAS, COMPLEMENTARIAS Y ESPECIALES;
LOCALIDAD DE USME, TUNJUELITO. LOS MARTIRES Y ANTONIO NARIÑO EN BOGOTA D.C. GRUPO B</t>
  </si>
  <si>
    <t>INTERVENTORIA TECNICA, ADMINISTRATIVA, LEGAL, FINANCIERA, SOCIAL, AMBIENTAL Y S&amp;SO PARA LA
CONSTRUCCION DE LAS OBRAS DE AMPLIACION DE LA AVENIDA FRANCISCO MIRANDA (CALLE 45) ENTRE AVENIDA
ALBERTO LLERAS CAMARGO (CARRERA 7) Y CARRERA 13, MEJORAMIENTO GEOMETRICO DE LA CARRERA 13 A LA
AVENIDA CARACAS, DEL ACUERDO 25 DE 1995 DE VALORIZACION EN BOGOTA D.C</t>
  </si>
  <si>
    <t>EJERCER LA INTERVENTORIA PARA LA TERMINACIÓN DE LA CONSTRUCCION AVENIDA LUIS CARLOS GALAN
(PRIMERA ETAPA) SECTOR; CRA 81 A - CRA 97, CORRESPONDIENTE AL CONTRATO DE OBRA NO. 085 DE 1994
SUSCRITO CON EL INGENIERO LUIS GABRIEL NIETO GARCIA</t>
  </si>
  <si>
    <t xml:space="preserve">INTERVENTORIA PARA LOS ESTUDIOS, CONSTRUCCIÓN, MEJORAMIENTO, MANTENIMIENTO Y REHABILITACIÓN DE
LAS VIAS EN EL CONTRATO PLAN DEL DEPARTAMENTO DEL TOLIMA
</t>
  </si>
  <si>
    <t>IDU - 080 -
2012</t>
  </si>
  <si>
    <t>IDU - 1966 -
2013</t>
  </si>
  <si>
    <t>IDU - 027 -
1995</t>
  </si>
  <si>
    <t>1646 - 2014</t>
  </si>
  <si>
    <t>IDU</t>
  </si>
  <si>
    <t>INVIAS</t>
  </si>
  <si>
    <t>INTERVENTORIA TECNICA, ADMINISTRATIVA , FINANCIERA, SOCIAL Y AMBIENTAL PARA  LOS ESTUDIOS Y DISEÑOS DEFINITIVOS Y  PARA LA CONSTRUCCION DE LAS OBRAS A DESARROLLAR EN EL MARCO EL PROGRAMA DE MEJORAMIENTO INTEGRAL DE LOS BARRIOS EN LOS MUNICIPOS DE BARRANCABERMEJA, APARTADO Y LETICIA; INCLUYENDO INTERVENTORIA A LOS PROCESOS DE REASENTAMIENTO Y EL ACOMPAÑAMIENTO SOCIAL</t>
  </si>
  <si>
    <t>EJERCER LA INTERVENTORIA TECNICA, ADMINISTRATIVA, FINANCIERA Y AMBIENTAL A PRECIO GLOBAL FIJO, PARA LA CONSTRUCCION DE VIAS RUTAS ALIMENTADORAS BARRIOS LISBOA Y SANTA CECILIA - OBRA TRANSMILENIO (VIA GAVILANES) EN LA LOCALIDAD DE SUBA, EN BOGOTA</t>
  </si>
  <si>
    <t>INTERVENTORIA MEJORAMIENTO Y MANTENIMIENTO CARRETERA OCAÑA - SARDINATA - CUCUTA. SECTOR ALTO DEL POZO - SARDINATA PR69+000 AL PR 128+000, RUTA 70, TRAMO 7008.</t>
  </si>
  <si>
    <t>INTERVENTORIA TECNICA, ADMINISTRATIVA, FINANCIERA, SOCIAL Y AMBIENTAL PARA LA CONSTRUCCION Y REHABILITACION DE RUTAS ALIMENTADORAS DEL SISTEMA TRASMILENIO, ZONA 2, GRUPO 2, EN BOGOTA DC, CON FINANCIACIÓN DEL BANCO MUNDIAL.</t>
  </si>
  <si>
    <t>INTERVENTORIA TECNICA, ADMINISTRATIVA, FINANCIERA Y AMBIENTAL PARA REALIZAR EL SEGUIMIENTO A LOS CONTRATOS DE OBRA CUYO OBJETO ES MEJORAMIENTO, REHABILITACION DE LAS VIAS SECUNDARIAS DE RIOBLANCO - EL LIMON - CHAPARRAL, CHICORAL - SAN FRANCISCO - CASABLANCA, SANTA ISABEL - JUNIN - LA SIERRITA, GUAMO - RINCO SANTO - LA CHAMBA"</t>
  </si>
  <si>
    <t>689 DE 2009</t>
  </si>
  <si>
    <t>IDU-510 DE 2001</t>
  </si>
  <si>
    <t>2319 DE 2004</t>
  </si>
  <si>
    <t>IDU-BM-190 DE 2005</t>
  </si>
  <si>
    <t>1228 DE 2010</t>
  </si>
  <si>
    <t>MIN MEDIO AMBIENTE, VIVIENDAY DESARROLLO TERRITORIAL</t>
  </si>
  <si>
    <t>GOBERNACION DE TOLIMA</t>
  </si>
  <si>
    <t>CONTRATO 3: ACLARAR QUE TIPO DE VIA CORRESPONDE SI PRIMARIA O SECUNDARIA</t>
  </si>
  <si>
    <t>GAB INGENIERIA SAS</t>
  </si>
  <si>
    <t>BIA INGENIERIA SAS</t>
  </si>
  <si>
    <t>TOTALL INC SAS BIC</t>
  </si>
  <si>
    <t>SISTEMA INGENIERIA, SUCURSAL COLOMBIA</t>
  </si>
  <si>
    <t xml:space="preserve">PROYECTO SANABRIA 
S.A.S. </t>
  </si>
  <si>
    <t xml:space="preserve">BALANCE &amp; INGENERIA 
S.A.S. </t>
  </si>
  <si>
    <t>INVELER CONSULTORIA S.A.S.</t>
  </si>
  <si>
    <t>AIM ENGINEERING S.A.S</t>
  </si>
  <si>
    <t>COMPAÑÍA DE VÍAS, TRANSPORTE Y 
OBRAS PÚBLICAS S.A.S 
 (VIASTOP S.A.S.)</t>
  </si>
  <si>
    <t>PROES LATAM S.A.S.</t>
  </si>
  <si>
    <t xml:space="preserve">PROES COLOMBIA S.A.S. </t>
  </si>
  <si>
    <t>KALPA INGENIERIA SAS
SOCIEDAD DE BENEFICIO E
INTERES COLECTIVO - BIC</t>
  </si>
  <si>
    <t>ROY INGENIERIA SAS</t>
  </si>
  <si>
    <t>LATINOCONSULT S.A.S.</t>
  </si>
  <si>
    <t>INGENIERIA DESARROLLO Y 
CONSULTORIA INDESCO 
S.A.S. BIC</t>
  </si>
  <si>
    <t>INT TERRA S.A.S</t>
  </si>
  <si>
    <t>EL CERTIFICADO DE DISCAPACIDAD ES APORTADO POR LA EMPRESA BALANCE E INGENIERIA SAS. PERO A LA EVALUACIÓN NO CUMPLE CON EL REQUISITO DEL PLIEGO DE APORTAR EL 40% DE LA EXPERIENCIA EXIGIDA</t>
  </si>
  <si>
    <t>NO SE ENCONTRO EL FORMATO 13 EMPRENDIMIENTOS Y EMPRESAS DE MUJERES</t>
  </si>
  <si>
    <t>IDU-1852-15</t>
  </si>
  <si>
    <t>1769 - 2005</t>
  </si>
  <si>
    <t>2013-SS-20-
030</t>
  </si>
  <si>
    <t>Interventoría, técnica, administrativa, legal, financiera, social, ambiental 
y de seguridad y salud en el trabajo para la complementación o 
actualización o ajuste o diseños y construcción de la Av José Celestino 
Mutis (Cl 63), desde la Av. Constitución (AK 70) hasta la Av. Boyacá (AK 
72), código de obra 116, y la intersección de la Av. José Celestino Mutis ( 
Cl 63) por Av. Boyacá (AK 72)</t>
  </si>
  <si>
    <t>Interventoría para el mejoramiento y mantenimiento de la carretera pueblo 
Nuevo-Bosconia-Valledupar-Maicao, incluido acceso a Albania ruta 80, 49, 
88 y 88GJ tramos 8003-80044902-8801 y 80GJ02.</t>
  </si>
  <si>
    <t>Interventoria tecnica, administrativa, financiera, legal para la construccion 
de la doble calzada desde el intercambio vial de la carrera 80, hasta el 
empalme de la via de acceso oriental al tunel Fernando Gomez Martinez, en 
el sector de Loma Hermosa y obras complementarias (Conexion Vial 
Guillermo Gaviria Correa) Incluye construccion de puente peatonal 
metalico</t>
  </si>
  <si>
    <t xml:space="preserve">10/21/2013 </t>
  </si>
  <si>
    <t>7/21/2021</t>
  </si>
  <si>
    <t>11/21/2015</t>
  </si>
  <si>
    <t>GOBERNACION DE ANTIOQUIA</t>
  </si>
  <si>
    <t xml:space="preserve">GAB INGENIERIA SAS </t>
  </si>
  <si>
    <t>BIA Ingenieria SAS (Experiencia 
tomada de su accionista)</t>
  </si>
  <si>
    <t xml:space="preserve">BIA Ingenieria SAS (Experiencia 
tomada de su accionista) </t>
  </si>
  <si>
    <r>
      <t xml:space="preserve"> Contrato 3: </t>
    </r>
    <r>
      <rPr>
        <sz val="11"/>
        <color rgb="FFFF0000"/>
        <rFont val="Calibri"/>
        <family val="2"/>
        <scheme val="minor"/>
      </rPr>
      <t>El proponente debe aclarar si la via corresponde a una via primaria o secunadaria</t>
    </r>
  </si>
  <si>
    <t>SOP-V-109-
2003</t>
  </si>
  <si>
    <t>IDU-UEL-8-134-
00-2001</t>
  </si>
  <si>
    <t xml:space="preserve">Interventoría técnica, administrativa y ambiental,
relacionada con los proyectos: rehabilitación de la vía
Chusacá - Sibaté - Fusagasugá, rehabilitación y
mantenimiento de la vereda el charquito, en k0+145 a
k0+205 derecha y k0+145 a k0+275 izquierdo a partir de la
vía Soacha - mesitas, en el municipio de Soacha;
mejoramiento, rehabilitación y mantenimiento de la calle 2 
entre carreras 3 oste y carrera 2a oeste del barrio San
José del municipio de Sibaté; rehabilitación de la vía
Pandi Venecia - Cabrera, Municipio de Pandi y Venecia,
Departamento de Cundinamarca. </t>
  </si>
  <si>
    <t xml:space="preserve">Ejercer la interventoría técnica, administrativa, financiera
y ambiental a precio global fijo para la evaluación y
rehabilitación de vías en la localidad de Kennedy en
Bogotá </t>
  </si>
  <si>
    <t>Consultoría y asistencia técnica para el control y
vigilancia de las obras nueva carretera autopista GC-1.
tramo: Puerto Rico-Mogán. Isla de Gran Canaria. clave:
CV-0I-GC-238</t>
  </si>
  <si>
    <t>Interventoría a la ejecución de las obras y actividades
necesarias para la conservación de la malla vial arterial
no troncal, en la ciudad de bogotá d.c., grupo 4.</t>
  </si>
  <si>
    <t>Instituto de 
Infraestructura y 
Concesiones de 
Cundinamarca - ICCU</t>
  </si>
  <si>
    <t xml:space="preserve">Instituto de Desarrollo 
Urbano - IDU </t>
  </si>
  <si>
    <t>Gobierno de Canarias - 
Consejería de Obras 
Publicas Transportes y 
Política Territorial</t>
  </si>
  <si>
    <t>SOP-V-618-
2002</t>
  </si>
  <si>
    <t>C-HDS-017-
2003</t>
  </si>
  <si>
    <t>INTERVENTORIA A LAS OBRAS DE PAVIMENTACION Y MEJORAMIENTO VIA GUATANCUY - MATA 
DE UVO MUNICIPIO DE UBATE ( KM2+600 AL KM3+000)</t>
  </si>
  <si>
    <t>Interventoría técnica, administrativa, financiera, jurídica y ambiental para la Construcción de vías en 
pavimento Asfaltico, Hidráulico y acondicionamiento de la infraestructura del complejo industrial 
Acerías Paz del Rio Nobsa Boyacá.</t>
  </si>
  <si>
    <t>13 de 
ene de 2003</t>
  </si>
  <si>
    <t xml:space="preserve"> 20 de 
ene de 2003</t>
  </si>
  <si>
    <t>15 de abr 
de 2003</t>
  </si>
  <si>
    <t>19 de ago 
de 2004</t>
  </si>
  <si>
    <t>DEPARTAMENTO DE 
CUNDINAMARCA 
SECRETARIA DE OBRAS 
PUBLICAS</t>
  </si>
  <si>
    <t>HDS INGENIEROS CIVILES 
LTDA</t>
  </si>
  <si>
    <t>Subsanar CONTRATO 2 NO CUMPLE CON LA EXPERIENCIA GENERAL Y ESPECIFICA. De acuerdo al pliego de condiciones el cual cita: Las auto certificaciones no servirán para acreditar la experiencia requerida, ya que con estas no se puede constatar la ejecución de contratos que deben certificar los terceros que recibieron la obra, bien o servicio. Para la aplicación de esta regla, se entiende por auto certificaciones aquellas expedidas por el mismo Proponente, sus representantes, los integrantes del Proponente Plural o del mismo grupo empresarial para demostrar su propia experiencia. La certificación presentada se encuentra firmada por el señor JUAN CARLOS SANABRIA RODRIGUEZ, el cual hace parte de la empresa Balance &amp; Ingenieria Sas. Lo cuals e evidencia en el documento de composición accionaria. CONTRATO 1 NO CUMPLE CON EXPERIENCIA ESPECIFICA</t>
  </si>
  <si>
    <t>002-2007</t>
  </si>
  <si>
    <t>274- 2002</t>
  </si>
  <si>
    <t>891-2004</t>
  </si>
  <si>
    <t>INTERVENTORIA TECNICA, ADMINISTRATIVA, LEGAL, FINANCIERA Y AMBIENTAL DE LA 
CONSTRUCCION DE INFRAESTRUCTURA DEL SISTEMA INTEGRADO DE TRANSPORTE 
MASIVO PARA EL AREA METROPOLITANA DE BUCARAMANGA, SOBRE LA CARRETERA 
27, ENTRE LA AVENIDA QUEBRADA SECA (K1+093) Y LA CALLE 55 A (K3+150) Y ENTRE 
LA CALLE 58 (K3+300) Y EL INTERCAMBIADOR DE LA PUERTA DEL SOL (K3+570).</t>
  </si>
  <si>
    <t>INTERVENTORIA TECNICA, ADMINISTRATIVA, FINANCIERA Y AMBIENTAL DE LA 
CONSTRUCCIÓN Y ADECUACION DE LA TRONCAL AMERICAS AL SISTEMA 
TRANSMILENIO, TRAMO 1 ENTRE PUENTE ARANDA Y LA CARRERA 70B, EN BOGOTA 
D.C.</t>
  </si>
  <si>
    <t>INTERVENTORIA MEJORAMIENTO Y PAVIMENTACION DE LA CARRETERA 
VILLAGARZON-SARAVENA SECTOR LA CABUYA-HATO COROZAL, RUTA 65 TRAMO 
6514.</t>
  </si>
  <si>
    <t>METROLINEA</t>
  </si>
  <si>
    <r>
      <rPr>
        <b/>
        <sz val="11"/>
        <color rgb="FFFF0000"/>
        <rFont val="Calibri"/>
        <family val="2"/>
        <scheme val="minor"/>
      </rPr>
      <t>CONTRATO 1  NO CUMPLE EXPERIENCIA ESPECIFICA:</t>
    </r>
    <r>
      <rPr>
        <sz val="11"/>
        <color rgb="FFFF0000"/>
        <rFont val="Calibri"/>
        <family val="2"/>
        <scheme val="minor"/>
      </rPr>
      <t xml:space="preserve"> El objeto está enfocado en la construcción de una vía nueva o en la adecuación del sistema de transporte masivo, no en diagnóstico, estudios o diseños para conservación o mantenimiento de una vía existente. CONTRATOS 2 Y 3. NO CUMPLE CON EXPERIENCIA ESPECIFICA. No se evidencia lo exigido en el pliego de condiciones: Experiencia Específica: Por lo menos uno (1) de los contratos válidos aportados como experiencia general donde haya realizado actividades de interventoría para el diagnóstico y/o estudios y diseños, p</t>
    </r>
    <r>
      <rPr>
        <b/>
        <u/>
        <sz val="11"/>
        <color rgb="FFFF0000"/>
        <rFont val="Calibri (Cuerpo)"/>
      </rPr>
      <t>ara actividades de conservación de vías . CONTRATO 3: DEBE ACLARAR EL TIPO DE  VIA CORRESPONDE YA SEA PRIMARIA O SECUNDARIA.</t>
    </r>
  </si>
  <si>
    <t>4600010762 de 2020</t>
  </si>
  <si>
    <t>637 DE 2012</t>
  </si>
  <si>
    <t>248 DE 2017</t>
  </si>
  <si>
    <t>CM 281 DE 2014</t>
  </si>
  <si>
    <t xml:space="preserve">Interventoria técnica, administrativa, ambiental, financiera y legal para el mejoramiento de la vía paso nivel (Ruta 60)-YE Amaga-La Clarita-Angelópolis en los municipios de Amagá y Angelópolis del departamento de Antioquia. </t>
  </si>
  <si>
    <t>Interventoría integral que incluye pero no se limita a la interventoría técnica, financiera, administrativa, juridica, gestión social, predial y ambiental para el mejoramiento del proyecto Villagarzón- San José del Fragua Fase 2 en el programa de corredores prioritarios para la prosperidad -Módulo 3.</t>
  </si>
  <si>
    <t>Interventoría técnica, administrativa, legal, financiera, social, ambiental y de seguridad y salud en el trabajo al contrato cuyo objeto es: contratar bajo la modalidad de precios unitarios fijos y a monto agotable las obras y actividades para la conservación de la malla vial de la localidad de Engativá y su espacio público asociado.</t>
  </si>
  <si>
    <t>Interventoría técnica, administrativa, financiera, socio-ambiental, contable y jurídica para la construcción del intercambio vial de la calle 77 sur y ejecución de sus obras complementarias, en jurisdicción de los Municipios de Itagüí, Sabaneta y La Estrella.</t>
  </si>
  <si>
    <t>DEPARTAMENTO DE ANTIOQUIA</t>
  </si>
  <si>
    <t>ALCALDÍA LOCAL DE ENGATIVÁ</t>
  </si>
  <si>
    <t>ÁREA METROPOLITANA DEL VALLE DE ABURRÁ</t>
  </si>
  <si>
    <t>VIASTOP</t>
  </si>
  <si>
    <t xml:space="preserve"> 1739 de 2015</t>
  </si>
  <si>
    <t>S/N</t>
  </si>
  <si>
    <t>Interventoría para el mejoramiento, gestión predial, social y ambiental de la vía 
Quibdó - Medellín sector Quibdó - El Dieciocho, para el programa "Vías para la 
Equidad"</t>
  </si>
  <si>
    <t xml:space="preserve">Interventoría técnica, administrativa y ambiental para la construcción de un 
Terminal Portuario de Contenedores en el puerto de Buenaventura </t>
  </si>
  <si>
    <t>Asistencia técnica para el control y vigilancia (interventoría) de las obras: 
Acondicionamiento de calzada N-432 de Bajadoz a Granada, p.k 238,1 al 245,2. 
Tramo: Cuesta de Matanzas - Cerro Muriano. Provincia de Córdoba</t>
  </si>
  <si>
    <t xml:space="preserve">Control y vigilancia de las obras: Nuevo puente sobre el Río Miño en Lugo. Tramo: 
Conexión de la N-VI con las carreteras N-543 y LU-612 </t>
  </si>
  <si>
    <t xml:space="preserve"> 3/02/2016</t>
  </si>
  <si>
    <t xml:space="preserve"> 5/10/2004</t>
  </si>
  <si>
    <t xml:space="preserve"> 22/01/2010</t>
  </si>
  <si>
    <t xml:space="preserve"> 15/05/2011</t>
  </si>
  <si>
    <t xml:space="preserve"> 31/01/2012</t>
  </si>
  <si>
    <t>Sociedad Portuaria Terminal de 
Contenedores de Buenaventura 
(TCBuen)</t>
  </si>
  <si>
    <t>Ministerio de Fomento</t>
  </si>
  <si>
    <r>
      <t xml:space="preserve">CONTRATO 4: NO CUMPLE CON EXPERIENCIA GENERAL: LA CUAL CITA: </t>
    </r>
    <r>
      <rPr>
        <i/>
        <sz val="11"/>
        <color rgb="FFFF0000"/>
        <rFont val="Calibri"/>
        <family val="2"/>
        <scheme val="minor"/>
      </rPr>
      <t xml:space="preserve">Nota 1: No se aceptará experiencia en contratos </t>
    </r>
    <r>
      <rPr>
        <b/>
        <i/>
        <u/>
        <sz val="11"/>
        <color rgb="FFFF0000"/>
        <rFont val="Calibri (Cuerpo)"/>
      </rPr>
      <t xml:space="preserve">cuyo objeto o alcance sea exclusivamente </t>
    </r>
    <r>
      <rPr>
        <i/>
        <sz val="11"/>
        <color rgb="FFFF0000"/>
        <rFont val="Calibri"/>
        <family val="2"/>
        <scheme val="minor"/>
      </rPr>
      <t>en cualquiera de las siguientes actividades de obra a las cuales se realizó la interventoría: componentes de seguridad vial o semaforización o</t>
    </r>
    <r>
      <rPr>
        <b/>
        <i/>
        <u/>
        <sz val="11"/>
        <color rgb="FFFF0000"/>
        <rFont val="Calibri (Cuerpo)"/>
      </rPr>
      <t xml:space="preserve"> puentes.</t>
    </r>
    <r>
      <rPr>
        <i/>
        <sz val="11"/>
        <color rgb="FFFF0000"/>
        <rFont val="Calibri"/>
        <family val="2"/>
        <scheme val="minor"/>
      </rPr>
      <t xml:space="preserve">
Nota 2: En todo caso la interventoría a la obra civil en infraestructura vial que se pretenda acreditar como experiencia, </t>
    </r>
    <r>
      <rPr>
        <b/>
        <i/>
        <u/>
        <sz val="11"/>
        <color rgb="FFFF0000"/>
        <rFont val="Calibri (Cuerpo)"/>
      </rPr>
      <t xml:space="preserve">debe demostrar las labores de interventoría a la intervención de la estructura del pavimento. </t>
    </r>
  </si>
  <si>
    <t>246 de 2018</t>
  </si>
  <si>
    <t>036-2007</t>
  </si>
  <si>
    <t>2217 DE 2012</t>
  </si>
  <si>
    <t>402/1999</t>
  </si>
  <si>
    <t>INTERVENTORÍA, TÉCNICA, JURÍDICA, FINANCIERA,
SOCIAL,
AMBIENTAL Y DE SEGURIDAD Y SALUD EN EL
TRABAJO AL CONTRATO” CUYO OBJETO ES:
“REALIZAR LAS OBRAS DE CONSERVACIÓN DE LA
MALLA VIAL EN LA LOCALIDAD DE USAQUÉN Y
SUESPACIO PÚBLICO, EN BOGOTÁ, D.C. ATRAVÉS DEL
SISTEMA DE PRECIOS UNITARIOS FIJOS Y A MONTO
AGOTABLE</t>
  </si>
  <si>
    <t>Interventoría técnica, administrativa, financiera y
ambiental para el mantenimiento correctivo y periódico
de la carretera Bogotá - Choachí desde el K2+000 al
K13+000, en Bogotá D.C</t>
  </si>
  <si>
    <t>Interventoría para el mantenimiento y rehabilitación de
las carreteras San Juan de Pasto Mojarras, Sector Cano
Mojarras, Ruta 25 Tramo 2502 y Cebadal Sandona Pasto
Sector la Florida Pasto, Ruta 2501B Departamento de
Nariño</t>
  </si>
  <si>
    <t>Interventoría Técnica Y Administrativa Al Contrato De
Estudios, Diseño Y Construcción De Pavimentos Locales
De Accesos A Barrios En La Localidad De Engativa
Sector El Muelle</t>
  </si>
  <si>
    <t xml:space="preserve"> 20/02/2019</t>
  </si>
  <si>
    <t>13/052001</t>
  </si>
  <si>
    <t>FDLUSA</t>
  </si>
  <si>
    <t>143 DE
2018</t>
  </si>
  <si>
    <t>915.104.9.0
3.2019</t>
  </si>
  <si>
    <t>IDU-1711-2
022</t>
  </si>
  <si>
    <t>INTERVENTORÍA TÉCNICA, ADMINISTRATIVA, LEGAL, FINANCIERA, SOCIAL,
AMBIENTAL Y SISTEMA DE SEGURIDAD Y SALUD EN EL TRABAJO - SG-SST, DEL
CONTRATO DE OBRA QUE SE DERIVE DE LA LICITACIÓN PUBLICA O LA QUE HAGA SUS
VECES, QUE REFIERE A CONTRATAR POR PRECIOS UNITARIOS FIJOS Y A MONTO
AGOTABLE, SIN FORMULA DE REAJUSTE, LA CONSERVACION DE LA
INFRAESTRUCTURA VIAL URBANA Y RURAL Y EL ESPACIO PUBLICO DE LA LOCALIDAD
DE CHAPINERO, EN BOGOTÁ, D.C.</t>
  </si>
  <si>
    <t>INTERVENTORIA INTEGRAL A LA CONSTRUCCIÓN DE LA TRONCAL ORIENTAL Y
DEMÁS OBRAS COMPLEMENTARIAS DEL SISTEMA INTEGRADO DE TRANSPORTE
MASIVO DE PASAJEROS DE SANTIAGO DE CALI, GRUPO 1: CORREDOR VIAL DE LA
CALLE 70 (AUTOPISTA SIMÓN BOLÍVAR) ENTRE LA AV. 3 NORTE (TERMINAL DE
CABECERA MENGA) Y CARRERA 28D (TERMINAL INTERMEDIA JULIO RINCÓN), TRAMO</t>
  </si>
  <si>
    <t>INTERVENTORÍA A LA EJECUCIÓN DE LA BRIGADA DE REACCIÓN VIAL PARA ATENDER
LA MALLA VIAL DE LA CIUDAD DE BOGOTÁ D.C. GRUPO 1 Y GRUPO 2</t>
  </si>
  <si>
    <t>ALCALDIA LOCAL
DE CHAPINERO -
FONDO DE
DESARROLLO
LOCAL</t>
  </si>
  <si>
    <t>METROCALI</t>
  </si>
  <si>
    <t>172 DE 
2007</t>
  </si>
  <si>
    <t>046 DE 
2003</t>
  </si>
  <si>
    <t>IDU-037-
2004</t>
  </si>
  <si>
    <t>INTERVENTORÍA TÉCNICA, ADMINISTRATIVA, LEGAL, 
FINANCIERA, AMBIENTAL Y SOCIAL DE LAS OBRAS DE 
CONSTRUCCIÓN Y TODAS LAS ACTIVIDADES 
NECESARIAS PARA LAS OBRAS CIVILES DE 
TRANSMILENIO FASE III, GRUPO 3 DEL SISTEMA DE 
TRANSPORTE PÚBLICO MASIVO - TRANSMILENIO EN 
BOGOTÁ D.C</t>
  </si>
  <si>
    <t>INTERVENTORÍA TÉCNICA, ADMINISTRATIVA, 
FINANCIERA Y AMBIENTAL A LOS AJUSTES A LOS 
DISEÑOS Y A LA CONSTRUCCIÓN DE LA ESTACIÓN 
INTERMEDIA DE SAN VICTORINO, LOCALIZADA EN LA 
AV JIMENEZ POR TRONCAL CARACAS PARA EL 
SISTEMA TRANSMILENIO EN BOGOTÁ D.C.</t>
  </si>
  <si>
    <t>EJERCER LA INTERVENTORÍA DE LA 
CONSTRUCCIÓN Y CONSERVACIÓN DE ACCESOS A 
BARRIOS Y PAVIMENTOS LOCALES, PROGRAMA DE 
MEJORAMIENTO INTEGRAL DE BARRIOS EN LA 
LOCALIDAD DE BOSA, GRUPO 2</t>
  </si>
  <si>
    <t>2071476</t>
  </si>
  <si>
    <t>4600058397 DE 
2015</t>
  </si>
  <si>
    <t>4054 DE 2013</t>
  </si>
  <si>
    <t>REALIZAR LA INTERVENTORÍA TECNICA, ADMINISTRATIVA Y
FINANCIERA AL DISEÑO Y CONSTRUCCIÓN DE LAS OBRAS DE
MEJORAMIENTO DE LA TRONCAL DEL MAGDALENA MEDIO
CARRETERA HONDA - RIO ERMITAÑO, RUTA 4510,
COMPRENDIDO ENTRE EL PR 97+000 Y EL PR 106+400</t>
  </si>
  <si>
    <t xml:space="preserve">INTERVENTORÍA A LAS OBRAS DE PARCHEO DE HUECOS Y
PARCHEO ELABORADO DE FALLOS, ASOCIADOS A LA RED VIAL
DE LA CIUDAD. </t>
  </si>
  <si>
    <t>INTERVENTORÍA PARA LA REHABILITACIÓN Y MEJORAMIENTO
DE LA VÍA SOGAMOSO - TASCO PR00+000 AL PR33+000, CON
UNA LONGITUD DE 33 KM, DEPARTAMENTO DE BOYACÁ</t>
  </si>
  <si>
    <t>FONADE</t>
  </si>
  <si>
    <t>MUNICIPIO DE 
MEDELLIN</t>
  </si>
  <si>
    <r>
      <t xml:space="preserve">CONTRATO 1: SON VIAS SECUNDARIAS SEGUN REVISION EN INVIAS. SUBSANAR CONTRATO 2 NO CUMPLE CON LO EXIGIDO EN EL PLIEGO DE CONDICIONES: </t>
    </r>
    <r>
      <rPr>
        <b/>
        <i/>
        <u/>
        <sz val="11"/>
        <color rgb="FFFF0000"/>
        <rFont val="Calibri (Cuerpo)"/>
      </rPr>
      <t>Nota 2: En todo caso la interventoría a la obra civil en infraestructura vial que se pretenda acreditar como experiencia, debe demostrar las labores de interventoría a la intervención de la estructura del pavimento. E</t>
    </r>
    <r>
      <rPr>
        <sz val="11"/>
        <color rgb="FFFF0000"/>
        <rFont val="Calibri (Cuerpo)"/>
      </rPr>
      <t>n la certificación y el acta de recibo final no se evidencia intervención en la estructura de pavimiento, se observa intervenciones superficiales en la carpeta asfaltica</t>
    </r>
  </si>
  <si>
    <t>CODIPRO INGENIERIA LTDA</t>
  </si>
  <si>
    <t>INGEBAMER SAS</t>
  </si>
  <si>
    <t>TAKOA CONSULTORÍA S.A.S</t>
  </si>
  <si>
    <t>VALDOS 22 S.A.S</t>
  </si>
  <si>
    <t xml:space="preserve">PROCIVING SAS </t>
  </si>
  <si>
    <t xml:space="preserve">CIAF LTDA INGENIERIA </t>
  </si>
  <si>
    <t xml:space="preserve">HIDROTECNIA INGENIERIA LTDA </t>
  </si>
  <si>
    <t xml:space="preserve">JESAK S.A.S </t>
  </si>
  <si>
    <t xml:space="preserve">JGF SERVICIOS S.A.S </t>
  </si>
  <si>
    <t>GEOTECNIA Y CIMIENTOS INGEOCIM S. A. S.</t>
  </si>
  <si>
    <t>LÍNEA GLOBAL INGENIERÍA S. A. S.</t>
  </si>
  <si>
    <t>SERVINC SAS</t>
  </si>
  <si>
    <t>BETMAF SAS</t>
  </si>
  <si>
    <t xml:space="preserve">MAB INGENIERÍA DE VALOR S.A. </t>
  </si>
  <si>
    <t>MAB SERVICIOS S.A.S.</t>
  </si>
  <si>
    <t xml:space="preserve">MAB INFRAESTRUCTURA S.A.S. </t>
  </si>
  <si>
    <t>1460 DE 
2009</t>
  </si>
  <si>
    <t xml:space="preserve"> INTERVENTORÍA TÉCNICA, LEGAL, FINANCIERA,  ADMINISTRATIVA, AMBIENTAL, 
PREDIAL Y SOCIAL DEL PROYECTO:  “ESTUDIOS  Y DISEÑOS, GESTIÓN SOCIAL, 
PREDIAL , AMBIENTAL  Y MEJORAMIENTO DEL PROYECTO  TRONCAL CENTRAL DEL 
NORTE"</t>
  </si>
  <si>
    <t xml:space="preserve"> 4/12/2014</t>
  </si>
  <si>
    <t xml:space="preserve"> INSTITUTO 
NACIONAL DE 
VIAS - INVIAS</t>
  </si>
  <si>
    <t xml:space="preserve"> CONSORCIO CHICAMOCHA</t>
  </si>
  <si>
    <t>4055 DE 2013</t>
  </si>
  <si>
    <t>CM - 0003-2018</t>
  </si>
  <si>
    <t>INTERVENTORÍA PARA LA REHABILITACIÓN Y MEJORAMIENTO DE LA VIA MONIQUIRÁ - SANTA SOFIA - VILLA DE LEIVA PR00+000 AL PR38-020, LONGITUD 38,20KM DEPARTAMENTO DE BOYACA</t>
  </si>
  <si>
    <t>INTERVENTORÍA TECNICA ADMINISTRATIVA FINANCIEA Y AMBIENTAL PARA LA REHABILITACIÓN Y PAVIMENTACIÓN DE VIAS SECUNDARIAS Y TERCIARIAS, EN EL DEPARTAMENTO DEL CESAR GRUPO 1 Y GRUPO 2</t>
  </si>
  <si>
    <t xml:space="preserve">INSTITUTO NACIONAL DE VIAS </t>
  </si>
  <si>
    <t>GOBERNACIÓN DEL CESAR</t>
  </si>
  <si>
    <t>:ALEX JOAQUIN OSORIO ARAQUE E.C CONSORCIO ALIANZA JACO</t>
  </si>
  <si>
    <t xml:space="preserve"> 135 DE 
2016</t>
  </si>
  <si>
    <t xml:space="preserve"> 226 DE 
2017</t>
  </si>
  <si>
    <t>447 DE 
2016</t>
  </si>
  <si>
    <t>REALIZAR LA INTERVENTORIA TECNICA, ADMINISTRATIVA, LEGAL, CONTABLE, 
FINANCIERA, SOCIAL, AMBIENTAL Y DE SEGURIDAD Y SALUD EN EL TRABAJO, AL 
CONTRATO DE OBRA PÚBLICA PRODUCTO DE LA LICITACION PUBLICA FDLB-LP-009
2016, CONTRATAR, POR EL SISTEMA DE PRECIOS UNITARIOS FIJOS SIN FORMULA DE 
REAJUSTE, Y A MONTO AGOTABLE LAS INTERVENCIONES INTEGRALES DE 
MANTENIMIENTO Y/O REHABILITACIÓN DE LA  MALLA VIAL INTERMEDIA Y LOCAL DE LA 
LOCALIDAD DE BOSA</t>
  </si>
  <si>
    <t xml:space="preserve"> REALIZAR LA INTERVENTORÍA TÉCNICA, ADMINISTRATIVA, FINANCIERA, JURIDICA, 
SOCIAL, AMBIENTAL Y SISO A LOS CONTRATOS DE OBRA PUBLICA QUE TENDRÁ POR 
OBJETO EJECUTAR A PRECIOS UNITARIOS Y A MONTO AGOTABLE, LAS ACTIVIDADES 
NECESARIAS PARA EL DESARROLLO DE LAS OBRAS DE CONSERVACIÓN DE LA MALLA 
VIAL LOCAL INTERMEDIA, Y ESPACIO PUBLICO DE LA LOCALIDAD DE SAN CRISTÓBAL 
EN LA CIUDAD DE BOGOTÁ D.C. GRUPOS 1, 2 y 3</t>
  </si>
  <si>
    <t xml:space="preserve"> INTERVENTORIA TECNICA, FINANCIERA, ADMINISTRATIVA Y DE CONTROL 
PRESUPUESTAL A PROYECTOS DE INFRAESTRUCTURA Y HABITAT EN EL TERRITORIO 
NACIONAL</t>
  </si>
  <si>
    <t xml:space="preserve"> 2016-12-30</t>
  </si>
  <si>
    <t xml:space="preserve"> 2018-01-17</t>
  </si>
  <si>
    <t xml:space="preserve"> 2018-03-16</t>
  </si>
  <si>
    <t xml:space="preserve"> 2020-04-20</t>
  </si>
  <si>
    <t xml:space="preserve"> GAVINCO INGENIEROS 
CONSULTORES S.A.S</t>
  </si>
  <si>
    <t xml:space="preserve"> BOGOTA DISTRITO CAPITAL - FONDO DE DESARROLLO
 LOCAL DE SAN CRISTOBAL</t>
  </si>
  <si>
    <t>FONDO  DE  DESARROLLO  DE  PROYECTOS  DE
 VALOR DEL CON</t>
  </si>
  <si>
    <t xml:space="preserve"> BOGOTA DISTRITO CAPITAL - FONDO DE DESARROLLO
 LOCAL DE BOSA</t>
  </si>
  <si>
    <t xml:space="preserve"> CONSORCIO GAVINCO-BYGGER</t>
  </si>
  <si>
    <t>CONSORCIO GAVINCO BYG</t>
  </si>
  <si>
    <t xml:space="preserve"> 0201 DE 2022</t>
  </si>
  <si>
    <t>139 DE 2014</t>
  </si>
  <si>
    <t>REALIZAR LA INTERVENTORIA TÉCNICA, ADMINISTRATIVA, 
FINANCIERA, CONTABLE Y AMBIENTAL AL CONTRATO DE 
OBRA, CUYO OBJETO ES LA "REALIZAR LAS OBRAS DE 
REHABILITACIÓN VIAL Y CONSTRUCCIÓN DEL ESPACIO 
PÚBLICO DEL TRAMO 7B: CALLE 5 ENTRE CARRERA 38 A 
VARIANTE Y DEL TRAMO 7C: CALLE 5 ENTRE CARRERA 17 Y 19 
DEL SETP DE LA CIUDAD DE POPAYÁN</t>
  </si>
  <si>
    <t xml:space="preserve"> INTERVENTORÍA TÉCNICA, ADMINISTRATIVA, FINANCIERA, 
LEGAL Y AMBIENTAL PARA LA CONSTRUCCIÓN DE LAS OBRAS 
RELACIONADAS CON LA ADECUACIÓN Y MEJORAMIENTO DEL 
ESPACIO PÚBLICO PASEO URBANO VILLATINA, PASEO 
URBANO DE LA UVA, PASEO URBANO DE TRES ESQUINAS Y 
PLAZOLETA DEL TRECE DE NOVIEMBRE EN LA CIUDAD DE 
MEDELLÍN.</t>
  </si>
  <si>
    <t xml:space="preserve"> SISTEMA ESTRATEGICO DE 
TRANSPORTE PUBLICO DE 
PASAJEROS DE POPAYAN 
MOVILIDAD FUTURA S.A.S</t>
  </si>
  <si>
    <t xml:space="preserve"> EMPRESA   DE 
DESARROLLO URBANO - 
EDU</t>
  </si>
  <si>
    <t xml:space="preserve"> INGEOCILCON S.A.S</t>
  </si>
  <si>
    <t xml:space="preserve"> 2491 DE 2005</t>
  </si>
  <si>
    <t xml:space="preserve"> 2480 DE 2005</t>
  </si>
  <si>
    <t xml:space="preserve"> 101051-008-2022 
(PAF-INVIAS-I-087
2021)</t>
  </si>
  <si>
    <t xml:space="preserve"> CT-120 - 2023</t>
  </si>
  <si>
    <t xml:space="preserve"> 857 DE 2022</t>
  </si>
  <si>
    <t xml:space="preserve"> INTERVENTORÍA DE LOS ESTUDIOS Y DISEÑOS, PAVIMENTACIÓN Y/O REPAVIMENTACIÓN 
DE LAS VÍAS INCLUIDAS DENTRO DEL PROGRAMA DE PAVIMENTACIÓN DE 
INFRAESTRUCTURA VIAL DE INTEGRACIÓN Y DESARROLLO GRUPO 86 TRAMO 1 VÍA EL 
VIAJANO - SAN MARCOS - MAJAGUAL - ACHI CON UNA LONGITUD DE 48,00 KMS EN EL 
DEPARTAMENTO DE SUCRE.</t>
  </si>
  <si>
    <t xml:space="preserve"> INTERVENTORÍA DE LOS ESTUDIOS Y DISEÑOS, PAVIMENTACIÓN Y/O REPAVIMENTACIÓN 
DE LAS VÍAS INCLUIDAS DENTRO DEL PROGRAMA DE PAVIMENTACIÓN DE 
INFRAESTRUCTURA VIAL DE INTEGRACIÓN Y DESARROLLO GRUPO 15 TRAMO 1 MOMPOX - 
BOTON DE LEYVA DEL K4+500 AL K30+260 EN LAS SIGUIENTES ABSCISAS DEL K4+500 AL 
K6+000 Y DEL K15+500 AL K30+260 CON UNA LONGITUD DE 16,26 KILOMETROS EN EL 
DEPARTAMENTO DE BOLÍVAR.</t>
  </si>
  <si>
    <t xml:space="preserve"> INTERVENTORÍA PARA LA REHABILITACIÓN Y MEJORAMIENTO DE LA VÍA MONIQUIRÁ - 
SANTA SOFÍA - VILLA DE LEYVA PR00+000 AL PR38+020, LONGITUD 38,2 KM. 
DEPARTAMENTO DE BOYACÁ.</t>
  </si>
  <si>
    <t xml:space="preserve"> INTERVENTORÍA INTEGRAL (TÉCNICA, ADMINISTRATIVA, FINANCIERA, CONTABLE, 
AMBIENTAL, SOCIAL, DE SOSTENIBILIDAD, PREDIAL Y JURÍDICA) A LA GESTION Y 
MANTENIMIENTO VIAL INTEGRAL DE LAS CARRETERAS PEREIRA – LA VICTORIA Y EL 
POLLO - LA ROMELIA Y MANTENIMIENTO Y MEJORAMIENTO, DE LA CARRETERA CERRITOS - 
CAUYA - LA FELISA EN LOS DEPARTAMENTOS DE CALDAS, RISARALDA Y VALLE DEL 
CAUCA</t>
  </si>
  <si>
    <t xml:space="preserve"> INTERVENTORÍA TÉCNICA, FINANCIERA Y ADMINISTRATIVA PARA EL MEJORAMIENTO DE 
LAS VÍAS RURALES, Y URBANAS FASE I, EN EL MUNICIPIO DE CABRERA – CUNDINAMARCA</t>
  </si>
  <si>
    <t xml:space="preserve"> INTERVENTORIA TÉCNICA, ADMINISTRATIVA, FINANCIERA, AMBIENTAL Y LEGAL AL 
"MEJORAMIENTO Y REHABILITACIÓN DE LA VIA QUE COMUNICA EL MUNICIPIO DE 
ZIPAQUIRÁ CON LA INSPECCIÓN DE BRICEÑO (MUNICIPIO DE SOPÓ), DEPARTAMENTO DE 
CUNDINAMARCA EN EL MARCO DEL PLAN 500 </t>
  </si>
  <si>
    <t xml:space="preserve"> 5/12/2005</t>
  </si>
  <si>
    <t xml:space="preserve"> 30/12/2013</t>
  </si>
  <si>
    <t xml:space="preserve"> 17/02/2022</t>
  </si>
  <si>
    <t xml:space="preserve"> 15/12/2009</t>
  </si>
  <si>
    <t xml:space="preserve"> 1/09/2009</t>
  </si>
  <si>
    <t xml:space="preserve"> 30/05/2024</t>
  </si>
  <si>
    <t xml:space="preserve"> 18/06/2024</t>
  </si>
  <si>
    <t xml:space="preserve"> 11/03/2024</t>
  </si>
  <si>
    <t xml:space="preserve"> CIAF LTDA INGENIERIA</t>
  </si>
  <si>
    <t xml:space="preserve"> INSTITUTO NACIONAL DE VIAS - INVIAS</t>
  </si>
  <si>
    <t>PATRIMONIO AUTONOMO P.A. FINDETER (PAF), CUYO VOCERO Y ADMINISTRADOR ES FIDUCIARIA LA PREVISORA S.A.</t>
  </si>
  <si>
    <t>PROCIVING SAS</t>
  </si>
  <si>
    <t xml:space="preserve"> INSTITUTO NACIONAL DE 
VIAS - INVIAS</t>
  </si>
  <si>
    <t>CONSORCIO AJC 2500</t>
  </si>
  <si>
    <t>MUNICIPIO DE CABRERA</t>
  </si>
  <si>
    <t xml:space="preserve"> INSTITUTO DE 
INFRAESTRUCTURA Y 
CONCESIONES DE
 CUNDINAMARCA</t>
  </si>
  <si>
    <t xml:space="preserve"> 1696 DE 
2014</t>
  </si>
  <si>
    <t xml:space="preserve"> INTERVENTORÍA TÉCNICA, ADMINISTRATIVA,  FINANCIERA, 
LEGAL, SOCIAL Y SEGURIDAD INDUSTRIAL, SALUD EN EL 
TRABAJO Y MEDIO AMBIENTE DE LAS OBRAS Y ACTIVIDADES 
PARA LA  CONSERVACIÓN DE LA MALLA VIAL ARTERIAL 
TRONCAL Y MALLA VIAL INTERMEDIA QUE SOPORTA LAS 
RUTAS DEL SISTEMA INTEGRADO DE TRANSPORTE – SITP - 
GRUPO 10, 2014 EN LA CIUDAD DE BOGOTÁ D.C</t>
  </si>
  <si>
    <t xml:space="preserve"> 28/11/2014</t>
  </si>
  <si>
    <t xml:space="preserve"> 28/10/2015</t>
  </si>
  <si>
    <t xml:space="preserve"> VLADIMIR POLO PAZ</t>
  </si>
  <si>
    <t xml:space="preserve"> Contrato No. 
1704 de 2014</t>
  </si>
  <si>
    <t>Contrato No. 
078 de 2012</t>
  </si>
  <si>
    <t xml:space="preserve"> Contrato 44 
de 2010</t>
  </si>
  <si>
    <t>Contrato 
2015-00457</t>
  </si>
  <si>
    <t>Contrato 2015
00459</t>
  </si>
  <si>
    <t>Interventoría técnica, administrativa, financiera, legal, social y 
seguridad industrial, salud en el trabajo y medio ambiente de las 
obras y actividades para la conservación de la malla vial arterial 
troncal y malla vial intermedia que soporta las rutas del Sistema 
Integrado de Transporte- SITP- Grupo 4: Troncal Calle 26 
(Localidades Fontibón y Puente Aranda)</t>
  </si>
  <si>
    <t xml:space="preserve"> Interventoría técnica, administrativa, financiera, legal, social y 
ambiental para la conservación de la infraestructura del Sistema 
Integrado de Transporte Publico: Troncales del Sistema Transmilenio 
y rutas auxiliares alimentadoras, complementarias y especiales: 
Localidades de Santa Fe, San Cristóbal, La Candelaria y Rafael Uribe 
Uribe en Bogotá, D. C. Grupo 7</t>
  </si>
  <si>
    <t xml:space="preserve"> Ajustes de estudios y diseños de la pretroncal Envigado e 
interventoría de la construcción del corredor parcial de Envigado, 
tramo de la carrera 43A (Av. El Poblado) entre calles 39 Sur y 50 Sur, 
longitud 1.8 km, para el sistema Metroplús del Valle de Aburrá.</t>
  </si>
  <si>
    <t xml:space="preserve">
 Interventoría para la construcción de la ampliación a doble calzada de 
la Loma de Los Parra (calle 1 Sur) entre la Av. El Poblado (carrera 
43A) y la Av. 34, y obras complementarias.</t>
  </si>
  <si>
    <t xml:space="preserve"> Interventoría para la construcción del paso a desnivel de la 
Transversal Inferior (carrera 32) con la Loma de Los Parra (calle 1 
Sur) y del paso a desnivel de la Transversal Inferior (carrera 32) con 
la Loma de Los González (calle 5 Sur) y obras complementarias.</t>
  </si>
  <si>
    <t xml:space="preserve"> 14-jun-16</t>
  </si>
  <si>
    <t xml:space="preserve"> 16-jun-16</t>
  </si>
  <si>
    <t xml:space="preserve"> 3-nov-15</t>
  </si>
  <si>
    <t xml:space="preserve"> 12-may-14</t>
  </si>
  <si>
    <t xml:space="preserve"> 21-sep-12</t>
  </si>
  <si>
    <t xml:space="preserve"> 9-mar-18</t>
  </si>
  <si>
    <t xml:space="preserve"> INSTITUTO DE DESARROLLO URBANO - ID</t>
  </si>
  <si>
    <t xml:space="preserve"> INSTITUTO DE DESARROLLO URBANO - IDU</t>
  </si>
  <si>
    <t>METROPLUS S.A</t>
  </si>
  <si>
    <t>FONDO DE VALORIZACION DEL MUNICIPIO DE MEDELLIN</t>
  </si>
  <si>
    <t xml:space="preserve"> MUNICIPIO DE MEDELLIN</t>
  </si>
  <si>
    <t xml:space="preserve"> CONSORCIO INCOP</t>
  </si>
  <si>
    <t>CONSORCIO SITP</t>
  </si>
  <si>
    <t>CONSORCIO METROPLUS TRAMO 1</t>
  </si>
  <si>
    <t>CONSORCIO LOS PARRA II</t>
  </si>
  <si>
    <t xml:space="preserve"> CONSORCIO EL POBLADO</t>
  </si>
  <si>
    <t xml:space="preserve"> IDU-UEL-01-02-12-871-00-99</t>
  </si>
  <si>
    <t>SOP-V-049-2006</t>
  </si>
  <si>
    <t xml:space="preserve"> IDU-182 DE 2007</t>
  </si>
  <si>
    <t>710 DE 16 DE NOVIEMBRE DE 
2010</t>
  </si>
  <si>
    <t>TC-CPN-001-2013</t>
  </si>
  <si>
    <t xml:space="preserve"> 171 DE NOVIEMBRE 29 DE 2007</t>
  </si>
  <si>
    <t xml:space="preserve"> 1228 DE 2017</t>
  </si>
  <si>
    <t>EJERCERAPRECIOGLOBALFIJO,LAINTERVENTORÍAPARALOS
 ESTUDIOS, DISEÑOS Y CONSTRUCCIÓN DE VÍAS EN LAS
 LOCALIDADESDEUSAQUÉN,CHAPINEROYBARRIOSUNIDOSDE
 SANTA FE DE BOGOTA D.C.</t>
  </si>
  <si>
    <t xml:space="preserve"> INTERVENTORÍATÉCNICA,SOCIOAMBIENTAL,ADMINISTRATIVAY
 FINANCIERADELOSPROYECTO: 1.-REHABILITACIÓNDELAVÍA
 TENJO-LAPUNTA-SIBERIA–TENJO–TABIO-CAJICA,MUNICIPIO
 TENJO. 2.-MEJORAMIENTO DE LA VÍA SUBACHOQUE. 3
ESTUDIOS,DISEÑOSYPAVIMENTACIÓNVÍACASCOURBANODE
 MADRID-LOS ARBOLES PUENTE PIEDRA EN EL MUNICIPIO
 MADRID. 4-MEJORAMIENTODELAVÍAZIPAQUIRÁ-NEMOCÓN
SUESCA, MUNICIPIOZIPAQUIRÁ. 5-REHABILITACIÓNDE LAVÍA
 CAPELLANÍA-GUACHETÁ. 6.-MEJORAMIENTOYPAVIMENTACIÓN
 DE LA VÍA AUTOPISTA A MEDELLÍN PARQUE LA FLORIDA
 COSTADOOCCIDENTALAEROPUERTOELDORADO,MUNICIPIODE
 COTACUNDINAMARCA7.-MEJORAMIENTOYREHABILITACIÓNDE
 LAVÍALOSALPES-QUIPILE-CAJITAS,MUNICIPIOQUIPILE, 8.
REHABILITACIÓNVÍACARTAGENITA–ZIPACON–CACHIPA-LA
 GRANVÍA–TENA-LOS ALPES–PETALUMA–ANOLAIMA
CORRALEJASYSANCARLOS-LAFLORIDA.9.-REHABILITACIÓNY
 MANTENIMIENTO VÍA PUERTA AMARILLA (RICAURTE) LOS
 MANUELES-AGUADEDIOS-TOCAIMAYCONSTRUCCIÓNPUENTE
 SOBRE RIO BOGOTÁ. 10.-MEJORAMIENTO VÍA ZIPAQUIRÁ - PACHO
LA PALMA, MUNICIPIO PACHO. DEPARTAMENTO CUNDINAMARCA.</t>
  </si>
  <si>
    <t>INTERVENTORÍA TÉCNICA, ADMINISTRATIVA, FINANCIERA Y
 SOCIOAMBIENTAL PARA LACONSTRUCCIÓNDEACCEDOSA
 BARRIOSYPAVIMENTOSLOCALES,PROGRAMADEPAVIMENTOS
 LOCALESGRUPOII:LOCALIDADESDEANTONIONARIÑO,CIUDAD
 BOLIVAR, LOS MÁRTIRES, SANTAFE Y USME EN BOGOTÁ D.C.</t>
  </si>
  <si>
    <t>INTERVENTORÍA PARA LA CONSTRUCCIÓN DEL PARQUE
 INTERCAMBIADOR VIAL NEOMUNDO Y OBRAS
 COMPLEMENTARIAS EN EL MUNICIPIO DE BUCARAMANGA</t>
  </si>
  <si>
    <t>INTERVENTORÍA TÉCNICA, ADMINISTRATIVA, FINANCIERA,
 CONTABLE, AMBIENTALYJURÍDICADELCONTRATODEOBRA
 CUYOOBJETOESLACONSTRUCCIÓNDELAPRIMERAETAPALAS
 OBRASFALTANTESDELTRAMO5A, COMPRENDIDOENTREEL
 SECTORDELMERCADODEBAZURTOHASTALASUBIDADELA
 POPAYCONSTRUCCIÓNDEUNVAGÓNW12ENUNADELAS
 ESTACIONESFALTANTESDELSITMDECARTAGENADE INDIAS
 DISTRITOTURÍSTICOCULTURAL,PORELSISTEMADEPRECIOS
 UNITARIOS FIJOS SIN FORMULA DE REAJUSTE</t>
  </si>
  <si>
    <t>INTERVENTORÍA TÉCNICO, ADMINISTRTIVA, FINANCIERA Y
 AMBIENTALALDIAGNOSTICOYMANTENIMIENTODELAMALLA
 VÍAL LOCAL DE LAS LOCALIDADES DE BOSA, KENNEDY Y
 FONTIBÓN, DE ACUERDO CON LA DESCRIPCIÓN,
 ESPECÍFICACIONESYDEMÁSCONDICIONESESTABLECIDASEN
 LOSTÉRMINOSDEREFERENCIA,ENESPECIALLODISPUESTOEN
 LOS CAPÍTULOS 4, 5 Y 6, DE LA PROPUESTA PRESENTADA</t>
  </si>
  <si>
    <t>INTERVENTORÍA TÉCNICA FINANCIERA, ADMINISTRATIVA,
 JURIDICA, GESTIÓNSOCIAL, PREDIAL YAMBIENTAL PARA EL
 MEJORAMIENTOYMANTENIMIENTODELACARRETERADELA
 SOBERANIA TRAMO LA LEJÍA-SARAVENA RUTA 66 TRAMO 04.”</t>
  </si>
  <si>
    <t xml:space="preserve"> 31-oct-06</t>
  </si>
  <si>
    <t xml:space="preserve"> 7-may-08</t>
  </si>
  <si>
    <t xml:space="preserve"> 22-nov-10</t>
  </si>
  <si>
    <t xml:space="preserve"> 26-sep-13</t>
  </si>
  <si>
    <t xml:space="preserve"> 5-feb-08</t>
  </si>
  <si>
    <t xml:space="preserve"> 29-oct-10</t>
  </si>
  <si>
    <t xml:space="preserve"> 14-feb-10</t>
  </si>
  <si>
    <t xml:space="preserve"> 13-ene-13</t>
  </si>
  <si>
    <t xml:space="preserve"> 4-mar-09</t>
  </si>
  <si>
    <t xml:space="preserve"> 7-dic-18</t>
  </si>
  <si>
    <t>INSTITUTO DE DESARROLLO 
URBANO - IDU</t>
  </si>
  <si>
    <t>INSTITUTO DE INFRAESTRUCTURA Y CONCESIONES DE
 CUNDINAMARCA - ICCU</t>
  </si>
  <si>
    <t xml:space="preserve"> ALCALDIA DE BUCARAMANGA</t>
  </si>
  <si>
    <t xml:space="preserve">UNIDAD   
ADMINISTRATIVA   
ESPECIAL   
DE REHABILITACION Y MANTENIMIENTO VIAL </t>
  </si>
  <si>
    <t xml:space="preserve"> TRANSCARIBE SA</t>
  </si>
  <si>
    <t xml:space="preserve"> INSTITUTO NACIONAL DE VIAS</t>
  </si>
  <si>
    <t xml:space="preserve"> CONSORCIO SVC</t>
  </si>
  <si>
    <t xml:space="preserve"> SERVICIOS  DE  INGENIERIA  Y  CONSTRUCCION
 LIMITADA</t>
  </si>
  <si>
    <t>CONSORCIO INTERVENTORIA VIAL</t>
  </si>
  <si>
    <t xml:space="preserve"> CONSORCIO CISMA</t>
  </si>
  <si>
    <t xml:space="preserve"> CONSORCIO SBO BOSA</t>
  </si>
  <si>
    <t xml:space="preserve"> UNION TEMPORAL VIAS CARTAGENA</t>
  </si>
  <si>
    <t xml:space="preserve"> CONSORCIO ECOSARAVENA</t>
  </si>
  <si>
    <t>2369 DE 2005</t>
  </si>
  <si>
    <t>2370 DE 2005</t>
  </si>
  <si>
    <t>116 DE 2011</t>
  </si>
  <si>
    <t>552/LUYS</t>
  </si>
  <si>
    <t>3469 DE 2007</t>
  </si>
  <si>
    <t xml:space="preserve">INTERVENTORIA DE LOS ESTUDIOS Y DISEÑOS, PAVIMENTCION Y/O REPAVIMENTACION DE LAS VIAS INCLUIDAS DENTRO DEL PROGRAMA DE PAVIMENTACION DE INFRAESTRUCTURA VIAL DE INTEGRACION Y DESARROLLO GRUPO 22 TRAMO 1 VIA SANTA MARIA - SAN LUIS DE GACENO CON UNA LONGITUD DE 20 KMS TRAMO 2 VIA TENZA - LA CAPILLA CON UNA LONGITUD DE 3.8 KMS TRAMO 3 VIA GARAGOA . LAS JUNTAS CON UNA LONGITUD DE 10,4 KMS EN EL DEPARTAMENTO DE BOYACA </t>
  </si>
  <si>
    <t xml:space="preserve">INTERVENTORIA DE LOS ESTUDIOS Y DISEÑOS, PAVIMENTACION Y/O REPAVIMENTACION DE LAS VIAS INCLUIDAS DENTRO DEL PROGRAMA DE PAVIMENTACION DE INFRAESTRUCTURA VIAL DE INTEGRACION Y DESARROLLO GRUPO 47 TRAMO 1 VIA BOGOTÁ - CHOACHI CON UNA LONGITUD DE 25 KM,  RAMO 2 VIA FOSCA - CAQUEZA CON UNA LONGITUD DE 13,70 KM, TRAMO 3 VIA FOSCA - CAQUEZA CON UNA LONGITUD DE 0,60 KM EN EL DEPARTAMENTO DE CUNDINAMARCA </t>
  </si>
  <si>
    <t>INTERVENTORIA DE SEGUIMIENTO TECNICO, ADMINISTRATIVA, LEGAL, SOCIAL Y AMBIENTAL QUE REALICE EL SEGUIMIENTO SOBRE EL CONTRATO 070 DEL 2011 Y EL CONTRATO DE LOS ESTUDIOS Y CONSTRUCCIÓN DEL PONTÓN UBICADO EN LA CALLE 163B CON CARRERA 54 SOBRE ELCANAL CORDOBA</t>
  </si>
  <si>
    <t>REVISIÓN DEL DISEÑO Y DE LOS DOCUMENTOS DE CONTRATO Y SUPERVISIÓN DE LA CONSTRUCCIÓN DE LA MEJORA DE LA CARRETERA LUYENGO-SICUNUSA {MR4).</t>
  </si>
  <si>
    <t>INTERVENTORIA PARA EL MEJORAMIENTO Y MANTENIMIENTO DE LA CARRETERA RIO EREMITAÑO - LA LIZAMA RUTA 45 TRAMO 4511 EN EL DEPARTAMENTO DE SANTANDER</t>
  </si>
  <si>
    <t>BOGOTA DISTRITO CAPITAL - FONDO DE DESARROLLO
 LOCAL DE SUBA</t>
  </si>
  <si>
    <t>MINISTERIO  OBRAS  PUBLICAS  Y  TRANSPORTE
 SUAZILANDIA. MR4</t>
  </si>
  <si>
    <t xml:space="preserve"> INSTITUTO DISTRITAL DE RECREACION Y DEPORTE</t>
  </si>
  <si>
    <t xml:space="preserve"> B &amp; C S A - CONSORCIO BDM</t>
  </si>
  <si>
    <t xml:space="preserve"> B &amp; C S A - CONSORCIO B&amp;C S.A. - DIEGO FONSECA</t>
  </si>
  <si>
    <t xml:space="preserve"> COBA  CONSULTORES  DE  INGENIERIA  Y  MEDIO
 AMBIENTE SA - CONSORCIO COBA (30%) - BICON (70%)</t>
  </si>
  <si>
    <t>B  &amp;  C  S A - CONSORCIO B&amp;C S.A. - MORALBA
 SÁNCHEZ ORDOÑEZ</t>
  </si>
  <si>
    <t>CDTO-212-09</t>
  </si>
  <si>
    <t>1887-2013</t>
  </si>
  <si>
    <t xml:space="preserve"> 867-2014</t>
  </si>
  <si>
    <t xml:space="preserve"> 1834-2013</t>
  </si>
  <si>
    <t xml:space="preserve"> 3606-08</t>
  </si>
  <si>
    <t xml:space="preserve"> 086-08</t>
  </si>
  <si>
    <t xml:space="preserve"> 2.3-31/033 de 
2010</t>
  </si>
  <si>
    <t xml:space="preserve"> INTERVENTORÍA TÉCNICA, ADMINISTRATIVA Y FINANCIERA DE LA CONSTRUCCIÓN DE UN 
TRAMO DE LA AVENIDA PRIMERO DE MAYO Y CONSTRUCCIÓN DE LA VÍA PEATONAL CALLE 49 
SUR, INCLUIDAS SUS OBRAS DE URBANISMO Y COMPLEMENTARIAS</t>
  </si>
  <si>
    <t xml:space="preserve"> INTERVENTORÍA TÉCNICA, ADMINISTRATIVA, FINANCIERA, LEGAL, SOCIAL, AMBIENTAL Y S&amp;SO 
PARA LA COMPLEMENTACIÓN DE DISEÑOS Y CONSTRUCCIÓN DE ACCESOS A BARRIOS Y 
PAVIMENTOS LOCALES GRUPO 4 - LOCALIDADES DE USME Y SAN CRISTOBAL, EN BOGOTÁ, D.C.</t>
  </si>
  <si>
    <t xml:space="preserve"> INTERVENTORÍA TÉCNICA, ADMINISTRATIVA Y FINANCIERA DE LA  ADECUACIÓN, 
REHABILITACIÓN Y MEJORAMIENTO DE VÍAS DEL CASCO  URBANO DEL MUNICIPIO DE SOACHA 
CUNDINAMARCA ETAPA 1</t>
  </si>
  <si>
    <t xml:space="preserve"> INTERVENTORÍA TÉCNICA, ADMINISTRATIVA, FINANCIERA, LEGAL, SOCIAL Y SEGURIDAD 
INDUSTRIAL, SALUD OCUPACIONAL Y MEDIO AMBIENTE PARA LAS OBRAS Y ACTIVIDADES PARA 
LA CONSERVACIÓN DE LA MALLA VIAL ARTERIAL NO TRONCAL, EN LOS GRUPOS 1, FASE I – 
2013, A PRECIO GLOBAL CON AJUSTE, EN LA CIUDAD DE BOGOTÁ D.C.</t>
  </si>
  <si>
    <t xml:space="preserve"> INTERVENTORÍA PARA EL MEJORAMIENTO Y MANTENIMIENTO MEDIA CANOA - ANSERMANUEVO - 
 LA VIRGINIA CÓDIGO 2302 Y MIRANDA - RÍO DESBARATADO - PRADERA - PALMIRA CÓDIGO 3105</t>
  </si>
  <si>
    <t xml:space="preserve"> “INTERVENTORÍA TÉCNICA, ADMINISTRATIVA, FINANCIERA, LEGAL, SOCIAL Y AMBIENTAL PARA 
LOS ESTUDIOS, DISEÑOS, CONSTRUCCIÓN Y REHABILITACIÓN DE VÍAS LOCALES, PROGRAMA 
ADOQUINA TU CUADRA, EN VARIAS LOCALIDADES EN BOGOTÁ. D.C  GRUPO 1 LOCALIDADES DE 
BOSA, KENNEDY, FONTIBÓN, SUBA, USAQUÉN, CHAPINERO, TEUSAQUILLO Y BARRIOS UNIDOS</t>
  </si>
  <si>
    <t>INTERVENTORÍA INTEGRAL TÉCNICA, ADMINISTRATIVA Y FINANCIERA PARA EL MEJORAMIENTO 
DE LA VÍA TRANSVERSAL DE LA MONTAÑA EN EL MUNICIPIO DE ENVIGADO, DEPARTAMENTO DE 
ANTIOQUIA</t>
  </si>
  <si>
    <t xml:space="preserve"> 25-ene-10</t>
  </si>
  <si>
    <t xml:space="preserve"> 11-feb-14</t>
  </si>
  <si>
    <t xml:space="preserve"> 16-ene-15</t>
  </si>
  <si>
    <t xml:space="preserve"> 29-ene-14</t>
  </si>
  <si>
    <t xml:space="preserve"> 12-feb-09</t>
  </si>
  <si>
    <t xml:space="preserve"> 26-feb-09</t>
  </si>
  <si>
    <t xml:space="preserve"> 17-sep-10</t>
  </si>
  <si>
    <t xml:space="preserve"> 3-dic-13</t>
  </si>
  <si>
    <t xml:space="preserve"> 25-jun-15</t>
  </si>
  <si>
    <t xml:space="preserve"> 25-ago-16</t>
  </si>
  <si>
    <t xml:space="preserve"> 1-ago-15</t>
  </si>
  <si>
    <t xml:space="preserve"> 11-mar-12</t>
  </si>
  <si>
    <t xml:space="preserve"> 23-mar-10</t>
  </si>
  <si>
    <t xml:space="preserve"> 16-may-11</t>
  </si>
  <si>
    <t xml:space="preserve"> METROVIVIENDA</t>
  </si>
  <si>
    <t xml:space="preserve"> INSTITUTO DE DESARROLLO URBANO</t>
  </si>
  <si>
    <t>MUNICIPIO DE SOACHA</t>
  </si>
  <si>
    <t xml:space="preserve"> INSTITUTO DE DESARROLLO URBANO-IDU</t>
  </si>
  <si>
    <t>INSTITUTO NACIONAL DE VÍAS INVIAS</t>
  </si>
  <si>
    <t xml:space="preserve"> INSTITUTO DE DESARROLLO URBANO IDU</t>
  </si>
  <si>
    <t xml:space="preserve"> UNIVERSIDAD DEL CAUCA - UNICAUCA</t>
  </si>
  <si>
    <t>MAB INGENIERIA DE VALOR S.A.</t>
  </si>
  <si>
    <t xml:space="preserve"> MAB INGENIERIA DE VALOR S.A.</t>
  </si>
  <si>
    <t>CONSORCIO VIAL SOACHA</t>
  </si>
  <si>
    <t xml:space="preserve"> MAB INGENIERIA DE VALOR S A</t>
  </si>
  <si>
    <t xml:space="preserve"> CONSORCIO VIAS 2008</t>
  </si>
  <si>
    <t>CONSORCIO  MAB-  INFRAESTRUCTURA  -  MAB</t>
  </si>
  <si>
    <t>MAB INGENIERIA DE VALOR S A</t>
  </si>
  <si>
    <t>PROYECTISTAS DE COLOMBIA &amp; CIA. S.A.S PROYECTCOL S.A.S</t>
  </si>
  <si>
    <t>DISEÑOS INTERVENTORÍAS Y SERVICIOS S.A.S. DIS S.A.S</t>
  </si>
  <si>
    <t xml:space="preserve">OSAC SAS </t>
  </si>
  <si>
    <t>ORGANIZACIÓN VICAN SAS</t>
  </si>
  <si>
    <t>VICTOR ARBOLEDA CÓRDOBA</t>
  </si>
  <si>
    <t>ANDINA DE CONSULTORIA Y  CONSTRUCCIONES S.A.S</t>
  </si>
  <si>
    <t>COINCO DE COLOMBIA S.A.S</t>
  </si>
  <si>
    <t xml:space="preserve">INGEOBRAS CONSTRUCCION Y CONSULTORIA SAS INGEOBRAS SAS </t>
  </si>
  <si>
    <t xml:space="preserve">MSC INGENIERIA SAS </t>
  </si>
  <si>
    <t xml:space="preserve">CORTES LEIVA ASOCIADOS SAS </t>
  </si>
  <si>
    <t>JORGE WILLAN CORZO GARCIA</t>
  </si>
  <si>
    <t>PC PROYECCION E INGENIERIA SAS</t>
  </si>
  <si>
    <t>HORIZONTES CIVILES S.A.S.</t>
  </si>
  <si>
    <t>SAVIMAC SAS</t>
  </si>
  <si>
    <t>AHLA SHUGL INTERNATIONAL SAS</t>
  </si>
  <si>
    <t>ESTUDIO, DISEÑO Y CONSTRUCCION EN INGENIERIA SAS</t>
  </si>
  <si>
    <t>TABIQUE INGENIERIA SUCURSAL COLOMBIA</t>
  </si>
  <si>
    <t xml:space="preserve">IAR PROYECTOS SAS </t>
  </si>
  <si>
    <t xml:space="preserve">BATEMAN INGENIERIA SAS </t>
  </si>
  <si>
    <t>1569 de2009</t>
  </si>
  <si>
    <t>2215 de2012</t>
  </si>
  <si>
    <t>034/96</t>
  </si>
  <si>
    <t>315/99</t>
  </si>
  <si>
    <t>Interventoría técnica, legal, financiera, 
administrativa, ambiental, predial y social dproyecto: “Estudios y diseños, gestión sociapredial, ambiental y mejoramiento del
proyecto Corredor del Sur y Marginal de laSelva"</t>
  </si>
  <si>
    <t>Interventoría para el mantenimiento y 
rehabilitación de la carretera Sincelejo –
Calamar – Barranquilla, Sector Carreto –
Calamar – PR54+0000, Ruta 25 Tramos 2515 y
2516. Departamentos de Bolívar y Atlántico</t>
  </si>
  <si>
    <t>Interventoría Técnica y Administrativa para
la construcción de las vías de acceso a
barrios en la Localidad de Usme, así: Acceso
UE-3 (Barrios El Virrey y Los Comuneros),
Acceso UE-5 (Barrios Alfonso López, La
Reforma, La Alborada y El Progreso), Acceso
UE-6 (Barrios Serranías, Lorenzo Alcantuz y
Antonio José de Sucre) y Acceso UE-8
(Barrios El Danubio y La Fiscala), en Bogotá</t>
  </si>
  <si>
    <t>Interventoría técnica y administrativa para el
contrato de construcción, a precio global
fijo sin reajustes de la Carrera 39 entre
Avenida de Los Comuneros y Calle 13, en
Bogotá.</t>
  </si>
  <si>
    <t>Instituto Nacional de
Vías - INVIAS</t>
  </si>
  <si>
    <t>Instituto de Desarrollo
Urbano -IDU</t>
  </si>
  <si>
    <t>197-2006</t>
  </si>
  <si>
    <t>2050-2005</t>
  </si>
  <si>
    <t>1038 DE 2010</t>
  </si>
  <si>
    <t>609-2014</t>
  </si>
  <si>
    <t>Interventoría técnica, administrativa, financiera y socio ambiental para la construcción y/o rehabilitación de vías en varias localidades de Sant Fé, Usme, Martires y Rafael Uribe Uribe, en Bogotá D.C.</t>
  </si>
  <si>
    <t>Interventoría de los estudios y diseños, pavimentación y/o repavimentación de las vías incluidas dentro del programa de pavimentación de infraestructura vial de integración y desarrollo Grupo 87 Tramo 1 vía El Viajano - San Marcos - Majagual - Achi con una longitud de 46.70 kilómetros en el Departamento de Sucre.</t>
  </si>
  <si>
    <t>Interventoría técnica, administrativa, financiera y ambiental de la construcción intercambio vial estación Madera.</t>
  </si>
  <si>
    <t>INTERVENTORÍA TÉCNICA, FINANCIERA Y ADMINISTRATIVA PARA LA CONSTRUCCIÓN DE PAVIMENTOS CON PARTICIPACIÓN COMUNITARIA POR MEDIO DEL PROGRAMA MI CALLE EN DIFERENTES SECTORES DEL D.T.C.H. DE SANTA MARTA-MAGDALENA.</t>
  </si>
  <si>
    <t>MUNICIPIO DE BELLO</t>
  </si>
  <si>
    <t>DISTRITO TURISTICO, CULTURAL E HISTORICO DE SANTA MARTA</t>
  </si>
  <si>
    <t>3095 - 2013</t>
  </si>
  <si>
    <t>1244 DE 2011</t>
  </si>
  <si>
    <t>2030-2019</t>
  </si>
  <si>
    <t>Interventoria para el mejoramiento y mantenimiento de la carretera: Sardinata - Cúcuta.</t>
  </si>
  <si>
    <t>INTERVENTORÍA PARA LA ATENCION DE OBRAS DE EMERGENCIA EN LA CARRETERA MOJARRAS-POPAYÁN, RUTA 2503 EN EL DEPARTAMENTO DEL CAUCA.</t>
  </si>
  <si>
    <t>INTERVENTORIA TECNICA, ADMINISTRATIVA, FINANCIERA, LEGAL Y AMBIENTAL PARA LOS PROYECTOS VIABILIZADOS, PRIORIZADOS Y APROBADOS EN EL ACUERDO 11 DE 2018 DEL OCAD PAZ, FINANCIADOS CON RECURSOS DEL SISTEMA GENERAL DE REGALIAS (SGR), LOCALIZADOS EN LOS DEPARTAMENTOS DEL CESAR Y LA GUAJIRA.</t>
  </si>
  <si>
    <t>0108*2018*000073</t>
  </si>
  <si>
    <t xml:space="preserve">NTERVENTORÍA TÉCNICA, ADMINISTRATIVA,
FINANCIERA Y AMBIENTAL DE LAS VÍAS DEL GRUPO IV
DE LA LICITACIÓN
PÚBLICA No. LP-DG-007-2017. </t>
  </si>
  <si>
    <t>DEPARTAMENTODEL ATLANTICO</t>
  </si>
  <si>
    <t>IDU-1854-2014</t>
  </si>
  <si>
    <t>IDU-1682-2014</t>
  </si>
  <si>
    <t>IDU-BM-230-2004</t>
  </si>
  <si>
    <t>INTERVENTORÍA TÉCNICA, ADMINISTRATIVA, LEGAL,
FINANCIERA, SOCIAL, AMBIENTAL Y S&amp;SO PARA LA
CONSTRUCCIÓN DE LOS TRAMOS FALTANTES DE LA
AVENIDA FERROCARRIL DE OCCIDENTE, POR LA
CALZADA NORTE CORRESPONDIENTE AL TRAMO
COMPRENDIDO ENTRE LA CARRERA 100 Y LA CARRERA96 I Y POR LA CALZADA SUR CORRESPONDIENTE AL TRAMO COMPRENDIDO
ENTRE LA CARRERA 96 C Y LA CARRERA 93, QUE
HACEN PARTE DEL PROYECTO CON CÓDIGO DE OBRA
190 DEL ACUERDO 180 DE 2005 DE VALORIZACIÓN EN
BOGOTÁ D.C..</t>
  </si>
  <si>
    <t>Interventoría Técnica, Administrativa, Financiera, Legal, 
Social y Seguridad Industrial, Salud en el trabajo y MedioAmbiente de las obras y actividades para la Conservaciónde la Malla Vial Arterial Troncal y Malla Vial Intermedia
que soporta las Rutas del Sistema Integrado de
Transporte: SITP, Grupo 8 Troncal NQS (Norte), Caracas
(Norte, (Localidades Teusaquillo y Barrios Unidos), en
Bogotá D.C.</t>
  </si>
  <si>
    <t>INTERVENTORIA TECNICA ADMINISTRATIVA FINANCIERA
SOCIAL Y AMBIENTLA PARA LA CONSTRUCCION
REHABILITACION Y CONSERVACION PARA VIAS DE
RUTAS ALIMENTADORAS DEL SISTEMA TRANSMILENIO
ZONA 1 GRUPO 1 EN BOGOTA D.C.</t>
  </si>
  <si>
    <t>INSTITUTO DE DESARROLLO URBANO – IDU</t>
  </si>
  <si>
    <t>IDU-094-2008</t>
  </si>
  <si>
    <t>1969 DE 2019</t>
  </si>
  <si>
    <t>46000014481 DE 2022</t>
  </si>
  <si>
    <t>CCC2015007</t>
  </si>
  <si>
    <t>CCC2014004</t>
  </si>
  <si>
    <t>Interventoria Técnica Administrativa, Financiera, Legal, social y Ambiental de las Obras y Actividades para la Malla vial Arterial.</t>
  </si>
  <si>
    <t xml:space="preserve">“INTERVENTORIA PARA EL MEJORAMIENTO, MANTENIMIENTO Y REHABILITACION DE LA CARRETERA SOGAMOSO-EL CRUCERO- AGUAZUL, RUTA 6211 Y  62BY05 DEL PR13+0000-PR14+1300, EN LOS DEPARTAMENTOS DE BOYACÁ Y CASANARE A CARGO INVIAS. </t>
  </si>
  <si>
    <t>INTERVENTORIA TECNICA, ADMINISTRATIVA, AMBIENTAL, FINANACIERA Y LEGAL PARA EL MEJORAMIENTO, ACTIVIDADES Y OBRAS COMPLEMENTARIAS DEL BROCHE VIAL SOBRE EL CORREDOR SONSON - LA QUIEBRA - NARIÑO (56AN10) EN LA SUBDIRECCIÓN ORINTE DEL DEPARTAMENTO DE ANTIOQUIA</t>
  </si>
  <si>
    <t>Interventoría técnica, técnica, Administrativa y Financiera al Contrato de Obra pública cuyo objeto es Construcción y Adecuación de las Vías del Municipio de Duitama - Departamento de Boyacá</t>
  </si>
  <si>
    <t>Interventoría técnica, técnica, Administrativa y Financiera al Contrato de Obra pública cuyo objeto es Contratar por el sistema de precios unitarios fijos sin fórmula de reajuste el Mejoramiento y Construcción de Vías en el Municipio de Duitama - Departamento de Boyacá</t>
  </si>
  <si>
    <t>Gobernacion de Antioquia</t>
  </si>
  <si>
    <t>Municipio de Duitama</t>
  </si>
  <si>
    <t>CIN-324-2018</t>
  </si>
  <si>
    <t>CIN 441 DE 2018</t>
  </si>
  <si>
    <t>CIN-096-2011</t>
  </si>
  <si>
    <t>REALIZAR LA INTERVENTORÍA TÉCNICA, ADMINISTRATIVA, FINANCIERA, JURIDICA, SOCIAL, AMBIENTAL Y SST AL CONTRATO DE OBRA PUBLICA QUE TENDRÁ POR OBJETO: “CONTRATAR A PRECIOS FIJOS Y A MONTO AGOTABLE LA CONSERVACIÓN DE LA MALLA VIAL Y ESPACIO PUBLICO DE LA LOCALIDAD DE CIUDAD BOLIVAR</t>
  </si>
  <si>
    <t>INTERVENTORÍA TÉCNICA, ADMINISTRATIVA, LEGAL, FINANCIERA, SOCIAL, AMBIENTAL Y DE SEGURIDAD Y SALUD EN EL TRABAJO PARA LOS CONTRATOS DE OBRA RESULTANTES DE LA LICITACIÓN PUBLICA FDLK-LP -2-2018. GRUPOS 1 Y 2: EJECUTAR A PRECIOS UNITARIOS FIJOS Y A MONTO AGOTABLE LAS OBRAS Y ACTIVIDADES PARA LA CONSERVACION DE LA MALLA VIAL D ELA LOCALIDAD DE KENNEDY Y SU ESPACIO PUBLICO ASOCIADO GRUPOS 1 Y 2</t>
  </si>
  <si>
    <t>Desarrollar la interventoría técnica, administrativa y financiera al contrato de obra públicaCOP 086 2011, resultado de la licitación FDLCB-LP-005-2011, cuyo objeto es la intervención y mejoramiento integral de las vias urbanas, rurales y espacio público de la localidad de Ciudad Bolívar.</t>
  </si>
  <si>
    <t>FONDO DE DESARROLLO LOCAL DE CIUDAD BOLIVAR</t>
  </si>
  <si>
    <t>95 -91</t>
  </si>
  <si>
    <t>2119-2019</t>
  </si>
  <si>
    <t>n</t>
  </si>
  <si>
    <t>INTERVENTORÍA TÉCNICA ADMINISTRATIVA, LEGAL, AMBIENTAL Y FINANCIERA PARA LA ADECUACIÓN, REHABILITACIÓN Y MEJORAMIENTO DE VÍAS DEL CASCO URBANO DEL MUNICIPIO DE SOACHA CUNDINAMARCA ETAPA 1-2019</t>
  </si>
  <si>
    <t>INTERVENTORIA CONSTRUCCION Y MEJORAMIENTO  EN1  VIAL ENTRE LANDIOSA Y PICOTO -PORTUGAL</t>
  </si>
  <si>
    <t>INTERVENTORÍA PARA LA CONSTRUCCIÓN Y REHABILITACIÓN CARRETERAS Y VÍAS URBANAS VARIANTE A EN210 – VÍA DO TAMEGA – LANCO CELORICA DE BASTO / AMARANTE - PORTUGAL</t>
  </si>
  <si>
    <t>ALCALDÍA MUNICIPAL DE SOACHA</t>
  </si>
  <si>
    <t>EP ESTRADAS DE PORTUGAL S.A.</t>
  </si>
  <si>
    <t>En los contratos 2 y 3 se debe aclarar si corresponden a via primaria o secundaria</t>
  </si>
  <si>
    <t>1-15-31100-01279 -2017</t>
  </si>
  <si>
    <t>INTERVENTORÍA TÉCNICO, ECONOMICO, ADMINISTRATIVO, FINANCIERO, AMBIENTAL Y LEGAL, DURANTE LA RENOVACIÓN DE LAS REDES LOCALES DE ALCANTARILLADO SANITARIO Y PLUVIAL DEL BARRIO CIUDAD JARDÍN, EN EL ÁREA DE COBERTURA DE LA ZONA 1 DE LA EAB - ESP</t>
  </si>
  <si>
    <t>Empresa de Acueducto y Alcantarillado de Bogotá S.A ESP</t>
  </si>
  <si>
    <t>NO SE EVIDENCIA Experiencia General: INTERVENTORÍA A PROYECTOS DE: CONSTRUCCIÓN O REHABILITACIÓN O ADECUACIÓN O AMPLIACIÓN O MEJORAMIENTO O MANTENIMIENTO O RECONSTRUCCIÓN O REPAVIMENTACIÓN O PAVIMENTACIÓN O CONSERVACIÓN DE INFRAESTRUCTURA VIAL PARA TRÁFICO VEHICULAR DE VÍAS URBANAS O DE VÍAS PRIMARIAS O SECUNDARIAS</t>
  </si>
  <si>
    <t>NO SE EVIDENCIA experiencia general donde haya realizado actividades de interventoría para el diagnóstico y/o estudios y diseños, para actividades de conservación de vías.</t>
  </si>
  <si>
    <t>1711 DE 2014</t>
  </si>
  <si>
    <t>100 DE2014</t>
  </si>
  <si>
    <t>781-99</t>
  </si>
  <si>
    <t>INTERVENTORIA
TECNICA,
ADMINISTRATIVA,
FINANCIERA, LEGAL, SOCIAL Y SEGURIDAD
INDUSTRIAL, SALUD MEDIO AMBIENTE DE LAS OBRAS Y
ACTIVIDADES PARA LA CONSERVACION DE LA MALLA
VIAL ARTERIAL TRONCAL Y MALLA VIAL INTERMEDIA
QUE SOPORTA LAS RUTAS DEL SISTEMA INTEGRADO
DE TRANSPORTE- SITP- GRUPO 6 TRONCAL AMERICAS</t>
  </si>
  <si>
    <t>INTERVENTORÍA TÉCNICA, ADMINISTRATIVA,
FINANCIERA, AMBIENTAL, LEGAL Y SOCIAL A LAS ACTIVIDADES DE
MANTENIMIENTO, REHABILITACIÓN, RECONSTRUCCIÓN Y ACCIONES
DE MOVILIDAD DE LA MALLA VIAL Y ESPACIO PÚBLICO DE LA LOCALIDAD DE SUBA</t>
  </si>
  <si>
    <t>INTERVENTORIA DE LAS OBRAS DE
CONSTRUCCION Y PAVIMENTACION DE LA CARRETERA VALLEDUPAR - BADILLO - SAN JUAN DEL CESAR. LONGITUD 24.6 Km. CON UN ANCHO
DE CALZADA DE 7 m." PUENTE SOBRE EL RÍO BADILLO L= 95m 3 LUCES Y PUENTE SOBRE LA QUEBRADA SAN FRANCISCO L=26m"</t>
  </si>
  <si>
    <t>INSTITUTO DEDESARROLLO
URBANO</t>
  </si>
  <si>
    <t>ALCALDIA 
LOCAL DE SUBA</t>
  </si>
  <si>
    <t>92 - 218</t>
  </si>
  <si>
    <t>HG INGENIERIA Y DESARROLLO SAS</t>
  </si>
  <si>
    <t>ROCCIA SAS</t>
  </si>
  <si>
    <t xml:space="preserve"> OPH INGENIEROS ASOCIADOS SAS</t>
  </si>
  <si>
    <t xml:space="preserve"> CARLOS ALBERTO PALTA MUÑOZ</t>
  </si>
  <si>
    <t>COMPAÑÍA DE INTERVENTORIAS Y CONSULTORIAS DE
LA COSTA S.A.S.</t>
  </si>
  <si>
    <t>AREN PROYECTOS &amp; CONSULTORIAS S.A.S- ARENPRO S.A.S</t>
  </si>
  <si>
    <t>CARING SAS</t>
  </si>
  <si>
    <t xml:space="preserve"> YOU ARE SERVICES SAS</t>
  </si>
  <si>
    <t>CONSULTORIA E INTERVENTORIAS TECNICAS PROFESIONALES S.A.S</t>
  </si>
  <si>
    <t>AXECOL S.A.S.</t>
  </si>
  <si>
    <t xml:space="preserve"> CAYCO S.A.S</t>
  </si>
  <si>
    <t xml:space="preserve"> INGEORBE SAS BIC</t>
  </si>
  <si>
    <t>INTERVENTORIAS Y CONSTRUCCIONES S.A.S.</t>
  </si>
  <si>
    <t>HGR CONSULTORIA S.A.S</t>
  </si>
  <si>
    <t>NO SE ENCONTRARON DOCUMENTOS PARA ACREDITAR EMPRESA DE MUJERES NI DISCAPACITADO</t>
  </si>
  <si>
    <t>FROIH 936-2016</t>
  </si>
  <si>
    <t>392 DE 2023</t>
  </si>
  <si>
    <t>INTERVENTORIA TECNICA, ADMINISTRATIVA, AMBIENTAL Y FINANCIERA DE LA IMPLEMENTACION DE ESTRATEGIAS PARA LA REDUCCION Y CONTROL DEL CAUDAL DE ESCORRENTIA SUPERFICIAL DEL ARROYO HOSPITAL DESDE LA CALLE 44 CON CRA 29 HASTA LA CARRERA 35 CON CALLE 17 EN EL DISTRITO DE BARRANQUILLA</t>
  </si>
  <si>
    <t>CONTRATAR INTERVENTORÍA TÉCNICA, ADMINISTRATIVA, LEGAL, FINANCIERA, SOCIAL, AMBIENTAL Y SISTEMA DE SEGURIDAD Y SALUD EN EL TRABAJO, DEL CONTRATO DE OBRA QUE SE DERIVE DE LA LICITACIÓN PUBLICA FDLUSA-LP-003-2022, LA CUAL TIENE POR OBJETO: “CONTRATAR POR EL SISTEMA DE PRECIOS UNITARIOS FIJOS Y A MONTO AGOTABLE LA INTERVENCIÓN DE LA MALLA VIAL LOCAL E INTERMEDIA DE LA LOCALIDAD DE USAQUÉN EN BOGOTÁ CON OBRAS Y ACTIVIDADES DE CONSERVACION</t>
  </si>
  <si>
    <t>AGENCIA DISTRITAL DE INFRAESTRUCTURA DEL DISTRITO DE BARRANQUILLA</t>
  </si>
  <si>
    <t>FONDO DE DESARROLLO LOCAL DE USAQUEN</t>
  </si>
  <si>
    <t>CONSORCIO INTERCANALES</t>
  </si>
  <si>
    <t>CONSORCIO INTERUSAQUEN VIAL</t>
  </si>
  <si>
    <t>PV-20-2010</t>
  </si>
  <si>
    <t>077-2012</t>
  </si>
  <si>
    <t>INTERVENTORÍA PARA LA RECONSTRUCCIÓN, PAVIMENTAIÓN Y/O REPAVIMENTACIÓN EN EL TRAMO VIAL MANIZALES - NEIRA. DEPARTAMENTO DE CALDAS</t>
  </si>
  <si>
    <t>INTERVENTORÍA TÉCNICA, ADMINISTRATIVA, FINANCIERA, LEGAL, SOCIAL Y AMBIENTAL PARA LA CONSERVACION DE LA INFRAESTRUCTURA DEL SISTEMA INTEGRADO DE TRANSPORTE PÚBLICO: TRONCALES DEL SISTEMA TRANSMILENIO Y RUTAS AUXILIARES, ALIMENTADORAS, COMPLEMENTARIAS Y ESPECIALES: GRUPO2: TRONCAL CALLE 80 COMPRENDIDAENTRE EL RIO BOGOTA Y LOS HEROES Y RUTAS AUXILIARES , ALIMENTADORAS; COMPLEMENTARIAS Y ESPECIALES LOCALIDAD DE ENGATIVA Y BARRIOS UNIDOS, EN BOGOTA D.C.</t>
  </si>
  <si>
    <t>INSTITUTO  DE  FINANCIAMIENTO  PROMOCION  Y
DESARROLLO DE CALDAS</t>
  </si>
  <si>
    <t>ANA ISABEL HENDE CARREÑO</t>
  </si>
  <si>
    <t>CONSORCIO INTERVENTORIA SITP</t>
  </si>
  <si>
    <t>2015-00459</t>
  </si>
  <si>
    <t>IDU 1679 DE 2014</t>
  </si>
  <si>
    <t>INTERVENTORÍA PARA LA CONSTRUCCIÓN DEL PASO A DESNIVEL DE LA TRANSVERSAL INFERIOR (CARRERA 32) CON LA LOMA DE LOS PARRA (CALLE 1 SUR) Y DEL PASO A DESNIVEL DE LA TRANSVERSAL INFERIOR (CARRERA 32) CON LA LOMA DE LOS GONZÁLEZ (CALLE 5 SUR) Y OBRAS COMPLEMENTARIAS.</t>
  </si>
  <si>
    <t>INTERVENTORIA TÉCNICA, ADMMINISTRATIVA,
FINANCIERA, LEGAL, SOCIAL Y DE SEGURIDAD INDUSTRIAL, SALUD EN EL TRABAJO Y MEDIO AMBIENTE DE LAS OBRAS Y ACTIVIDADES PARA LA CONSERVACION DE LA MALLA VIAL ARTERIAL TRONCAL Y MALLA VIAL INTERMEDIA QUE SOPORTA LAS RUTAS DEL SISTEMA INTEGRADO DE TRANSPORTE- SITP- GRUPO 7: TRONCAL NQS SUR LOCALIDADES BOSA Y CIUDAD BOLIVAR EN LA CIUDAD DE BOGOTA D.C.</t>
  </si>
  <si>
    <t>FONDO DE VALORIZACION DEL MUNICIPIO DE MEDELLIN - FONVALMED</t>
  </si>
  <si>
    <t>INSTITUTO DE DESARROLLO URBANO - IDU</t>
  </si>
  <si>
    <t>CONSORCIO EL POBLADO</t>
  </si>
  <si>
    <t>CONSORCIO VIAL T&amp;P 10</t>
  </si>
  <si>
    <t>CI-027-2017</t>
  </si>
  <si>
    <t>1727 DE 2021</t>
  </si>
  <si>
    <t>INTERVENTORIA TECNICA, ADMINISTRATIVA, FINANCIERA, JURIDICA Y AMBIENTAL  A LAS OBRAS DE CONSTRUCCION DE LA MALLA VIAL Y ESPACIO PUBLICO DE LA AVENIDA CIUDADELA #450 AÑOS, INCLUYE LA CONSTRUCCION Y/O AMPLIACION DE LAS REDES DE ACUEDUCTO, ALCANTARILLADO SANITARIO, OBRAS DE DRENAJE PLUVIAL Y OBRAS COMPLEMENTARIAS, CONSTRUCCION DE LA MALLA VIAL Y ESPACIO PUBLICO DE LA AVENIDA CARRERA 27 Y  CONSTRUCCION DE LA MALLA VIAL Y ESPACIO PUBLICO DE  LA AVENIDA FUNDACION, INCLUYE LA CONSTRUCCION Y/O AMPLIACION DE LAS REDES DE ACUEDUCTO, ALCANTARILLADO SANITARIO, OBRAS DE DRENAJE PLUVIAL Y OBRAS COMPLEMENTARIAS, PARA LA IMPLEMENTACION DEL SISTEMA ESTRATEGICO DE TRANSPORTE PUBLICO DE PASAJEROS DE LA CIUDAD DE VALLEDUPAR - S.E.T.P.</t>
  </si>
  <si>
    <t>INTERVENTORIA TECNICA, ADMINISTRATIVA Y DE CONTROL PRESUPUESTAL AL DIAGNOSTICO Y DISEÑOS, CONSERVACION, MANTENIMIENTO RUTINARIIO Y PERIODICO, REHABILITACION Y CONSTRUCCION DE LA INSFRAESTRUCTURA VIA Y DE ESPACIO PUBLICO DE LAS VIAS Y MOBILIARIO DE ESPACIO PUBLICO DE LA LOCALIDAD DE USAQUEN.</t>
  </si>
  <si>
    <t xml:space="preserve">INTERVENTORIA PARA LA CONSTRUCCIÓN, MEJORAMIENTO Y MANTENIMIENTO EN LA VARIANTE CALARCÁ – CIRCASIA, CORREDOR ARMENIA – CLUB CAMPESTRE – AEROPUERTO Y CORREDOR MALIBÚ – TRES ESQUINAS, EN EL DEPARTAMENTO DEL QUINDÍO </t>
  </si>
  <si>
    <t>SISTEMA INTEGRADO DE TRANSPORTE VALLEDUPAR</t>
  </si>
  <si>
    <t>CONSORCIO DESARROLLO VIAL EFICIENTE</t>
  </si>
  <si>
    <t>CONSORCIO VIAL USAQUÉN</t>
  </si>
  <si>
    <t>PROYECTOS TECNICOS DE COLOMBIA S.A.S.</t>
  </si>
  <si>
    <t>Cl-022 DE 2019</t>
  </si>
  <si>
    <t>TC-CPN-001-2018-002</t>
  </si>
  <si>
    <t>INTERVENTORIA TECNICA, ADMINISTRATIVA, FINANCIERA, JURIDICA Y AMBIENTAL A LAS OBRAS DE CONTRUCCION DE LA CARRERA 27 DESDE VILLA HAIDY LORENZO MORALES, PARA LA PUESTA EN MARCHA DEL SISTEMA ESTRATEGICO DE TRANSPORTE PÚBLICO EN LA CIUDAD DE VALLEDUPAR (CESAR)"</t>
  </si>
  <si>
    <t>EJERCICIO DE LA INTERVENTORIA TECNICA ADMINISTRATIVA, FINANCIERA, CONTABLE, AMBIENTAL Y LEGAL DEL CONTRATO DE OBRA PUBLICA CUYO OBJETO ES LA CONSTRUCCION Y REHABILITACION POR EL SISTEMA DE PRECIOS UNITARIOS FIJOS SIN FORMULAS DE REAJUSTE DE LAS RUTA PRECARGADAS COMPLEMENTARIAS DEL SISTEMA INTEGRADO DE TRANSPORTE MASIVO DE CARTAGENA DE INDIAS DISTRITO TURISTICO Y CULTURAL</t>
  </si>
  <si>
    <t>SISTEMA INTEGRADO DE TRANSPORTE DE VALLEDUPAR - SIVA</t>
  </si>
  <si>
    <t>TRANSCARIBE S.A.</t>
  </si>
  <si>
    <t>CONSORCIO INTERVALLEDUPAR</t>
  </si>
  <si>
    <t>CONSORCIO CINCO-OPCIONA</t>
  </si>
  <si>
    <t>034 de 2015</t>
  </si>
  <si>
    <t>185 de 2014</t>
  </si>
  <si>
    <t>043 -2011</t>
  </si>
  <si>
    <t>CONTROL MEDIANTE INTERVENTORÍA TÉCNICA, LEGAL, ADMINISTRATIVA, FINANCIERA Y AMBIENTAL PARA LA CONSTRUCCIÓN Y MEJORAMIENTO DE LAS OBRAS VIALES EN LOS MUNICIPIOS DEL CASTILLO, PUERTO LÓPEZ, MAPIRIPAN, PUERTO LLERAS Y DORADO DEPARTAMENTO DEL META.</t>
  </si>
  <si>
    <t>Control mediante interventoría técnica, administrativa, financiera y ambiental para la construcción del puente Tillava en el municipio de puerto Gaitán, mejoramiento vías urbanas en el municipio de Cumaral y mejoramiento de la vía trocha 5 entre el k0+000 (cruce vía nacional ruta65a) y la intersección con la trocha 3, en el municipio de Granada y fuente de oro en el departamento del Meta</t>
  </si>
  <si>
    <t>INTERVENTORIA TECNICA, ADMINISTRATIVA Y FINANCIERA DE LA REPAVIMENTACION VIA EL CORSO MUNICIPIO DE BOJACA, CUNDINAMARCA,</t>
  </si>
  <si>
    <t>AGENCIA PARA LA INFRAESTRUCTURA DEL META (A.I.M)</t>
  </si>
  <si>
    <t>MUNICIPIO DE BOJACA</t>
  </si>
  <si>
    <t>CONSORCIO META</t>
  </si>
  <si>
    <t>CONSORCIO INTERMETA 2015</t>
  </si>
  <si>
    <t>CONSORCIO CARINGA</t>
  </si>
  <si>
    <t xml:space="preserve">
IDU-091 DE 2008</t>
  </si>
  <si>
    <t>INTERVENTORIA TECNICA, ADMINISTRATIVA, FINANCIERA, LEGAL, SOCIAL Y
AMBIENTAL DE LAS OBRAS Y ACTIVIDADES PARA LA MALLA VIAL ARTERIAL, INTERMEDIA Y LOCAL DE LOS DISTRITOS DE CONSERVACION EN LA CIUDAD DE BOGOTA D.C - GRUPO N°1</t>
  </si>
  <si>
    <t>CONSORCIO TMK VIAL</t>
  </si>
  <si>
    <t>18 Y 5</t>
  </si>
  <si>
    <t>174 de 2007</t>
  </si>
  <si>
    <t>2189 de 2014</t>
  </si>
  <si>
    <t>1697 de 2014</t>
  </si>
  <si>
    <t>544 DE 2002</t>
  </si>
  <si>
    <t>Interventoría técnica, administrativa, legal, financiera, ambiental y social para la ejecución de las obras de construcción y todas las actividades necesarias para la adecuación de la Calle 26 (Avenida Jorge Eliécer Gaitán) y de la Carrera 10a (Avenida Fernando Mazuera), al Sistema Transmilenio, en el tramo 3 comprendido entre la Transversal 76 y la Carrera 42 B y el tramo 4 comprendido entre la Carrera 42 B y Carrera 19, grupo 4 de la Licitación Publica IDU-LP-DG-022-2007 en Bogotá, D.C.</t>
  </si>
  <si>
    <t>Interventoría para la construcción de la fase ii de la doble calzada Cisneros (pr 49+000)-Loboguerrero (pr 63+000), sector (pr 51+000) al (pr 61+500) de la carretera Buga-buenaventura, incluye ajuste de diseños, gestión social, predial y ambiental</t>
  </si>
  <si>
    <t>Interventoría técnica, administrativa, financiera, legal, social y seguridad industrial, salud en el trabajo y medio ambiente de las obras y actividades para la conservación de la malla vial arterial troncal y malla vial intermedia que soporta las rutas del sistema integrado de transporte- sitp- grupos 3: troncal suba (localidad de suba) en la ciudad de Bogotá D.C.</t>
  </si>
  <si>
    <t>Interventoría técnica, administrativa, financiera y ambiental para la construcción de accesos a barrios y pavimentos locales vías grupo 1 en Bogotá D.C.</t>
  </si>
  <si>
    <t>Instituto de Desarrollo Urbano - IDU</t>
  </si>
  <si>
    <t>Instituto Nacional de Vías
INVIAS</t>
  </si>
  <si>
    <t>CONSORCIO INTERCOL</t>
  </si>
  <si>
    <t>CONSORCIO CISNEROS LOBOGUERRERO</t>
  </si>
  <si>
    <t>CAYCO SAS</t>
  </si>
  <si>
    <t>CONSORCIO  INTERVIAS  BOGOTA</t>
  </si>
  <si>
    <t>CI -2013 - 003</t>
  </si>
  <si>
    <t>4224-13</t>
  </si>
  <si>
    <t>617-22</t>
  </si>
  <si>
    <t>INTERVENTORÍA TÉCNICA, ADMINISTRATIVA, FINANCIARA, AMBIENTAL Y LEGAL PARA LA COMPLEMENTACIÓN DE LOS ESTUDIOS Y DISEÑOS Y LA INTERVENCIÓN VIAL Y URBANÍSTICA DE LA CALLE 16 ENTRE CARRERAS 21ª  HASTA LA CARRERA 26 Y ENTRA LA CARRERA 30 Y AVENIDA PANAMERICANA DE LA CIUDAD DE PASTO.</t>
  </si>
  <si>
    <t>INTERVENTORÍA DE LAS OBRAS DE MEJORAMIENTO DE LA CARRETERA TUQUERRES – SAMANIEGO RUTA 1702, DEPARTAMENTO DE NARIÑO. MÓDULO 1.</t>
  </si>
  <si>
    <t>INTERVENTORÍA TECNICA, ADMINISTRATIVA, FINANCIERA, AMBIENTAL Y LEGAL AL PROYECTO "MEJORAMIENTO Y REHABILITACIÓN DE LA VÍA TRONCAL DEL GUAVIO, DEPARTAMENTO DE CUNDINAMARCA"</t>
  </si>
  <si>
    <t xml:space="preserve">AVANTE - SISTEMA ESTRATEGICO DE TRANSPORTE PÑBLICO DE PASAJEROS
</t>
  </si>
  <si>
    <t>ICCU</t>
  </si>
  <si>
    <t>CONSORCIO VIAL G-I</t>
  </si>
  <si>
    <t>CONSORCIO HGR-INCON</t>
  </si>
  <si>
    <t>93  y  3</t>
  </si>
  <si>
    <t>IDU-067 DE 2009</t>
  </si>
  <si>
    <t>347 de 2018</t>
  </si>
  <si>
    <t>INTERVENTORÍA TÉCNICA, ADMINISTRATIVA, FINANCIERA, LEGAL, SOCIAL Y AMBIENTAL, PARA LA CONSTRUCCION DE LA AVENIDA LAUREANO GÓMEZ (AK 9) DESDE AV. SAN JUAN BOSCO (AC 170) HASTA LA AV. CEDRITOS (AC 147) Y CONSTRUCCIÓN DE LA CALZADA SUR DE LA AVENIDA SAN JOSÉ (AC 170) DESDE AVENIDA BOYACÁ HASTA AVENIDA COTA (AK 91), CORRESPONDIENTES A LAS OBRAS CON CODIGO DE OBRA 101 Y 107 DEL ACUERDO 180 DE 2005 DE VALORIZACIÓN, EN BOGOTÁ D.C.</t>
  </si>
  <si>
    <t>REALIZAR LA INTERVENTORÍA TÉCNICA, ADMINISTRATIVA, LEGAL, FINANCIERA, SOCIAL, AMBIENTAL Y DE SEGURIDAD Y SALUD EN EL TRABAJO (SST), DEL CONTRATO DE OBRA PÚBLICA QUE TIENE POR OBJETO: "EJECUTAR A MONTO AGOTABLE LAS ACTIVIDADES PARA LLEVAR A CABO LA CONSERVACIÓN DE LA MALLA VIAL Y ESPACIO PÚBLICO LA CUAL INCLUYE DIAGNOSTICO, ESTUDIOS, DISEÑOS Y/O AJUSTES Y COMPLEMENTACIÓN A LOS MISMOS DEL FONDO DE DESARROLLO LOCAL DE SUBA, GRUPO 1 Y 2 Y LAS DEMÁS ACTIVIDADES QUE SE DETALLAN EN LOS ANEXOS TÉCNICOS" DERIVADO DEL PROCESO DE LA LICITACIÓN PÚBLICA NO. LP-FDLS-05-2018</t>
  </si>
  <si>
    <t>ALCALDIA LOCAL DE SUBA</t>
  </si>
  <si>
    <t>CONSORCIO CRA - DIEGO FONSECA 026 - 2009</t>
  </si>
  <si>
    <t>CONSORCIO CONSERVACION 2018</t>
  </si>
  <si>
    <t>ARQUITECTURA E INGENIERIA DE CONSULTA ARINCO S.A.S.</t>
  </si>
  <si>
    <t>MAESTRE BROCHERO LUIS ALFONSO</t>
  </si>
  <si>
    <t>M&amp;D EMAUS CONSTRUCCIONES S.A.S</t>
  </si>
  <si>
    <t>M&amp;D INGECONTRUCCION S.A.S.</t>
  </si>
  <si>
    <t>PROYECTISTAS ASOCIADOS SAS</t>
  </si>
  <si>
    <t>CONSTRUCTORA TEATINO VARGAS – CONSTRUTEV SAS</t>
  </si>
  <si>
    <t>SEDIC S.A.</t>
  </si>
  <si>
    <t>SEDIC CONSULTING S.A.S.</t>
  </si>
  <si>
    <t>SOLUCIONES PARA LA INGENIERÍA SAS</t>
  </si>
  <si>
    <t>INFRAESTRUCTURA INTEGRAL SAS</t>
  </si>
  <si>
    <t>INEXIA S.A.S</t>
  </si>
  <si>
    <t>INCOLTA INTERVENTORÍAS Y CONSULTORÍAS S.A.S.</t>
  </si>
  <si>
    <t>DIN INGENIERÍA S.A.S.</t>
  </si>
  <si>
    <t>UNIOBRAS DEL ORIENTE SAS</t>
  </si>
  <si>
    <t>Hace falta la firma del representante legal en el FORMATO 13 A – ACREDITACIÓN DE EMPRENDIMIENTOS Y EMPRESAS DE MUJERES</t>
  </si>
  <si>
    <t>Hace falta incluir formato 8 "ACEPTACIÓN Y CUMPLIMIENTO DE LA FORMACIÓN ACADÉMICA Y LA EXPERIENCIA DEL PERSONAL CLAVE EVALUABLE"</t>
  </si>
  <si>
    <t xml:space="preserve"> No se encuentra dentro de los documentos formato 13  certificado de emprendimiento y empresa de mujeres
</t>
  </si>
  <si>
    <t>SEA-C-BTS-
029-2004</t>
  </si>
  <si>
    <t>IDU-UEL-12-18-
03-295-00-99 Y
SUS
ADICIONES</t>
  </si>
  <si>
    <t>INTERVENTORIA TECNUCA, FINANCIETRA Y
OPERATIVA EN LAS ETAPAS DE PRECONSTRUCCIÓN Y
CONSTRUCCIÓN DEL CONTRATO DE CONCESION NO
0377-2002 CARRETERA BRICEÑO-TUNJA- SOGAMOSO</t>
  </si>
  <si>
    <t>INTERVENTORIA TECNICA Y ADMINISTRATIVA A
PRECIO GLOBAL FIJO, PARA LA EVALUACION Y
REHABILITACION DE VIAS EN LAS LOCALIDADES DE
RAFAEL URIBE URIBE, BARRIOS UNIDOS Y SANTA FE</t>
  </si>
  <si>
    <t>ANI</t>
  </si>
  <si>
    <t>137-2006</t>
  </si>
  <si>
    <t>CMAMC No. 04-2019</t>
  </si>
  <si>
    <t xml:space="preserve">NTERVENTORÍA A LA PAVIMENTACIÓN Y/O REPAVIMENTACIÓN DE TRAMOS DE LA  VIA QUE CORRESPONDEN AL CORREDOR CUATRO VIENTOS CHIMICHAGUA - EL BANCO (INCLUIDO ESTUDIOS Y DISEÑOS) TRAMO II SAN JOSÉ - YE DE ARJONA - CUATRO VIENTOS (GRUPO III). DEL Pr23+800 HASTA EL Pr30+800 </t>
  </si>
  <si>
    <t>INTERVENTORÍA TÉCNICA ADMINISTRATIVA Y FINANCIERA AL CONTRATO DE OBRA PÚBLICA, DERIVADO DE LA LICITACIÓN No. 02 DE 2019, CUYO OBJETO CONSISTE EN EL MEJORAMIENTO, DE VÍAS INTERNAS, MEDIANTE LA PAVIMENTACIÓN EN CONCRETO RÍGIDO, EN DIFERENTES SECTORES DEL AREA URBANA DEL MUNCIPIO DE VILLANUEVA DEPARTAMENTO DE LA GUAJIRA</t>
  </si>
  <si>
    <t>GOBCESAR</t>
  </si>
  <si>
    <t>MUNICIPIO DE VILLANUEVA LA GUAJIRA</t>
  </si>
  <si>
    <t/>
  </si>
  <si>
    <t>CI-092-2016</t>
  </si>
  <si>
    <t>2369-2015</t>
  </si>
  <si>
    <t>REALIZAR LA INTERVENTORÍA TÉCNICA, ADMINISTRATIVA, SOCIAL, AMBIENTAL Y FINANCIERA
DEL CONTRATO DE OBRA PÚBLICA PRODUCTO DE LA LICITACIÓN PUBLICA No. ALRUU-LP-071-
2016, QUE ACTUALMENTE ADELANTA EL FDLRUU PARA CONTRATAR POR EL SISTEMA DE
PRECIOS UNITARIOS FIJOS Y A MONTO AGOTABLE, LA REALIZACIÓN DE OBRAS DE,
REHABILITACIÓN Y/O MANTENIMIENTO DE SEGMENTOS DE LA MALLA VIAL LOCAL Y/O
ANDENES - ESPACIO PÚBLICO DE LA LOCALIDAD DE RAFAEL URIBE URIBE</t>
  </si>
  <si>
    <t>INTERVENTORÍA TÉCNICA, ADMINISTRATIVA, FINANCIERA Y AMBIENTAL PARA EL
MEJORAMIENTO, REHABILITACIÓN Y MANTENIMIENTO DE LA VÍA NACIONAL RUTA 60, TRAMO
RANCHO GRANDE – PAEZ (INCLUYE PASO URBANO MUNICIPIO DE MIRAFLORES), Y VÍAS
DEPARTAMENTALES (60BY19, RUTA 50434 Y RUTA D 1509002) DE ACCESO A LOS MUNICIPIOS
DE BERBEO, RONDON Y ZETAQUIRA EN EL DEPARTAMENTO DE BOYACÁ”.</t>
  </si>
  <si>
    <t>ALCALDIA LOCAL
DE RAFAEL URIBE
URIBE</t>
  </si>
  <si>
    <t>GOBERNACION DE
BOYACÁ</t>
  </si>
  <si>
    <t>PROYECTISTAS ASOCIADOS
SAS</t>
  </si>
  <si>
    <t>2304 de 2005</t>
  </si>
  <si>
    <t>137 - 97</t>
  </si>
  <si>
    <t>IDU-338-1999</t>
  </si>
  <si>
    <t>IDU-46-2004</t>
  </si>
  <si>
    <t>2010-SS-20-
288</t>
  </si>
  <si>
    <t>INTERVENTORÍA DE LOS ESTUDIOS Y DISEÑOS,
PAVIMENTACIÓN Y/O REPAVIMENTACIÓN DE LAS VÍAS
INCLUÍDAS DENTRO DEL PROGRAMA DE
PAVIMENTACIÓN DE INFRAESTRUCTURA VIAL DE
INTEGRACIÓN Y DESARROLLO GRUPO 23 VÍA
BUENAVISTA - SIMIJACA CON UNA LONGITUD DE 13,75
KM EN EL DEPARTAMENTO DE BOYACÁ.</t>
  </si>
  <si>
    <t>INTERVENTORÍA (SUPERVISIÓN) PARA LAS OBRAS
CIVILES DEL PROYECTO DENOMINADO AMPLIACIÓN Y
REHABILITACIÓN DE IA VÍA BELÉN CENTRO DE
CONVENCIONES, EN EL DEPARTAMENTO DE
ANTIOQUIA, REPÚBLICA DE COLOMBIA.</t>
  </si>
  <si>
    <t>INTERVENTORÍA TÉCNICA Y ADMINISTRATIVA, A PRECIO
GLOBAL FIJO, PARA LA CONSTRUCCIÓN DE LA AVENIDA
CIUDAD DE CALI DESDE LA TRANSVERSAL DE SUBA A
LA CALLE 153</t>
  </si>
  <si>
    <t>INTERVENTORÍA TÉCNICA, ADMINISTRATIVA,
FINANCIERA Y AMBIENTAL PARA LA CONSTRUCCIÓN DE
LA AVENIDA SANTA FÉ (CARRERA 112) DE LA CALLE 73
A SUR A LA AVENIDA CIRCUNVALAR DEL SUR EN
BOGOTÁ D.C.</t>
  </si>
  <si>
    <t>CONSULTORÍA E INTERVENTORÍA TÉCNICA,
ADMINISTRATIVA Y AMBIENTAL PARA LA
REHABILITACIÓN DE LA VÍA EL MANGO - AMALFI, EN LOS
SECTORES COMPRENDIDOS ENTRE LAS ABSCISAS
10+700 Y 15+950, Y DEL KILÓMETRO 1+350.</t>
  </si>
  <si>
    <t>MUNICIPIO DE
RIONEGRO
ANTIOQUIA</t>
  </si>
  <si>
    <t>GOBERNACIÓN DE
ANTIOQUIA</t>
  </si>
  <si>
    <t>1716-2020</t>
  </si>
  <si>
    <t>172 DE 2007</t>
  </si>
  <si>
    <t>INTERVENTORÍAALAEJECUCIÓNDELASACTIVIDADESYOBRASREQUERIDASPARALACONSERVACIÓNDELA MALLA VIAL ARTERIAL NO TRONCAL, EN LA CIUDAD DE BOGOTÁ, D.C. – GRUPO 4”.”.</t>
  </si>
  <si>
    <t>INTERVENTORIATÈCNICA,ADMINISTRATIVA,LEGAL,FINANCIERA,AMBIENTALYSOCIALDELASOBRASDECONSTRUCCIÒNYTODASLASACTIVIDADESNECESARIASPARALAADECUACIÒNDELACALLE26(AVENIDAJORGEELIECERGAITÀN)YLACARRERA10º(AVENIDAFERNANDOMAZUERA),ALSISTEMATRANSMILENIOENELTRAMO4COMPRENDIDOENTRECALLE7YCALLE26,ENBOGOTÀD.C.YELTRAMO5COMPRENDIDOENTRECALLE26YCALLE34YADECUACIÒNDELACALLE26(AVENIDAJORGEELIECERGAITAN)ALSISTEMATRANSMILENIOENELTRAMO5COMPRENDIDOENTRECARRERA19YLACARRERA13,INCLUYECONEXIÒNOPERACIONALCONLATRONCALCARACAS,ENBOGOTÀD.C.,YENELTRAMO6COMPRENDIDOENTRECARRERA13YCARRERA3YCARRERA3ENTRECALLE26YCALLE19,ENBOGOTAD.D.,COMPRENDIDOSENEL GRUPO 3 DE LA LICITACIÒN PÙBLICA NÙMERO IDU-LP-DG-022-2007 EN BOGOTÀ D.C.</t>
  </si>
  <si>
    <t>SOLUCIONES PARA LA INGENIERÍA SAS, no anexa el RUP</t>
  </si>
  <si>
    <t>En la experiencia relacionada en los contratos no se realizó estudios y diseños</t>
  </si>
  <si>
    <t>2151367</t>
  </si>
  <si>
    <t>CONSULTORIA YASISTENCIAPARAELPAOYOA
LA INSPECCIONMUNICIPALENLAVIGILANCIAY
CONTROL DELASOBRASDEURBANIZACIONUZI
0.09 "SANCHINARRO"</t>
  </si>
  <si>
    <t>DIRECCION FACULTATIVADELASOBRASDEL
AMBITO CORRESPONDIENTEALPLANPARCIAL
PARQUE EMPRESARIALDELACARPETANIADE
GETAFE, MADRID, FASE I</t>
  </si>
  <si>
    <t>DIRECCION FACULTATIVADELASOBRASDE
URBANIZACIONDELPLANPARCIALAMBITO4.BIS
RESIDENCIAL ESTEDELTERMINOMUNICIPALDE
PARLA, MADRID</t>
  </si>
  <si>
    <t>EJECUTAR FABRICANo.6DEINTERVENTORIADE
OBRA YDISEÑOSYESTUDIOSTECNICOS
REQUERIDOS PORFONADE,ENDESARROLLODE
SUS PROYECTOS DE INFRAESTRUCTUR</t>
  </si>
  <si>
    <t>SUBDIRECCION GENERAL DE
PROYECTOS DEL AREA DE
URBANISMO Y VIVIENDA
DEL AYUNTAMIENTO DE
MADRID</t>
  </si>
  <si>
    <t>CONSORCIO URBANISTICO
"PARQUE EMPRESARIAL LA
CARPETANIA"</t>
  </si>
  <si>
    <t>CONSORCIO URBANISTICO
PARLA ESTE</t>
  </si>
  <si>
    <t>EMPRESA NACIONAL
PROMOTORA DEL
DESARROLLO
TERRITORIALENTERRITORIO</t>
  </si>
  <si>
    <t xml:space="preserve">No se indiica en el formato 3 de experiencia  el No de contrarto para los tres primeros </t>
  </si>
  <si>
    <t>9677-04-889-2012</t>
  </si>
  <si>
    <t>0108*2018*0000
82</t>
  </si>
  <si>
    <t>INTERVENTORÍA ADMINISTRATIVA, FINANCIERA Y
TÉCNICA, PARA REALIZAR LOS ESTUDIOS Y
DISEÑOS Y LA ATENCIÓN DE SITIOS CRÍTICOS EN
LA CARRETERA HONDA-VILLETA, RUTA 5008, PR
20+0500 AL PR 21+0700, DEPARTAMENTO DE
CUNDINAMARCA</t>
  </si>
  <si>
    <t>FONDO NACIONAL DE
GESTION DEL
RIESGO DE
DESASTRE</t>
  </si>
  <si>
    <t>GOBERNACIÓN DEL
ATLÁNTICO</t>
  </si>
  <si>
    <t>IDU-184-2006</t>
  </si>
  <si>
    <t>4600014886</t>
  </si>
  <si>
    <t>INTERVENTORIA TÉCNICA, ADMINISTRATIVA, FINANCIERA Y AMNBIENTAL
PARA LAS INTERVENCIONES INTEGRALES A LA MALLA VIAL LOCAL DEL
GRUPO VIAL FASE II, GRUPO 1 (LOCALICADADES SANTA FE, ANTONIO
NARIÑO, CALENDARIA CHAPINERO, TEUSAQUILLO Y MARTIRES) CON
RECURSOS COFINANCIADOS ENTRE EL IDU Y LOS FONDOS DE DESARROLLO
LOCAL, EN LA CIUDAD DE BOGOTÁ</t>
  </si>
  <si>
    <t>INTERVENTORIA TECNICA, ADMINISTRATIVA, AMBIENTAL, FINANCIERA Y
LEGAL PARA EL MEJORAMIENTO DE LOS CORREDORES Y ATENCIÓN DE
SITIOS CRÍTICOS DE LAS VÍAS DE SEGUNDO ORDEN: ALTO DEL CHUSCAL -
ARMENIA - LA HERRADURA - TITIRIBÍ (60AN08-1), Y LA MISERENGA (Cruce Ruta
62) - EBÉJICO - SEVILLA - HELICONIA - ALTO DEL CHUSCAL (62AN17), EN LA
SUBREGION OCCIDENTE DEL DEPARTAMENTO DE ANTIOQUIA</t>
  </si>
  <si>
    <t>DEPARTAMENTO DE
ANTIOQUIA</t>
  </si>
  <si>
    <t>No se encuentra dentro de los documentos el certificado de emprendimiento y empresa de mujeres</t>
  </si>
  <si>
    <t>HCL-01-PROY-663</t>
  </si>
  <si>
    <t>HCL-01-PROY-397</t>
  </si>
  <si>
    <t xml:space="preserve">INTERVENTORÍA TÉCNICA, ADMINISTRATIVA,LEGAL Y FINANCIERA PARA: REALIZAR LA CONSTRUCCION Y MEJORAMIENTO DE LAS VIAS URBANAS  CON LA CONSTRUCCIN DE PAVIMENTO ASFALTICO Y PAVIMENTO HIDRAULICO, DISGNOSTICO DE ESTUDIOS Y DISEÑOS, ASÍ COMO LA INTERVENCIÓN DE REDES DE SERVICIO PUBLICO CON ALCANTARILLADO SANITARIO Y ACUEDUCTO, DEL MUNICIPIO DE YOPAL CASANARE </t>
  </si>
  <si>
    <t>INTERVENTORÍA TÉCNICA, ADMINISTRATIVA,LEGAL Y FINANCIERA PARA: CONSTRUCCION DE VIAS URBANAS EN PAVIMENTO ASFALTICO Y CONCRETO HIDRAULICO, INTERVENCION DE REDES DE SERVICIO PUBLICO EN ACUEDUCTO Y ALCANTARILLADO, ASI COMO EL MEJORAMIENTO DEL ESPACIO PUBLICO EN LOS MUNICIPIOS DE  MONTERREY Y VILLANUEVA CASANARE.</t>
  </si>
  <si>
    <t>HESS COLOMBIA LIMITED</t>
  </si>
  <si>
    <t>Actualizar formato 3. fechas del contrato HCL-01-PROY-397</t>
  </si>
  <si>
    <t>1013 DE 2020</t>
  </si>
  <si>
    <t>CONTRATAR LA INTERVENTORÍA TÉCNICA, ADMINISTRATIVA,
FINANCIERA Y AMBIENTAL AL CONTRATO DE OBRA CUYO OBJETO ES:
MEJORAMIENTO DE LA SEGUNDA ETAPA DE LA VÍA IBAGUÉ - ROVIRA EN
EL DEPARTAMENTO DEL TOLIMA</t>
  </si>
  <si>
    <t>GOBERNACIÓN DEL
TOLIMA</t>
  </si>
  <si>
    <t xml:space="preserve">NORBERTO BAYONA ESPITIA </t>
  </si>
  <si>
    <t xml:space="preserve">INAR PROYECTOS DE INGENIERIA Y 
ARQUITECTURA S.A.S </t>
  </si>
  <si>
    <t>RAFAEL JAVIER GUISA 
RUEDA</t>
  </si>
  <si>
    <t xml:space="preserve">GRUPO GUERREROS 
CONSTRUCTORES SAS </t>
  </si>
  <si>
    <t xml:space="preserve">
INGECO INGENIERÍA DE CONSTRUCCIONES S.A.S </t>
  </si>
  <si>
    <t xml:space="preserve"> 
INP SERVICIOS S.A.S </t>
  </si>
  <si>
    <t xml:space="preserve">INGENIERIA Y CONSULTORIA GHE 
S.A.S. 
NIT. 901.647.575 - 9 </t>
  </si>
  <si>
    <t xml:space="preserve">ALFREDO JOSE LEPESQUEUR 
MARTINEZ 
C.C. 10.766.786 </t>
  </si>
  <si>
    <t xml:space="preserve">COMPAÑÍA CONSULTORA COLOMBIANA TRIPLE C S.A.S BIC </t>
  </si>
  <si>
    <t>050 DE 2009</t>
  </si>
  <si>
    <t>3799 DE 
2013</t>
  </si>
  <si>
    <t>1705 DE 
2020</t>
  </si>
  <si>
    <t>INTERVENTOR ÍA TÉCNICA, ADMINISTRATIVA, 
FINANCIERA, LEGAL, SOCIAL Y AMBIENTAL PARA 
LA CONSTRUCCIÓN DEL CÓDIGO DE OBRA 130 
DEL ACUERDO 180 DE 2005 DE VALORIZACIÓN, 
CORRESPONDIENTE A LAS OREJAS 
NOR‐ORIENTAL, SUR OCCIDENTAL, 
CONECTANTES NOR‐ORIENTAL Y 
SUR‐OCCIDENTAL, RETORNO SENTIDO 
NORTE‐NORTE DE LA AVENIDA BOYACÁ Y 
REFORZAMIENTO ESTRUCTURAL DE LOS PUENTE 
VEHICULARES EXISTENTES DE LA INTERSECCIÓN 
DE LA AVENIDA VILLAVICENCIO CON LA AVENIDA 
BOYACÁ, EN BOGOTÁ D.C.</t>
  </si>
  <si>
    <t>INTERVENTOR ÍA PARA LA REHABILITACI ÓN, 
MEJORAMIENTO Y PAVIMENTACIÓN DE LA VÍA 
ZANJÓN‐PUEBLO BELLO INCLUYE AMPLIACIÓN 
ESTRIBOS Y PLACA DE DOS PUENTES DE LUCES 
DE 21 Y 22 METROS, UN TABLERO DE 9 METROS, 
EN EL DEPARTAMENTO DEL CESAR.</t>
  </si>
  <si>
    <t>INTERVENTOR ÍA A LA EJECUCI ÓN DE LAS 
ACTIVIDADES Y OBRAS REQUERIDAS PARA LA 
CONSERVACI ÓN DE LA MALLA VIAL QUE 
SOPORTA RUTAS DEL SISTEMA INTEGRADO DE 
TRANSPORTE PÚBLICO- SITP, EN LA CIUDAD DE 
BOGOTÁ D.C. GRUPO 4</t>
  </si>
  <si>
    <t>04/062022</t>
  </si>
  <si>
    <t>INSTITUTO DE 
DESARROLLO 
URBANO - IDU</t>
  </si>
  <si>
    <t>INSTITUTO 
NACIONAL DE VÍAS - 
INVIAS</t>
  </si>
  <si>
    <t>INSTITUTO DE 
DESARROLLO 
URBANO</t>
  </si>
  <si>
    <t>238 de 2023</t>
  </si>
  <si>
    <t>115 DE 2016</t>
  </si>
  <si>
    <t>134 DE 2016</t>
  </si>
  <si>
    <t>INTERVENTORIA INTEGRAL AL PROYECTO CONSTRUCCION DE PAVIMENTO HIDRAULICO EN LOS BARRIOS LAS DELICIAS Y PRIMERO DE MAYO, EN EL MUNICIPIO DE BARRANCAS, LA GUAJIRA</t>
  </si>
  <si>
    <t xml:space="preserve">INTERVENTORIA TECNICA, ADMINISTRATIVA, FINANCIERA, CONTABLE, JURIDICA Y AMBIENTAL AL   MEJORAMIENTO DE VÍAS URBANAS EN SECTORES PRIORIZADOS MEDIANTE LA PAVIMENTACIÓN EN CONCRETO HIDRAULICO, EN EL MUNICIPIO DE FONSECA, DEPARTAMENTO DE LA GUAJIRA </t>
  </si>
  <si>
    <t>INTERVENTORIA TECNICA, ADMINISTRATIVA, FINANCIERA, CONTABLE, JURIDICA Y AMBIENTAL AL CONTRATO DE OBRA PUBLICA CUYO OBJETO CONSISTE EN LA CONSTRUCCIÓN DE PAVIMENTO EN CONCRETO HIDRAULICO DE 3000 PSI EN LOS BARRIOS LAS DELICIAS, VILLA JARDIN Y NUEVA ESPERANZA, DEL ÁREA URBANA DEL MUNICIPIO DE FONSECA - LA GUAJIRA</t>
  </si>
  <si>
    <t>ALCALDIA MUNICIPAL DE BARRANCAS</t>
  </si>
  <si>
    <t>Alcaldia de Fonseca - La Guajira</t>
  </si>
  <si>
    <t>05 de 2005</t>
  </si>
  <si>
    <t>CPI-TC-001
2007</t>
  </si>
  <si>
    <t>Asesoria e Interventoria Tecnica, Administrativa y
 Financiera para la construccion de tres tramos de
 corredorparaelSistemaIntegradodetransporteMasivo,
 Megabus,AvenidadelFerrocarril-Avenida30deAgosto
 del Municipio de Pereira.</t>
  </si>
  <si>
    <t>Asesoria e Interventoria Técnica, Administrativa y
 Ambiental en laconstruccióndeuntramodecorredor
 delSistemaIntegradodeTransporteMasivoTranscaribe
 desdeCuatroVientosaBazurtoenCartagenadeIndias
 Distrito Turistico y Cultural.</t>
  </si>
  <si>
    <t>Megabus S.A.</t>
  </si>
  <si>
    <t>Transcaribe S.A.</t>
  </si>
  <si>
    <t xml:space="preserve">EUROESTUDIOS INGENIEROS 
DE CONSULTA SAS </t>
  </si>
  <si>
    <t>ICCU-767 
DE 2022</t>
  </si>
  <si>
    <t>INTERVENTORÍA TECNICA, ADMINISTRATIVA, 
FINANCIERA, AMBIENTAL Y LEGAL AL 
PROYECTO “MEJORAMIENTO Y 
REHABILITACIÓN DE LA VÍA UBATÉ - 
LENGUAZAQUE - GUACHETÁ, DEPARTAMENTO 
DE CUNDINAMARCA EN EL MARCO DEL PLAN 
500”</t>
  </si>
  <si>
    <t>INSTITUTO DE 
INFRAESTRUCTURA Y 
CONCESIONESDE 
CUNDINAMARCA – 
ICCU</t>
  </si>
  <si>
    <t>445 DE 2016</t>
  </si>
  <si>
    <t xml:space="preserve">
 30091901 DE 
2019</t>
  </si>
  <si>
    <t>EDU 462 2018</t>
  </si>
  <si>
    <t>1779</t>
  </si>
  <si>
    <t>INTERVENTORÍA TÉCNICA, FINANCIERA, 
ADMINISTRATIVA Y DE CONTROL PRESUPUESTAL A 
PROYECTOS DE INFRAESTRUCTURA Y HABITAT EN EL 
TERRITORIO NACIONAL - IPS-004-2016- GRUPO 1</t>
  </si>
  <si>
    <t>INTERVENTORIA PARA LA CONSTRUCCION PAVIMENTO 
RIGIDO, BORDILLO, ANDENES Y RED DE 
ALCANTARILLADO EN EL MUNICIPIO DE ARJONA 
BOLIVAR</t>
  </si>
  <si>
    <t>PRESTACIÓN DE LOS SERVICIOS PROFESIONALES PARA 
BRINDAR APOYO A EDUBAR S.A, EN LA COORDINACIÓN 
Y SUPERVISIÓN DE LA EJECUCIÓN DE LA 
INTERVENTORÍA TÉCNICA, ADMINISTRATIVA, 
AMBIENTAL Y FINANCIERA PARA LA PAVIMENTACIÓN EN 
CONCRETO HIDRÁULICO YO ASFALTICO PARA EL 
PROGRAMA BARRIOS A LA OBRA ETAPAS I, II, III, IV, V, VI, 
VII, VIII, IX, X EN LAS LOCALIDADES SURORIENTE, NORTE 
CENTRO HISTÓRICO, RIOMAR, SUROCCIDENTE Y 
METROPOLITANA DEL DISTRITO DE BARRANQUILLA.</t>
  </si>
  <si>
    <t>INTERVENTORÍA TECNICA, ADMINISTRATIVA, 
FINANCIERA Y AMBIENTAL PARA EFECTUAR OBRAS DE 
INFRAESTRUCTURA PARA LA CONSTRUCCION, 
REHABILITACÍON Y/O MANTENIMIENTO DE LA MALLA 
VIAL URBANA EN DETERMINADOS BARRIOS DEL 
MUNICIPIO DE FLORIDA BLANCA</t>
  </si>
  <si>
    <t>FONDECUN</t>
  </si>
  <si>
    <t>ALCALDIA 
MUNICIPIO ARJONA</t>
  </si>
  <si>
    <t>EDUBAR</t>
  </si>
  <si>
    <t>ALCALDIA DE 
FLORIDABLANCA</t>
  </si>
  <si>
    <t>015 de 2015</t>
  </si>
  <si>
    <t>178-2015</t>
  </si>
  <si>
    <t>739 DE 2015</t>
  </si>
  <si>
    <t>REGULAR LOS TERMINOS Y CONDICIONES 
BAJO LOS CUALES EL INTERVENTOR SE 
OBLIGA A EJECUTAR PARA LA ANI LA 
INTERVENTORIA INTEGRAL DEL CONTRATO 
DE CONCESION , QUE INCLUYE LAS 
ACTIVIDADES DE INTERVENTORIA.</t>
  </si>
  <si>
    <t>INTERVENTORIA FINANCIERA, 
ADMINISTRATIVA, TECNICA, AMBIENTAL 
SOCIAL Y SISO DEL CONTRATO DE OBRA QUE 
RESULTE DEL PROCESO LICITATORIO Nº FDLF
LP-018-2015 O EL QUE HAGA SUS VECES, 
QUE TIENE POR OBJETO "LA REALIZACION 
POR EL SISTEMA DE PRECIOS UNITARIOS 
FIJOS SIN FORMUAL DE REAJUSTE, LAS 
OBRAS Y ACTIVIDADES PARA, 
CONSTRUCCION, REHABILITACION Y LA 
CONSTRUCCION, DE LA MALLA VIAL EN LA 
LOCALIDAD DE FONTIBON, DE ACUERDO 
CON LA DESCRIPCION Y ESPECIFICACIONES 
TECNICAS REQUERIDAS</t>
  </si>
  <si>
    <t>INTERVENTORIA TECNICA, JURIDICA, 
FINANCIERA Y DE CONTROL PRESUPUESTAL 
DEL MEJORAMIENTO Y REHABILITACION DE 
LA CALLE 1D ENTRE TRANSVERSAL 13 Y 14" 
BARRIO LOS OLIVOS I COMUNA 3 EN EL 
MUNICIPIO DE SOACHA EN EL 
DEPARTAMENTO DE CUNDINAMARCA 
GRUPO 3"</t>
  </si>
  <si>
    <t>23/122015</t>
  </si>
  <si>
    <t>AGENCIA NACIONAL DE 
INFRAESTRUCTURA</t>
  </si>
  <si>
    <t>FONDO DE 
DESARROLLO LOCAL DE 
FONTIBON</t>
  </si>
  <si>
    <t>FONDO DE 
DESARROLLO DE 
PROYECTOS DE 
CUNDINAMARCA</t>
  </si>
  <si>
    <t>257-2018</t>
  </si>
  <si>
    <t>No. 044 
de 2014</t>
  </si>
  <si>
    <t>REALIZAR INTERVENTORÍA TÉCNICA, ADMINISTRATIVA, FINANCIERA, 
LEGAL, AMBIENTAL Y DE SEGURIDAD Y SALUD EN EL TRABAJO A LOS 
CONTRATOS DE OBRA DERIVADOS DE LA LICITACIÓN NO.FDLB-LP-002
2018: “EJECUTAR, POR EL SISTEMA DE PRECIOS UNITARIOS FIJOS SIN 
FORMULA DE REAJUSTE, Y A MONTO AGOTABLE LAS OBRAS Y 
ACTIVIDADES NECESARIAS PARA LA CONSERVACIÓN DE LA MALLA VIAL 
Y ESPACIO PÚBLICO ASOCIADO DE LA LOCALIDAD DE BOSA, GRUPOS 1 Y 
2”.</t>
  </si>
  <si>
    <t>REALIZAR LA INTERVENTORIA TECNICA, ADMINISTRATIVA, FINANCIERA, 
SOCIAL Y AMBIENTAL  DEL CONTRATO OBRA PUBLICA No. 034-2014, 
PRODUCTO DE LA LICITACIÓN PÚBLICA No. FDLB-LCP-036-2014, QUE 
ADELANTO EL FONDO DE DESARROLLO LOCAL DE BOSA, SUSCRITO CON 
LA FIRMA CONSULTORIA Y CONSTRUCCIÓN LTDA CON&amp;CON LTDA Y 
CUYO OBJETO ES: REALIZAR POR EL SISTEMA DE PRECIOS UNITARIOS 
FIJOS SIN FORMULA DE AJUSTE, INTERVENCIONES INTEGRALES DE LA 
MALLA VIAL LOCAL E INTERMEDIA CON EL EMPLEO DE BASES 
ESTABILIZADAS CON ADITIVOS QUIMICOS, MEDIANTE EL DIAGNÓSTICO, 
MANTENIMIENTO Y REHABILITACIÓN DE LAS VÍAS CONSTRUIDAS 
EN CARPETAS FLEXIBLES, RÍGIDAS O ARTICULADAS, 
INTERVENCIONES PUNTUALES Y PARA LA CONSTRUCCIÓN DE 
VÍAS LOCALES A PARTIR DE DISEÑOS SUMINISTRADOS POR 
LA ENTIDAD (GRUPO 2 DE LA LICITACIÓN)</t>
  </si>
  <si>
    <t>FONDO DE 
DESARROLL
 O LOCAL DE 
BOSA</t>
  </si>
  <si>
    <t xml:space="preserve">INP SERVICIOS S.A.S </t>
  </si>
  <si>
    <t>INGECO 50%, INP 
SERVICIOS 50%</t>
  </si>
  <si>
    <t>21/218</t>
  </si>
  <si>
    <t>691 de 
2014</t>
  </si>
  <si>
    <t>365-2015</t>
  </si>
  <si>
    <t>FDLUSA
CTO-379
2020</t>
  </si>
  <si>
    <t xml:space="preserve"> INTERVENTORÍA TECNICA, ADMINISTRATIVA Y 
FINANCIERA PARA LA OBRA QUE TIENE POR 
OBJETO CONSTRUCCIÓN DE PAVIMENTO 
RIGIDO PARA LOS CORREDORES VIALES 
ESTRATEGICOS CORREGIMENTALES QUE 
COMUNICAN CON LAS CABECERAS URBANAS 
Y TRONCALES EN LOS MUNICIPIOS DEL MEDIO 
Y BAJO SINÚ DEPARTAMENTO DE CÓRDOBA",</t>
  </si>
  <si>
    <t>INTERVENTORIA # 1 TECNICA, 
ADMINISTRATIVA, FINANCIERA, AMBIENTAL, 
LEGAL Y CONTABLE A MANTENIMIENTO Y 
MEJORAMIENTO DE CALLES EN MONTERÍA, 
CÓRDOBA</t>
  </si>
  <si>
    <t>GOBERNACIÓN DE 
CÓRDOBA</t>
  </si>
  <si>
    <t>MUNICIPIO DE 
MONTERIA</t>
  </si>
  <si>
    <t>FONDO DE 
DESARROLLO LOCAL 
DE USAQUÉN</t>
  </si>
  <si>
    <t>RIL-SC-001024</t>
  </si>
  <si>
    <t>PRESTAR LOS SERVICIOS DE INTERVENTORÍA TÉCNICA, ADMINISTRATIVA, FINANCIERA, LEGAL, PREDIAL, SOCIAL, AMBIENTAL Y EN SEGURIDAD Y SALUD EN EL TRABAJO (SST) AL CONTRATO DE OBRA CUYO OBJETO ES LA CONSTRUCCIÓN, MEJORAMIENTO Y CONSERVACIÓN DE LA INFRAESTRUCTURA VIAL URBANA, LOCALIZADAS EN EL DEPARTAMENTO DE SANTANDER, BAJO LA MODALIDAD DE MONTO AGOTABLE Y FINANCIADO CON RECURSOS DE COMPENSACIÓN PETROLERA, GARANTIZANDO EL CUMPLIMIENTO DE LAS CONDICIONES TÉCNICAS, LEGALES, CONTRACTUALES, AMBIENTALES Y SOCIALES EN TODAS LAS ETAPAS DEL PROYECTO, ASÍ COMO LA ADECUADA EJECUCIÓN DE LOS RECURSOS</t>
  </si>
  <si>
    <t>RELIANCE INDUSTRIES LIMITED SUCURSAL COLOMBIA</t>
  </si>
  <si>
    <t>IDU-1880 DE 2013</t>
  </si>
  <si>
    <t>1840 DE 2013</t>
  </si>
  <si>
    <t xml:space="preserve">Interventoría técnica, administrativa, legal, financiera, social, ambiental y siso para la construcción y/o rehabilitación de accesos a barrios y pavimentos locales grupo 3, localidades de Engativá, Kennedy y Ciudad Bolivar </t>
  </si>
  <si>
    <t xml:space="preserve">Interventoría técnica, administrativa, financiera, legal, social y seguridad industrial, salud ocupacional y medio ambiente para las obras y actividades para la conservación de la malla vial arterial no troncal, en el grupo 4, Fase I - 2013, a precio global con ajuste, en la ciudad de Bogotá D.C. </t>
  </si>
  <si>
    <t>Instituto de Desarrollo Urbano- IDU</t>
  </si>
  <si>
    <t>NO SE EVIDENCIA FORMATO 13 EMPRENDIMIENTOS Y EMPRESAS DE MUJERES</t>
  </si>
  <si>
    <t>R&amp;M CONSTRUCCIONES E
INTERVENTORÍAS SAS</t>
  </si>
  <si>
    <t>M.A.P.G INGENIERIA CIVIL 
S.A.S.</t>
  </si>
  <si>
    <t>DU-871-2013</t>
  </si>
  <si>
    <t>0319 DE 2019</t>
  </si>
  <si>
    <t>320 DE 2020</t>
  </si>
  <si>
    <t>INTERVENTORÍA TÉCNICA, ADMINISTRATIVA, LEGAL,
FINANCIERA, SOCIAL, AMBIENTAL Y S&amp;SO PARA LA
CONSTRUCCIÓN DE LAS OBRAS FALTANTES DE LA
AVENIDA SANTA LUCIA DESDE LA AVENIDA JORGE
GAITÁN CORTES HASTA LA AVENIDA GENERAL
SANTANDER- PROYECTO 170 DEL GRUPO 1 DEL
ACUERDO DE VALORIZACIÓN 180 DE 2005 EN BOGOTÁ
DC.</t>
  </si>
  <si>
    <t>IINTERVENTORIIA TECNICA, ADMINISTRATIVA,
FINANCIERA Y JURIDICA PARA LA PAVIMENTACION DE
VIAS URBANAS (MEJORAMIENTO Y REHABILITACION)
PROYECTO No. 201840010303 INSCRITO EN EL BANCO
DE PROGRAMAS Y PROYECTOS DE INVERSION
MUNICIIPAL.</t>
  </si>
  <si>
    <t>“EJECUTAR LA INTERVENTORIA, TECNICA,
ADMINISTRATIVA, FINANCIERA, JURIDICA, SOCIAL,
AMBIENTAL Y SST AL CONTRATO QUE SUSCRIBA EL
FONDO DE DESARROLLO LOCAL COMO RESULTADO
DEL PROCESO DE LICITACIÓN PÚBLICA No FDLPA-LP-
017-2020, CUYO OBJETO ES “CONTRATAR A PRECIOS
UNITARIOS FIJOS Y A MONTO AGOTABLE LAS OBRAS
PARA LA CONSERVACIÒN DE LA MALLA VIAL Y SU
ESPACIO PÚBLICO ASOCIADO EN LA LOCALIDAD DE
PUENTE ARANDA”</t>
  </si>
  <si>
    <t>ALCALDIA DE
CUCUTA</t>
  </si>
  <si>
    <t>ALCALDIA DE
PUENTE ARANDA</t>
  </si>
  <si>
    <t>RYM CONSTRUCCIONES E
INTERVENTORIAS SAS</t>
  </si>
  <si>
    <t>MAIRA ALEJANDRA PICON
ACCIONISTA DE M.A.P.G.
INGENIERIA CIVIL S.A.S.</t>
  </si>
  <si>
    <t>R&amp;M CONSTRUCCIONES E
INTERVENTORIAS SAS</t>
  </si>
  <si>
    <t xml:space="preserve">SUBSANAR: EL CONTRATO 320 DE 2020 NO SE EVIDENCIAN LOS DOCUMENTOS QUE LO ACREDITEN COMO VALIDO </t>
  </si>
  <si>
    <t>241-2017</t>
  </si>
  <si>
    <t>407 de 2019</t>
  </si>
  <si>
    <t>296-2018</t>
  </si>
  <si>
    <t>FDLUSA-CIN-307-2021</t>
  </si>
  <si>
    <t>“INTERVENTORÍA TÉCNICA, ADMINISTRATIVA, LEGAL, FINANCIERA, SOCIAL, AMBIENTAL Y DE SEGURIDAD Y SALUD EN EL TRABAJO AL CONTRATO CUYO OBJETO ES: CONTRATAR BAJO LA MODALIDAD DE PRECIOS UNITARIOS FIJOS, Y A MONTO AGOTABLE, LAS OBRAS Y ACTIVIDADES PARA LA COMPLEMENTACIÓN Y/O ACTUALIZACIÓN Y/O AJUSTES A LOS ESTUDIOS Y DISEÑOS Y REHABILITACIÓN, RECONSTRUCCIÓN Y CONSTRUCCIÓN DE LA MALLA VIAL DE LA LOCALIDAD DE ENGATIVÁ Y SU ESPACIO PÚBLICO ASOCIADO"</t>
  </si>
  <si>
    <t>REALIZAR LA INTERVENTORÍA TÉCNICA, ADMINISTRATIVA, FINANCIERA, JURÍDICA, SOCIAL, AMBIENTAL Y SST AL CONTRATO DE OBRA PUBLICA QUE TENDRÁ POR OBJETO: CONTRATAR A PRECIOS FIJOS Y A MONTO AGOTABLE LA CONSERVACIÓN DE LA MALLA VIAL Y EL ESPACIO PÚBLICO, DE LA LOCALIDAD DE CIUDAD BOLÍVAR, EN BOGOTÁ D.C</t>
  </si>
  <si>
    <t>REALIZAR LA INTERVENTORÍA TÉCNICA, ADMINISTRATIVA, LEGAL, FINANCIERA, SOCIAL, AMBIENTAL Y DE SEGURIDAD Y SALUD EN EL TRABAJO AL CONTRATO CUYO OBJETO ES: CONTRATAR BAJO LA MODALIDAD DE PRECIOS UNITARIOS FIJOS, Y A MONTO AGOTABLE, LAS OBRAS Y ACTIVIDADES PARA LA CONSERVACIÓN DE LA MALLA VIAL DE LA LOCALIDAD DE ENGATIVÁ Y SU ESPACIO PÚBLICO ASOCIADO</t>
  </si>
  <si>
    <t>CONTRATAR LA INTERVENTORÍA TÉCNICA, ADMINISTRATIVA, LEGAL, FINANCIERA, SOCIAL, AMBIENTAL Y SISTEMA DE SEGURIDAD Y SALUD EN EL TRABAJO, DEL CONTRATO DE OBRA QUE SE DERIVE DE LA LICITACIÓN PÚBLICA FDLUSA-LP-001-2021, LA CUAL TIENE POR OBJETO: "CONTRATAR POR EL SISTEMA DE PRECIOS UNITARISO FIJOS SIN FÓRMULA DE REAJUSTE Y A MONTO AGOTABLE LA INTERVENCIÓN DE LA MALLA VIAL LOCAL E INTERMEDIA DE LA LOCALIDAD DE USAQUEN EN BOGOTÁ CON OBRAS Y ACTIVIDADES DE CONSERVACIÓN.</t>
  </si>
  <si>
    <t>ALCALDIA LOCAL DE ENGATIVA</t>
  </si>
  <si>
    <t>EXPERIENCIA ADQUIRIDA DE MIRS LATINOAMERICA S.A.S.</t>
  </si>
  <si>
    <t>INGENIEROS CIVILES ESPECIALISTAS S.A.S.</t>
  </si>
  <si>
    <t>JORGE PIDDO SEGUIDO DE LA EXPRESION SUCURSAL COLOMBIA</t>
  </si>
  <si>
    <t>OCCAS INGENIERIA S.A.S.</t>
  </si>
  <si>
    <t>AFA CONSULTORES Y CONSTRUCTORES S.A</t>
  </si>
  <si>
    <t>INTECON CONSULTORES S.A.S</t>
  </si>
  <si>
    <t>VELNEC S.A.</t>
  </si>
  <si>
    <t>VELNEC INGENIERIA S.A.S. BIC</t>
  </si>
  <si>
    <t>AMB-CM-001 de
2011</t>
  </si>
  <si>
    <t>0108*2010*000092</t>
  </si>
  <si>
    <t>VAL-INT-07-009</t>
  </si>
  <si>
    <t>0108*2013*000049</t>
  </si>
  <si>
    <t>1599-2021</t>
  </si>
  <si>
    <t>Interventoría a la Construcción del Mejoramiento de la Vía
Circunvalar - Juan Mina - Los Pocitos - Ye de Guaimaral,
Sector K0+000 a K2+000, Departamento del Atlántico</t>
  </si>
  <si>
    <t>Interventoria Tecnica, Administrativa, Financiera y Ambiental
de las Obras de Mejoramiento de la Via Circunvalar - Juan
Mina - Los Pocitos - Ye de Guaimaral en el Departamento del
Atlantico.</t>
  </si>
  <si>
    <t>Interventoría Tecnica, Administrativa y Ambiental de la
Construccion de la Segunda Calzada de la Avenida
Circunvalar Sector comprendido entre la calle 51B y la
Cordialidad en la Ciudad de Barranquilla</t>
  </si>
  <si>
    <t>Interventoría Técnica y Ambiental para el Proyecto de
Mejoramiento Vía a La Playa (Mallorquín) – Cruce Ruta
90AAT08, Etapa 2 Departamento del Atlántico</t>
  </si>
  <si>
    <t>Interventoría Técnica, Legal, Administrativa y Financiera para
el Mantenimiento y Rehabilitación de la vía Mojarras - Popayán
Ruta 2503 y variante de Popayán - Ruta 25CCB y Pasto-
Mojarras, Ruta 2502, sector Cano-Mojarras Departamentos de
Cauca y Nariño.</t>
  </si>
  <si>
    <t>Area
Metropolitana de
Barranquilla</t>
  </si>
  <si>
    <t>Dpto del
Atlantico</t>
  </si>
  <si>
    <t>Edubar</t>
  </si>
  <si>
    <t>Departamento
del Atlántico</t>
  </si>
  <si>
    <t>320 DE 2019</t>
  </si>
  <si>
    <t>283 de 2018</t>
  </si>
  <si>
    <t>REALIZAR LA INTERVENTORIA TECNICA, ADMINISTRATIVA, LEGAL FINANCIERA, SOCIAL, AMBIENTAL Y DE SEGURIDAD Y SALUD EN TRABAJO (SST) DEL CONTRATO DE OBRA PUBLICA QUE TIENE POR OBJETO EJECUTAR LAS OBRAS Y ACTIVIDADES PARA LA CONSERVACION DE LA MALLA VIAL Y ESPACIO PUBLICO DE LA LOCALIDAD DE RAFAEL URIBE URIBE EN BOGOTA DERIVADO DEL PROCESO DE LICITACION PUBLICA No. FDLRUU-PL-224 DE 2019</t>
  </si>
  <si>
    <t>OBJETO DEL CONTRATO: "REALIZAR A PRECIO GLOBAL FIJO LA INTERVENTORÍA, ADMINISTRATIVA, FINANCIERA,
TECNICA, JURIDICA, LEGAL, SOCIAL Y AMBIENTAL AL CONTRATO DE OBRA CUYO OBJETO. REALIZAR POR PRECIO UNITARIO CON FORMULA DE AJUSTE LAS OBRAS PARA LAS ACTIVIDADES NECESARIAS PARA LA CONSERVACION DE LA MAYA VIAL DE LA LOCALIDAD DE FONTIBON Y SU ESPACIO PUBLICO ASOCIADO".</t>
  </si>
  <si>
    <t>ALCALDIA LOCAL DE RAFAEL URIBE</t>
  </si>
  <si>
    <t>FONDO DE DESARROLLO LOCAL DE FONTIBON</t>
  </si>
  <si>
    <t>INTERVENTORIA Y CONSTRCIVILES SAS</t>
  </si>
  <si>
    <t>4600051884 de 2013</t>
  </si>
  <si>
    <t>4600051883 de 2013</t>
  </si>
  <si>
    <t>2014 - 00263</t>
  </si>
  <si>
    <t>1632 del 2020</t>
  </si>
  <si>
    <t>lnterventoría para la construcción del paso a desnivel en el Cruce de la Transversal
Superior (Carrera 25) con la Loma del Tesoro (Calle 3) y Obras Complementarias</t>
  </si>
  <si>
    <t>Interventoría para la construcción del
intercambio vial de la transversal superior con la Loma de los Balsos y Obras
Complementarias</t>
  </si>
  <si>
    <t>INTERVENTORÍA PARA LA CONSTRUCCIÓN DEL PASO A DESNIVEL DE LA
TRANSVERSAL SUPERIOR (CARRERA 25) CON LA CALLE 10, CONEXIÓN CALLE
10 CON LA CALLE 10A SECTOR CES Y OBRAS COMPLEMENTARIAS</t>
  </si>
  <si>
    <t>INTERVENTORIA PARA LA GESTIÒN, OPERACIÒN Y MANTENIMIENTO
INTEGRAL (incluye mantenimiento rutinario) EN LAS CARRETERAS: SANTUARIO -
CRUCE RUTA 45 (Caño Alegre) PR3+0000 - PR135+0600 RUTA 6005, HOYO RICO
- LOS LLANOS (PR 52+0474- PR87+1295) RUTA 2510, LOS LLANOS - TARAZÁ
(PR 0+0000- PR124+0705) RUTA 2511, TARAZÀ- CAUCASIA (PR0+0000-
PR63+0996) RUTA 2512, Y LA PINTADA – MEDELLIN (Autopista sur) PR 64+0000 -
PR 72+0084 RUTA 2509, EN EL DEPARTAMENTO DE ANTIOQUIA.</t>
  </si>
  <si>
    <t>24/02/204</t>
  </si>
  <si>
    <t>Municipio de Medellín -
Secretaría de Infraestructura
Fìsica</t>
  </si>
  <si>
    <t>Municipio de Medellín -
Secretaría de Medio
Ambiente</t>
  </si>
  <si>
    <t>Fondo de Valorización del
Municipio de Medellín</t>
  </si>
  <si>
    <t>JORGE PIDDO SEGUIDO
DE LA EXPRESION
SUCURSAL COLOMBIA</t>
  </si>
  <si>
    <t>001 de 2002</t>
  </si>
  <si>
    <t>6-052182 de 2014</t>
  </si>
  <si>
    <t>003 de 1996</t>
  </si>
  <si>
    <t>2327 de 2020</t>
  </si>
  <si>
    <t>INTERVENTORÍAPARAREALIZARLAVIGILANCIA,SEGUIMIENTOYVERIFICACIÓNTÉCNICA,ADMINISTRATIVAYFINANCIERASOBRELAEJECUCIÓNYCUMPLIMIENTODELACONSTRUCCIÓNDELASOBRASDEREHABILITACIÓNDELACARRETERAMONTERÍA-AEROPUERTOLOSGARZONES,ENEL MUNICIPIO DE MONTERÍA.</t>
  </si>
  <si>
    <t>INTERVENTORÍATÉCNICA,ADMINISTRATIVA,FINANCIERA,CONTABLEYAMBIENTALALACONSTRUCCIÓNYREHABILITACIÓNDEVÍASENLALOCALIDADDELAVIRGENYTURÍSTICADELDISTRITODECARTAGENA.MALLAVIALCARTAGENA.</t>
  </si>
  <si>
    <t>GERENCIADEPROYECTOSEINTERVENTORÍADELPLANDERENOVACIÓNURBANADELDISTRITOCENTRALDEBARRANQUILLAEINTERVENTORÍADELASOBRASDELPROYECTODERENOVACIÓNURBANADELDISTRITOCENTRAL DE BARRANQUILLA.</t>
  </si>
  <si>
    <t>INTERVENTORIAPARALAGESTIONVIALINTEGRALDELACARRETERAZIPAQUIRA-UBATE-PUENTENACIONAL-SANGIL-PALENQUEYBUCARAMANGA-SANALBERTO,RUTA45A,TRAMO08,SECTORRIONEGRO-SANALBERTOPR18+0000 AL PR93+0694</t>
  </si>
  <si>
    <t>Secretaria Ejecutiva Convenio Andrés Bello - SECAB</t>
  </si>
  <si>
    <t>Alcaldía Mayor de Cartagena de Indias Distrito Turístico y Cultural de Cartagena de Indias</t>
  </si>
  <si>
    <t>Empresa de Desarrollo Urbano de Barranquilla - EDUBAR S.A..</t>
  </si>
  <si>
    <t>Instituto Nacional de Vías - INVIAS</t>
  </si>
  <si>
    <t>AFA CONSULTORES Y CONSTRUCTORES S.A.</t>
  </si>
  <si>
    <t>SUBSANAR: NO SE EVIDENCIA RUP DE AFA CONSULTORES Y CONSTRUCTORES S.A NO SE PUEDENVERIFICAR LOS CONTRATOS</t>
  </si>
  <si>
    <t>CTO 2217 DE 2012</t>
  </si>
  <si>
    <t>IDU-126-2000</t>
  </si>
  <si>
    <t>0046-2001</t>
  </si>
  <si>
    <t>INTERVENTORÍA PARA EL MANTENIMIENTO Y REHABILITACIÓN DE LAS CARRETERAS SAN JUAN DE PASTO-MOJARRAS, RUTA 25 TRAMO 2502 Y CEBADAL-SANDONA-PASTO. SECTOR LA FLORIDA-PASTO RUTA 2501B. DEPARTAMENTO DE NARIÑO MÓDULO 1</t>
  </si>
  <si>
    <t>INTERVENTORÍA TECNICA Y ADMINISTRATIVA PARA LA EVALUACION Y COMPLEMENTACION DE LOS DISENOS, REHABILITACION DE LAS CALZADAS DE TRAFICO MIXTO Y ADECUACION PARA LA OPERACIÓN DE TRANSMILENIO DE LA TRONCAL CARACAS DESDE LA CL 6 HASTA LA CL 80.</t>
  </si>
  <si>
    <t>INTERVENTORÍA DE LAS OBRAS DE MEJORAMIENTO Y PAVIMENTACION DEL TRAMO: K21+500-K33+000 DEL SECTOR LANDAZURI - VELEZ, TRANSVERSAL DEL CARARE.</t>
  </si>
  <si>
    <t>INSTITUTO NACIONAL DE VIAS</t>
  </si>
  <si>
    <t>IDU - INSTITUTO DE DESARROLLO URBANO</t>
  </si>
  <si>
    <t>PIV INGENIERIA SAS</t>
  </si>
  <si>
    <t>1569-2009</t>
  </si>
  <si>
    <t>IDU 1209 DE 2014</t>
  </si>
  <si>
    <t>INTERVENTORÍA TÉCNICA, LEGAL, FINANCIERA, ADMINISTRATIVA, AMBIENTAL, PREDIAL Y SOCIAL DEL PROYECTO "ESTUDIOS Y DISEÑOS, GESTIÓN SOCIAL, PREDIAL, AMBIENTAL, Y MEJORAMIENTO DEL PROYECTO CORREDOR DEL SUR Y MARGINAL DE LA SELVA"</t>
  </si>
  <si>
    <t>INTERVENTORIA TÉCNICA, ADMMINISTRATIVA, FINANCIERA, LEGAL, SOCIAL Y DE SEGURIDAD INDUSTRIAL, SALUD EN EL TRABAJO Y MEDIO AMBIENTE DE LAS OBRAS Y ACTIVIDADES PARA LA CONSERVACION DE LA MALLA VIAL ARTERIAL TRONCAL Y MALLA VIAL INTERMEDIA QUE SOPORTA LAS RUTAS DEL SISTEMA INTEGRADO DE TRANSPORTE- SITP- GRUPO 7: TRONCAL NQS SUR LOCALIDADES BOSA Y CIUDAD BOLIVAR EN LA CIUDAD DE BOGOTA D.C.</t>
  </si>
  <si>
    <t>INTERVENTORÍA TÉCNICA, ADMMINISTRATIVA. LEGAL FINANCIERA, SOCIAL, AMBIENTAL Y DE SEGURIDAD Y DE SALUD EN EL TRABAJO PARA LA COMPLEMENTACIÓN Y/O ACTUALIZACIÓN DE DISEÑOS Y CONSTRUCCIÓN Y/O REHABILITACIÓN DE ACCESOS A BARRIOS Y PAVIMENTOS LOCALES GRUPO 6 EN BOGOTÁ D.C.</t>
  </si>
  <si>
    <t>IDU - Instituto de Desarrollo Urbano</t>
  </si>
  <si>
    <t xml:space="preserve">SUBSANAR: NO SE EVIDENCIA RUP DE LA EMPRESA NO SE PUEDEN VERIRICAR LOS CONTRATOS  </t>
  </si>
  <si>
    <t>400-2009</t>
  </si>
  <si>
    <t>CIN-118-2013</t>
  </si>
  <si>
    <t>ICCU - 106- 2014</t>
  </si>
  <si>
    <t>INTERVENTORÍA TÉCNICA, ADMINISTRATIVA, FINANCIERA Y PRESUPUESTAL AL SEGUNDO SEGMENTO DE OBRAS CONTRATADAS Y POR CONTRATAR POR PARTE DEL INSTITUTO DE DESARROLLO DEL META</t>
  </si>
  <si>
    <t>REALIZAR LA INTERVENTORÍA TÉCNICA, ADMINISTRATIVA, FINANCIERA Y CONTABLE A LOS CONTRATOS DE OBRA QUE TENDRÁN POR OBJETO: "REALIZAR A MONTO AGOTABLE Y SIN FÓRMULA DE REAJUSTE TRABAJOS DE TERMINACIÓN DE RECONSTRUCCIÓN DE ESPACIO PÚBLICO (ANDENES) DEL BARRIO EGIPTO ALTO Y DE DIAGNÓSTICO, MANTENIMIENTO Y/O, ADECUACIÓN Y DE LOS ESPACIOS PÚBLICOS (ANDENES) DE LOCALIDAD DE LA CANDELARIA, DE ACUERDO CON LA DESCRIPCIÓN, ESPECIFICACIONES Y DEMÁS CONDICIONES ESTABLECIDAS EN LOS ESTUDIOS PREVIOS Y PLIEGOS DE CONDICIONES¿ Y REALIZAR A MONTO AGOTABLE Y SIN FORMULA DE REAJUSTE TRABAJOS DE DIAGNOSTICO, MANTENIMIENTO Y/O, REHABILITACIÓN Y/O RECONSTRUCCIÓN Y/O ADECUACIÓN DE LA MALLA VIAL LOCAL, DE ACUERDO CON LA DESCRIPCIÓN, ESPECIFICACIONES Y DEMÁS CONDICIONES ESTABLECIDAS EN LOS ESTUDIOS PREVIOS Y PLIEGOS DE CONDICIONES" DERIVADOS DE LOS PROCESOS DE SELECCIÓN EN CURSO O POR ABRIR EN LA PRESENTE VIGENCIA</t>
  </si>
  <si>
    <t>CONTRATAR LA INTERVENTORÍA TÉCNICA, ADMINISTRATIVA, FINANCIERA Y LEGAL PARA: “MEJORAMIENTO Y PAVIMENTACIÓN DE LA VÍA NOCAIMA - VERGARA DEL (K2+550 AL K2+950) CON K0+00 EN EL MUNICIPIO DE NOCAIMA DEPARTAMENTO DE CUNDINAMARCA y CONTRATAR LA INTERVENTORÍA TÉCNICA, ADMINISTRATIVA, FINANCIERA Y LEGAL PARA: “MEJORAMIENTO Y PAVIMENTACIÓN DE LA VÍA SÁNAME - PUENTE QUETAME DESDE EL K0+000 AL K1+500 (K0+000 LOCALIZADO EN PUENTE QUEMADO) MUNICIPIO DE FOSCA, DEPARTAMENTO DE CUNDINAMARCA”.</t>
  </si>
  <si>
    <t>AGENCIA PARA LA INFRAESTRUCTURA DEL META</t>
  </si>
  <si>
    <t>BOGOTÁ D.C. - ALCALDIA LOCAL LA CANDELARIA</t>
  </si>
  <si>
    <t>INSTITUTO DE INFRAESTRUCTURA Y CONCESIONES DE CUNDINAMARCA</t>
  </si>
  <si>
    <t>42 de
2007</t>
  </si>
  <si>
    <t>IDU-1720-
2020</t>
  </si>
  <si>
    <t>1607 DE
2015</t>
  </si>
  <si>
    <t>069 DE
2014</t>
  </si>
  <si>
    <t>INTERVENTORÍA TÉCNICA, ADMINISTRATIVA,
FINANCIERA Y AMBIENTAL AL DIAGNÓSTICO Y
MANTENIMIENTO DE VÍAS, ZONA SUR A
TRAVÉS DEL PROGRAMA BRIGADA DE
REACCIÓN VIAL, EN BOGOTÁ D.C.</t>
  </si>
  <si>
    <t>“INTERVENTORÍA A LA EJECUCIÓN DE LAS
ACTIVIDADES Y OBRAS REQUERIDAS PARA LA
CONSERVACIÓN DE LA MALLA VIAL ARTERIAL
NO TRONCAL, EN LA CIUDAD DE BOGOTÁ,
D.C. – GRUPO 5.”</t>
  </si>
  <si>
    <t>INTERVENTORÍA PARA EL MEJORAMIENTO
GESTION PREDIAL, SOCIAL Y AMBIENTAL DE
LA VÍA POPAYAN - TORORÓ - INZA RUTA 2602
SECTOR CÓRDOBA -TORORÓ - POPAYÁN EN
EL DEPARTAMENTO DEL CAUCA PARA EL
PROGRAMAVIAS PARA LA EQUIDAD MODULO
2.</t>
  </si>
  <si>
    <t>INTERVENTORÍA TÉCNICA, ADMINISTRATIVA,
FINANCIERA Y AMBIENTAL PARA LAS OBRAS
DE MEJORAMIENTO, REHABILITACIÓN Y
RECUPERACIÓN DE LA VÍA QUE DEL
MUNICIPIO DE ATACO CONDUCE AL
MUNICIPIO DE PLANADAS EN EL SECTOR EL
K13+000 AL K13+800, EN EL SUR DEL
DEPARTAMENTO DEL TOLIMA.</t>
  </si>
  <si>
    <t>INSTITUTO DE
DESARROLLO
URBANO
IDU</t>
  </si>
  <si>
    <t>INSTITUTO
NACIONAL DE
VIAS
INVIAS</t>
  </si>
  <si>
    <t>FONDO DE
PROGRAMAS
ESPECIALES
PARA LA PAZ</t>
  </si>
  <si>
    <t>VELNEC INGENIERIA
S.A.S. BIC</t>
  </si>
  <si>
    <t>INGENIERIA Y GESTION VIASL S.A.S (GEVIAL)</t>
  </si>
  <si>
    <t>HUPERNIKAO INGENIERIA
S.A.S</t>
  </si>
  <si>
    <t>MCCA S.A.S.</t>
  </si>
  <si>
    <t>LITORAL CONSULTING SAS</t>
  </si>
  <si>
    <t>MC CONSULTORES Y
CONSTRUCTORES S.A.S.</t>
  </si>
  <si>
    <t>ECOVIAS S.A.S</t>
  </si>
  <si>
    <t>ECOING PROYECTOS S.A.S</t>
  </si>
  <si>
    <t>INCOPLAN SA</t>
  </si>
  <si>
    <t>SOLIUN SAS</t>
  </si>
  <si>
    <t>GITAI GROUP S.A.S. BIC</t>
  </si>
  <si>
    <t>INFRAESTRUCTURAS E INGENIERIA GLOBAL S.A.S</t>
  </si>
  <si>
    <t>TLL ARQUITECTOS E INGENIEROS S.A.S.</t>
  </si>
  <si>
    <t>2276 de 2006</t>
  </si>
  <si>
    <t>IDU-1864-2014</t>
  </si>
  <si>
    <t>1703 DE 2020</t>
  </si>
  <si>
    <t>Interventoría para el mantenimiento de la carretera Honda – Villeta – Tobiagrande – El Vino mediante la construcción de Box Coulbert entre el PR 77+300 al Pr77+450 tramo 5002.</t>
  </si>
  <si>
    <t>Interventoría Técnica, Administrativa, Legal, Financiera, Social, Ambiental y de Seguridad y Salud en el Trabajo para la complementación o actualizaicón o ajuste a los Estudios y Diseños y la Construcción de la Avenida Bosa desde Avenida Agoberto Mejía (Ak 80) hasta Avenida Ciudad de Cali, en la ciudad de Bogotá, D.C. Acuerdo 527 de 2013.</t>
  </si>
  <si>
    <t>Interventoría a la ejecución de las actividades y obras requeridas para la conservación de la malla vial que soporta rutas del Sistema Integrado de Transporte Público- SITP, en la ciudad de Bogotá D.C. Grupos 2</t>
  </si>
  <si>
    <t>INGENIERÍA Y GESTIÓN VIAL S.A.S.</t>
  </si>
  <si>
    <t>CONSORCIO INGE</t>
  </si>
  <si>
    <t>CONSORCIO INTER RUTAS 033</t>
  </si>
  <si>
    <t>20210917-001</t>
  </si>
  <si>
    <t>191-2022 COP (71903)</t>
  </si>
  <si>
    <t>CMA-SI-1875-2017</t>
  </si>
  <si>
    <t>2022-004</t>
  </si>
  <si>
    <t>CM-SI-222-2014</t>
  </si>
  <si>
    <t>INTERVENTORÍA TÉCNICA, ADMINISTRATIVA, FINANCIERA, LEGAL Y AMBIENTAL PARA LAS OBRAS DE PAVIMENTACION Y REHABILITACION DE TRAMOS VIALES EN CONCRETO RIGIDO EN DIFERENTES SECTORES Y CONSTRUCCION DE CANALIZACION Y PAVIMENTACIÓN DE ARROYOS PARA EL CONTROL DE INUNDACIONES (GRUPO 1 Y 2), EN EL MUNICIPIO DE PUERTO COLOMBIA ATLÁNTICO</t>
  </si>
  <si>
    <t>Realizar la interventoría técnica, administrativa, financiera, jurídica, social, ambiental y siso al contrato de obra pública que tendrá por objeto ejecutar a precios unitarios fijos y a monto agotable, las obras y actividades necesarias para la conservación de la malla vial local e intermedia, y espacio público de la localidad de Teusaquillo, en la ciudad de Bogotá D.C de conformidad con los estudios previos y anexo técnico.</t>
  </si>
  <si>
    <t>INTERVENTORÍA TÉCNICA, ADMINISTRATIVA, FINANCIERA,
JURÍDICA, SOCIAL, AMBIENTAL Y SISO DE LAS SIGUIENTES OBRAS:
GRUPO 1: “MEJORAMIENTO EN CONCRETO ASFALTICO DE LA VÍA
SAN ESTANISLAO DE KOTSKA – ARJONA, INCLUYE RAMAL DE
ACCESO A LAS PIEDRAS, MUNICIPIO DE SAN ESTANISLAO DE
KOSTKA Y ARJONA, DEPARTAMENTO DE BOLÍVAR</t>
  </si>
  <si>
    <t>INTERVENTORIA CONTRACTUAL TECNICA, JURÍDICA, ADMINISTRATIVA, FINANCIERA, SOCIAL Y AMBIENTAL PARA LA EJECUCIÓN DE LA OBRA "MEJORAMIENTO, ADECUACIÓN Y/O REHABILITACIÓN DE LA INFRAESTRUCTURA VIAL Y/O COLECTIVA EN DIFERENTES SECTORES DEL MUNICIPIO, ASÍ COMO LA CONSTRUCCIÓN DE LA VÍA AVENIDA 19 NORTE TRAMO II ( CARRERA 14 A AVENIDA CENTENARIO) INCLUYENDO GESTION PREDIAL Y AMBIENTAL, QUE HACE PARTE DEL PLAN DE OBRAS A FINANCIAR A TRAVÉS DE LA CONTRIBUCIÓN DE LA VALORIZACION EN EL MUNICIPIO DE ARMENIA DEPARTAMENTO DE QUINDIO"</t>
  </si>
  <si>
    <t>INTERVENTORÍA TECNICA, AMDINISTRATIVA Y FINANCIERA SOBRE LAS OBRAS DE MEJORAMIENTO A NIVEL DE PAVIMENTO EN CONCRETO ASFALTICO DE 21,4KM ENTRE LOS MUNICIPIOS DE CORDOBA Y ZAMBRANO - DEPARTAMENTO DE BOLIVAR</t>
  </si>
  <si>
    <t>MUNICIPIO DE PUERTO COLOMBIA</t>
  </si>
  <si>
    <t>FONDO DE DESARROLLO LOCAL TEUSAQUILLO</t>
  </si>
  <si>
    <t>GOBERNACIÓN DE BOLÍVAR</t>
  </si>
  <si>
    <t>ALCALDÍA DE ARMENIA - QUINDIO</t>
  </si>
  <si>
    <t>CONSORCIO HUPERNIKAO PTO</t>
  </si>
  <si>
    <t>JET INGENIERIA SOCIEDAD POR ACCIONES SIMPLIFICADA /
CONSORCIO HUPERNIKAO TEUSAQUILLO</t>
  </si>
  <si>
    <t>JET INGENIERIA SOCIEDAD POR ACCIONES SIMPLIFICADA /CONSORCIO TRANSFORMAR VIAL 07-01</t>
  </si>
  <si>
    <t>JET INGENIERIA SOCIEDAD POR ACCIONES SIMPLIFICADA /
CONSORCIO TRANSFORMAR VIAS ARMENIA</t>
  </si>
  <si>
    <t>JET INGENIERIA SOCIEDAD POR ACCIONES SIMPLIFICADA /</t>
  </si>
  <si>
    <t>381 DE 2004</t>
  </si>
  <si>
    <t>INTERVENTORIA INTEGRAL A OBRAS DE MEJORAMIENTO, OPTIMIZACION Y CONSTRUCCION DE INFRESTRUCTURA VIAL A CARGO DE LA GOBERNACION DEL MAGDALENA</t>
  </si>
  <si>
    <t>DEPARTAMENTO DEL MAGDALENA</t>
  </si>
  <si>
    <t>CLAUDIA MILENA MARTINEZ CLAVIJO</t>
  </si>
  <si>
    <t>049-2013</t>
  </si>
  <si>
    <t>682-07</t>
  </si>
  <si>
    <t>359 DE 2015</t>
  </si>
  <si>
    <t>008-2000</t>
  </si>
  <si>
    <t>606-2018</t>
  </si>
  <si>
    <t>1566-2019</t>
  </si>
  <si>
    <t>Interventoría técnica, administrativa, legal y financiera para
la construcción, rehabilitación con mezcla asfáltica y
construcción de obras de urbanismo de la malla vial del
municipio de bello, correspondientes a las licitaciones
públicas nº 11 y nº 13 de 2012, vigencias futuras.</t>
  </si>
  <si>
    <t>nterventoría Técnica, Administrativa y Financiera para la
Construcción de obras de remodelación urbanística de vías,
construcción alameda y diseños intercambio Vial Solla.</t>
  </si>
  <si>
    <t>Interventoria para la construccion de la prolongación de la
doble calzada de la Loma Los Balsos (Calle12sur)entre la
calle 9Asur y la transversal superior (Carrera 25) y obras
complementarias</t>
  </si>
  <si>
    <t>Interventoiia Tecnica y Administrativa de las obras
correspondientes a la Reconstruccion en Concreto Rlgido y
Flexible de la prolongacion de la Avenida Murillo entre la
Interseccion con la Avenida Circunvalar y el acceso
principal de la Gran Central de Abastos del Caribe.</t>
  </si>
  <si>
    <t>INTERVENTORIA PARA LA CONSTRUCCION DEL
INTERCAMBIADOR DE FATIMA UBICADO EN EL SECTOR
LA INTERSECCION DE LA TRANSVERSAL ORIENTAL - LA
VIA ALTOVIENTO - SANTAFE Y SAN BERNARDO MUNICIPIO
DE FLORIDABLANCA</t>
  </si>
  <si>
    <t>INTERCAMBIADOR PARA LA CONSTRUCCION DEL
INTERCAMBIADOR VIAL GUATIGUARA (AUTOPISTA
BUCARAMANGA - BOGOTA), MUNICIPIO DE PIEDECUESTA -
SANTANDER</t>
  </si>
  <si>
    <t>AREA METROPOLITANA DE BARRANQUILLA</t>
  </si>
  <si>
    <t>GOBERNACION DE SANTANDER</t>
  </si>
  <si>
    <t>NOGAALL S.A.</t>
  </si>
  <si>
    <t>NOGAALL PROYEC S.A.</t>
  </si>
  <si>
    <t>NOGAALL S.A.- CONSORCIO LOS BALSOS</t>
  </si>
  <si>
    <t>CONSULTORES ESPECIALIZADOS Y ASOCIADOS DE SANTANDER SAS</t>
  </si>
  <si>
    <t>CONSULTORES ESPECIALIZADOS Y ASOCIADOS DE SANTANDER SAS / CONSORCIO FATIMA 2018</t>
  </si>
  <si>
    <t>CONSULTORES ESPECIALIZADOS Y ASOCIADOS DE SANTANDER SAS / CONSORCIO VIAL GUATIGUARA</t>
  </si>
  <si>
    <t>IDU - UEL - 18 - 513 de 2002</t>
  </si>
  <si>
    <t>192-2000</t>
  </si>
  <si>
    <t>0108*2017*000045</t>
  </si>
  <si>
    <t>0108*2019*000285</t>
  </si>
  <si>
    <t>INTERVENTORÍAPARAELESTUDIO,DISEÑO,CONSTRUCCIÓNY/OREHABILITACIÓNDEVÍASENLALOCALIDADDERAFAELURIBEURIBEENBOGOTÁ D.C.</t>
  </si>
  <si>
    <t>INTERVENTORIATECNICA,ADMINISTRATIVAYFINANACIERAPARALACONSTRUCCIONDELAAVENIDABOYACA,DELACALLE138ALACALLE170ENSANTAFE DE BOGOTÁ, D.C.</t>
  </si>
  <si>
    <t>Interventoriatecnica,administrativa,financierayambientalparaelmejoramientodelavia corredor oriental del Guajaro, en el departamento del atlantico</t>
  </si>
  <si>
    <t>INTERVENTORIATÉCNICA,ADMINISTRATIVA,FINANCIERAYAMBIENTALPARAELMEJORAMIENTODELAVIAELCERRITO–HIBACHARO–AUTOPISTAALMAR,MUNICIPIO DE PIOJO, DEPARTAMENTO DEL ATLANTICO</t>
  </si>
  <si>
    <t>DEPARTAMENTO DEL ATLÁNTICO</t>
  </si>
  <si>
    <t>GOBERNACION DEL ATLANTICO</t>
  </si>
  <si>
    <t>CONSORCIO VIAS PARA BOGOTÁ</t>
  </si>
  <si>
    <t>CONSORCIO BOGOTA SIGLO XXI</t>
  </si>
  <si>
    <t>ECOVIAS S.A.S. - CONSORCIO INTERCORREDOR GUAJARO</t>
  </si>
  <si>
    <t>CONSORCIO ECOVIAL 2019</t>
  </si>
  <si>
    <t>TEY-COL-1892</t>
  </si>
  <si>
    <t xml:space="preserve">Interventoría integral para la ejecución de obras de construcción, mejoramiento y conservación vial, incluyendo la intervención de redes y espacio público, bajo la modalidad de monto agotable, en las vías urbanas de las localidades de Ciudad Bolívar y Kennedy en Bogotá </t>
  </si>
  <si>
    <t>TEYUNA ENERGY INC SUCURSAL COLOMBIA</t>
  </si>
  <si>
    <t>PROYECTOS Y OBRAS DE INGENIERIA LIMITADA PROBING LTDA</t>
  </si>
  <si>
    <t>28 DE 20221</t>
  </si>
  <si>
    <t>30 DE 2023</t>
  </si>
  <si>
    <t>03 DE 2010</t>
  </si>
  <si>
    <t>INTERVENTORÍA PARA EL SEGUIMIENTO ADMINISTRATIVO, TÉCNICO, FINANCIERO, AMBIENTAL, CONTABLE Y JURÍDICO PARA REINICIO DE LAS OBRAS DE CONSTRUCCIÓN PARA EL PROYECTO METROPLÚS EN EL SUR DEL VALLE DE ABURRÀ FASE I Y OBRAS COMPLEMENTARIAS.</t>
  </si>
  <si>
    <t>INTERVENTORÍA PARA EL SEGUIMIENTO TÉCNICA, LEGAL, AMBIENTAL Y FINANCIERO, PARA LA RECUPERACIÓN E INTERVENCIÓN DE LAS VÍAS PÚBLICAS ASOCIADAS A LAS RUTAS ALIMENTADORAS DE LAS CUENCAS 3, 4 Y 6 DEL DISTRITO MEDELLÍN</t>
  </si>
  <si>
    <t>INTERVENTORIA TECNICA PARA LAS OBRAS DE PAVIMENTACION Y MEJORAMIENTO DE VIAS URBANAS (CALLE 103 ENTRE CARRERAS 98 Y 58) DEL MUNICIPIO DE APARTADO</t>
  </si>
  <si>
    <t>ESCALA CCI S.A.S.</t>
  </si>
  <si>
    <t>GUSTAVO ADOLFO MUÑOZ BETANCUR</t>
  </si>
  <si>
    <t>IDU-PPBMU-
DTMV
005-2005
BM 197</t>
  </si>
  <si>
    <t>0982 de
2018</t>
  </si>
  <si>
    <t>4151.010.2
6.1.0799-
2022</t>
  </si>
  <si>
    <t>1619-2020
Interventoría para la urgencia manifiesta para atender la situación de desastre en la infraestructura vial</t>
  </si>
  <si>
    <t>Interventoría tecnica, administrativa, financiera, social y ambiental para la construcción y rehabilitación
de rutas alimentadoras del sistema Transmilenio, zona 2, grupo 3, Bogotá, con financiación Banco
Mundial. (BRT Bus Rapid Transit).</t>
  </si>
  <si>
    <t>Interventoría técnica, administrativa, financiera y ambiental para el mejoramiento, mantenimiento y
conservación de vías para conectividad regional, financiados con recursos de la enajenación de Isagen
en el departamento de Caldas, vía puente Hierro - Norcasia.Segundo Orden. 5,5 Kms. Caracterizacion
Vial. Señalizacion horizontal y vertical. Muro de contencion</t>
  </si>
  <si>
    <t>Interventoría integral al contrato de obra que resulte adjudicado en el proceso de licitación publica no.
4151.010.32.1.0784 de 2022, cuyo objeto es: “ejecutar a precios unitarios fijos y a monto agotable, las
obras y actividades necesarias para el mantenimiento de la malla vial urbana del distrito especial de
Santiago de Cali ficha EBI 26003017</t>
  </si>
  <si>
    <t>Interventoría para la urgencia manifiesta para atender la situación de desastre en la infraestructura vial
entre el PR00+0000 y PR20+0000 de la ruta 0101, circunvalación de la Isla de San Andrés y en la ruta
0301 circunvalación de la Isla de Providencia, departamento archipiélago de San Andrés, Providencia
y Santa Catalina.</t>
  </si>
  <si>
    <t>SANTIAGO DE CALI DISTRITO ESPECIAL, DEPORTIVO,
CULTURAL, TURISTICO, EMPRESARIAL Y DE SERVICIOS - DISTRITO DE SANTIAGO
DE CALI - SECRETARIA DE INFRAESTRUCTURA</t>
  </si>
  <si>
    <t>INGENIERIA CONSULTORIA Y PLANEACION S A</t>
  </si>
  <si>
    <t>CONSORCIO SEG INCOPLAN 044</t>
  </si>
  <si>
    <t>CONSORCIO SIG</t>
  </si>
  <si>
    <t>CONSORCIO INCOPLAN - INGECON</t>
  </si>
  <si>
    <t>2150831</t>
  </si>
  <si>
    <t>347 DE 2018</t>
  </si>
  <si>
    <t>FABRICA DE INTERVENTORÍA DE OBRA Y DISEÑOS Y ESTUDIOS TÉCNICOS,
REQUERIDOS POR FONADE, EN EL DESARROLLO DE SUS PROYECTOS DE
INFRAESTRUCTURA</t>
  </si>
  <si>
    <t>REDACCIÓN DE PROYECTO, DIRECCIÓN DE LAS OBRAS Y ASISTENCIA TÉCNICA DE LAS
OBRAS DE CONEXIÓN VIARIA DE LAS CARRETERAS CV-31 Y CV-35 EN EL MUNICIPIO DE
VALENCIA</t>
  </si>
  <si>
    <t>REALIZAR LA INTERVENTORÍA TÉCNICA, ADMINISTRATIVA, LEGAL, FINANCIERA,
SOCIAL, AMBIENTAL Y DE SEGURIDAD Y SALUD EN EL TRABAJO (SST), DEL CONTRATO
DE OBRA PÚBLICA QUE TIENE POR OBJETO: “EJECUTAR A MONTO AGOTABLE LAS
ACTIVIDADES PARA LLEVAR A CABO LA CONSERVACIÓN DE LA MALLA VIAL Y ESPACIO
PÚBLICO LA CUAL INCLUYE DIAGNÓSTICO, ESTUDIOS, DISEÑOS Y/O AJUSTES Y
COMPLEMENTACIÓN A LOS MISMOS DEL FONDO DE DESARROLLO LOCAL DE SUBA,
GRUPOS 1 Y 2 Y LAS DEMÁS ACTIVIDADES QUE SE DETALLAN EN LOS ANEXOS
TÉCNICOS” DERIVADO DEL PROCESO DE LA LICITACIÓN PÚBLICA NO. LP-FDLS-05-2018.</t>
  </si>
  <si>
    <t>EMPRESA NACIONAL PROMOTORA DEL DESARROLLO
TERRITORIAL- ENTERRITORIO</t>
  </si>
  <si>
    <t>FERIA VALENCIA</t>
  </si>
  <si>
    <t>BOGOTA DISTRITO CAPITAL</t>
  </si>
  <si>
    <t>CONSORCIO FABRICAS ASMD – AREAS INGENIERIA Y
ARQUITECTURA COLOMBIA SAS</t>
  </si>
  <si>
    <t>AREAS INGENIERIA Y ARQUITECTURA S.L.</t>
  </si>
  <si>
    <t>CONSORCIO CONSERVACION 2018 - TOMAS LLAVADOR
ARQUITECTOS E INGENIEROS S.L. SUCURSAL COLOMBIA</t>
  </si>
  <si>
    <t>66 / 8</t>
  </si>
  <si>
    <t>2032 DEL 04
DE DICIEMBRE
DE 2020</t>
  </si>
  <si>
    <t>066 DE 2020</t>
  </si>
  <si>
    <t>IDU-1502-2020</t>
  </si>
  <si>
    <t>1590-21 DE
AGOSTO 31 DE
2021</t>
  </si>
  <si>
    <t>INTERVENTORIA TECNICA, ADMINISTRATIVA,
FIANCIERA Y JURIDICA PARA LOS TRABAJOS DE
MANTENIMIENTO CON ACCIONES PUNTUALES DE
BACHEO Y REHABILITACION EN LA MALLA VIAL
URBANA DE CUCUTA</t>
  </si>
  <si>
    <t>CONTINUACION DE LA INTERVENTORIA TECNICA,
ADMINISTRATIVA, FINANCIERA, SOCIAL, AMBIENTAL Y
SISTEMA DE SEGURIDAD Y SALUD EN EL TRABAJO-SGSST
DEL CONTRATO DE OBRA 101 DE 2018 QUE TIENE
POR OBJETO “REALIZAR A PRECIO GLOBAL FIJO LA
ACTUALIZACIÓN, AJUSTES Y/O COMPLEMENTACIÓN DE
LOS ESTUDIOS Y DISEÑOS Y A MONTO AGOTABLE LA
CONSTRUCCIÓN DEL TRAMO FALTANTE DEL
PROYECTO RAPS NIEVES UBICADO EN LA CARRERA 4
ENTRE CALLES 13 Y 10 EN LA LOCALIDAD DE
CANDELARIA EN BOGOTA D.C.</t>
  </si>
  <si>
    <t>INTERVENTORIA INTEGRAL PARA LA CONSTRUCCION
DE CONEXIONES TRANSVERSALES PEATONALES
CALLE 73 ENTRE CARRERA 7 Y AVENIDA CARACAS -
CALLE 79B ENGTRE CARRERA 5 Y CARRERA 7 - CALLE
85 ENTRE CARRERA 7 Y CARRERA 11 EN LA CIUDAD DE
BOGOTA</t>
  </si>
  <si>
    <t>INTERVENTORÍA TECNICA, ADMINISTRATIVA,
FINANCIERA, AMBIENTAL, LEGAL, AL MEJORAMIENTO
DE LA VIA JAPON – FRAILES EN EL MUNICIPIO DE
DOSQUEBRADAS, DEPARTAMENTO DE RISARALDA</t>
  </si>
  <si>
    <t>MUNICIPIO DE SAN JOSE DE CUCUTA</t>
  </si>
  <si>
    <t>FONDO DE DESARROLLO LOCAL DE CANDELARIA</t>
  </si>
  <si>
    <t>DEPARTAMENTO DE RISARALDA</t>
  </si>
  <si>
    <t>INGENIEROS CONSTRUCTORES Y ASESORES SAS</t>
  </si>
  <si>
    <t>MAVECA INGENIERÍA S.A.S 
901.646.981-1</t>
  </si>
  <si>
    <t>INGEVAL SAS
NIT: 822.004.859-1</t>
  </si>
  <si>
    <t>ECG INGENIERÍA SAS</t>
  </si>
  <si>
    <t xml:space="preserve">AESA PROYECTOS SAS </t>
  </si>
  <si>
    <t>INGENIERIA Y CONSULTORIA INGECON SAS</t>
  </si>
  <si>
    <t>FRONTERAS CONSTRUCTORA S.A.S.</t>
  </si>
  <si>
    <t>JPS INGENIERIA S.A.S. (LIDER)</t>
  </si>
  <si>
    <t>A2M PROYECTOS DE INGENIERIA</t>
  </si>
  <si>
    <t>MAVECA INGENIERÍA S.A.S</t>
  </si>
  <si>
    <t xml:space="preserve">TERRA PROYECTOS CIVILES S.A.S </t>
  </si>
  <si>
    <t>GHF INGENIERÍA Y CONSTRUCCIONES SAS</t>
  </si>
  <si>
    <t>HIDRALARPI PROFESIONALES ASOCIADOS SAS</t>
  </si>
  <si>
    <t xml:space="preserve">LINO ANDRÉZ MENDOZA V. </t>
  </si>
  <si>
    <t>MT PROJECTS S.A.S</t>
  </si>
  <si>
    <t>INTING S.A.S.</t>
  </si>
  <si>
    <t xml:space="preserve">PC INTERVENTORES S.A.S. </t>
  </si>
  <si>
    <t xml:space="preserve">YTMING S.A.S. </t>
  </si>
  <si>
    <t>IDU-143-2006</t>
  </si>
  <si>
    <t>1833 DE 2013</t>
  </si>
  <si>
    <t>1725 DE 2020</t>
  </si>
  <si>
    <t>INTERVENTORÍA TÉCNICA, ADMINISTRATIVA, FINANCIERA Y AMBIENTAL PARA LAS INTERVENCIONES INTEGRALES A LA MALLA VIAL LOCAL DEL GRUPO VIAL FASE III - GRUPO 2 (LOCALIDAD DE TUNJUELITO Y CIUDAD BOLÍVAR) CON RECURSOS COFINANCIADOS ENTRE EL IDU Y LOS FONDOS DE DESARROLLO LOCAL, EN LA CIUDAD DE BOGOTÁ D.C.</t>
  </si>
  <si>
    <t>INTERVENTORÍA PARA EL MANTENIMIENTO Y REHABILITACIÓN EN LAS CARRETERAS HATILLO (HOYO RICO) - LOS LLANOS TARAZA - CAUCASIA, RUTA 25, TRAMO 2510 SECTOR HOYO RICO (PR 52+474)  -LOS LLANOS, TRAMO 2511 SECTOR LOS LLANOS - YARUMAL (PR25+0050) Y VALDIVIA - TARAZA Y TRAMO 2512 TARAZA - CAUCASIA. EN EL DEPARTAMENTO DE ANTIOQUIA. MODULO 3.</t>
  </si>
  <si>
    <t>INTERVENTORIA TECNICA, ADMINISTRATIVA, FINANCIERA Y AMBIENTAL PARA EL MEJORAMIENTO DE LA VIA EL DELIRIO - PUERTO VIEJO EN LOS MUNICIPIOS DE SAN ANTONIO DE PALMITO Y TOLÚ EN EL DEPARTAMENTO DE SUCRE.</t>
  </si>
  <si>
    <t>CONSORICIO INTERVIAS 2007</t>
  </si>
  <si>
    <t>CONSORCIO IH2-2013</t>
  </si>
  <si>
    <t>CONSORCIO INTERVENTORES SUCRE</t>
  </si>
  <si>
    <t>12-C0-4020</t>
  </si>
  <si>
    <t>IDU-37-2004</t>
  </si>
  <si>
    <t>579 de 2019</t>
  </si>
  <si>
    <t>594 de 2000</t>
  </si>
  <si>
    <t>321 de 2003</t>
  </si>
  <si>
    <t>178 de 2015</t>
  </si>
  <si>
    <t>2143 de 2006</t>
  </si>
  <si>
    <t>ASISTENCIA TÉCNICA PARA EL CONTROL Y VIGILANCIA DE LAS OBRAS AUTOVÍA DE MÁLAGA A-45: TRAMO ENCINAS REALES (S) - BENAMEJÍ (S)</t>
  </si>
  <si>
    <t>INTERVENTORÍA TÉCNICA, ADMINSITRATIVA, FINANCIERA Y AMBIENTAL  PARA LA CONSTRUCCIÓN Y CONSERVACIÓN DE ACCESOS A BARRIOS Y PAVIMENTOS LOCALES, PROGRAMA DE MEJORAMIENTO INTEGRAL DE BARRIOS EN LA LOCALIDAD DE BOSA, GRUPO 2. EN BOGOTÁ D.C.</t>
  </si>
  <si>
    <t xml:space="preserve">INTERVENTORÍA PARA EL MEJORAMIENTO DE LA VÍA K15TIERRA
ALTA,
DEPARTAMENTO
DE
CÓRDOBA
</t>
  </si>
  <si>
    <t>Interventoría técnica y administrativa para la construcción de la Avenida Ciudad de Cali de la Avenida Ciudad de Villavicencio hasta la Avenida Primera de Mayo en Santa Fe de Bogotá D.C.</t>
  </si>
  <si>
    <t>Interventoria  técnica,  administrativa,  financiera  y  ambiental  para la construcción de la Avenida Ciudad de Cali en el tramo comprendido entre la Avenida Calle 120 con Carrera 102 y la Calle 125 en Bogotá D.C.</t>
  </si>
  <si>
    <t>INTERVENTORIA, FINANCIERA, ADMINISTRATIVA, TECNICA, AMBIENTAL, SOCIAL Y SISO DEL CONTRATO DE OBRA QUE RESULTE DEL PROECSO LICITATORIO NO. FDLP-LP-018-2015 EL QUE HAGA SUS VECES QUE TIENE POR OBJETO "LA REALIZACIÓN POR EL SISTEMA DE PRECIOS UNITARIOS FIJOS SIN FORMULA DE AJUSTE, LAS OBRAS Y ACTIVIDADES PARA, CONSTRUCCIÓN, REHABILITACIÓN Y LA CONSERVACIÓN, DE LA MALLA VIAL EN LA LOCALIDAD DE FONTIBÓN, DE ACUERDO CON LAS DESCRIPCIONES Y ESPECIFICACIONES TÉCNICAS REQUERIDAS"</t>
  </si>
  <si>
    <t>Interventoría para el mejoramiento y pavimentación de la carretera Santa Cecilia - Pueblo Rico - Apia, Ruta 5003 (Construcción 14,1 Km)</t>
  </si>
  <si>
    <t>MINISTERIO DE FOMENTO - DEMARCACIÓN DE CARRETERAS DEL ESTADO EN ANDALUCÍA OCCIDENTA</t>
  </si>
  <si>
    <t>Instituto de Desarrollo Urbano - IDU -</t>
  </si>
  <si>
    <t>INSTITUTO NACIONAL DE VÍAS - INVIAS -</t>
  </si>
  <si>
    <t xml:space="preserve">Alcaldia Local de Fontibon </t>
  </si>
  <si>
    <t>ECG INGENIERIA SAS</t>
  </si>
  <si>
    <t xml:space="preserve"> CONSORCIO INGECON - LATINCONSULT</t>
  </si>
  <si>
    <t xml:space="preserve"> CONSORCIO VIAS CORDOBA 151</t>
  </si>
  <si>
    <t>CONSORCIO INGECON - LAS GALIAS</t>
  </si>
  <si>
    <t>CONSORCIO INFRAESTRUCTURA CIUDAD DE CALI</t>
  </si>
  <si>
    <t>CONSORCIO ZAFIRO</t>
  </si>
  <si>
    <t>915.104.9.03.2018</t>
  </si>
  <si>
    <t>5710 DEL 25 DE AGOSTO DE 2022</t>
  </si>
  <si>
    <t>4151.0.26.1.440 2.015</t>
  </si>
  <si>
    <t>NTERVENTORIA INTEGRAL A LA CONSTRUCCION DE LA FASE 1 DE LA TERMINAL AGUABLANCA, CONEXIÓN VIAL ASOCIADA Y DEMAS OBRAS COMPLEMENTARIAS DEL SISTEMA INTEGRADO DE TRANSPORTE MASIVO-SITM MIO DE PASAJEROS DE SANTIAGO DE CALI</t>
  </si>
  <si>
    <t>INTERVENTORÍA TÉCNICA, ADMINISTRATIVA, FINANCIERA, LEGAL Y AMBIENTAL PARA LA CONSTRUCCIÓN Y/O MANTENIMIENTO DE VÍAS EN CONCRETO RÍGIDO Y/O CONCRETO FLEXIBLE EN DIFERENTES SECTORES DEL MUNICIPIO DE PEREIRA.</t>
  </si>
  <si>
    <t>INTERVENTORIA TECNICA, ADMINISTRATIVA Y FINANCIERA PARA LA CONSTRUCCION DEL ESPACIO PUBLICO; MOBILIARIA Y SERVICIOS PUBLICO, INCLUIDA LA FINANCIACION, GESTION SOCIAL, TRANSITO Y AMBIENTAL A PRECIOS UNITARIOS SIN AJUSTE, PARA LA MEGA OBRA IDENTIFICADA COMO MG-16 PARQUE RIO CALI ETAPA I ZONA LINEAL LOCALIZADA ENTRE LA CALLE 15 Y LA CALLE 25 SOBRE EL RIO CALI, QUE FORMA PARTE DEL PLAN DE LAS MEGAOBRAS APROBADAS MEDIANTE EL ACUERDO 0241 DE 2008</t>
  </si>
  <si>
    <t>METRO CALI SA</t>
  </si>
  <si>
    <t>ALCALDIA DE PEREIRA</t>
  </si>
  <si>
    <t>MUNICIPIO DE SANTIAGO DE CALI - SECRETARIA DE INFRAESTRUCTURA Y VALORIZACION</t>
  </si>
  <si>
    <t>CONSORCIO ARCA-DICO 2018</t>
  </si>
  <si>
    <t>CONSORCIO INTERVENTORIA MG-16</t>
  </si>
  <si>
    <t>En la experiencia No. 3 - Alcaldia de Cali - La experiencia especifica de ajuste de diseño es para el capitulo de puentes y box culvert</t>
  </si>
  <si>
    <t>1229 - 2020</t>
  </si>
  <si>
    <t>4099/2013</t>
  </si>
  <si>
    <t>1587-2016</t>
  </si>
  <si>
    <t>80.10.05.0322017</t>
  </si>
  <si>
    <t>2150609</t>
  </si>
  <si>
    <t>SIN</t>
  </si>
  <si>
    <t>nterventoria para mejoramiento y mantenimiento de las carreteras Puerta de Hierrro - Yati Ruta 78-02, Mompos - Guamal Ruta 78-04, Departamento de Bolivar y 78-05 Guamal - El Banco Departamento de Magdalena</t>
  </si>
  <si>
    <t>INTERVENTORIA PARA EL MEJORAMIENTO Y MANTENIMIENTO CARRETERA CEBADAL - CONSACA -SANDONA PASTO RUTA 2501BDEPATAMENTO DE NARIÑO</t>
  </si>
  <si>
    <t>NTERVENTORIA PARA EL MEJORAMIENTO Y REHABILITACION DE LAS CARRETERAS COVEÑAS-SABANETA RUTA 90SCO2 EN EL DEPARTAMENTO DE SUCRE Y SABANETA MOMIL EN EL DEPARTAMENTO DE CORDOBA</t>
  </si>
  <si>
    <t>nterventoria tecnica, financiera, administrativa, ambiental, juridica y control de calidad para la rehabilitacion de la infraestructura vial y obras complementarias en la zona urbana del municipio de Yumbo.</t>
  </si>
  <si>
    <t>Ejecutar Fabricas No. 5 de interventoria de obra y diseños y estudios tecnicos, requeridos por Fonade, en el desarrollo de sus proyectos de infraestructura.</t>
  </si>
  <si>
    <t>SUPERVISION TECNICA DE LA ELABORACION DE LOS DISEÑOS DE INGENIERIA DE DETALLE Y LA SUPERVISION TECNICA JURIDICO LEGAL FINANCIERA CONTABLE ECONOMICA DE PREDIOS SOCIAL AMBIENTAL RIESGOS SEGURIDAD Y SALUD DE LA CONSTRUCCION DE LAS OBRAS EN LA U8 MAS DEL ROSARI, VALENCIA</t>
  </si>
  <si>
    <t>INSTITUTO NACIONAL DE
VIAS - INVIAS</t>
  </si>
  <si>
    <t>MUNICIPIO DE YUMBO</t>
  </si>
  <si>
    <t>Fonade</t>
  </si>
  <si>
    <t>BM3-OBRAS Y SERVICIOS
SA</t>
  </si>
  <si>
    <t>ONSORCIO MQF 055</t>
  </si>
  <si>
    <t>CONSORCIO MDS 137</t>
  </si>
  <si>
    <t>CONSORCIO CORDOBA
SDM-049</t>
  </si>
  <si>
    <t>CONSORCIO INT. YUMBO</t>
  </si>
  <si>
    <t>CONSORCIO FABRICAS MMC 030</t>
  </si>
  <si>
    <t>MARÍA CARMEN YOLANDA TORRENTE MONCHOLÍ</t>
  </si>
  <si>
    <t>85 - PC INTERVENTORES
3 - YTMING SAS</t>
  </si>
  <si>
    <t>2772 DE 2005</t>
  </si>
  <si>
    <t>077 DE 2005</t>
  </si>
  <si>
    <t>0981 DE 2006</t>
  </si>
  <si>
    <t>INTERVENTORIA DE LOS ESTUDIOS Y DISEÑOS, PAVIMENTACION Y/O REPAVIMENTACION DE LAS VIAS INCLUIDAS DENTRO DEL PROGRAMA DE PAVIMENTACIÓN DE INFRAESTRUCTURA VIAL DE INTEGRACION Y DESARROLLO GRUPO 05 VÍA ACCESO A MARINILLA AVDA 28 CON UNA LONGITUD DE 2.40 KILOMETROS; VÍA LA CEJA - ABEJORRAL CON UNA LONGITUD DE 20.00 KILOMETROS EN EL DEPARTAMENTO DE ANTIOQUIA</t>
  </si>
  <si>
    <t>INTERVENTORÍA TÉCNICA, ADMINISTRATIVA, FINANCIERA Y AMBIENTAL PARA DIAGNÓSTICO, MANTENIMIENTO RUTINARIO Y PERIÓDICO DE LA MALLA VIAL ARTERIAL PRINCIPAL Y MALLA VIAL COMPLEMENTARIA, CONFORMADA POR DISTRITOS DE MANTENIMIENTO 9 Y 10, DE LA FASE 3, CORREDORES VIALES SEGMENTADOS EN BOGOTÁ GRUPO 1</t>
  </si>
  <si>
    <t>INTERVENTORIA TECNICA Y ADMINISTRATIVA DE LA CONSTRUCCION DE LA INTERSECCION DIAGONAL SANTANDER-CANAL BOGOTA, MEGAPROYECTO DE INTERES PUBLICO EN EL MUNICIPIO DE SAN JOSE DE CUCUTA</t>
  </si>
  <si>
    <t>ALCALDIA SAN JOSE DE CUCUTA</t>
  </si>
  <si>
    <t>CONSORCIO BAOL-JPS</t>
  </si>
  <si>
    <t>CONSORCIO INTERVENTORIA A.I.M LTDA</t>
  </si>
  <si>
    <t>CONSORCIO INTERVENTORIA INTERSECCION SANTANDER</t>
  </si>
  <si>
    <t>2010-015</t>
  </si>
  <si>
    <t>INTERVENTORÍA TÉCNICA, ADMINISTRATIVA, FINANCIERA, SOCIAL Y AMBIENTAL PARA LOS ESTUDIOS, DISEÑOS Y CONSTRUCCION DEL INTERCAMBIADOR VIAL GLORIETA LAS BANDERAS AVENIDA PANAMERICANA CON CALLE 18 EN LA CIUDAD DE PASTO, DEPARTAMENTO DE NARIÑO, suscrito entre AVANTE SETP y el CONSORCIO INTERNARIÑO 2010</t>
  </si>
  <si>
    <t>UNIDAD ADMINISTRATIVA ESPECIAL DEL SISTEMA
ESTRATEGICO DE TRANSPORTE PUBLICO - UAE-SETP</t>
  </si>
  <si>
    <t>CONSORCIO
INTERNARIÑO 2010</t>
  </si>
  <si>
    <t>2151381</t>
  </si>
  <si>
    <t>CMA-SPM-015-2021</t>
  </si>
  <si>
    <t xml:space="preserve">EJECUTAR FÁBRICAS No. 5 (REGIÓN 5) DE INTERVENTORÍA DE OBRA Y DISEÑOS Y ESTUDIOS TÉCNICOS REQUERIDOS POR FONADE EN DESARROLLO DE SUS PROYECTOS DE INFRAESTRUCTURA.    </t>
  </si>
  <si>
    <t>INTERVENTORIA TÉCNICA, ADMINISTRATIVA, FINANCIERA, CONTABLE Y JURIDICA AL PROYECTO  QUE TIENE POR OBJETO “CONTRATAR BAJO LA MODALIDAD DE PRECIOS UNITARIOS FIJOS Y A MONTO AGOTABLE LAS OBRAS Y ACTIVIDADES PARA LA CONSTRUCCIÓN, MEJORAMIENTO, REHABILITACIÓN Y CONSERVACIÓN DE LA MALLA VIAL EN EL MUNICIPIO DE MONTERÍA”.</t>
  </si>
  <si>
    <t>MUNICIPIO DE MONTERÍA</t>
  </si>
  <si>
    <t>CONSORCIO INGECOL - LINO ANDRES MENDOZA VELASQUEZ E.C CONSORCIO</t>
  </si>
  <si>
    <t>146 de 2000</t>
  </si>
  <si>
    <t>1095 de 1995</t>
  </si>
  <si>
    <t>INTERVENTORIA PARA LA EVALUACION DE LOS DISEÑOS, REHABILITACION DE LAS CALZADAS Y ADECUACION PARA LA OPERACIÓN DE TRANSMILENIO DE LA AUTOPISTA NORTE DESDE LOS
HEROES HASTA LA CALLE 184</t>
  </si>
  <si>
    <t xml:space="preserve">INTERVENTORIA TECNICA Y FINANCIERA EN SU ETAPA DE CONSTRUCCION  DE LA CONCESIÓN CARRETERAS VILLAVICENCIOGRANADA, VILLAVICENCIO-PUERTO LOPEZ, Y VILLAVICENCIO-RESTREPOCUMARAL, EN EL DEPTO DEL META. Long = 178 Km x 50% = 89 Km (DENTRO DEL ALCANCE DEL PRESENTE CONTRATO SE EJECUTÓ LA INTERVENTORIA A LA CONSTRUCCION DEL PUENTE VEHICULAR SOBRE  EL RIO GUATIQUIA, CON L= 420,00 m y DEL PUENTE SOBRE EL RIO GUAYURIBA, CON L= 234,58 m.) Incluye conteos de tráfico en las estaciones de peaje. </t>
  </si>
  <si>
    <t>CONSORCIO  INTEGRAL  S.A.</t>
  </si>
  <si>
    <t>UNION  TEMPORAL  SILVA FAJARDO Y CIA LTDA SEDIC LTDA</t>
  </si>
  <si>
    <t>6000953 27 DE 2022</t>
  </si>
  <si>
    <t>1507 DE 2019</t>
  </si>
  <si>
    <t>1463 de 2009</t>
  </si>
  <si>
    <t>059 de 2014</t>
  </si>
  <si>
    <t>INTERVENTORÍA A LA CONSTRUCCIÓN, MEJORAMIENTO Y MANTENIMIENTO DE OBRAS DE INFRAESTRUCTURA PÚBLICA EN SITIOS NEURÁLGICOS VIALES Y OBRAS COMPLEMENTARIAS, GRUPO 2.</t>
  </si>
  <si>
    <t>“CONTRATAR LA INTERVENTORIA TECNICA ADMINISTRATIVA,FINANCIERA,AMBIENTAL AL CONTRATO DE OBRA CUYO OBJETO ES “MEJORAMIENTO Y REHABILITACION DE  LA VÍA CHAPARRAL - SAN ANTONIO EN EL DEPARTAMENTO DEL TOLIMA</t>
  </si>
  <si>
    <t>INTERVENTORIA TECNICA, LEGAL, FINANCIERA, ADMINISTRATIVA, AMBIENTAL, PREDIAL Y SOCIAL DEL PROYECTO ESTUDIOS Y DISEÑOS, GESTION SOCIAL, GESTION PREDIAL, AMBIENTAL Y MEJORAMIENTO DEL PROYECTO " TRANSVERSAL DEL CUSIANA "</t>
  </si>
  <si>
    <t>CONTRATAR LA INTERVENTORIA TECNICA, ADMINISTRATIVA, FINANCIERA, LEGAL AMBIENTAL A LAS OBRAS DE URBANISMO PARA "CONSTRUCCION DE 437 VIVIENDAS DE INTERES PRIORITARIO URBANIZACION LAS MARIAS, MUNICIPIO DE AIPE HUILA "CONSITENTE EN LA CONSTRUCCION DE ALCANTARILADO, ACUEDUCTO, VIAS Y ELECTRIFICACION</t>
  </si>
  <si>
    <t>DISTRITO ESPECIAL DE CIENCIA, TECNOLOGÍA E INNOVACIÓN DE MEDELLÍN</t>
  </si>
  <si>
    <t>DEPARTAMENTO DEL TOLIMA</t>
  </si>
  <si>
    <t>DEPATAMENTO DEL HUILA</t>
  </si>
  <si>
    <t>CONSORCIO SAN NICOLAS HTG</t>
  </si>
  <si>
    <t>CONSORCIO MEJORAMIENTO DE VIAS 190</t>
  </si>
  <si>
    <t>CONSORCIO GESTION VIAL NACIONAL</t>
  </si>
  <si>
    <t>CONSORCIO INTERVENTORIAS 2014</t>
  </si>
  <si>
    <t>167 GHF
41 HIDRALARPI</t>
  </si>
  <si>
    <t>NO APORTA EXPERIENCIA</t>
  </si>
  <si>
    <t>'060 - 2014</t>
  </si>
  <si>
    <t>4600010852 DE 2020</t>
  </si>
  <si>
    <t>357 - 2021</t>
  </si>
  <si>
    <t>541 - 2018</t>
  </si>
  <si>
    <t>CONTROL MEDIANTE INTERVENTORIA TECNICA LEGAL Y ADMINISTRATIVA FINANCIERA Y CONTABLE AL MEJORAMIENTO DE LAS VIAS URBANAS PARTE I EN EL MUNICIPIO DE PUERTO CONCORDIA MEJORAMIENTO DE  VIAS SECUNDARIAS Y TERCIARIAS EN EL MUNICIPIO DE PUERTO RICO, DEPARTAMENTO DEL META</t>
  </si>
  <si>
    <t xml:space="preserve">INTERVENTORÍA TÉCNICA, ADMINISTRATIVA, AMBIENTAL, FINANCIERA Y LEGAL PARA LA CONSERVACIÓN, MANTENIMIENTO Y REHABILITACIÓN DE LAS VÍAS A CARGO DEL DEPARTAMENTO DE ANTIOQUIA EN LAS SUBREGIÓN ORIENTE </t>
  </si>
  <si>
    <t>REALIZAR LA INTERVENTORÍA TÉCNICA, ADMINISTRATIVA, FINANCIERA, SOCIAL Y AMBIENTAL DEL CONTRATO DE OBRA CUYO OBJETO ES "REALIZAR EL MEJORAMIENTO DE LA CALLE 20 ENTRE CARRERAS 11 Y 12, CONSTRUCCIÓN Y PAVIMENTACIÓN DE LA CALLE 20 ENTRE CARRERAS 12 Y 13 (INCLUYE PUENTE VEHICULAR) Y OBRAS COMPLEMENTARIAS EN EL BARRIO NISA, MUNICIPIO DE SANTANDER DE QUILICHAO, DEPARTAMENTO DEL CAUCA”</t>
  </si>
  <si>
    <t>CONTROL MEDIANTE INTERVENTORÍA TÉCNICA, LEGAL, ADMINISTRATIVA, FINANCIERA Y AMBIENTAL AL MEJORAMIENTO DE LA VÍA QUE CONDUCE DEL MUNICIPIO DE CABUYARO AL MUNICIPIO DE BARRANCA DE UPIA, EN EL DEPARTAMENTO DEL META OBRAS ENTRE K0+000 AL K41+336 CABUYARO</t>
  </si>
  <si>
    <t>Agencia para la Infraestructura del Meta - AIM (anterior Instituto para el Desarrollo del Meta)</t>
  </si>
  <si>
    <t>Gobernación de Antioquia</t>
  </si>
  <si>
    <t>Alcaldía de Santander de Quilichao</t>
  </si>
  <si>
    <t>Agencia para la Infraestructura del Meta - AIM</t>
  </si>
  <si>
    <t>UNION TEMPORAL MEJORAMIENTO VIAL 2014</t>
  </si>
  <si>
    <t>CONSORCIO SAN MARTIN</t>
  </si>
  <si>
    <t>CONSORCIO VIA CABUYARO 2018</t>
  </si>
  <si>
    <t>En ninguna de las certificaciones aportadas se pudo evidenciar el cumplimiento del requisitod de DIAGNOSTICOS o ESTUDIOS Y DISEÑOS</t>
  </si>
  <si>
    <t>La experiencia No. 2 esta incompleta, no se evidencia ni firmas ni actividaes</t>
  </si>
  <si>
    <t>NO SE EVIDENCIA N FORMATOS</t>
  </si>
  <si>
    <t>NO SE EVIDENCIAN LOS FORMATOS PONDERABLES</t>
  </si>
  <si>
    <t>CONSORCIO PB</t>
  </si>
  <si>
    <t>No subsano</t>
  </si>
  <si>
    <t>Aclaro</t>
  </si>
  <si>
    <t>NO ACLARO:CONTRATO 2 INCLUYE VIAS SECUNDARIAS Y TERCIARIAS, SOLICITAR CETIFICADO DE QUE QUE PORCENTAJE CORRESPONDE A CADA TIPO DE VIA</t>
  </si>
  <si>
    <t xml:space="preserve">NO ACLARO: 'Contrato 3: El proponente debe aclarar si la via corresponde a una via primaria o secunadaria.    </t>
  </si>
  <si>
    <t>No se evidencian formatos de PUNTAJE VINCULACION DE PERSONAS CON DISCAPACIDAD</t>
  </si>
  <si>
    <t>933 DE 2018</t>
  </si>
  <si>
    <t>INTERVENTORIA TECNICA, ADMINISTRATIVA, FINANCIERA Y AMBIENTAL PARA EL MEJORAMIENTO, MANTENIMIENTO Y CONSERVACION DE VIAS PARA CONECTIVIDAD REGIONAL, FINANCIADOS CON RECURSOS DE LA ENAJENACIÓN DE ISAGEN EN EL DEPARTAMENTO DE CALDAS, VIA ARMA -
LA LORENA - PLAN DE ORO</t>
  </si>
  <si>
    <t>CONSORCIO INTERVIAS IDJ</t>
  </si>
  <si>
    <t>ACREDITA EXPERIENCIA ESPECIFICA CON UN NUEVO CONTRATO (DE ACUERDO AL PLIEGO, ESTE SOLO SE TOMA PARA VALIDAR LA EXPERIENCIA, NO SUMA PARA LA ASIGNACION DE PUNTAJE)</t>
  </si>
  <si>
    <t xml:space="preserve"> “INTERVENTORÍA TÉCNICA, ADMINISTRATIVA, LEGAL, FINANCIERA, SOCIAL, AMBIENTAL Y SISTEMA DE SEGURIDAD Y SALUD EN EL 
TRABAJO - SG-SST, DEL CONTRATO DE OBRA QUE SE DERIVE DE LA LICITACIÓN PUBLICA FDLUSA-LP-002-2020, LA CUAL TIENE POR OBJETO “CONTRATAR POR EL SISTEMA DE PRECIOS UNITARIOS FIJOS SIN FORMULA DE REAJUSTE Y A MONTO AGOTABLE LAS OBRAS Y ACTIVIDADES NECESARIAS PARA LA CONSERVACION DE LA MALLA VIAL DE LA LOCALIDAD DE USAQUÉN, EN BOGOTA D.C.”</t>
  </si>
  <si>
    <t>INTERVENTORÍA TÉCNICA, ADMINISTRATIVA,
FINANCIERA Y AMBIENTAL DE LAS VÍAS DEL GRUPO VI DE LA LICITACIÓN PUBLICA No. LP-DG-007-2017 MEJORAMIENTO DE VÍAS EN EL MUNICIPIO DE SABANALARGA VARIANTES Y EMPALMES DE LAS VÍAS URBANAS CON LAS VÍAS SECUNDARÍAS SABANALARGA - MANATÍ Y SABANALARGA - CASCAJAL Y MEJORAMIENTO INTERSECCION PIOJO
EN EL DEPARTAMENTO DEL ATLÁNTICO.</t>
  </si>
  <si>
    <t>El proponente subsana parcialmente, sin embargo, en la subsanación se menciona una certificación del contrato observado, pero dicho documento mencionado no fue anexado; por lo anterior y en vista de que no fue posible validar la aclaración del contato, se califica como no valido.</t>
  </si>
  <si>
    <r>
      <t xml:space="preserve">Contrato # 2: el proponente aclara la observación presentada en el informe # 2, sin embargo se evidencia una inconsistencia en la certificación aportada, razon por la cual no se tiene en cuenta el contrato mencionado, de acuerdo con lo descrito en el numeral 1.11. INFORMACIÓN INCONSISTENTE Y/O INEXACTA  
La Entidad se reserva el derecho de verificar integralmente la información aportada por el Proponente. Para esto, puede acudir a las autoridades, personas, empresas o instituciones respectivas. 
</t>
    </r>
    <r>
      <rPr>
        <b/>
        <sz val="11"/>
        <color theme="1"/>
        <rFont val="Calibri"/>
        <family val="2"/>
        <scheme val="minor"/>
      </rPr>
      <t xml:space="preserve">Cuando exista inconsistencia y/o inexactitud entre la información suministrada por el Proponente y la verificada por la Entidad, la información que se pretende demostrar se entenderá como no acreditada </t>
    </r>
  </si>
  <si>
    <t>Se determinó que los contratos aportados para certificar experiencia corresponden a subcontratos. Debido a lo anterior, el proponente no cumple con el requisito exigido, ya que no adjunto la documentación necesaria para acreditar un subcontrato.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</si>
</sst>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3" formatCode="_-* #,##0.00_-;\-* #,##0.00_-;_-* &quot;-&quot;??_-;_-@_-"/>
    <numFmt numFmtId="164" formatCode="_-&quot;$&quot;\ * #,##0_-;\-&quot;$&quot;\ * #,##0_-;_-&quot;$&quot;\ * &quot;-&quot;_-;_-@_-"/>
    <numFmt numFmtId="165" formatCode="_-&quot;$&quot;\ * #,##0.00_-;\-&quot;$&quot;\ * #,##0.00_-;_-&quot;$&quot;\ * &quot;-&quot;??_-;_-@_-"/>
    <numFmt numFmtId="166" formatCode="_-[$$-240A]\ * #,##0.00_-;\-[$$-240A]\ * #,##0.00_-;_-[$$-240A]\ * &quot;-&quot;??_-;_-@_-"/>
    <numFmt numFmtId="167" formatCode="[$$-240A]#,##0.00;[Red]\([$$-240A]#,##0.00\)"/>
    <numFmt numFmtId="168" formatCode="#,##0;[Red]#,##0"/>
    <numFmt numFmtId="169" formatCode="_-&quot;$&quot;\ * #,##0.00_-;\-&quot;$&quot;\ * #,##0.00_-;_-&quot;$&quot;\ * &quot;-&quot;_-;_-@_-"/>
    <numFmt numFmtId="170" formatCode="0.00000"/>
    <numFmt numFmtId="171" formatCode="&quot;$&quot;\ #,##0"/>
    <numFmt numFmtId="172" formatCode="&quot;$&quot;#,##0"/>
    <numFmt numFmtId="173" formatCode="[$-240A]d&quot; de &quot;mmmm&quot; de &quot;yyyy;@"/>
    <numFmt numFmtId="174" formatCode="&quot;$&quot;#,##0.00"/>
    <numFmt numFmtId="175" formatCode="[$$-240A]\ #,##0.00000;[Red][$$-240A]\ #,##0.00000"/>
    <numFmt numFmtId="176" formatCode="0.0000000"/>
    <numFmt numFmtId="177" formatCode="0.000"/>
    <numFmt numFmtId="178" formatCode="0.000000"/>
    <numFmt numFmtId="179" formatCode="0.000%"/>
    <numFmt numFmtId="180" formatCode="d/m/yyyy"/>
    <numFmt numFmtId="181" formatCode="dd/mm/yyyy;@"/>
    <numFmt numFmtId="182" formatCode="d\-mmm\-yyyy"/>
  </numFmts>
  <fonts count="56" x14ac:knownFonts="1">
    <font>
      <sz val="11"/>
      <color theme="1"/>
      <name val="Calibri"/>
      <family val="2"/>
      <scheme val="minor"/>
    </font>
    <font>
      <sz val="11"/>
      <color theme="1"/>
      <name val="Calibri"/>
      <family val="2"/>
      <scheme val="minor"/>
    </font>
    <font>
      <sz val="11"/>
      <color rgb="FF006100"/>
      <name val="Calibri"/>
      <family val="2"/>
      <scheme val="minor"/>
    </font>
    <font>
      <b/>
      <sz val="11"/>
      <color theme="1"/>
      <name val="Calibri"/>
      <family val="2"/>
      <scheme val="minor"/>
    </font>
    <font>
      <sz val="10"/>
      <name val="Arial"/>
      <family val="2"/>
    </font>
    <font>
      <b/>
      <sz val="11"/>
      <name val="Calibri"/>
      <family val="2"/>
      <scheme val="minor"/>
    </font>
    <font>
      <sz val="11"/>
      <color theme="1"/>
      <name val="Calibri"/>
      <family val="2"/>
    </font>
    <font>
      <b/>
      <sz val="10"/>
      <name val="Calibri"/>
      <family val="2"/>
      <scheme val="minor"/>
    </font>
    <font>
      <b/>
      <sz val="10"/>
      <color theme="1"/>
      <name val="Calibri"/>
      <family val="2"/>
      <scheme val="minor"/>
    </font>
    <font>
      <sz val="10"/>
      <color theme="1"/>
      <name val="Calibri"/>
      <family val="2"/>
      <scheme val="minor"/>
    </font>
    <font>
      <sz val="11"/>
      <name val="Calibri"/>
      <family val="2"/>
      <scheme val="minor"/>
    </font>
    <font>
      <i/>
      <sz val="10"/>
      <name val="Arial"/>
      <family val="2"/>
    </font>
    <font>
      <sz val="18"/>
      <color theme="1"/>
      <name val="Calibri"/>
      <family val="2"/>
      <scheme val="minor"/>
    </font>
    <font>
      <sz val="8"/>
      <name val="Calibri"/>
      <family val="2"/>
      <scheme val="minor"/>
    </font>
    <font>
      <b/>
      <sz val="11"/>
      <color theme="0"/>
      <name val="Calibri"/>
      <family val="2"/>
      <scheme val="minor"/>
    </font>
    <font>
      <b/>
      <u/>
      <sz val="22"/>
      <name val="Calibri"/>
      <family val="2"/>
      <scheme val="minor"/>
    </font>
    <font>
      <sz val="18"/>
      <name val="Calibri"/>
      <family val="2"/>
      <scheme val="minor"/>
    </font>
    <font>
      <b/>
      <sz val="14"/>
      <color theme="0"/>
      <name val="Calibri"/>
      <family val="2"/>
      <scheme val="minor"/>
    </font>
    <font>
      <b/>
      <sz val="36"/>
      <color rgb="FF006100"/>
      <name val="Calibri"/>
      <family val="2"/>
      <scheme val="minor"/>
    </font>
    <font>
      <b/>
      <sz val="10"/>
      <name val="Arial"/>
      <family val="2"/>
    </font>
    <font>
      <b/>
      <sz val="10"/>
      <color theme="0"/>
      <name val="Arial"/>
      <family val="2"/>
      <charset val="1"/>
    </font>
    <font>
      <sz val="14"/>
      <color theme="1"/>
      <name val="Calibri"/>
      <family val="2"/>
      <scheme val="minor"/>
    </font>
    <font>
      <b/>
      <sz val="14"/>
      <name val="Calibri"/>
      <family val="2"/>
      <scheme val="minor"/>
    </font>
    <font>
      <b/>
      <sz val="16"/>
      <color theme="0"/>
      <name val="Calibri"/>
      <family val="2"/>
      <scheme val="minor"/>
    </font>
    <font>
      <sz val="16"/>
      <color theme="1"/>
      <name val="Calibri"/>
      <family val="2"/>
      <scheme val="minor"/>
    </font>
    <font>
      <i/>
      <sz val="11"/>
      <color theme="1"/>
      <name val="Calibri"/>
      <family val="2"/>
      <scheme val="minor"/>
    </font>
    <font>
      <b/>
      <sz val="20"/>
      <color theme="1"/>
      <name val="Calibri"/>
      <family val="2"/>
      <scheme val="minor"/>
    </font>
    <font>
      <b/>
      <sz val="18"/>
      <color theme="0"/>
      <name val="Calibri"/>
      <family val="2"/>
      <scheme val="minor"/>
    </font>
    <font>
      <sz val="9"/>
      <name val="Arial"/>
      <family val="2"/>
    </font>
    <font>
      <b/>
      <sz val="12"/>
      <color theme="1"/>
      <name val="Calibri"/>
      <family val="2"/>
      <scheme val="minor"/>
    </font>
    <font>
      <sz val="12"/>
      <color theme="1"/>
      <name val="Calibri"/>
      <family val="2"/>
      <scheme val="minor"/>
    </font>
    <font>
      <b/>
      <sz val="36"/>
      <name val="Calibri"/>
      <family val="2"/>
      <scheme val="minor"/>
    </font>
    <font>
      <sz val="16"/>
      <color rgb="FFFF0000"/>
      <name val="Calibri"/>
      <family val="2"/>
      <scheme val="minor"/>
    </font>
    <font>
      <b/>
      <sz val="12"/>
      <name val="Calibri"/>
      <family val="2"/>
      <scheme val="minor"/>
    </font>
    <font>
      <b/>
      <sz val="24"/>
      <name val="Calibri"/>
      <family val="2"/>
      <scheme val="minor"/>
    </font>
    <font>
      <sz val="11"/>
      <color rgb="FFFF0000"/>
      <name val="Calibri"/>
      <family val="2"/>
      <scheme val="minor"/>
    </font>
    <font>
      <b/>
      <sz val="11"/>
      <color rgb="FFFF0000"/>
      <name val="Calibri"/>
      <family val="2"/>
      <scheme val="minor"/>
    </font>
    <font>
      <sz val="16"/>
      <name val="Calibri"/>
      <family val="2"/>
      <scheme val="minor"/>
    </font>
    <font>
      <sz val="11"/>
      <color rgb="FFFF0000"/>
      <name val="Calibri (Cuerpo)"/>
    </font>
    <font>
      <i/>
      <sz val="11"/>
      <color rgb="FFFF0000"/>
      <name val="Calibri"/>
      <family val="2"/>
      <scheme val="minor"/>
    </font>
    <font>
      <b/>
      <i/>
      <u/>
      <sz val="11"/>
      <color rgb="FFFF0000"/>
      <name val="Calibri (Cuerpo)"/>
    </font>
    <font>
      <b/>
      <u/>
      <sz val="11"/>
      <color rgb="FFFF0000"/>
      <name val="Calibri (Cuerpo)"/>
    </font>
    <font>
      <sz val="11"/>
      <name val="Arial"/>
      <family val="2"/>
    </font>
    <font>
      <sz val="8"/>
      <name val="Arial Narrow"/>
      <family val="2"/>
    </font>
    <font>
      <b/>
      <sz val="14"/>
      <name val="Arial Narrow"/>
      <family val="2"/>
    </font>
    <font>
      <sz val="11"/>
      <name val="Arial Narrow"/>
      <family val="2"/>
    </font>
    <font>
      <sz val="11"/>
      <color theme="1"/>
      <name val="Arial Narrow"/>
      <family val="2"/>
    </font>
    <font>
      <b/>
      <sz val="12"/>
      <name val="Arial"/>
      <family val="2"/>
    </font>
    <font>
      <b/>
      <sz val="13"/>
      <name val="Arial"/>
      <family val="2"/>
    </font>
    <font>
      <b/>
      <sz val="14"/>
      <name val="Arial"/>
      <family val="2"/>
    </font>
    <font>
      <b/>
      <sz val="11"/>
      <name val="Arial"/>
      <family val="2"/>
    </font>
    <font>
      <sz val="9"/>
      <color rgb="FF000000"/>
      <name val="Cambria"/>
      <family val="2"/>
      <scheme val="major"/>
    </font>
    <font>
      <sz val="9"/>
      <color theme="1"/>
      <name val="Cambria"/>
      <family val="2"/>
      <scheme val="major"/>
    </font>
    <font>
      <b/>
      <sz val="10"/>
      <color theme="1"/>
      <name val="Arial Narrow"/>
      <family val="2"/>
    </font>
    <font>
      <b/>
      <sz val="11"/>
      <color theme="1"/>
      <name val="Arial Narrow"/>
      <family val="2"/>
    </font>
    <font>
      <b/>
      <sz val="11"/>
      <name val="Arial Narrow"/>
      <family val="2"/>
    </font>
  </fonts>
  <fills count="13">
    <fill>
      <patternFill patternType="none"/>
    </fill>
    <fill>
      <patternFill patternType="gray125"/>
    </fill>
    <fill>
      <patternFill patternType="solid">
        <fgColor rgb="FFC6EFCE"/>
      </patternFill>
    </fill>
    <fill>
      <patternFill patternType="solid">
        <fgColor theme="9" tint="0.39997558519241921"/>
        <bgColor indexed="64"/>
      </patternFill>
    </fill>
    <fill>
      <patternFill patternType="solid">
        <fgColor indexed="26"/>
        <bgColor indexed="9"/>
      </patternFill>
    </fill>
    <fill>
      <patternFill patternType="solid">
        <fgColor rgb="FFFFFF99"/>
        <bgColor indexed="64"/>
      </patternFill>
    </fill>
    <fill>
      <patternFill patternType="solid">
        <fgColor rgb="FF0070C0"/>
        <bgColor indexed="64"/>
      </patternFill>
    </fill>
    <fill>
      <patternFill patternType="solid">
        <fgColor rgb="FF00B050"/>
        <bgColor indexed="64"/>
      </patternFill>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indexed="9"/>
        <bgColor indexed="64"/>
      </patternFill>
    </fill>
    <fill>
      <patternFill patternType="solid">
        <fgColor rgb="FFFFFF00"/>
        <bgColor rgb="FF000000"/>
      </patternFill>
    </fill>
  </fills>
  <borders count="7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top style="thin">
        <color auto="1"/>
      </top>
      <bottom/>
      <diagonal/>
    </border>
    <border>
      <left style="thin">
        <color indexed="64"/>
      </left>
      <right/>
      <top/>
      <bottom style="thin">
        <color indexed="64"/>
      </bottom>
      <diagonal/>
    </border>
    <border>
      <left/>
      <right style="thin">
        <color auto="1"/>
      </right>
      <top/>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auto="1"/>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diagonal/>
    </border>
    <border>
      <left style="medium">
        <color indexed="64"/>
      </left>
      <right style="thin">
        <color auto="1"/>
      </right>
      <top/>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diagonal/>
    </border>
    <border>
      <left/>
      <right/>
      <top style="medium">
        <color indexed="64"/>
      </top>
      <bottom/>
      <diagonal/>
    </border>
    <border>
      <left/>
      <right style="medium">
        <color indexed="64"/>
      </right>
      <top style="medium">
        <color indexed="64"/>
      </top>
      <bottom/>
      <diagonal/>
    </border>
    <border>
      <left/>
      <right style="thin">
        <color auto="1"/>
      </right>
      <top style="thin">
        <color auto="1"/>
      </top>
      <bottom/>
      <diagonal/>
    </border>
    <border>
      <left style="thin">
        <color auto="1"/>
      </left>
      <right style="medium">
        <color indexed="64"/>
      </right>
      <top/>
      <bottom style="thin">
        <color auto="1"/>
      </bottom>
      <diagonal/>
    </border>
    <border>
      <left style="thin">
        <color auto="1"/>
      </left>
      <right style="medium">
        <color indexed="64"/>
      </right>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thin">
        <color auto="1"/>
      </left>
      <right style="medium">
        <color indexed="64"/>
      </right>
      <top style="thin">
        <color auto="1"/>
      </top>
      <bottom/>
      <diagonal/>
    </border>
    <border>
      <left/>
      <right/>
      <top style="thin">
        <color auto="1"/>
      </top>
      <bottom/>
      <diagonal/>
    </border>
    <border>
      <left style="thin">
        <color auto="1"/>
      </left>
      <right/>
      <top/>
      <bottom/>
      <diagonal/>
    </border>
    <border>
      <left style="thin">
        <color auto="1"/>
      </left>
      <right/>
      <top style="medium">
        <color indexed="64"/>
      </top>
      <bottom style="thin">
        <color auto="1"/>
      </bottom>
      <diagonal/>
    </border>
    <border>
      <left style="medium">
        <color indexed="64"/>
      </left>
      <right/>
      <top style="medium">
        <color indexed="64"/>
      </top>
      <bottom/>
      <diagonal/>
    </border>
    <border>
      <left/>
      <right style="medium">
        <color indexed="64"/>
      </right>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auto="1"/>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right style="thin">
        <color auto="1"/>
      </right>
      <top style="dotted">
        <color auto="1"/>
      </top>
      <bottom style="dotted">
        <color auto="1"/>
      </bottom>
      <diagonal/>
    </border>
    <border>
      <left/>
      <right style="thin">
        <color auto="1"/>
      </right>
      <top style="dotted">
        <color auto="1"/>
      </top>
      <bottom style="dashed">
        <color auto="1"/>
      </bottom>
      <diagonal/>
    </border>
    <border>
      <left/>
      <right style="thin">
        <color auto="1"/>
      </right>
      <top/>
      <bottom style="dotted">
        <color auto="1"/>
      </bottom>
      <diagonal/>
    </border>
    <border>
      <left style="thin">
        <color auto="1"/>
      </left>
      <right style="thin">
        <color auto="1"/>
      </right>
      <top style="dotted">
        <color auto="1"/>
      </top>
      <bottom style="dotted">
        <color auto="1"/>
      </bottom>
      <diagonal/>
    </border>
    <border>
      <left/>
      <right style="thin">
        <color auto="1"/>
      </right>
      <top style="dotted">
        <color auto="1"/>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double">
        <color auto="1"/>
      </top>
      <bottom style="thin">
        <color rgb="FF000000"/>
      </bottom>
      <diagonal/>
    </border>
    <border>
      <left style="thin">
        <color auto="1"/>
      </left>
      <right style="thin">
        <color auto="1"/>
      </right>
      <top style="thin">
        <color auto="1"/>
      </top>
      <bottom style="double">
        <color auto="1"/>
      </bottom>
      <diagonal/>
    </border>
    <border>
      <left style="thin">
        <color rgb="FF000000"/>
      </left>
      <right style="thin">
        <color rgb="FF000000"/>
      </right>
      <top style="thin">
        <color rgb="FF000000"/>
      </top>
      <bottom/>
      <diagonal/>
    </border>
    <border>
      <left style="thin">
        <color auto="1"/>
      </left>
      <right style="thin">
        <color auto="1"/>
      </right>
      <top/>
      <bottom style="dotted">
        <color auto="1"/>
      </bottom>
      <diagonal/>
    </border>
  </borders>
  <cellStyleXfs count="19">
    <xf numFmtId="0" fontId="0" fillId="0" borderId="0"/>
    <xf numFmtId="164" fontId="1" fillId="0" borderId="0" applyFont="0" applyFill="0" applyBorder="0" applyAlignment="0" applyProtection="0"/>
    <xf numFmtId="0" fontId="2" fillId="2" borderId="0" applyNumberFormat="0" applyBorder="0" applyAlignment="0" applyProtection="0"/>
    <xf numFmtId="0" fontId="6" fillId="0" borderId="0"/>
    <xf numFmtId="9"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9" fontId="4" fillId="0" borderId="0" applyFont="0" applyFill="0" applyBorder="0" applyAlignment="0" applyProtection="0"/>
    <xf numFmtId="0" fontId="1" fillId="0" borderId="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4" fillId="0" borderId="0"/>
  </cellStyleXfs>
  <cellXfs count="574">
    <xf numFmtId="0" fontId="0" fillId="0" borderId="0" xfId="0"/>
    <xf numFmtId="0" fontId="4" fillId="4" borderId="0" xfId="0" applyFont="1" applyFill="1" applyAlignment="1">
      <alignment horizontal="center"/>
    </xf>
    <xf numFmtId="0" fontId="7" fillId="0" borderId="13" xfId="3" applyFont="1" applyBorder="1" applyAlignment="1">
      <alignment horizontal="left" vertical="center" wrapText="1"/>
    </xf>
    <xf numFmtId="0" fontId="0" fillId="0" borderId="0" xfId="0" applyAlignment="1">
      <alignment wrapText="1"/>
    </xf>
    <xf numFmtId="0" fontId="10" fillId="0" borderId="0" xfId="0" applyFont="1"/>
    <xf numFmtId="168" fontId="5" fillId="0" borderId="0" xfId="0" applyNumberFormat="1" applyFont="1"/>
    <xf numFmtId="0" fontId="11" fillId="0" borderId="13" xfId="0" applyFont="1" applyBorder="1" applyAlignment="1">
      <alignment horizontal="center" vertical="center" wrapText="1"/>
    </xf>
    <xf numFmtId="0" fontId="11" fillId="0" borderId="15" xfId="0" applyFont="1" applyBorder="1" applyAlignment="1">
      <alignment horizontal="center" vertical="center" wrapText="1"/>
    </xf>
    <xf numFmtId="167" fontId="4" fillId="0" borderId="0" xfId="0" applyNumberFormat="1" applyFont="1" applyAlignment="1">
      <alignment horizontal="center"/>
    </xf>
    <xf numFmtId="167" fontId="10" fillId="0" borderId="0" xfId="0" applyNumberFormat="1" applyFont="1"/>
    <xf numFmtId="0" fontId="11" fillId="0" borderId="0" xfId="0" applyFont="1" applyAlignment="1">
      <alignment horizontal="center" vertical="center" wrapText="1"/>
    </xf>
    <xf numFmtId="0" fontId="11" fillId="0" borderId="0" xfId="0" applyFont="1" applyAlignment="1">
      <alignment vertical="center" wrapText="1"/>
    </xf>
    <xf numFmtId="0" fontId="11" fillId="0" borderId="0" xfId="0" applyFont="1" applyAlignment="1">
      <alignment vertical="center"/>
    </xf>
    <xf numFmtId="0" fontId="3" fillId="0" borderId="13" xfId="0" applyFont="1" applyBorder="1" applyAlignment="1">
      <alignment horizontal="center"/>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horizontal="center" vertical="center" wrapText="1"/>
    </xf>
    <xf numFmtId="0" fontId="0" fillId="0" borderId="1" xfId="0" applyBorder="1" applyAlignment="1">
      <alignment horizontal="left" vertical="center"/>
    </xf>
    <xf numFmtId="0" fontId="3" fillId="0" borderId="1" xfId="0" applyFont="1" applyBorder="1" applyAlignment="1">
      <alignment horizontal="center" vertical="center" wrapText="1"/>
    </xf>
    <xf numFmtId="169" fontId="5" fillId="0" borderId="1" xfId="1" applyNumberFormat="1" applyFont="1" applyBorder="1" applyAlignment="1">
      <alignment vertical="center" wrapText="1"/>
    </xf>
    <xf numFmtId="0" fontId="8" fillId="0" borderId="0" xfId="0" applyFont="1" applyAlignment="1">
      <alignment horizontal="left" vertical="center"/>
    </xf>
    <xf numFmtId="0" fontId="4" fillId="0" borderId="0" xfId="0" applyFont="1" applyAlignment="1">
      <alignment horizontal="center"/>
    </xf>
    <xf numFmtId="0" fontId="9" fillId="0" borderId="0" xfId="0" applyFont="1"/>
    <xf numFmtId="170" fontId="9" fillId="0" borderId="0" xfId="0" applyNumberFormat="1" applyFont="1"/>
    <xf numFmtId="0" fontId="0" fillId="0" borderId="1" xfId="0"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3" fillId="0" borderId="1" xfId="0" applyFont="1" applyBorder="1" applyAlignment="1">
      <alignment horizontal="center" vertical="center"/>
    </xf>
    <xf numFmtId="0" fontId="8" fillId="0" borderId="2" xfId="0" applyFont="1" applyBorder="1" applyAlignment="1">
      <alignment horizontal="center" vertical="center" wrapText="1"/>
    </xf>
    <xf numFmtId="0" fontId="8" fillId="0" borderId="1" xfId="0" applyFont="1" applyBorder="1" applyAlignment="1">
      <alignment horizontal="center" vertical="center" wrapText="1"/>
    </xf>
    <xf numFmtId="2" fontId="0" fillId="0" borderId="1" xfId="0" applyNumberFormat="1" applyBorder="1" applyAlignment="1">
      <alignment horizontal="center" vertical="center"/>
    </xf>
    <xf numFmtId="0" fontId="0" fillId="0" borderId="1" xfId="0" applyBorder="1" applyAlignment="1">
      <alignment horizontal="center" vertical="center"/>
    </xf>
    <xf numFmtId="2" fontId="0" fillId="0" borderId="1" xfId="0" applyNumberFormat="1" applyBorder="1" applyAlignment="1">
      <alignment horizontal="center" vertical="center" wrapText="1"/>
    </xf>
    <xf numFmtId="9" fontId="0" fillId="0" borderId="1" xfId="4" applyFont="1" applyBorder="1" applyAlignment="1">
      <alignment horizontal="center" vertical="center" wrapText="1"/>
    </xf>
    <xf numFmtId="9" fontId="0" fillId="0" borderId="0" xfId="4" applyFont="1" applyAlignment="1">
      <alignment horizontal="center" vertical="center" wrapText="1"/>
    </xf>
    <xf numFmtId="0" fontId="0" fillId="5" borderId="1" xfId="0" applyFill="1" applyBorder="1" applyAlignment="1">
      <alignment horizontal="center" vertical="center" wrapText="1"/>
    </xf>
    <xf numFmtId="172" fontId="0" fillId="5" borderId="1" xfId="1" applyNumberFormat="1" applyFont="1" applyFill="1" applyBorder="1" applyAlignment="1">
      <alignment horizontal="center" vertical="center" wrapText="1"/>
    </xf>
    <xf numFmtId="14" fontId="0" fillId="0" borderId="7" xfId="0" applyNumberFormat="1" applyBorder="1"/>
    <xf numFmtId="14" fontId="0" fillId="0" borderId="14" xfId="0" applyNumberFormat="1" applyBorder="1"/>
    <xf numFmtId="0" fontId="14" fillId="6" borderId="2" xfId="0" applyFont="1" applyFill="1" applyBorder="1" applyAlignment="1">
      <alignment horizontal="center" vertical="center" wrapText="1"/>
    </xf>
    <xf numFmtId="0" fontId="0" fillId="0" borderId="11" xfId="0" applyBorder="1" applyAlignment="1">
      <alignment horizontal="center" vertical="center" wrapText="1"/>
    </xf>
    <xf numFmtId="9" fontId="0" fillId="0" borderId="11" xfId="4" applyFont="1" applyBorder="1" applyAlignment="1">
      <alignment horizontal="center" vertical="center" wrapText="1"/>
    </xf>
    <xf numFmtId="172" fontId="0" fillId="5" borderId="11" xfId="1" applyNumberFormat="1" applyFont="1" applyFill="1" applyBorder="1" applyAlignment="1">
      <alignment horizontal="center" vertical="center" wrapText="1"/>
    </xf>
    <xf numFmtId="0" fontId="0" fillId="5" borderId="11" xfId="0" applyFill="1" applyBorder="1" applyAlignment="1">
      <alignment horizontal="center" vertical="center" wrapText="1"/>
    </xf>
    <xf numFmtId="2" fontId="0" fillId="0" borderId="11" xfId="0" applyNumberFormat="1" applyBorder="1" applyAlignment="1">
      <alignment horizontal="center" vertical="center" wrapText="1"/>
    </xf>
    <xf numFmtId="0" fontId="0" fillId="0" borderId="16" xfId="0" applyBorder="1" applyAlignment="1">
      <alignment horizontal="center" vertical="center" wrapText="1"/>
    </xf>
    <xf numFmtId="9" fontId="0" fillId="0" borderId="16" xfId="4" applyFont="1" applyBorder="1" applyAlignment="1">
      <alignment horizontal="center" vertical="center" wrapText="1"/>
    </xf>
    <xf numFmtId="172" fontId="0" fillId="5" borderId="16" xfId="1" applyNumberFormat="1" applyFont="1" applyFill="1" applyBorder="1" applyAlignment="1">
      <alignment horizontal="center" vertical="center" wrapText="1"/>
    </xf>
    <xf numFmtId="0" fontId="0" fillId="5" borderId="16" xfId="0" applyFill="1" applyBorder="1" applyAlignment="1">
      <alignment horizontal="center" vertical="center" wrapText="1"/>
    </xf>
    <xf numFmtId="2" fontId="0" fillId="0" borderId="16" xfId="0" applyNumberFormat="1" applyBorder="1" applyAlignment="1">
      <alignment horizontal="center" vertical="center" wrapText="1"/>
    </xf>
    <xf numFmtId="0" fontId="0" fillId="5" borderId="11" xfId="4" applyNumberFormat="1" applyFont="1" applyFill="1" applyBorder="1" applyAlignment="1">
      <alignment horizontal="center" vertical="center" wrapText="1"/>
    </xf>
    <xf numFmtId="0" fontId="0" fillId="5" borderId="1" xfId="4" applyNumberFormat="1" applyFont="1" applyFill="1" applyBorder="1" applyAlignment="1">
      <alignment horizontal="center" vertical="center" wrapText="1"/>
    </xf>
    <xf numFmtId="0" fontId="0" fillId="5" borderId="16" xfId="4" applyNumberFormat="1" applyFont="1" applyFill="1" applyBorder="1" applyAlignment="1">
      <alignment horizontal="center" vertical="center" wrapText="1"/>
    </xf>
    <xf numFmtId="0" fontId="0" fillId="0" borderId="0" xfId="4" applyNumberFormat="1" applyFont="1" applyAlignment="1">
      <alignment horizontal="center" vertical="center" wrapText="1"/>
    </xf>
    <xf numFmtId="172" fontId="0" fillId="0" borderId="11" xfId="0" applyNumberFormat="1" applyBorder="1" applyAlignment="1">
      <alignment horizontal="center" vertical="center" wrapText="1"/>
    </xf>
    <xf numFmtId="172" fontId="0" fillId="0" borderId="1" xfId="1" applyNumberFormat="1" applyFont="1" applyBorder="1" applyAlignment="1">
      <alignment horizontal="center" vertical="center" wrapText="1"/>
    </xf>
    <xf numFmtId="171" fontId="7" fillId="3" borderId="1" xfId="1" applyNumberFormat="1" applyFont="1" applyFill="1" applyBorder="1" applyAlignment="1">
      <alignment vertical="center" wrapText="1"/>
    </xf>
    <xf numFmtId="2" fontId="7" fillId="3" borderId="1" xfId="1" applyNumberFormat="1" applyFont="1" applyFill="1" applyBorder="1" applyAlignment="1">
      <alignment vertical="center" wrapText="1"/>
    </xf>
    <xf numFmtId="1" fontId="7" fillId="3" borderId="1" xfId="1" applyNumberFormat="1" applyFont="1" applyFill="1" applyBorder="1" applyAlignment="1">
      <alignment horizontal="center" vertical="center" wrapText="1"/>
    </xf>
    <xf numFmtId="9" fontId="7" fillId="3" borderId="1" xfId="4" applyFont="1" applyFill="1" applyBorder="1" applyAlignment="1">
      <alignment horizontal="center" vertical="center" wrapText="1"/>
    </xf>
    <xf numFmtId="14" fontId="0" fillId="0" borderId="1" xfId="0" applyNumberFormat="1" applyBorder="1" applyAlignment="1">
      <alignment horizontal="center"/>
    </xf>
    <xf numFmtId="14" fontId="0" fillId="0" borderId="1" xfId="0" applyNumberFormat="1" applyBorder="1"/>
    <xf numFmtId="0" fontId="0" fillId="0" borderId="0" xfId="4" applyNumberFormat="1" applyFont="1" applyFill="1" applyAlignment="1">
      <alignment horizontal="center" vertical="center" wrapText="1"/>
    </xf>
    <xf numFmtId="0" fontId="3" fillId="0" borderId="8" xfId="0" applyFont="1" applyBorder="1" applyAlignment="1">
      <alignment horizontal="center" vertical="center" wrapText="1"/>
    </xf>
    <xf numFmtId="2" fontId="0" fillId="0" borderId="0" xfId="0" applyNumberFormat="1" applyAlignment="1">
      <alignment vertical="center"/>
    </xf>
    <xf numFmtId="0" fontId="14" fillId="6" borderId="1" xfId="0" applyFont="1" applyFill="1" applyBorder="1" applyAlignment="1">
      <alignment horizontal="center" vertical="center" wrapText="1"/>
    </xf>
    <xf numFmtId="14" fontId="3" fillId="0" borderId="1" xfId="0" applyNumberFormat="1" applyFont="1" applyBorder="1" applyAlignment="1">
      <alignment horizontal="center"/>
    </xf>
    <xf numFmtId="14" fontId="0" fillId="0" borderId="9" xfId="0" applyNumberFormat="1" applyBorder="1" applyAlignment="1">
      <alignment horizontal="center"/>
    </xf>
    <xf numFmtId="0" fontId="14" fillId="6" borderId="1" xfId="0" applyFont="1" applyFill="1" applyBorder="1" applyAlignment="1">
      <alignment horizontal="center" vertical="center"/>
    </xf>
    <xf numFmtId="0" fontId="14" fillId="6" borderId="1" xfId="0" applyFont="1" applyFill="1" applyBorder="1"/>
    <xf numFmtId="167" fontId="19" fillId="0" borderId="1" xfId="0" applyNumberFormat="1" applyFont="1" applyBorder="1" applyAlignment="1">
      <alignment horizontal="center"/>
    </xf>
    <xf numFmtId="167" fontId="5" fillId="0" borderId="1" xfId="0" applyNumberFormat="1" applyFont="1" applyBorder="1"/>
    <xf numFmtId="0" fontId="20" fillId="6" borderId="26" xfId="0" applyFont="1" applyFill="1" applyBorder="1" applyAlignment="1">
      <alignment horizontal="center" vertical="center" wrapText="1"/>
    </xf>
    <xf numFmtId="0" fontId="20" fillId="6" borderId="34" xfId="0" applyFont="1" applyFill="1" applyBorder="1" applyAlignment="1">
      <alignment horizontal="center" vertical="center" wrapText="1"/>
    </xf>
    <xf numFmtId="0" fontId="4" fillId="0" borderId="28" xfId="0" applyFont="1" applyBorder="1" applyAlignment="1">
      <alignment horizontal="center"/>
    </xf>
    <xf numFmtId="167" fontId="4" fillId="0" borderId="39" xfId="0" applyNumberFormat="1" applyFont="1" applyBorder="1" applyAlignment="1">
      <alignment horizontal="center"/>
    </xf>
    <xf numFmtId="0" fontId="4" fillId="0" borderId="13" xfId="0" applyFont="1" applyBorder="1" applyAlignment="1">
      <alignment horizontal="center"/>
    </xf>
    <xf numFmtId="167" fontId="4" fillId="0" borderId="31" xfId="0" applyNumberFormat="1" applyFont="1" applyBorder="1" applyAlignment="1">
      <alignment horizontal="center"/>
    </xf>
    <xf numFmtId="0" fontId="4" fillId="0" borderId="15" xfId="0" applyFont="1" applyBorder="1" applyAlignment="1">
      <alignment horizontal="center"/>
    </xf>
    <xf numFmtId="167" fontId="4" fillId="0" borderId="17" xfId="0" applyNumberFormat="1" applyFont="1" applyBorder="1" applyAlignment="1">
      <alignment horizontal="center"/>
    </xf>
    <xf numFmtId="0" fontId="14" fillId="6" borderId="26" xfId="0" applyFont="1" applyFill="1" applyBorder="1" applyAlignment="1">
      <alignment horizontal="center" vertical="center"/>
    </xf>
    <xf numFmtId="173" fontId="0" fillId="5" borderId="1" xfId="0" applyNumberFormat="1" applyFill="1" applyBorder="1" applyAlignment="1">
      <alignment horizontal="center"/>
    </xf>
    <xf numFmtId="0" fontId="0" fillId="0" borderId="1" xfId="0" applyBorder="1"/>
    <xf numFmtId="173" fontId="0" fillId="5" borderId="1" xfId="0" applyNumberFormat="1" applyFill="1" applyBorder="1" applyAlignment="1" applyProtection="1">
      <alignment horizontal="center"/>
      <protection locked="0"/>
    </xf>
    <xf numFmtId="0" fontId="3" fillId="5" borderId="1" xfId="0" applyFont="1" applyFill="1" applyBorder="1" applyAlignment="1" applyProtection="1">
      <alignment horizontal="center" vertical="center" wrapText="1"/>
      <protection locked="0"/>
    </xf>
    <xf numFmtId="49" fontId="3" fillId="5" borderId="1" xfId="0" applyNumberFormat="1" applyFont="1" applyFill="1" applyBorder="1" applyAlignment="1" applyProtection="1">
      <alignment horizontal="center" vertical="center" wrapText="1"/>
      <protection locked="0"/>
    </xf>
    <xf numFmtId="0" fontId="5" fillId="5" borderId="1" xfId="0" applyFont="1" applyFill="1" applyBorder="1" applyAlignment="1" applyProtection="1">
      <alignment horizontal="center" vertical="center"/>
      <protection locked="0"/>
    </xf>
    <xf numFmtId="2" fontId="3" fillId="5" borderId="1" xfId="0" applyNumberFormat="1" applyFont="1" applyFill="1" applyBorder="1" applyAlignment="1" applyProtection="1">
      <alignment horizontal="center" vertical="center" wrapText="1"/>
      <protection locked="0"/>
    </xf>
    <xf numFmtId="10" fontId="5" fillId="5" borderId="1" xfId="0" applyNumberFormat="1" applyFont="1" applyFill="1" applyBorder="1" applyAlignment="1" applyProtection="1">
      <alignment horizontal="center" vertical="center" wrapText="1"/>
      <protection locked="0"/>
    </xf>
    <xf numFmtId="14" fontId="5" fillId="5" borderId="1" xfId="0" applyNumberFormat="1" applyFont="1" applyFill="1" applyBorder="1" applyAlignment="1" applyProtection="1">
      <alignment horizontal="center" vertical="center" wrapText="1"/>
      <protection locked="0"/>
    </xf>
    <xf numFmtId="0" fontId="3" fillId="5" borderId="9" xfId="0" applyFont="1" applyFill="1" applyBorder="1" applyAlignment="1" applyProtection="1">
      <alignment horizontal="center" vertical="center"/>
      <protection locked="0"/>
    </xf>
    <xf numFmtId="0" fontId="3" fillId="5" borderId="1" xfId="0" applyFont="1" applyFill="1" applyBorder="1" applyAlignment="1" applyProtection="1">
      <alignment horizontal="center" vertical="center"/>
      <protection locked="0"/>
    </xf>
    <xf numFmtId="0" fontId="5" fillId="0" borderId="1" xfId="0" applyFont="1" applyBorder="1" applyAlignment="1">
      <alignment horizontal="left" vertical="center" wrapText="1"/>
    </xf>
    <xf numFmtId="10" fontId="10" fillId="0" borderId="1" xfId="0" applyNumberFormat="1" applyFont="1" applyBorder="1" applyAlignment="1">
      <alignment horizontal="center" vertical="center"/>
    </xf>
    <xf numFmtId="4" fontId="10" fillId="0" borderId="1" xfId="0" applyNumberFormat="1" applyFont="1" applyBorder="1" applyAlignment="1">
      <alignment horizontal="center" vertical="center"/>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172" fontId="3" fillId="0" borderId="1" xfId="1" applyNumberFormat="1" applyFont="1" applyFill="1" applyBorder="1" applyAlignment="1">
      <alignment horizontal="center" vertical="center" wrapText="1"/>
    </xf>
    <xf numFmtId="4" fontId="5" fillId="0" borderId="1" xfId="0" applyNumberFormat="1" applyFont="1" applyBorder="1" applyAlignment="1">
      <alignment horizontal="center" vertical="center"/>
    </xf>
    <xf numFmtId="172" fontId="5" fillId="0" borderId="1" xfId="0" applyNumberFormat="1" applyFont="1" applyBorder="1" applyAlignment="1">
      <alignment horizontal="center" vertical="center"/>
    </xf>
    <xf numFmtId="0" fontId="24" fillId="5" borderId="1" xfId="0" applyFont="1" applyFill="1" applyBorder="1" applyAlignment="1" applyProtection="1">
      <alignment horizontal="center" vertical="center"/>
      <protection locked="0"/>
    </xf>
    <xf numFmtId="0" fontId="0" fillId="5" borderId="11" xfId="4" applyNumberFormat="1" applyFont="1" applyFill="1" applyBorder="1" applyAlignment="1" applyProtection="1">
      <alignment horizontal="center" vertical="center" wrapText="1"/>
      <protection locked="0"/>
    </xf>
    <xf numFmtId="172" fontId="0" fillId="5" borderId="11" xfId="1" applyNumberFormat="1" applyFont="1" applyFill="1" applyBorder="1" applyAlignment="1" applyProtection="1">
      <alignment horizontal="center" vertical="center" wrapText="1"/>
      <protection locked="0"/>
    </xf>
    <xf numFmtId="0" fontId="0" fillId="5" borderId="11" xfId="0" applyFill="1" applyBorder="1" applyAlignment="1" applyProtection="1">
      <alignment horizontal="center" vertical="center" wrapText="1"/>
      <protection locked="0"/>
    </xf>
    <xf numFmtId="2" fontId="0" fillId="5" borderId="11" xfId="0" applyNumberFormat="1" applyFill="1" applyBorder="1" applyAlignment="1" applyProtection="1">
      <alignment horizontal="center" vertical="center" wrapText="1"/>
      <protection locked="0"/>
    </xf>
    <xf numFmtId="172" fontId="0" fillId="5" borderId="11" xfId="0" applyNumberFormat="1" applyFill="1" applyBorder="1" applyAlignment="1" applyProtection="1">
      <alignment horizontal="center" vertical="center" wrapText="1"/>
      <protection locked="0"/>
    </xf>
    <xf numFmtId="0" fontId="0" fillId="5" borderId="1" xfId="4" applyNumberFormat="1" applyFont="1" applyFill="1" applyBorder="1" applyAlignment="1" applyProtection="1">
      <alignment horizontal="center" vertical="center" wrapText="1"/>
      <protection locked="0"/>
    </xf>
    <xf numFmtId="172" fontId="0" fillId="5" borderId="1" xfId="1" applyNumberFormat="1" applyFont="1" applyFill="1" applyBorder="1" applyAlignment="1" applyProtection="1">
      <alignment horizontal="center" vertical="center" wrapText="1"/>
      <protection locked="0"/>
    </xf>
    <xf numFmtId="0" fontId="0" fillId="5" borderId="1" xfId="0" applyFill="1" applyBorder="1" applyAlignment="1" applyProtection="1">
      <alignment horizontal="center" vertical="center" wrapText="1"/>
      <protection locked="0"/>
    </xf>
    <xf numFmtId="2" fontId="0" fillId="5" borderId="1" xfId="0" applyNumberFormat="1" applyFill="1" applyBorder="1" applyAlignment="1" applyProtection="1">
      <alignment horizontal="center" vertical="center" wrapText="1"/>
      <protection locked="0"/>
    </xf>
    <xf numFmtId="0" fontId="0" fillId="5" borderId="16" xfId="4" applyNumberFormat="1" applyFont="1" applyFill="1" applyBorder="1" applyAlignment="1" applyProtection="1">
      <alignment horizontal="center" vertical="center" wrapText="1"/>
      <protection locked="0"/>
    </xf>
    <xf numFmtId="171" fontId="7" fillId="0" borderId="1" xfId="1" applyNumberFormat="1" applyFont="1" applyFill="1" applyBorder="1" applyAlignment="1">
      <alignment vertical="center" wrapText="1"/>
    </xf>
    <xf numFmtId="1" fontId="7" fillId="0" borderId="1" xfId="1" applyNumberFormat="1" applyFont="1" applyFill="1" applyBorder="1" applyAlignment="1">
      <alignment horizontal="center" vertical="center" wrapText="1"/>
    </xf>
    <xf numFmtId="2" fontId="7" fillId="0" borderId="1" xfId="1" applyNumberFormat="1" applyFont="1" applyFill="1" applyBorder="1" applyAlignment="1">
      <alignment vertical="center" wrapText="1"/>
    </xf>
    <xf numFmtId="9" fontId="7" fillId="0" borderId="1" xfId="4" applyFont="1" applyFill="1" applyBorder="1" applyAlignment="1">
      <alignment horizontal="center" vertical="center" wrapText="1"/>
    </xf>
    <xf numFmtId="174" fontId="0" fillId="5" borderId="1" xfId="1" applyNumberFormat="1" applyFont="1" applyFill="1" applyBorder="1" applyAlignment="1">
      <alignment horizontal="center" vertical="center" wrapText="1"/>
    </xf>
    <xf numFmtId="174" fontId="0" fillId="5" borderId="11" xfId="1" applyNumberFormat="1" applyFont="1" applyFill="1" applyBorder="1" applyAlignment="1">
      <alignment horizontal="center" vertical="center" wrapText="1"/>
    </xf>
    <xf numFmtId="2" fontId="0" fillId="5" borderId="1" xfId="4" applyNumberFormat="1" applyFont="1" applyFill="1" applyBorder="1" applyAlignment="1">
      <alignment horizontal="center" vertical="center" wrapText="1"/>
    </xf>
    <xf numFmtId="174" fontId="0" fillId="0" borderId="0" xfId="1" applyNumberFormat="1" applyFont="1" applyFill="1" applyBorder="1" applyAlignment="1">
      <alignment horizontal="center" vertical="center" wrapText="1"/>
    </xf>
    <xf numFmtId="10" fontId="24" fillId="5" borderId="1" xfId="0" applyNumberFormat="1" applyFont="1" applyFill="1" applyBorder="1" applyAlignment="1" applyProtection="1">
      <alignment horizontal="center" vertical="center"/>
      <protection locked="0"/>
    </xf>
    <xf numFmtId="9" fontId="24" fillId="5" borderId="1" xfId="4" applyFont="1" applyFill="1" applyBorder="1" applyAlignment="1" applyProtection="1">
      <alignment horizontal="center" vertical="center"/>
      <protection locked="0"/>
    </xf>
    <xf numFmtId="0" fontId="24" fillId="5" borderId="1" xfId="0" applyFont="1" applyFill="1" applyBorder="1" applyAlignment="1">
      <alignment horizontal="center" vertical="center"/>
    </xf>
    <xf numFmtId="9" fontId="24" fillId="5" borderId="1" xfId="4" applyFont="1" applyFill="1" applyBorder="1" applyAlignment="1">
      <alignment horizontal="center" vertical="center"/>
    </xf>
    <xf numFmtId="0" fontId="24" fillId="0" borderId="1" xfId="0" applyFont="1" applyBorder="1" applyAlignment="1">
      <alignment horizontal="center" vertical="center"/>
    </xf>
    <xf numFmtId="9" fontId="24" fillId="0" borderId="1" xfId="0" applyNumberFormat="1" applyFont="1" applyBorder="1" applyAlignment="1">
      <alignment horizontal="center" vertical="center"/>
    </xf>
    <xf numFmtId="0" fontId="9" fillId="0" borderId="0" xfId="0" applyFont="1" applyAlignment="1">
      <alignment horizontal="center" vertical="center"/>
    </xf>
    <xf numFmtId="0" fontId="24" fillId="5" borderId="1" xfId="0" applyFont="1" applyFill="1" applyBorder="1" applyAlignment="1" applyProtection="1">
      <alignment horizontal="center" vertical="center" wrapText="1"/>
      <protection locked="0"/>
    </xf>
    <xf numFmtId="0" fontId="0" fillId="0" borderId="0" xfId="0" applyAlignment="1">
      <alignment vertical="center"/>
    </xf>
    <xf numFmtId="1" fontId="16" fillId="0" borderId="1" xfId="2" applyNumberFormat="1" applyFont="1" applyFill="1" applyBorder="1" applyAlignment="1">
      <alignment horizontal="center" vertical="center" wrapText="1"/>
    </xf>
    <xf numFmtId="0" fontId="4" fillId="0" borderId="32" xfId="0" applyFont="1" applyBorder="1" applyAlignment="1">
      <alignment horizontal="center"/>
    </xf>
    <xf numFmtId="167" fontId="4" fillId="0" borderId="45" xfId="0" applyNumberFormat="1" applyFont="1" applyBorder="1" applyAlignment="1">
      <alignment horizontal="center"/>
    </xf>
    <xf numFmtId="0" fontId="15" fillId="0" borderId="1" xfId="3" applyFont="1" applyBorder="1" applyAlignment="1" applyProtection="1">
      <alignment horizontal="center" vertical="center" wrapText="1"/>
      <protection locked="0"/>
    </xf>
    <xf numFmtId="0" fontId="5" fillId="0" borderId="1" xfId="0" applyFont="1" applyBorder="1"/>
    <xf numFmtId="175" fontId="10" fillId="0" borderId="0" xfId="0" applyNumberFormat="1" applyFont="1"/>
    <xf numFmtId="169" fontId="0" fillId="0" borderId="1" xfId="1" applyNumberFormat="1" applyFont="1" applyBorder="1" applyAlignment="1"/>
    <xf numFmtId="169" fontId="0" fillId="0" borderId="1" xfId="1" applyNumberFormat="1" applyFont="1" applyBorder="1"/>
    <xf numFmtId="169" fontId="0" fillId="0" borderId="1" xfId="0" applyNumberFormat="1" applyBorder="1"/>
    <xf numFmtId="2" fontId="0" fillId="5" borderId="1" xfId="0" applyNumberFormat="1" applyFill="1" applyBorder="1" applyAlignment="1" applyProtection="1">
      <alignment horizontal="center" vertical="center"/>
      <protection locked="0"/>
    </xf>
    <xf numFmtId="164" fontId="0" fillId="0" borderId="1" xfId="1" applyFont="1" applyBorder="1"/>
    <xf numFmtId="0" fontId="0" fillId="5" borderId="7" xfId="0" applyFill="1" applyBorder="1" applyAlignment="1" applyProtection="1">
      <alignment horizontal="center"/>
      <protection locked="0"/>
    </xf>
    <xf numFmtId="0" fontId="0" fillId="5" borderId="8" xfId="0" applyFill="1" applyBorder="1" applyAlignment="1" applyProtection="1">
      <alignment horizontal="center"/>
      <protection locked="0"/>
    </xf>
    <xf numFmtId="0" fontId="5" fillId="0" borderId="1" xfId="0" applyFont="1" applyBorder="1" applyAlignment="1">
      <alignment vertical="center" wrapText="1"/>
    </xf>
    <xf numFmtId="0" fontId="29" fillId="0" borderId="1" xfId="0" applyFont="1" applyBorder="1" applyAlignment="1">
      <alignment horizontal="center" vertical="center"/>
    </xf>
    <xf numFmtId="9" fontId="30" fillId="0" borderId="1" xfId="0" applyNumberFormat="1" applyFont="1" applyBorder="1" applyAlignment="1">
      <alignment horizontal="center" vertical="center"/>
    </xf>
    <xf numFmtId="2" fontId="30" fillId="0" borderId="1" xfId="0" applyNumberFormat="1" applyFont="1" applyBorder="1" applyAlignment="1">
      <alignment horizontal="center" vertical="center"/>
    </xf>
    <xf numFmtId="0" fontId="0" fillId="5" borderId="9" xfId="0" applyFill="1" applyBorder="1" applyAlignment="1" applyProtection="1">
      <alignment horizontal="center"/>
      <protection locked="0"/>
    </xf>
    <xf numFmtId="1" fontId="12" fillId="0" borderId="1" xfId="0" applyNumberFormat="1" applyFont="1" applyBorder="1" applyAlignment="1">
      <alignment horizontal="center" vertical="center"/>
    </xf>
    <xf numFmtId="2" fontId="16" fillId="0" borderId="1" xfId="2" applyNumberFormat="1" applyFont="1" applyFill="1" applyBorder="1" applyAlignment="1">
      <alignment horizontal="center" vertical="center" wrapText="1"/>
    </xf>
    <xf numFmtId="0" fontId="3" fillId="0" borderId="16" xfId="0" applyFont="1" applyBorder="1" applyAlignment="1">
      <alignment horizontal="center" vertical="center" wrapText="1"/>
    </xf>
    <xf numFmtId="0" fontId="14" fillId="6" borderId="11" xfId="0" applyFont="1" applyFill="1" applyBorder="1" applyAlignment="1">
      <alignment horizontal="center" vertical="center"/>
    </xf>
    <xf numFmtId="0" fontId="14" fillId="6" borderId="12" xfId="0" applyFont="1" applyFill="1" applyBorder="1" applyAlignment="1">
      <alignment horizontal="center" vertical="center"/>
    </xf>
    <xf numFmtId="0" fontId="0" fillId="5" borderId="31" xfId="0" applyFill="1" applyBorder="1" applyAlignment="1" applyProtection="1">
      <alignment horizontal="center" vertical="center"/>
      <protection locked="0"/>
    </xf>
    <xf numFmtId="0" fontId="0" fillId="5" borderId="17" xfId="0" applyFill="1" applyBorder="1" applyAlignment="1" applyProtection="1">
      <alignment horizontal="center" vertical="center"/>
      <protection locked="0"/>
    </xf>
    <xf numFmtId="177" fontId="0" fillId="0" borderId="0" xfId="0" applyNumberFormat="1"/>
    <xf numFmtId="164" fontId="0" fillId="0" borderId="0" xfId="1" applyFont="1"/>
    <xf numFmtId="176" fontId="0" fillId="0" borderId="0" xfId="0" applyNumberFormat="1"/>
    <xf numFmtId="1" fontId="0" fillId="0" borderId="0" xfId="0" applyNumberFormat="1"/>
    <xf numFmtId="170" fontId="0" fillId="0" borderId="1" xfId="0" applyNumberFormat="1" applyBorder="1" applyAlignment="1">
      <alignment horizontal="center" vertical="center"/>
    </xf>
    <xf numFmtId="177" fontId="3" fillId="5" borderId="1" xfId="0" applyNumberFormat="1" applyFont="1" applyFill="1" applyBorder="1" applyAlignment="1" applyProtection="1">
      <alignment horizontal="center" vertical="center" wrapText="1"/>
      <protection locked="0"/>
    </xf>
    <xf numFmtId="0" fontId="5" fillId="0" borderId="4" xfId="0" applyFont="1" applyBorder="1" applyAlignment="1">
      <alignment horizontal="center" vertical="center" wrapText="1"/>
    </xf>
    <xf numFmtId="0" fontId="3" fillId="0" borderId="19" xfId="0" applyFont="1" applyBorder="1" applyAlignment="1">
      <alignment horizontal="center" vertical="center"/>
    </xf>
    <xf numFmtId="0" fontId="5" fillId="0" borderId="2" xfId="0" applyFont="1" applyBorder="1" applyAlignment="1">
      <alignment vertical="center" wrapText="1"/>
    </xf>
    <xf numFmtId="0" fontId="14" fillId="0" borderId="1" xfId="0" applyFont="1" applyBorder="1" applyAlignment="1">
      <alignment vertical="center" wrapText="1"/>
    </xf>
    <xf numFmtId="0" fontId="0" fillId="8" borderId="1" xfId="0" applyFill="1" applyBorder="1" applyAlignment="1">
      <alignment horizontal="center" vertical="center"/>
    </xf>
    <xf numFmtId="0" fontId="3" fillId="8" borderId="1" xfId="0" applyFont="1" applyFill="1" applyBorder="1" applyAlignment="1">
      <alignment horizontal="center" vertical="center" wrapText="1"/>
    </xf>
    <xf numFmtId="0" fontId="29" fillId="0" borderId="1" xfId="0" applyFont="1" applyBorder="1" applyAlignment="1">
      <alignment horizontal="center" vertical="center" wrapText="1"/>
    </xf>
    <xf numFmtId="0" fontId="0" fillId="0" borderId="1" xfId="0" quotePrefix="1" applyBorder="1" applyAlignment="1" applyProtection="1">
      <alignment vertical="center" wrapText="1"/>
      <protection locked="0"/>
    </xf>
    <xf numFmtId="0" fontId="24" fillId="5" borderId="1" xfId="0" applyFont="1" applyFill="1" applyBorder="1" applyAlignment="1">
      <alignment horizontal="center" vertical="center" wrapText="1"/>
    </xf>
    <xf numFmtId="9" fontId="32" fillId="0" borderId="1" xfId="0" applyNumberFormat="1" applyFont="1" applyBorder="1" applyAlignment="1">
      <alignment horizontal="center" vertical="center"/>
    </xf>
    <xf numFmtId="0" fontId="14" fillId="9" borderId="1" xfId="0" applyFont="1" applyFill="1" applyBorder="1" applyAlignment="1">
      <alignment horizontal="center" vertical="center" wrapText="1"/>
    </xf>
    <xf numFmtId="0" fontId="14" fillId="9" borderId="1" xfId="0" applyFont="1" applyFill="1" applyBorder="1" applyAlignment="1">
      <alignment horizontal="center" vertical="center"/>
    </xf>
    <xf numFmtId="0" fontId="14" fillId="9" borderId="9" xfId="0" applyFont="1" applyFill="1" applyBorder="1" applyAlignment="1">
      <alignment horizontal="center" vertical="center"/>
    </xf>
    <xf numFmtId="0" fontId="23" fillId="9" borderId="1"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5" fillId="9" borderId="1" xfId="0" applyFont="1" applyFill="1" applyBorder="1" applyAlignment="1">
      <alignment horizontal="center" vertical="center"/>
    </xf>
    <xf numFmtId="0" fontId="5" fillId="9" borderId="28" xfId="0" applyFont="1" applyFill="1" applyBorder="1" applyAlignment="1">
      <alignment horizontal="center" vertical="center" wrapText="1"/>
    </xf>
    <xf numFmtId="0" fontId="14" fillId="10" borderId="32" xfId="0" applyFont="1" applyFill="1" applyBorder="1" applyAlignment="1">
      <alignment horizontal="center" vertical="center" wrapText="1"/>
    </xf>
    <xf numFmtId="0" fontId="14" fillId="10" borderId="33" xfId="0" applyFont="1" applyFill="1" applyBorder="1" applyAlignment="1">
      <alignment horizontal="center" vertical="center" wrapText="1"/>
    </xf>
    <xf numFmtId="0" fontId="5" fillId="9" borderId="0" xfId="0" applyFont="1" applyFill="1" applyAlignment="1">
      <alignment horizontal="center" vertical="center"/>
    </xf>
    <xf numFmtId="0" fontId="3" fillId="0" borderId="0" xfId="0" applyFont="1" applyAlignment="1">
      <alignment horizontal="center" vertical="center" wrapText="1"/>
    </xf>
    <xf numFmtId="169" fontId="5" fillId="0" borderId="0" xfId="1" applyNumberFormat="1" applyFont="1" applyBorder="1" applyAlignment="1">
      <alignment vertical="center" wrapText="1"/>
    </xf>
    <xf numFmtId="0" fontId="5" fillId="9" borderId="0" xfId="0" applyFont="1" applyFill="1" applyAlignment="1">
      <alignment horizontal="center" vertical="center" wrapText="1"/>
    </xf>
    <xf numFmtId="0" fontId="35" fillId="0" borderId="0" xfId="0" applyFont="1" applyAlignment="1">
      <alignment vertical="center" wrapText="1"/>
    </xf>
    <xf numFmtId="0" fontId="35" fillId="0" borderId="0" xfId="0" applyFont="1" applyAlignment="1">
      <alignment wrapText="1"/>
    </xf>
    <xf numFmtId="0" fontId="35" fillId="0" borderId="1" xfId="0" quotePrefix="1" applyFont="1" applyBorder="1" applyAlignment="1" applyProtection="1">
      <alignment vertical="center" wrapText="1"/>
      <protection locked="0"/>
    </xf>
    <xf numFmtId="0" fontId="35" fillId="0" borderId="0" xfId="0" applyFont="1"/>
    <xf numFmtId="0" fontId="36" fillId="0" borderId="1" xfId="0" applyFont="1" applyBorder="1" applyAlignment="1">
      <alignment horizontal="center" vertical="center" wrapText="1"/>
    </xf>
    <xf numFmtId="0" fontId="37" fillId="5" borderId="1" xfId="0" applyFont="1" applyFill="1" applyBorder="1" applyAlignment="1" applyProtection="1">
      <alignment horizontal="center" vertical="center"/>
      <protection locked="0"/>
    </xf>
    <xf numFmtId="0" fontId="37" fillId="5" borderId="1" xfId="0" applyFont="1" applyFill="1" applyBorder="1" applyAlignment="1" applyProtection="1">
      <alignment horizontal="center" vertical="center" wrapText="1"/>
      <protection locked="0"/>
    </xf>
    <xf numFmtId="10" fontId="37" fillId="5" borderId="1" xfId="0" applyNumberFormat="1" applyFont="1" applyFill="1" applyBorder="1" applyAlignment="1" applyProtection="1">
      <alignment horizontal="center" vertical="center"/>
      <protection locked="0"/>
    </xf>
    <xf numFmtId="9" fontId="37" fillId="5" borderId="1" xfId="4" applyFont="1" applyFill="1" applyBorder="1" applyAlignment="1" applyProtection="1">
      <alignment horizontal="center" vertical="center"/>
      <protection locked="0"/>
    </xf>
    <xf numFmtId="0" fontId="37" fillId="5" borderId="1" xfId="0" applyFont="1" applyFill="1" applyBorder="1" applyAlignment="1">
      <alignment horizontal="center" vertical="center"/>
    </xf>
    <xf numFmtId="9" fontId="37" fillId="5" borderId="1" xfId="4" applyFont="1" applyFill="1" applyBorder="1" applyAlignment="1">
      <alignment horizontal="center" vertical="center"/>
    </xf>
    <xf numFmtId="0" fontId="37" fillId="0" borderId="1" xfId="0" applyFont="1" applyBorder="1" applyAlignment="1">
      <alignment horizontal="center" vertical="center"/>
    </xf>
    <xf numFmtId="0" fontId="10" fillId="8" borderId="1" xfId="0" applyFont="1" applyFill="1" applyBorder="1" applyAlignment="1">
      <alignment horizontal="center" vertical="center"/>
    </xf>
    <xf numFmtId="0" fontId="10" fillId="0" borderId="1" xfId="0" applyFont="1" applyBorder="1" applyAlignment="1">
      <alignment horizontal="left" vertical="center"/>
    </xf>
    <xf numFmtId="170" fontId="10" fillId="0" borderId="1" xfId="0" applyNumberFormat="1" applyFont="1" applyBorder="1" applyAlignment="1">
      <alignment horizontal="center" vertical="center"/>
    </xf>
    <xf numFmtId="0" fontId="3" fillId="0" borderId="5" xfId="0" applyFont="1" applyBorder="1" applyAlignment="1">
      <alignment horizontal="left" vertical="center" wrapText="1"/>
    </xf>
    <xf numFmtId="0" fontId="5" fillId="9" borderId="31" xfId="0" applyFont="1" applyFill="1" applyBorder="1" applyAlignment="1">
      <alignment horizontal="center" vertical="center" wrapText="1"/>
    </xf>
    <xf numFmtId="0" fontId="5" fillId="0" borderId="45" xfId="0" applyFont="1" applyBorder="1" applyAlignment="1">
      <alignment vertical="center" wrapText="1"/>
    </xf>
    <xf numFmtId="0" fontId="8" fillId="0" borderId="15" xfId="0" applyFont="1" applyBorder="1" applyAlignment="1">
      <alignment horizontal="center" vertical="center" wrapText="1"/>
    </xf>
    <xf numFmtId="10" fontId="10" fillId="0" borderId="16" xfId="0" applyNumberFormat="1" applyFont="1" applyBorder="1" applyAlignment="1">
      <alignment horizontal="center" vertical="center"/>
    </xf>
    <xf numFmtId="0" fontId="5" fillId="9" borderId="4" xfId="0" applyFont="1" applyFill="1" applyBorder="1" applyAlignment="1">
      <alignment horizontal="center" vertical="center"/>
    </xf>
    <xf numFmtId="0" fontId="5" fillId="9" borderId="4" xfId="0" applyFont="1" applyFill="1" applyBorder="1" applyAlignment="1">
      <alignment horizontal="center" vertical="center" wrapText="1"/>
    </xf>
    <xf numFmtId="2" fontId="16" fillId="0" borderId="4" xfId="2" applyNumberFormat="1" applyFont="1" applyFill="1" applyBorder="1" applyAlignment="1">
      <alignment horizontal="center" vertical="center" wrapText="1"/>
    </xf>
    <xf numFmtId="0" fontId="3" fillId="0" borderId="39" xfId="0" applyFont="1" applyBorder="1" applyAlignment="1">
      <alignment horizontal="center" vertical="center" wrapText="1"/>
    </xf>
    <xf numFmtId="0" fontId="5" fillId="9" borderId="27" xfId="0" applyFont="1" applyFill="1" applyBorder="1" applyAlignment="1">
      <alignment horizontal="center" vertical="center" wrapText="1"/>
    </xf>
    <xf numFmtId="0" fontId="5" fillId="9" borderId="34" xfId="0" applyFont="1" applyFill="1" applyBorder="1" applyAlignment="1">
      <alignment horizontal="center" vertical="center"/>
    </xf>
    <xf numFmtId="0" fontId="5" fillId="9" borderId="26" xfId="0" applyFont="1" applyFill="1" applyBorder="1" applyAlignment="1">
      <alignment horizontal="center" vertical="center" wrapText="1"/>
    </xf>
    <xf numFmtId="0" fontId="5" fillId="9" borderId="39" xfId="0" applyFont="1" applyFill="1" applyBorder="1" applyAlignment="1">
      <alignment horizontal="center" vertical="center" wrapText="1"/>
    </xf>
    <xf numFmtId="0" fontId="10" fillId="0" borderId="31" xfId="0" applyFont="1" applyBorder="1" applyAlignment="1">
      <alignment horizontal="center" vertical="center" wrapText="1"/>
    </xf>
    <xf numFmtId="0" fontId="3" fillId="0" borderId="17" xfId="0" applyFont="1" applyBorder="1" applyAlignment="1">
      <alignment horizontal="center" vertical="center" wrapText="1"/>
    </xf>
    <xf numFmtId="1" fontId="12" fillId="0" borderId="28" xfId="0" applyNumberFormat="1" applyFont="1" applyBorder="1" applyAlignment="1">
      <alignment horizontal="center" vertical="center"/>
    </xf>
    <xf numFmtId="0" fontId="14" fillId="0" borderId="13" xfId="0" applyFont="1" applyBorder="1" applyAlignment="1">
      <alignment vertical="center" wrapText="1"/>
    </xf>
    <xf numFmtId="0" fontId="5" fillId="9" borderId="13" xfId="0" applyFont="1" applyFill="1" applyBorder="1" applyAlignment="1">
      <alignment horizontal="center" vertical="center" wrapText="1"/>
    </xf>
    <xf numFmtId="1" fontId="16" fillId="0" borderId="13" xfId="2" applyNumberFormat="1" applyFont="1" applyFill="1" applyBorder="1" applyAlignment="1">
      <alignment horizontal="center" vertical="center" wrapText="1"/>
    </xf>
    <xf numFmtId="0" fontId="7" fillId="0" borderId="32" xfId="3" applyFont="1" applyBorder="1" applyAlignment="1">
      <alignment horizontal="left" vertical="center" wrapText="1"/>
    </xf>
    <xf numFmtId="0" fontId="29" fillId="0" borderId="2" xfId="0" applyFont="1" applyBorder="1" applyAlignment="1">
      <alignment horizontal="center" vertical="center"/>
    </xf>
    <xf numFmtId="9" fontId="30" fillId="0" borderId="2" xfId="0" applyNumberFormat="1" applyFont="1" applyBorder="1" applyAlignment="1">
      <alignment horizontal="center" vertical="center"/>
    </xf>
    <xf numFmtId="2" fontId="30" fillId="0" borderId="2" xfId="0" applyNumberFormat="1" applyFont="1" applyBorder="1" applyAlignment="1">
      <alignment horizontal="center" vertical="center"/>
    </xf>
    <xf numFmtId="0" fontId="7" fillId="0" borderId="26" xfId="3" applyFont="1" applyBorder="1" applyAlignment="1">
      <alignment horizontal="left" vertical="center" wrapText="1"/>
    </xf>
    <xf numFmtId="0" fontId="15" fillId="0" borderId="27" xfId="3" applyFont="1" applyBorder="1" applyAlignment="1" applyProtection="1">
      <alignment horizontal="center" vertical="center" wrapText="1"/>
      <protection locked="0"/>
    </xf>
    <xf numFmtId="0" fontId="14" fillId="6" borderId="4" xfId="0" applyFont="1" applyFill="1" applyBorder="1" applyAlignment="1">
      <alignment horizontal="center" vertical="center" wrapText="1"/>
    </xf>
    <xf numFmtId="0" fontId="14" fillId="7" borderId="60" xfId="0" applyFont="1" applyFill="1" applyBorder="1" applyAlignment="1">
      <alignment horizontal="center" vertical="center" wrapText="1"/>
    </xf>
    <xf numFmtId="178" fontId="0" fillId="0" borderId="0" xfId="0" applyNumberFormat="1"/>
    <xf numFmtId="179" fontId="0" fillId="0" borderId="0" xfId="4" applyNumberFormat="1" applyFont="1"/>
    <xf numFmtId="0" fontId="0" fillId="0" borderId="0" xfId="1" applyNumberFormat="1" applyFont="1"/>
    <xf numFmtId="0" fontId="21" fillId="0" borderId="0" xfId="0" applyFont="1"/>
    <xf numFmtId="0" fontId="24" fillId="0" borderId="0" xfId="0" applyFont="1"/>
    <xf numFmtId="164" fontId="24" fillId="0" borderId="0" xfId="1" applyFont="1"/>
    <xf numFmtId="164" fontId="0" fillId="0" borderId="0" xfId="0" applyNumberFormat="1"/>
    <xf numFmtId="164" fontId="24" fillId="0" borderId="0" xfId="0" applyNumberFormat="1" applyFont="1"/>
    <xf numFmtId="164" fontId="12" fillId="0" borderId="0" xfId="0" applyNumberFormat="1" applyFont="1"/>
    <xf numFmtId="0" fontId="10" fillId="0" borderId="1" xfId="0" quotePrefix="1" applyFont="1" applyBorder="1" applyAlignment="1" applyProtection="1">
      <alignment vertical="center" wrapText="1"/>
      <protection locked="0"/>
    </xf>
    <xf numFmtId="0" fontId="10" fillId="0" borderId="1" xfId="0" applyFont="1" applyBorder="1" applyAlignment="1" applyProtection="1">
      <alignment vertical="center" wrapText="1"/>
      <protection locked="0"/>
    </xf>
    <xf numFmtId="164" fontId="10" fillId="0" borderId="1" xfId="1" applyFont="1" applyFill="1" applyBorder="1" applyAlignment="1">
      <alignment horizontal="center" vertical="center"/>
    </xf>
    <xf numFmtId="2" fontId="10" fillId="0" borderId="1" xfId="1" applyNumberFormat="1" applyFont="1" applyFill="1" applyBorder="1" applyAlignment="1">
      <alignment horizontal="center"/>
    </xf>
    <xf numFmtId="9" fontId="10" fillId="8" borderId="1" xfId="0" applyNumberFormat="1" applyFont="1" applyFill="1" applyBorder="1" applyAlignment="1">
      <alignment horizontal="center" vertical="center"/>
    </xf>
    <xf numFmtId="0" fontId="5" fillId="8" borderId="1" xfId="0" applyFont="1" applyFill="1" applyBorder="1" applyAlignment="1">
      <alignment horizontal="center" vertical="center" wrapText="1"/>
    </xf>
    <xf numFmtId="9" fontId="10" fillId="0" borderId="1" xfId="0" applyNumberFormat="1" applyFont="1" applyBorder="1" applyAlignment="1">
      <alignment horizontal="center" vertical="center"/>
    </xf>
    <xf numFmtId="0" fontId="0" fillId="5" borderId="9" xfId="0" applyFill="1" applyBorder="1" applyAlignment="1" applyProtection="1">
      <alignment horizontal="center" vertical="top" wrapText="1"/>
      <protection locked="0"/>
    </xf>
    <xf numFmtId="0" fontId="0" fillId="5" borderId="8" xfId="0" applyFill="1" applyBorder="1" applyAlignment="1" applyProtection="1">
      <alignment horizontal="center" vertical="top"/>
      <protection locked="0"/>
    </xf>
    <xf numFmtId="0" fontId="0" fillId="5" borderId="9" xfId="0" applyFill="1" applyBorder="1" applyAlignment="1" applyProtection="1">
      <alignment horizontal="center" vertical="center" wrapText="1"/>
      <protection locked="0"/>
    </xf>
    <xf numFmtId="0" fontId="0" fillId="5" borderId="8" xfId="0" applyFill="1" applyBorder="1" applyAlignment="1" applyProtection="1">
      <alignment horizontal="center" vertical="center" wrapText="1"/>
      <protection locked="0"/>
    </xf>
    <xf numFmtId="0" fontId="35" fillId="5" borderId="9" xfId="0" applyFont="1" applyFill="1" applyBorder="1" applyAlignment="1" applyProtection="1">
      <alignment horizontal="center" vertical="center" wrapText="1"/>
      <protection locked="0"/>
    </xf>
    <xf numFmtId="0" fontId="35" fillId="5" borderId="8" xfId="0" applyFont="1" applyFill="1" applyBorder="1" applyAlignment="1" applyProtection="1">
      <alignment horizontal="center" vertical="center" wrapText="1"/>
      <protection locked="0"/>
    </xf>
    <xf numFmtId="0" fontId="0" fillId="5" borderId="9" xfId="0" applyFill="1" applyBorder="1" applyAlignment="1" applyProtection="1">
      <alignment horizontal="center" wrapText="1"/>
      <protection locked="0"/>
    </xf>
    <xf numFmtId="0" fontId="0" fillId="5" borderId="8" xfId="0" applyFill="1" applyBorder="1" applyAlignment="1" applyProtection="1">
      <alignment horizontal="center" wrapText="1"/>
      <protection locked="0"/>
    </xf>
    <xf numFmtId="0" fontId="28" fillId="0" borderId="1" xfId="0" applyFont="1" applyBorder="1" applyAlignment="1">
      <alignment horizontal="center"/>
    </xf>
    <xf numFmtId="0" fontId="28" fillId="0" borderId="1" xfId="0" applyFont="1" applyBorder="1" applyAlignment="1">
      <alignment horizontal="left" vertical="center"/>
    </xf>
    <xf numFmtId="170" fontId="10" fillId="0" borderId="1" xfId="0" applyNumberFormat="1" applyFont="1" applyBorder="1" applyAlignment="1">
      <alignment horizontal="center" vertical="center" wrapText="1"/>
    </xf>
    <xf numFmtId="0" fontId="10" fillId="0" borderId="1" xfId="0" applyFont="1" applyBorder="1" applyAlignment="1">
      <alignment horizontal="left" vertical="center" wrapText="1"/>
    </xf>
    <xf numFmtId="0" fontId="10" fillId="0" borderId="1" xfId="0" applyFont="1" applyBorder="1" applyAlignment="1">
      <alignment vertical="center" wrapText="1"/>
    </xf>
    <xf numFmtId="0" fontId="10" fillId="0" borderId="1" xfId="0" applyFont="1" applyBorder="1" applyAlignment="1">
      <alignment wrapText="1"/>
    </xf>
    <xf numFmtId="0" fontId="24" fillId="5" borderId="1" xfId="0" applyFont="1" applyFill="1" applyBorder="1" applyAlignment="1" applyProtection="1">
      <alignment horizontal="left" vertical="top" wrapText="1"/>
      <protection locked="0"/>
    </xf>
    <xf numFmtId="0" fontId="37" fillId="5" borderId="1" xfId="0" applyFont="1" applyFill="1" applyBorder="1" applyAlignment="1" applyProtection="1">
      <alignment horizontal="left" vertical="top" wrapText="1"/>
      <protection locked="0"/>
    </xf>
    <xf numFmtId="0" fontId="9" fillId="0" borderId="0" xfId="0" applyFont="1" applyAlignment="1">
      <alignment horizontal="left" vertical="top"/>
    </xf>
    <xf numFmtId="170" fontId="35" fillId="8" borderId="1" xfId="0" applyNumberFormat="1" applyFont="1" applyFill="1" applyBorder="1" applyAlignment="1">
      <alignment horizontal="center" vertical="center" wrapText="1"/>
    </xf>
    <xf numFmtId="0" fontId="36" fillId="0" borderId="1" xfId="0" applyFont="1" applyBorder="1" applyAlignment="1">
      <alignment horizontal="left" vertical="center" wrapText="1"/>
    </xf>
    <xf numFmtId="0" fontId="42" fillId="0" borderId="61" xfId="18" applyFont="1" applyBorder="1" applyAlignment="1">
      <alignment horizontal="center" vertical="center" wrapText="1"/>
    </xf>
    <xf numFmtId="0" fontId="42" fillId="0" borderId="62" xfId="18" applyFont="1" applyBorder="1" applyAlignment="1">
      <alignment horizontal="center" vertical="center" wrapText="1"/>
    </xf>
    <xf numFmtId="0" fontId="42" fillId="0" borderId="63" xfId="18" applyFont="1" applyBorder="1" applyAlignment="1">
      <alignment horizontal="center" vertical="center" wrapText="1"/>
    </xf>
    <xf numFmtId="0" fontId="35" fillId="0" borderId="1" xfId="0" applyFont="1" applyBorder="1" applyAlignment="1" applyProtection="1">
      <alignment vertical="center" wrapText="1"/>
      <protection locked="0"/>
    </xf>
    <xf numFmtId="49" fontId="5" fillId="5" borderId="1" xfId="0" applyNumberFormat="1" applyFont="1" applyFill="1" applyBorder="1" applyAlignment="1" applyProtection="1">
      <alignment horizontal="center" vertical="center" wrapText="1"/>
      <protection locked="0"/>
    </xf>
    <xf numFmtId="0" fontId="10" fillId="0" borderId="0" xfId="0" applyFont="1" applyAlignment="1">
      <alignment horizontal="left"/>
    </xf>
    <xf numFmtId="0" fontId="43" fillId="0" borderId="61" xfId="18" applyFont="1" applyBorder="1" applyAlignment="1">
      <alignment horizontal="center" vertical="center" wrapText="1"/>
    </xf>
    <xf numFmtId="0" fontId="43" fillId="0" borderId="61" xfId="18" applyFont="1" applyBorder="1" applyAlignment="1">
      <alignment horizontal="justify" vertical="top" wrapText="1"/>
    </xf>
    <xf numFmtId="14" fontId="43" fillId="0" borderId="64" xfId="18" quotePrefix="1" applyNumberFormat="1" applyFont="1" applyBorder="1" applyAlignment="1">
      <alignment horizontal="center" vertical="center" wrapText="1"/>
    </xf>
    <xf numFmtId="14" fontId="43" fillId="0" borderId="64" xfId="18" applyNumberFormat="1" applyFont="1" applyBorder="1" applyAlignment="1">
      <alignment horizontal="center" vertical="center" wrapText="1"/>
    </xf>
    <xf numFmtId="0" fontId="44" fillId="11" borderId="61" xfId="18" applyFont="1" applyFill="1" applyBorder="1" applyAlignment="1">
      <alignment horizontal="center" vertical="center"/>
    </xf>
    <xf numFmtId="0" fontId="45" fillId="0" borderId="61" xfId="18" applyFont="1" applyBorder="1" applyAlignment="1">
      <alignment horizontal="center" vertical="center" wrapText="1"/>
    </xf>
    <xf numFmtId="0" fontId="45" fillId="0" borderId="65" xfId="18" applyFont="1" applyBorder="1" applyAlignment="1">
      <alignment horizontal="center" vertical="center" wrapText="1"/>
    </xf>
    <xf numFmtId="0" fontId="45" fillId="0" borderId="65" xfId="18" applyFont="1" applyBorder="1" applyAlignment="1">
      <alignment horizontal="justify" vertical="center" wrapText="1"/>
    </xf>
    <xf numFmtId="0" fontId="45" fillId="0" borderId="61" xfId="18" applyFont="1" applyBorder="1" applyAlignment="1">
      <alignment horizontal="justify" vertical="center" wrapText="1"/>
    </xf>
    <xf numFmtId="14" fontId="46" fillId="0" borderId="64" xfId="0" applyNumberFormat="1" applyFont="1" applyBorder="1" applyAlignment="1">
      <alignment horizontal="center" vertical="center"/>
    </xf>
    <xf numFmtId="0" fontId="45" fillId="11" borderId="61" xfId="18" applyFont="1" applyFill="1" applyBorder="1" applyAlignment="1">
      <alignment horizontal="center" vertical="center"/>
    </xf>
    <xf numFmtId="0" fontId="45" fillId="11" borderId="65" xfId="18" applyFont="1" applyFill="1" applyBorder="1" applyAlignment="1">
      <alignment horizontal="center" vertical="center"/>
    </xf>
    <xf numFmtId="0" fontId="47" fillId="0" borderId="1" xfId="18" applyFont="1" applyBorder="1" applyAlignment="1">
      <alignment horizontal="center" vertical="center" wrapText="1"/>
    </xf>
    <xf numFmtId="0" fontId="47" fillId="0" borderId="1" xfId="18" applyFont="1" applyBorder="1" applyAlignment="1">
      <alignment vertical="center" wrapText="1"/>
    </xf>
    <xf numFmtId="0" fontId="49" fillId="0" borderId="1" xfId="18" applyFont="1" applyBorder="1" applyAlignment="1">
      <alignment horizontal="justify" vertical="center" wrapText="1"/>
    </xf>
    <xf numFmtId="14" fontId="50" fillId="0" borderId="1" xfId="0" applyNumberFormat="1" applyFont="1" applyBorder="1" applyAlignment="1">
      <alignment horizontal="center" vertical="center"/>
    </xf>
    <xf numFmtId="14" fontId="50" fillId="0" borderId="1" xfId="0" applyNumberFormat="1" applyFont="1" applyBorder="1" applyAlignment="1">
      <alignment vertical="center"/>
    </xf>
    <xf numFmtId="0" fontId="47" fillId="11" borderId="1" xfId="18" applyFont="1" applyFill="1" applyBorder="1" applyAlignment="1">
      <alignment horizontal="center" vertical="center"/>
    </xf>
    <xf numFmtId="0" fontId="49" fillId="11" borderId="1" xfId="18" applyFont="1" applyFill="1" applyBorder="1" applyAlignment="1">
      <alignment vertical="center" wrapText="1"/>
    </xf>
    <xf numFmtId="0" fontId="3" fillId="5" borderId="2" xfId="0" applyFont="1" applyFill="1" applyBorder="1" applyAlignment="1" applyProtection="1">
      <alignment horizontal="center" vertical="center" wrapText="1"/>
      <protection locked="0"/>
    </xf>
    <xf numFmtId="0" fontId="48" fillId="0" borderId="1" xfId="18" applyFont="1" applyBorder="1" applyAlignment="1">
      <alignment horizontal="justify" vertical="center" wrapText="1"/>
    </xf>
    <xf numFmtId="0" fontId="48" fillId="0" borderId="1" xfId="18" applyFont="1" applyBorder="1" applyAlignment="1">
      <alignment vertical="center" wrapText="1"/>
    </xf>
    <xf numFmtId="0" fontId="51" fillId="0" borderId="66" xfId="0" applyFont="1" applyBorder="1" applyAlignment="1">
      <alignment horizontal="center" vertical="center" wrapText="1"/>
    </xf>
    <xf numFmtId="0" fontId="52" fillId="0" borderId="66" xfId="0" applyFont="1" applyBorder="1" applyAlignment="1">
      <alignment horizontal="center" vertical="center" wrapText="1"/>
    </xf>
    <xf numFmtId="0" fontId="51" fillId="0" borderId="67" xfId="0" applyFont="1" applyBorder="1" applyAlignment="1">
      <alignment horizontal="justify" vertical="center" wrapText="1"/>
    </xf>
    <xf numFmtId="180" fontId="52" fillId="0" borderId="66" xfId="0" applyNumberFormat="1" applyFont="1" applyBorder="1" applyAlignment="1">
      <alignment horizontal="center" vertical="center" wrapText="1"/>
    </xf>
    <xf numFmtId="0" fontId="3" fillId="9" borderId="1" xfId="0" applyFont="1" applyFill="1" applyBorder="1" applyAlignment="1" applyProtection="1">
      <alignment horizontal="center" vertical="center" wrapText="1"/>
      <protection locked="0"/>
    </xf>
    <xf numFmtId="0" fontId="10" fillId="0" borderId="1" xfId="0" applyFont="1" applyBorder="1" applyAlignment="1">
      <alignment vertical="top" wrapText="1"/>
    </xf>
    <xf numFmtId="0" fontId="5" fillId="0" borderId="1" xfId="0" applyFont="1" applyBorder="1" applyAlignment="1">
      <alignment vertical="top" wrapText="1"/>
    </xf>
    <xf numFmtId="15" fontId="5" fillId="5" borderId="1" xfId="0" applyNumberFormat="1" applyFont="1" applyFill="1" applyBorder="1" applyAlignment="1" applyProtection="1">
      <alignment horizontal="center" vertical="center"/>
      <protection locked="0"/>
    </xf>
    <xf numFmtId="0" fontId="24" fillId="5" borderId="1" xfId="0" applyFont="1" applyFill="1" applyBorder="1" applyAlignment="1" applyProtection="1">
      <alignment horizontal="center" vertical="top" wrapText="1"/>
      <protection locked="0"/>
    </xf>
    <xf numFmtId="0" fontId="53" fillId="0" borderId="68" xfId="0" applyFont="1" applyBorder="1" applyAlignment="1">
      <alignment horizontal="left" vertical="center" wrapText="1"/>
    </xf>
    <xf numFmtId="0" fontId="54" fillId="0" borderId="68" xfId="0" applyFont="1" applyBorder="1" applyAlignment="1">
      <alignment horizontal="left" vertical="center" wrapText="1"/>
    </xf>
    <xf numFmtId="0" fontId="19" fillId="0" borderId="1" xfId="18" applyFont="1" applyBorder="1" applyAlignment="1">
      <alignment horizontal="justify" vertical="center" wrapText="1"/>
    </xf>
    <xf numFmtId="0" fontId="19" fillId="0" borderId="69" xfId="18" applyFont="1" applyBorder="1" applyAlignment="1">
      <alignment horizontal="justify" vertical="center" wrapText="1"/>
    </xf>
    <xf numFmtId="180" fontId="53" fillId="0" borderId="68" xfId="0" applyNumberFormat="1" applyFont="1" applyBorder="1" applyAlignment="1">
      <alignment horizontal="center" vertical="center" wrapText="1"/>
    </xf>
    <xf numFmtId="180" fontId="53" fillId="0" borderId="70" xfId="0" applyNumberFormat="1" applyFont="1" applyBorder="1" applyAlignment="1">
      <alignment horizontal="center" vertical="center" wrapText="1"/>
    </xf>
    <xf numFmtId="14" fontId="19" fillId="0" borderId="1" xfId="18" applyNumberFormat="1" applyFont="1" applyBorder="1" applyAlignment="1">
      <alignment horizontal="center" vertical="center" wrapText="1"/>
    </xf>
    <xf numFmtId="14" fontId="19" fillId="0" borderId="69" xfId="18" applyNumberFormat="1" applyFont="1" applyBorder="1" applyAlignment="1">
      <alignment horizontal="center" vertical="center" wrapText="1"/>
    </xf>
    <xf numFmtId="0" fontId="55" fillId="0" borderId="61" xfId="18" applyFont="1" applyBorder="1" applyAlignment="1">
      <alignment horizontal="center" vertical="center" wrapText="1"/>
    </xf>
    <xf numFmtId="181" fontId="55" fillId="0" borderId="64" xfId="18" quotePrefix="1" applyNumberFormat="1" applyFont="1" applyBorder="1" applyAlignment="1">
      <alignment horizontal="center" vertical="center" wrapText="1"/>
    </xf>
    <xf numFmtId="181" fontId="55" fillId="0" borderId="64" xfId="18" applyNumberFormat="1" applyFont="1" applyBorder="1" applyAlignment="1">
      <alignment horizontal="center" vertical="center" wrapText="1"/>
    </xf>
    <xf numFmtId="0" fontId="45" fillId="0" borderId="63" xfId="18" applyFont="1" applyBorder="1" applyAlignment="1">
      <alignment horizontal="center" vertical="center" wrapText="1"/>
    </xf>
    <xf numFmtId="182" fontId="45" fillId="0" borderId="71" xfId="18" quotePrefix="1" applyNumberFormat="1" applyFont="1" applyBorder="1" applyAlignment="1">
      <alignment horizontal="center" vertical="center" wrapText="1"/>
    </xf>
    <xf numFmtId="182" fontId="45" fillId="0" borderId="64" xfId="18" quotePrefix="1" applyNumberFormat="1" applyFont="1" applyBorder="1" applyAlignment="1">
      <alignment horizontal="center" vertical="center" wrapText="1"/>
    </xf>
    <xf numFmtId="170" fontId="35" fillId="8" borderId="1" xfId="0" applyNumberFormat="1" applyFont="1" applyFill="1" applyBorder="1" applyAlignment="1">
      <alignment horizontal="center" vertical="center"/>
    </xf>
    <xf numFmtId="0" fontId="3" fillId="5" borderId="9" xfId="0" applyFont="1" applyFill="1" applyBorder="1" applyAlignment="1" applyProtection="1">
      <alignment horizontal="center" vertical="center" wrapText="1"/>
      <protection locked="0"/>
    </xf>
    <xf numFmtId="0" fontId="35" fillId="8" borderId="1" xfId="0" quotePrefix="1" applyFont="1" applyFill="1" applyBorder="1" applyAlignment="1" applyProtection="1">
      <alignment vertical="center" wrapText="1"/>
      <protection locked="0"/>
    </xf>
    <xf numFmtId="4" fontId="0" fillId="5" borderId="9" xfId="0" applyNumberFormat="1" applyFill="1" applyBorder="1" applyAlignment="1" applyProtection="1">
      <alignment horizontal="center"/>
      <protection locked="0"/>
    </xf>
    <xf numFmtId="14" fontId="0" fillId="0" borderId="0" xfId="0" applyNumberFormat="1"/>
    <xf numFmtId="2" fontId="5" fillId="5" borderId="1" xfId="0" applyNumberFormat="1" applyFont="1" applyFill="1" applyBorder="1" applyAlignment="1" applyProtection="1">
      <alignment horizontal="center" vertical="center" wrapText="1"/>
      <protection locked="0"/>
    </xf>
    <xf numFmtId="177" fontId="5" fillId="8" borderId="1" xfId="0" applyNumberFormat="1" applyFont="1" applyFill="1" applyBorder="1" applyAlignment="1" applyProtection="1">
      <alignment horizontal="center" vertical="center" wrapText="1"/>
      <protection locked="0"/>
    </xf>
    <xf numFmtId="0" fontId="24" fillId="0" borderId="1" xfId="0" applyFont="1" applyBorder="1" applyAlignment="1" applyProtection="1">
      <alignment horizontal="left" vertical="top" wrapText="1"/>
      <protection locked="0"/>
    </xf>
    <xf numFmtId="2" fontId="0" fillId="0" borderId="0" xfId="1" applyNumberFormat="1" applyFont="1"/>
    <xf numFmtId="170" fontId="3" fillId="0" borderId="1" xfId="0" applyNumberFormat="1" applyFont="1" applyBorder="1" applyAlignment="1">
      <alignment horizontal="center" vertical="center" wrapText="1"/>
    </xf>
    <xf numFmtId="170" fontId="5" fillId="0" borderId="1" xfId="0" applyNumberFormat="1" applyFont="1" applyBorder="1" applyAlignment="1">
      <alignment horizontal="center" vertical="center" wrapText="1"/>
    </xf>
    <xf numFmtId="0" fontId="14" fillId="9" borderId="1" xfId="0" applyFont="1" applyFill="1" applyBorder="1" applyAlignment="1">
      <alignment horizontal="center" vertical="center"/>
    </xf>
    <xf numFmtId="169" fontId="5" fillId="0" borderId="1" xfId="1" applyNumberFormat="1" applyFont="1"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xf>
    <xf numFmtId="0" fontId="0" fillId="0" borderId="7" xfId="0" applyBorder="1" applyAlignment="1">
      <alignment horizontal="center" vertical="center"/>
    </xf>
    <xf numFmtId="0" fontId="14" fillId="6" borderId="1" xfId="0" applyFont="1" applyFill="1" applyBorder="1" applyAlignment="1">
      <alignment horizontal="center" vertical="center"/>
    </xf>
    <xf numFmtId="0" fontId="3" fillId="0" borderId="1" xfId="0" applyFont="1" applyBorder="1" applyAlignment="1">
      <alignment horizontal="center" vertical="center" wrapText="1"/>
    </xf>
    <xf numFmtId="1" fontId="3" fillId="0" borderId="1" xfId="0" applyNumberFormat="1" applyFont="1" applyBorder="1" applyAlignment="1">
      <alignment horizontal="center" vertical="center" wrapText="1"/>
    </xf>
    <xf numFmtId="0" fontId="5" fillId="9" borderId="1" xfId="0" applyFont="1" applyFill="1" applyBorder="1" applyAlignment="1">
      <alignment horizontal="center" vertical="center"/>
    </xf>
    <xf numFmtId="0" fontId="0" fillId="0" borderId="9" xfId="0" applyBorder="1" applyAlignment="1">
      <alignment horizontal="center" vertical="center"/>
    </xf>
    <xf numFmtId="0" fontId="0" fillId="0" borderId="8" xfId="0" applyBorder="1" applyAlignment="1">
      <alignment horizontal="center" vertical="center"/>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1" fontId="3" fillId="0" borderId="9" xfId="0" applyNumberFormat="1" applyFont="1" applyBorder="1" applyAlignment="1">
      <alignment horizontal="center" vertical="center" wrapText="1"/>
    </xf>
    <xf numFmtId="1" fontId="3" fillId="0" borderId="7" xfId="0" applyNumberFormat="1" applyFont="1" applyBorder="1" applyAlignment="1">
      <alignment horizontal="center" vertical="center" wrapText="1"/>
    </xf>
    <xf numFmtId="1" fontId="3" fillId="0" borderId="8" xfId="0" applyNumberFormat="1" applyFont="1" applyBorder="1" applyAlignment="1">
      <alignment horizontal="center" vertical="center" wrapText="1"/>
    </xf>
    <xf numFmtId="170" fontId="10" fillId="0" borderId="1" xfId="0" applyNumberFormat="1" applyFont="1" applyBorder="1" applyAlignment="1">
      <alignment horizontal="center"/>
    </xf>
    <xf numFmtId="0" fontId="10" fillId="0" borderId="9" xfId="0" applyFont="1" applyBorder="1" applyAlignment="1">
      <alignment horizontal="center"/>
    </xf>
    <xf numFmtId="0" fontId="10" fillId="0" borderId="8" xfId="0" applyFont="1" applyBorder="1" applyAlignment="1">
      <alignment horizontal="center"/>
    </xf>
    <xf numFmtId="0" fontId="26" fillId="0" borderId="8" xfId="0" applyFont="1" applyBorder="1" applyAlignment="1">
      <alignment horizontal="center" vertical="center"/>
    </xf>
    <xf numFmtId="0" fontId="26" fillId="0" borderId="1" xfId="0" applyFont="1" applyBorder="1" applyAlignment="1">
      <alignment horizontal="center" vertical="center"/>
    </xf>
    <xf numFmtId="0" fontId="14" fillId="6" borderId="1" xfId="0" applyFont="1" applyFill="1" applyBorder="1" applyAlignment="1">
      <alignment horizontal="center" vertical="center" wrapText="1"/>
    </xf>
    <xf numFmtId="1" fontId="27" fillId="7" borderId="1" xfId="0" applyNumberFormat="1" applyFont="1" applyFill="1" applyBorder="1" applyAlignment="1">
      <alignment horizontal="center" vertical="center"/>
    </xf>
    <xf numFmtId="0" fontId="23" fillId="9" borderId="1" xfId="0" applyFont="1" applyFill="1" applyBorder="1" applyAlignment="1">
      <alignment horizontal="center"/>
    </xf>
    <xf numFmtId="0" fontId="17" fillId="9" borderId="18" xfId="0" applyFont="1" applyFill="1" applyBorder="1" applyAlignment="1">
      <alignment horizontal="center" vertical="center"/>
    </xf>
    <xf numFmtId="0" fontId="17" fillId="9" borderId="38" xfId="0" applyFont="1" applyFill="1" applyBorder="1" applyAlignment="1">
      <alignment horizontal="center" vertical="center"/>
    </xf>
    <xf numFmtId="0" fontId="17" fillId="9" borderId="19" xfId="0" applyFont="1" applyFill="1" applyBorder="1" applyAlignment="1">
      <alignment horizontal="center" vertical="center"/>
    </xf>
    <xf numFmtId="0" fontId="17" fillId="9" borderId="3" xfId="0" applyFont="1" applyFill="1" applyBorder="1" applyAlignment="1">
      <alignment horizontal="center" vertical="center"/>
    </xf>
    <xf numFmtId="166" fontId="5" fillId="0" borderId="1" xfId="1" applyNumberFormat="1" applyFont="1" applyFill="1" applyBorder="1" applyAlignment="1">
      <alignment horizontal="center" vertical="center"/>
    </xf>
    <xf numFmtId="0" fontId="17" fillId="9" borderId="1" xfId="0" applyFont="1" applyFill="1" applyBorder="1" applyAlignment="1">
      <alignment horizontal="center"/>
    </xf>
    <xf numFmtId="0" fontId="22" fillId="0" borderId="1" xfId="0" applyFont="1" applyBorder="1" applyAlignment="1">
      <alignment horizontal="center"/>
    </xf>
    <xf numFmtId="164" fontId="17" fillId="9" borderId="2" xfId="1" applyFont="1" applyFill="1" applyBorder="1" applyAlignment="1">
      <alignment horizontal="center"/>
    </xf>
    <xf numFmtId="0" fontId="22" fillId="0" borderId="47" xfId="0" applyFont="1" applyBorder="1" applyAlignment="1">
      <alignment horizontal="center"/>
    </xf>
    <xf numFmtId="0" fontId="22" fillId="0" borderId="0" xfId="0" applyFont="1" applyAlignment="1">
      <alignment horizontal="center"/>
    </xf>
    <xf numFmtId="0" fontId="22" fillId="0" borderId="38" xfId="0" applyFont="1" applyBorder="1" applyAlignment="1">
      <alignment horizontal="center" vertical="center" wrapText="1"/>
    </xf>
    <xf numFmtId="0" fontId="22" fillId="0" borderId="3" xfId="0" applyFont="1" applyBorder="1" applyAlignment="1">
      <alignment horizontal="center" vertical="center" wrapText="1"/>
    </xf>
    <xf numFmtId="164" fontId="17" fillId="9" borderId="1" xfId="1" applyFont="1" applyFill="1" applyBorder="1" applyAlignment="1">
      <alignment horizontal="center" vertical="center"/>
    </xf>
    <xf numFmtId="0" fontId="17" fillId="9" borderId="47" xfId="0" applyFont="1" applyFill="1" applyBorder="1" applyAlignment="1">
      <alignment horizontal="center" vertical="center" wrapText="1"/>
    </xf>
    <xf numFmtId="0" fontId="17" fillId="9" borderId="0" xfId="0" applyFont="1" applyFill="1" applyAlignment="1">
      <alignment horizontal="center" vertical="center" wrapText="1"/>
    </xf>
    <xf numFmtId="0" fontId="22" fillId="0" borderId="47" xfId="0" applyFont="1" applyBorder="1" applyAlignment="1">
      <alignment horizontal="center" vertical="center" wrapText="1"/>
    </xf>
    <xf numFmtId="0" fontId="22" fillId="0" borderId="0" xfId="0" applyFont="1" applyAlignment="1">
      <alignment horizontal="center" vertical="center" wrapText="1"/>
    </xf>
    <xf numFmtId="0" fontId="22" fillId="0" borderId="46" xfId="0" applyFont="1" applyBorder="1" applyAlignment="1">
      <alignment horizontal="center" vertical="center" wrapText="1"/>
    </xf>
    <xf numFmtId="0" fontId="22" fillId="0" borderId="6" xfId="0" applyFont="1" applyBorder="1" applyAlignment="1">
      <alignment horizontal="center" vertical="center" wrapText="1"/>
    </xf>
    <xf numFmtId="0" fontId="21" fillId="0" borderId="1" xfId="0" applyFont="1" applyBorder="1" applyAlignment="1">
      <alignment horizontal="center"/>
    </xf>
    <xf numFmtId="0" fontId="17" fillId="9" borderId="1" xfId="0" applyFont="1" applyFill="1" applyBorder="1" applyAlignment="1">
      <alignment horizontal="center" vertical="center" wrapText="1"/>
    </xf>
    <xf numFmtId="0" fontId="17" fillId="9" borderId="47" xfId="0" applyFont="1" applyFill="1" applyBorder="1" applyAlignment="1">
      <alignment horizontal="center" wrapText="1"/>
    </xf>
    <xf numFmtId="0" fontId="17" fillId="9" borderId="0" xfId="0" applyFont="1" applyFill="1" applyAlignment="1">
      <alignment horizontal="center" wrapText="1"/>
    </xf>
    <xf numFmtId="0" fontId="5" fillId="9" borderId="25" xfId="0" applyFont="1" applyFill="1" applyBorder="1" applyAlignment="1">
      <alignment horizontal="center" vertical="center"/>
    </xf>
    <xf numFmtId="0" fontId="5" fillId="9" borderId="7" xfId="0" applyFont="1" applyFill="1" applyBorder="1" applyAlignment="1">
      <alignment horizontal="center" vertical="center"/>
    </xf>
    <xf numFmtId="0" fontId="7" fillId="9" borderId="25" xfId="0" applyFont="1" applyFill="1" applyBorder="1" applyAlignment="1">
      <alignment horizontal="center" vertical="center" wrapText="1"/>
    </xf>
    <xf numFmtId="0" fontId="7" fillId="9" borderId="8" xfId="0" applyFont="1" applyFill="1" applyBorder="1" applyAlignment="1">
      <alignment horizontal="center" vertical="center" wrapText="1"/>
    </xf>
    <xf numFmtId="0" fontId="14" fillId="10" borderId="32" xfId="0" applyFont="1" applyFill="1" applyBorder="1" applyAlignment="1">
      <alignment horizontal="center" vertical="center" wrapText="1"/>
    </xf>
    <xf numFmtId="0" fontId="14" fillId="10" borderId="33" xfId="0" applyFont="1" applyFill="1" applyBorder="1" applyAlignment="1">
      <alignment horizontal="center" vertical="center" wrapText="1"/>
    </xf>
    <xf numFmtId="0" fontId="14" fillId="10" borderId="28" xfId="0" applyFont="1" applyFill="1" applyBorder="1" applyAlignment="1">
      <alignment horizontal="center" vertical="center" wrapText="1"/>
    </xf>
    <xf numFmtId="0" fontId="0" fillId="0" borderId="29"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34" fillId="9" borderId="51" xfId="0" applyFont="1" applyFill="1" applyBorder="1" applyAlignment="1">
      <alignment horizontal="center" vertical="center"/>
    </xf>
    <xf numFmtId="0" fontId="34" fillId="9" borderId="52" xfId="0" applyFont="1" applyFill="1" applyBorder="1" applyAlignment="1">
      <alignment horizontal="center" vertical="center"/>
    </xf>
    <xf numFmtId="0" fontId="34" fillId="9" borderId="53" xfId="0" applyFont="1" applyFill="1" applyBorder="1" applyAlignment="1">
      <alignment horizontal="center" vertical="center"/>
    </xf>
    <xf numFmtId="0" fontId="33" fillId="9" borderId="1" xfId="0" applyFont="1" applyFill="1" applyBorder="1" applyAlignment="1">
      <alignment horizontal="center" vertical="center" wrapText="1"/>
    </xf>
    <xf numFmtId="0" fontId="5" fillId="9" borderId="9" xfId="0" applyFont="1" applyFill="1" applyBorder="1" applyAlignment="1">
      <alignment horizontal="center" vertical="center" wrapText="1"/>
    </xf>
    <xf numFmtId="0" fontId="5" fillId="9" borderId="8" xfId="0" applyFont="1" applyFill="1" applyBorder="1" applyAlignment="1">
      <alignment horizontal="center" vertical="center" wrapText="1"/>
    </xf>
    <xf numFmtId="0" fontId="3" fillId="0" borderId="18" xfId="0" applyFont="1" applyBorder="1" applyAlignment="1">
      <alignment horizontal="center" vertical="center" wrapText="1"/>
    </xf>
    <xf numFmtId="0" fontId="3" fillId="0" borderId="38" xfId="0" applyFont="1" applyBorder="1" applyAlignment="1">
      <alignment horizontal="center" vertical="center" wrapText="1"/>
    </xf>
    <xf numFmtId="0" fontId="3" fillId="0" borderId="47"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3" xfId="0" applyFont="1" applyBorder="1" applyAlignment="1">
      <alignment horizontal="center" vertical="center" wrapText="1"/>
    </xf>
    <xf numFmtId="0" fontId="0" fillId="5" borderId="9" xfId="0" applyFill="1" applyBorder="1" applyAlignment="1" applyProtection="1">
      <alignment horizontal="center"/>
      <protection locked="0"/>
    </xf>
    <xf numFmtId="0" fontId="0" fillId="5" borderId="8" xfId="0" applyFill="1" applyBorder="1" applyAlignment="1" applyProtection="1">
      <alignment horizontal="center"/>
      <protection locked="0"/>
    </xf>
    <xf numFmtId="0" fontId="22" fillId="9" borderId="23" xfId="0" applyFont="1" applyFill="1" applyBorder="1" applyAlignment="1">
      <alignment horizontal="center"/>
    </xf>
    <xf numFmtId="0" fontId="22" fillId="9" borderId="24" xfId="0" applyFont="1" applyFill="1" applyBorder="1" applyAlignment="1">
      <alignment horizontal="center"/>
    </xf>
    <xf numFmtId="0" fontId="22" fillId="9" borderId="30" xfId="0" applyFont="1" applyFill="1" applyBorder="1" applyAlignment="1">
      <alignment horizontal="center"/>
    </xf>
    <xf numFmtId="0" fontId="0" fillId="0" borderId="25" xfId="0" applyBorder="1" applyAlignment="1">
      <alignment horizontal="center"/>
    </xf>
    <xf numFmtId="0" fontId="0" fillId="0" borderId="7" xfId="0" applyBorder="1" applyAlignment="1">
      <alignment horizontal="center"/>
    </xf>
    <xf numFmtId="0" fontId="0" fillId="0" borderId="14" xfId="0" applyBorder="1" applyAlignment="1">
      <alignment horizontal="center"/>
    </xf>
    <xf numFmtId="0" fontId="22" fillId="9" borderId="25" xfId="0" applyFont="1" applyFill="1" applyBorder="1" applyAlignment="1">
      <alignment horizontal="center"/>
    </xf>
    <xf numFmtId="0" fontId="22" fillId="9" borderId="7" xfId="0" applyFont="1" applyFill="1" applyBorder="1" applyAlignment="1">
      <alignment horizontal="center"/>
    </xf>
    <xf numFmtId="0" fontId="22" fillId="9" borderId="14" xfId="0" applyFont="1" applyFill="1" applyBorder="1" applyAlignment="1">
      <alignment horizontal="center"/>
    </xf>
    <xf numFmtId="0" fontId="5" fillId="9" borderId="25" xfId="0" applyFont="1" applyFill="1" applyBorder="1" applyAlignment="1">
      <alignment horizontal="center"/>
    </xf>
    <xf numFmtId="0" fontId="5" fillId="9" borderId="7" xfId="0" applyFont="1" applyFill="1" applyBorder="1" applyAlignment="1">
      <alignment horizontal="center"/>
    </xf>
    <xf numFmtId="0" fontId="14" fillId="9" borderId="9" xfId="0" applyFont="1" applyFill="1" applyBorder="1" applyAlignment="1">
      <alignment horizontal="center"/>
    </xf>
    <xf numFmtId="0" fontId="14" fillId="9" borderId="7" xfId="0" applyFont="1" applyFill="1" applyBorder="1" applyAlignment="1">
      <alignment horizontal="center"/>
    </xf>
    <xf numFmtId="0" fontId="14" fillId="9" borderId="8" xfId="0" applyFont="1" applyFill="1" applyBorder="1" applyAlignment="1">
      <alignment horizontal="center"/>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171" fontId="5" fillId="0" borderId="9" xfId="1" applyNumberFormat="1" applyFont="1" applyFill="1" applyBorder="1" applyAlignment="1">
      <alignment horizontal="left" vertical="center" wrapText="1"/>
    </xf>
    <xf numFmtId="171" fontId="5" fillId="0" borderId="7" xfId="1" applyNumberFormat="1" applyFont="1" applyFill="1" applyBorder="1" applyAlignment="1">
      <alignment horizontal="left" vertical="center" wrapText="1"/>
    </xf>
    <xf numFmtId="2" fontId="5" fillId="0" borderId="9" xfId="1" applyNumberFormat="1" applyFont="1" applyFill="1" applyBorder="1" applyAlignment="1">
      <alignment horizontal="left" vertical="center" wrapText="1"/>
    </xf>
    <xf numFmtId="2" fontId="5" fillId="0" borderId="7" xfId="1" applyNumberFormat="1" applyFont="1" applyFill="1" applyBorder="1" applyAlignment="1">
      <alignment horizontal="left" vertical="center" wrapText="1"/>
    </xf>
    <xf numFmtId="0" fontId="15" fillId="0" borderId="1" xfId="3" applyFont="1" applyBorder="1" applyAlignment="1" applyProtection="1">
      <alignment horizontal="center" vertical="center" wrapText="1"/>
      <protection locked="0"/>
    </xf>
    <xf numFmtId="0" fontId="5" fillId="0" borderId="25" xfId="3" applyFont="1" applyBorder="1" applyAlignment="1">
      <alignment horizontal="center" vertical="center" wrapText="1"/>
    </xf>
    <xf numFmtId="0" fontId="5" fillId="0" borderId="7" xfId="3" applyFont="1" applyBorder="1" applyAlignment="1">
      <alignment horizontal="center" vertical="center" wrapText="1"/>
    </xf>
    <xf numFmtId="0" fontId="5" fillId="0" borderId="14" xfId="3" applyFont="1" applyBorder="1" applyAlignment="1">
      <alignment horizontal="center" vertical="center" wrapText="1"/>
    </xf>
    <xf numFmtId="0" fontId="18" fillId="2" borderId="1" xfId="2" applyFont="1" applyBorder="1" applyAlignment="1">
      <alignment horizontal="center" vertical="center" wrapText="1"/>
    </xf>
    <xf numFmtId="0" fontId="14" fillId="10" borderId="9" xfId="0" applyFont="1" applyFill="1" applyBorder="1" applyAlignment="1">
      <alignment horizontal="center" vertical="center" wrapText="1"/>
    </xf>
    <xf numFmtId="0" fontId="14" fillId="10" borderId="7" xfId="0" applyFont="1" applyFill="1" applyBorder="1" applyAlignment="1">
      <alignment horizontal="center" vertical="center" wrapText="1"/>
    </xf>
    <xf numFmtId="0" fontId="14" fillId="10" borderId="8" xfId="0" applyFont="1" applyFill="1" applyBorder="1" applyAlignment="1">
      <alignment horizontal="center" vertical="center" wrapText="1"/>
    </xf>
    <xf numFmtId="0" fontId="5" fillId="9" borderId="6" xfId="0" applyFont="1" applyFill="1" applyBorder="1" applyAlignment="1">
      <alignment horizontal="center" vertical="center"/>
    </xf>
    <xf numFmtId="0" fontId="5" fillId="9" borderId="50" xfId="0" applyFont="1" applyFill="1" applyBorder="1" applyAlignment="1">
      <alignment horizontal="center" vertical="center"/>
    </xf>
    <xf numFmtId="0" fontId="5" fillId="0" borderId="35" xfId="0" applyFont="1" applyBorder="1" applyAlignment="1">
      <alignment horizontal="justify" vertical="center" wrapText="1"/>
    </xf>
    <xf numFmtId="0" fontId="5" fillId="0" borderId="38" xfId="0" applyFont="1" applyBorder="1" applyAlignment="1">
      <alignment horizontal="justify" vertical="center" wrapText="1"/>
    </xf>
    <xf numFmtId="0" fontId="5" fillId="0" borderId="1" xfId="0" applyFont="1" applyBorder="1" applyAlignment="1">
      <alignment horizontal="justify" vertical="top" wrapText="1"/>
    </xf>
    <xf numFmtId="0" fontId="0" fillId="5" borderId="9" xfId="0" applyFill="1" applyBorder="1" applyAlignment="1" applyProtection="1">
      <alignment horizontal="center" vertical="center" wrapText="1"/>
      <protection locked="0"/>
    </xf>
    <xf numFmtId="0" fontId="0" fillId="5" borderId="8" xfId="0" applyFill="1" applyBorder="1" applyAlignment="1" applyProtection="1">
      <alignment horizontal="center" vertical="center" wrapText="1"/>
      <protection locked="0"/>
    </xf>
    <xf numFmtId="0" fontId="5" fillId="0" borderId="1" xfId="0" applyFont="1" applyBorder="1" applyAlignment="1">
      <alignment horizontal="justify" vertical="center" wrapText="1"/>
    </xf>
    <xf numFmtId="0" fontId="14" fillId="10" borderId="33" xfId="0" applyFont="1" applyFill="1" applyBorder="1" applyAlignment="1">
      <alignment horizontal="center" vertical="center"/>
    </xf>
    <xf numFmtId="0" fontId="14" fillId="10" borderId="28" xfId="0" applyFont="1" applyFill="1" applyBorder="1" applyAlignment="1">
      <alignment horizontal="center" vertical="center"/>
    </xf>
    <xf numFmtId="0" fontId="5" fillId="0" borderId="25" xfId="0" applyFont="1" applyBorder="1" applyAlignment="1">
      <alignment horizontal="justify" vertical="top" wrapText="1"/>
    </xf>
    <xf numFmtId="0" fontId="5" fillId="0" borderId="8" xfId="0" applyFont="1" applyBorder="1" applyAlignment="1">
      <alignment horizontal="justify" vertical="top" wrapText="1"/>
    </xf>
    <xf numFmtId="0" fontId="3" fillId="0" borderId="13" xfId="0" applyFont="1" applyBorder="1" applyAlignment="1">
      <alignment horizontal="justify" vertical="top" wrapText="1"/>
    </xf>
    <xf numFmtId="0" fontId="3" fillId="0" borderId="1" xfId="0" applyFont="1" applyBorder="1" applyAlignment="1">
      <alignment horizontal="justify" vertical="top" wrapText="1"/>
    </xf>
    <xf numFmtId="0" fontId="3" fillId="0" borderId="15" xfId="0" applyFont="1" applyBorder="1" applyAlignment="1">
      <alignment horizontal="center" vertical="center"/>
    </xf>
    <xf numFmtId="0" fontId="3" fillId="0" borderId="16" xfId="0" applyFont="1" applyBorder="1" applyAlignment="1">
      <alignment horizontal="center" vertical="center"/>
    </xf>
    <xf numFmtId="0" fontId="14" fillId="6" borderId="49" xfId="0" applyFont="1" applyFill="1" applyBorder="1" applyAlignment="1">
      <alignment horizontal="center" vertical="center"/>
    </xf>
    <xf numFmtId="0" fontId="14" fillId="6" borderId="36" xfId="0" applyFont="1" applyFill="1" applyBorder="1" applyAlignment="1">
      <alignment horizontal="center" vertical="center"/>
    </xf>
    <xf numFmtId="0" fontId="14" fillId="6" borderId="37" xfId="0" applyFont="1" applyFill="1" applyBorder="1" applyAlignment="1">
      <alignment horizontal="center" vertical="center"/>
    </xf>
    <xf numFmtId="0" fontId="14" fillId="6" borderId="10" xfId="0" applyFont="1" applyFill="1" applyBorder="1" applyAlignment="1">
      <alignment horizontal="center" vertical="center"/>
    </xf>
    <xf numFmtId="0" fontId="14" fillId="6" borderId="11" xfId="0" applyFont="1" applyFill="1" applyBorder="1" applyAlignment="1">
      <alignment horizontal="center" vertical="center"/>
    </xf>
    <xf numFmtId="0" fontId="31" fillId="0" borderId="1" xfId="0" applyFont="1" applyBorder="1" applyAlignment="1">
      <alignment horizontal="center" vertical="center" wrapText="1"/>
    </xf>
    <xf numFmtId="0" fontId="0" fillId="0" borderId="42" xfId="0" quotePrefix="1" applyBorder="1" applyAlignment="1" applyProtection="1">
      <alignment horizontal="justify" vertical="center" wrapText="1"/>
      <protection locked="0"/>
    </xf>
    <xf numFmtId="0" fontId="0" fillId="0" borderId="40" xfId="0" applyBorder="1" applyAlignment="1" applyProtection="1">
      <alignment horizontal="justify" vertical="center" wrapText="1"/>
      <protection locked="0"/>
    </xf>
    <xf numFmtId="0" fontId="0" fillId="0" borderId="44" xfId="0" applyBorder="1" applyAlignment="1" applyProtection="1">
      <alignment horizontal="justify" vertical="center" wrapText="1"/>
      <protection locked="0"/>
    </xf>
    <xf numFmtId="0" fontId="0" fillId="0" borderId="42" xfId="0" applyBorder="1" applyAlignment="1" applyProtection="1">
      <alignment horizontal="justify" vertical="center" wrapText="1"/>
      <protection locked="0"/>
    </xf>
    <xf numFmtId="0" fontId="0" fillId="0" borderId="10" xfId="0" applyBorder="1" applyAlignment="1">
      <alignment horizontal="center" vertical="center" wrapText="1"/>
    </xf>
    <xf numFmtId="0" fontId="0" fillId="0" borderId="13" xfId="0" applyBorder="1" applyAlignment="1">
      <alignment horizontal="center" vertical="center" wrapText="1"/>
    </xf>
    <xf numFmtId="0" fontId="0" fillId="0" borderId="15" xfId="0" applyBorder="1" applyAlignment="1">
      <alignment horizontal="center" vertical="center" wrapText="1"/>
    </xf>
    <xf numFmtId="0" fontId="0" fillId="0" borderId="11" xfId="0" applyBorder="1" applyAlignment="1">
      <alignment horizontal="center" vertical="center" wrapText="1"/>
    </xf>
    <xf numFmtId="0" fontId="0" fillId="0" borderId="1" xfId="0" applyBorder="1" applyAlignment="1">
      <alignment horizontal="center" vertical="center" wrapText="1"/>
    </xf>
    <xf numFmtId="0" fontId="0" fillId="0" borderId="16" xfId="0" applyBorder="1" applyAlignment="1">
      <alignment horizontal="center" vertical="center" wrapText="1"/>
    </xf>
    <xf numFmtId="172" fontId="0" fillId="0" borderId="11" xfId="0" applyNumberFormat="1" applyBorder="1" applyAlignment="1">
      <alignment horizontal="center" vertical="center" wrapText="1"/>
    </xf>
    <xf numFmtId="164" fontId="0" fillId="0" borderId="11" xfId="1" applyFont="1" applyBorder="1" applyAlignment="1">
      <alignment horizontal="center" vertical="center" wrapText="1"/>
    </xf>
    <xf numFmtId="164" fontId="0" fillId="0" borderId="1" xfId="1" applyFont="1" applyBorder="1" applyAlignment="1">
      <alignment horizontal="center" vertical="center" wrapText="1"/>
    </xf>
    <xf numFmtId="164" fontId="0" fillId="0" borderId="16" xfId="1" applyFont="1" applyBorder="1" applyAlignment="1">
      <alignment horizontal="center" vertical="center" wrapText="1"/>
    </xf>
    <xf numFmtId="0" fontId="3" fillId="0" borderId="11"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 xfId="0" applyFont="1" applyBorder="1" applyAlignment="1">
      <alignment horizontal="center"/>
    </xf>
    <xf numFmtId="14" fontId="3" fillId="0" borderId="1" xfId="0" applyNumberFormat="1" applyFont="1" applyBorder="1" applyAlignment="1">
      <alignment horizontal="center"/>
    </xf>
    <xf numFmtId="0" fontId="7" fillId="0" borderId="1" xfId="3" applyFont="1" applyBorder="1" applyAlignment="1">
      <alignment horizontal="center" vertical="center" wrapText="1"/>
    </xf>
    <xf numFmtId="2" fontId="7" fillId="3" borderId="1" xfId="1" applyNumberFormat="1" applyFont="1" applyFill="1" applyBorder="1" applyAlignment="1">
      <alignment horizontal="center" vertical="center" wrapText="1"/>
    </xf>
    <xf numFmtId="0" fontId="17" fillId="6" borderId="1" xfId="0" applyFont="1" applyFill="1" applyBorder="1" applyAlignment="1">
      <alignment horizontal="center"/>
    </xf>
    <xf numFmtId="14" fontId="0" fillId="0" borderId="1" xfId="0" applyNumberFormat="1" applyBorder="1" applyAlignment="1">
      <alignment horizontal="center"/>
    </xf>
    <xf numFmtId="171" fontId="7" fillId="3" borderId="1" xfId="1" applyNumberFormat="1" applyFont="1" applyFill="1" applyBorder="1" applyAlignment="1">
      <alignment horizontal="center" vertical="center" wrapText="1"/>
    </xf>
    <xf numFmtId="0" fontId="14" fillId="6" borderId="1" xfId="0" applyFont="1" applyFill="1" applyBorder="1" applyAlignment="1">
      <alignment horizontal="center"/>
    </xf>
    <xf numFmtId="0" fontId="7" fillId="3" borderId="1" xfId="0" applyFont="1" applyFill="1" applyBorder="1" applyAlignment="1">
      <alignment horizontal="center" vertical="center" wrapText="1"/>
    </xf>
    <xf numFmtId="171" fontId="7" fillId="0" borderId="1" xfId="1" applyNumberFormat="1" applyFont="1" applyFill="1" applyBorder="1" applyAlignment="1">
      <alignment horizontal="center" vertical="center" wrapText="1"/>
    </xf>
    <xf numFmtId="2" fontId="7" fillId="0" borderId="1" xfId="1" applyNumberFormat="1" applyFont="1" applyFill="1" applyBorder="1" applyAlignment="1">
      <alignment horizontal="center" vertical="center" wrapText="1"/>
    </xf>
    <xf numFmtId="14" fontId="0" fillId="0" borderId="9" xfId="0" applyNumberFormat="1" applyBorder="1" applyAlignment="1">
      <alignment horizontal="center"/>
    </xf>
    <xf numFmtId="14" fontId="0" fillId="0" borderId="7" xfId="0" applyNumberFormat="1" applyBorder="1" applyAlignment="1">
      <alignment horizontal="center"/>
    </xf>
    <xf numFmtId="14" fontId="0" fillId="0" borderId="8" xfId="0" applyNumberFormat="1" applyBorder="1" applyAlignment="1">
      <alignment horizontal="center"/>
    </xf>
    <xf numFmtId="0" fontId="7" fillId="0" borderId="1" xfId="0" applyFont="1" applyBorder="1" applyAlignment="1">
      <alignment horizontal="center" vertical="center" wrapText="1"/>
    </xf>
    <xf numFmtId="172" fontId="0" fillId="0" borderId="41" xfId="0" applyNumberFormat="1" applyBorder="1" applyAlignment="1">
      <alignment horizontal="center" vertical="center" wrapText="1"/>
    </xf>
    <xf numFmtId="0" fontId="0" fillId="0" borderId="5" xfId="0" applyBorder="1" applyAlignment="1">
      <alignment horizontal="center" vertical="center" wrapText="1"/>
    </xf>
    <xf numFmtId="0" fontId="0" fillId="0" borderId="43" xfId="0" applyBorder="1" applyAlignment="1">
      <alignment horizontal="center" vertical="center" wrapText="1"/>
    </xf>
    <xf numFmtId="164" fontId="0" fillId="0" borderId="41" xfId="1" applyFont="1" applyBorder="1" applyAlignment="1">
      <alignment horizontal="center" vertical="center" wrapText="1"/>
    </xf>
    <xf numFmtId="164" fontId="0" fillId="0" borderId="5" xfId="1" applyFont="1" applyBorder="1" applyAlignment="1">
      <alignment horizontal="center" vertical="center" wrapText="1"/>
    </xf>
    <xf numFmtId="164" fontId="0" fillId="0" borderId="43" xfId="1" applyFont="1" applyBorder="1" applyAlignment="1">
      <alignment horizontal="center" vertical="center" wrapText="1"/>
    </xf>
    <xf numFmtId="0" fontId="3" fillId="0" borderId="2" xfId="0" applyFont="1" applyBorder="1" applyAlignment="1">
      <alignment horizontal="center" vertical="center" wrapText="1"/>
    </xf>
    <xf numFmtId="0" fontId="3" fillId="0" borderId="5" xfId="0" applyFont="1" applyBorder="1" applyAlignment="1">
      <alignment horizontal="center" vertical="center" wrapText="1"/>
    </xf>
    <xf numFmtId="0" fontId="3" fillId="0" borderId="43" xfId="0" applyFont="1" applyBorder="1" applyAlignment="1">
      <alignment horizontal="center" vertical="center" wrapText="1"/>
    </xf>
    <xf numFmtId="0" fontId="36" fillId="5" borderId="9" xfId="0" applyFont="1" applyFill="1" applyBorder="1" applyAlignment="1" applyProtection="1">
      <alignment horizontal="left" vertical="top" wrapText="1"/>
      <protection locked="0"/>
    </xf>
    <xf numFmtId="0" fontId="36" fillId="5" borderId="8" xfId="0" applyFont="1" applyFill="1" applyBorder="1" applyAlignment="1" applyProtection="1">
      <alignment horizontal="left" vertical="top" wrapText="1"/>
      <protection locked="0"/>
    </xf>
    <xf numFmtId="0" fontId="0" fillId="5" borderId="9" xfId="0" quotePrefix="1" applyFill="1" applyBorder="1" applyAlignment="1" applyProtection="1">
      <alignment horizontal="center" vertical="center" wrapText="1"/>
      <protection locked="0"/>
    </xf>
    <xf numFmtId="0" fontId="0" fillId="5" borderId="8" xfId="0" quotePrefix="1" applyFill="1" applyBorder="1" applyAlignment="1" applyProtection="1">
      <alignment horizontal="center" vertical="center" wrapText="1"/>
      <protection locked="0"/>
    </xf>
    <xf numFmtId="0" fontId="35" fillId="5" borderId="9" xfId="0" applyFont="1" applyFill="1" applyBorder="1" applyAlignment="1" applyProtection="1">
      <alignment horizontal="center" wrapText="1"/>
      <protection locked="0"/>
    </xf>
    <xf numFmtId="0" fontId="35" fillId="5" borderId="8" xfId="0" applyFont="1" applyFill="1" applyBorder="1" applyAlignment="1" applyProtection="1">
      <alignment horizontal="center" wrapText="1"/>
      <protection locked="0"/>
    </xf>
    <xf numFmtId="0" fontId="35" fillId="5" borderId="9" xfId="0" applyFont="1" applyFill="1" applyBorder="1" applyAlignment="1" applyProtection="1">
      <alignment horizontal="left" vertical="top" wrapText="1"/>
      <protection locked="0"/>
    </xf>
    <xf numFmtId="0" fontId="35" fillId="5" borderId="8" xfId="0" applyFont="1" applyFill="1" applyBorder="1" applyAlignment="1" applyProtection="1">
      <alignment horizontal="left" vertical="top"/>
      <protection locked="0"/>
    </xf>
    <xf numFmtId="0" fontId="35" fillId="5" borderId="8" xfId="0" applyFont="1" applyFill="1" applyBorder="1" applyAlignment="1" applyProtection="1">
      <alignment horizontal="left" vertical="top" wrapText="1"/>
      <protection locked="0"/>
    </xf>
    <xf numFmtId="0" fontId="35" fillId="5" borderId="9" xfId="0" applyFont="1" applyFill="1" applyBorder="1" applyAlignment="1" applyProtection="1">
      <alignment horizontal="center" vertical="center" wrapText="1"/>
      <protection locked="0"/>
    </xf>
    <xf numFmtId="0" fontId="35" fillId="5" borderId="8" xfId="0" applyFont="1" applyFill="1" applyBorder="1" applyAlignment="1" applyProtection="1">
      <alignment horizontal="center" vertical="center" wrapText="1"/>
      <protection locked="0"/>
    </xf>
    <xf numFmtId="0" fontId="5" fillId="0" borderId="59" xfId="3" applyFont="1" applyBorder="1" applyAlignment="1">
      <alignment horizontal="center" vertical="center" wrapText="1"/>
    </xf>
    <xf numFmtId="0" fontId="5" fillId="0" borderId="0" xfId="3" applyFont="1" applyAlignment="1">
      <alignment horizontal="center" vertical="center" wrapText="1"/>
    </xf>
    <xf numFmtId="0" fontId="5" fillId="0" borderId="58" xfId="3" applyFont="1" applyBorder="1" applyAlignment="1">
      <alignment horizontal="center" vertical="center" wrapText="1"/>
    </xf>
    <xf numFmtId="2" fontId="5" fillId="0" borderId="18" xfId="1" applyNumberFormat="1" applyFont="1" applyFill="1" applyBorder="1" applyAlignment="1">
      <alignment horizontal="left" vertical="center" wrapText="1"/>
    </xf>
    <xf numFmtId="2" fontId="5" fillId="0" borderId="46" xfId="1" applyNumberFormat="1" applyFont="1" applyFill="1" applyBorder="1" applyAlignment="1">
      <alignment horizontal="left" vertical="center" wrapText="1"/>
    </xf>
    <xf numFmtId="0" fontId="15" fillId="0" borderId="27" xfId="3" applyFont="1" applyBorder="1" applyAlignment="1" applyProtection="1">
      <alignment horizontal="center" vertical="center" wrapText="1"/>
      <protection locked="0"/>
    </xf>
    <xf numFmtId="0" fontId="18" fillId="2" borderId="27" xfId="2" applyFont="1" applyBorder="1" applyAlignment="1">
      <alignment horizontal="center" vertical="center" wrapText="1"/>
    </xf>
    <xf numFmtId="0" fontId="18" fillId="2" borderId="34" xfId="2" applyFont="1" applyBorder="1" applyAlignment="1">
      <alignment horizontal="center" vertical="center" wrapText="1"/>
    </xf>
    <xf numFmtId="0" fontId="5" fillId="9" borderId="14" xfId="0" applyFont="1" applyFill="1" applyBorder="1" applyAlignment="1">
      <alignment horizontal="center" vertical="center" wrapText="1"/>
    </xf>
    <xf numFmtId="0" fontId="3" fillId="0" borderId="54" xfId="0" applyFont="1" applyBorder="1" applyAlignment="1">
      <alignment horizontal="center" vertical="center" wrapText="1"/>
    </xf>
    <xf numFmtId="0" fontId="3" fillId="0" borderId="58" xfId="0" applyFont="1" applyBorder="1" applyAlignment="1">
      <alignment horizontal="center" vertical="center" wrapText="1"/>
    </xf>
    <xf numFmtId="0" fontId="3" fillId="0" borderId="50" xfId="0" applyFont="1" applyBorder="1" applyAlignment="1">
      <alignment horizontal="center" vertical="center" wrapText="1"/>
    </xf>
    <xf numFmtId="0" fontId="0" fillId="0" borderId="55" xfId="0" applyBorder="1" applyAlignment="1">
      <alignment horizontal="center"/>
    </xf>
    <xf numFmtId="0" fontId="0" fillId="0" borderId="56" xfId="0" applyBorder="1" applyAlignment="1">
      <alignment horizontal="center"/>
    </xf>
    <xf numFmtId="0" fontId="0" fillId="0" borderId="57" xfId="0" applyBorder="1" applyAlignment="1">
      <alignment horizontal="center"/>
    </xf>
    <xf numFmtId="0" fontId="5" fillId="9" borderId="51" xfId="0" applyFont="1" applyFill="1" applyBorder="1" applyAlignment="1">
      <alignment horizontal="center" vertical="center"/>
    </xf>
    <xf numFmtId="0" fontId="5" fillId="9" borderId="52" xfId="0" applyFont="1" applyFill="1" applyBorder="1" applyAlignment="1">
      <alignment horizontal="center" vertical="center"/>
    </xf>
    <xf numFmtId="0" fontId="5" fillId="9" borderId="53" xfId="0" applyFont="1" applyFill="1" applyBorder="1" applyAlignment="1">
      <alignment horizontal="center" vertical="center"/>
    </xf>
    <xf numFmtId="0" fontId="33" fillId="9" borderId="28" xfId="0" applyFont="1" applyFill="1" applyBorder="1" applyAlignment="1">
      <alignment horizontal="center" vertical="center" wrapText="1"/>
    </xf>
    <xf numFmtId="0" fontId="33" fillId="9" borderId="13" xfId="0" applyFont="1" applyFill="1" applyBorder="1" applyAlignment="1">
      <alignment horizontal="center" vertical="center" wrapText="1"/>
    </xf>
    <xf numFmtId="0" fontId="14" fillId="10" borderId="29" xfId="0" applyFont="1" applyFill="1" applyBorder="1" applyAlignment="1">
      <alignment horizontal="center" vertical="center" wrapText="1"/>
    </xf>
    <xf numFmtId="0" fontId="14" fillId="10" borderId="21" xfId="0" applyFont="1" applyFill="1" applyBorder="1" applyAlignment="1">
      <alignment horizontal="center" vertical="center" wrapText="1"/>
    </xf>
    <xf numFmtId="0" fontId="14" fillId="10" borderId="22" xfId="0" applyFont="1" applyFill="1" applyBorder="1" applyAlignment="1">
      <alignment horizontal="center" vertical="center" wrapText="1"/>
    </xf>
    <xf numFmtId="0" fontId="36" fillId="5" borderId="9" xfId="0" applyFont="1" applyFill="1" applyBorder="1" applyAlignment="1" applyProtection="1">
      <alignment horizontal="center" vertical="center" wrapText="1"/>
      <protection locked="0"/>
    </xf>
    <xf numFmtId="0" fontId="36" fillId="5" borderId="8" xfId="0" applyFont="1" applyFill="1" applyBorder="1" applyAlignment="1" applyProtection="1">
      <alignment horizontal="center" vertical="center" wrapText="1"/>
      <protection locked="0"/>
    </xf>
    <xf numFmtId="0" fontId="35" fillId="5" borderId="9" xfId="0" applyFont="1" applyFill="1" applyBorder="1" applyAlignment="1" applyProtection="1">
      <alignment horizontal="center" vertical="center"/>
      <protection locked="0"/>
    </xf>
    <xf numFmtId="0" fontId="35" fillId="5" borderId="8" xfId="0" applyFont="1" applyFill="1" applyBorder="1" applyAlignment="1" applyProtection="1">
      <alignment horizontal="center" vertical="center"/>
      <protection locked="0"/>
    </xf>
    <xf numFmtId="0" fontId="0" fillId="5" borderId="9" xfId="0" applyFill="1" applyBorder="1" applyAlignment="1" applyProtection="1">
      <alignment horizontal="center" vertical="top" wrapText="1"/>
      <protection locked="0"/>
    </xf>
    <xf numFmtId="0" fontId="0" fillId="5" borderId="8" xfId="0" applyFill="1" applyBorder="1" applyAlignment="1" applyProtection="1">
      <alignment horizontal="center" vertical="top" wrapText="1"/>
      <protection locked="0"/>
    </xf>
    <xf numFmtId="0" fontId="0" fillId="5" borderId="9" xfId="0" applyFill="1" applyBorder="1" applyAlignment="1" applyProtection="1">
      <alignment horizontal="left" vertical="center"/>
      <protection locked="0"/>
    </xf>
    <xf numFmtId="0" fontId="0" fillId="5" borderId="8" xfId="0" applyFill="1" applyBorder="1" applyAlignment="1" applyProtection="1">
      <alignment horizontal="left" vertical="center"/>
      <protection locked="0"/>
    </xf>
    <xf numFmtId="0" fontId="0" fillId="5" borderId="9" xfId="0" applyFill="1" applyBorder="1" applyAlignment="1" applyProtection="1">
      <alignment horizontal="left" vertical="center" wrapText="1"/>
      <protection locked="0"/>
    </xf>
    <xf numFmtId="0" fontId="0" fillId="5" borderId="8" xfId="0" applyFill="1" applyBorder="1" applyAlignment="1" applyProtection="1">
      <alignment horizontal="left" vertical="center" wrapText="1"/>
      <protection locked="0"/>
    </xf>
    <xf numFmtId="0" fontId="35" fillId="12" borderId="9" xfId="0" applyFont="1" applyFill="1" applyBorder="1" applyAlignment="1" applyProtection="1">
      <alignment horizontal="center" vertical="center" wrapText="1"/>
      <protection locked="0"/>
    </xf>
    <xf numFmtId="0" fontId="35" fillId="12" borderId="8" xfId="0" applyFont="1" applyFill="1" applyBorder="1" applyAlignment="1" applyProtection="1">
      <alignment horizontal="center" vertical="center" wrapText="1"/>
      <protection locked="0"/>
    </xf>
    <xf numFmtId="0" fontId="0" fillId="5" borderId="9" xfId="0" applyFill="1" applyBorder="1" applyAlignment="1" applyProtection="1">
      <alignment horizontal="left" vertical="top" wrapText="1"/>
      <protection locked="0"/>
    </xf>
    <xf numFmtId="0" fontId="0" fillId="5" borderId="8" xfId="0" applyFill="1" applyBorder="1" applyAlignment="1" applyProtection="1">
      <alignment horizontal="left" vertical="top" wrapText="1"/>
      <protection locked="0"/>
    </xf>
    <xf numFmtId="0" fontId="35" fillId="5" borderId="9" xfId="0" applyFont="1" applyFill="1" applyBorder="1" applyAlignment="1" applyProtection="1">
      <alignment horizontal="center" vertical="top" wrapText="1"/>
      <protection locked="0"/>
    </xf>
    <xf numFmtId="0" fontId="35" fillId="5" borderId="8" xfId="0" applyFont="1" applyFill="1" applyBorder="1" applyAlignment="1" applyProtection="1">
      <alignment horizontal="center" vertical="top" wrapText="1"/>
      <protection locked="0"/>
    </xf>
    <xf numFmtId="164" fontId="0" fillId="5" borderId="9" xfId="1" applyFont="1" applyFill="1" applyBorder="1" applyAlignment="1" applyProtection="1">
      <alignment horizontal="center"/>
      <protection locked="0"/>
    </xf>
    <xf numFmtId="164" fontId="0" fillId="5" borderId="8" xfId="1" applyFont="1" applyFill="1" applyBorder="1" applyAlignment="1" applyProtection="1">
      <alignment horizontal="center"/>
      <protection locked="0"/>
    </xf>
    <xf numFmtId="0" fontId="0" fillId="5" borderId="9" xfId="0" applyFill="1" applyBorder="1" applyAlignment="1" applyProtection="1">
      <alignment horizontal="center" vertical="center"/>
      <protection locked="0"/>
    </xf>
    <xf numFmtId="0" fontId="0" fillId="5" borderId="8" xfId="0" applyFill="1" applyBorder="1" applyAlignment="1" applyProtection="1">
      <alignment horizontal="center" vertical="center"/>
      <protection locked="0"/>
    </xf>
    <xf numFmtId="0" fontId="11" fillId="0" borderId="1"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17" xfId="0" applyFont="1" applyBorder="1" applyAlignment="1">
      <alignment horizontal="center" vertical="center" wrapText="1"/>
    </xf>
    <xf numFmtId="0" fontId="14" fillId="6" borderId="18" xfId="0" applyFont="1" applyFill="1" applyBorder="1" applyAlignment="1">
      <alignment horizontal="center" vertical="center"/>
    </xf>
    <xf numFmtId="0" fontId="14" fillId="6" borderId="19" xfId="0" applyFont="1" applyFill="1" applyBorder="1" applyAlignment="1">
      <alignment horizontal="center" vertical="center"/>
    </xf>
    <xf numFmtId="0" fontId="14" fillId="6" borderId="27" xfId="0" applyFont="1" applyFill="1" applyBorder="1" applyAlignment="1">
      <alignment horizontal="center" vertical="center"/>
    </xf>
    <xf numFmtId="0" fontId="14" fillId="6" borderId="34" xfId="0" applyFont="1" applyFill="1" applyBorder="1" applyAlignment="1">
      <alignment horizontal="center" vertical="center"/>
    </xf>
    <xf numFmtId="0" fontId="10" fillId="0" borderId="5" xfId="0" applyFont="1" applyBorder="1" applyAlignment="1">
      <alignment horizontal="center" wrapText="1"/>
    </xf>
    <xf numFmtId="0" fontId="14" fillId="6" borderId="6" xfId="0" applyFont="1" applyFill="1" applyBorder="1" applyAlignment="1">
      <alignment horizontal="center" vertical="center" wrapText="1"/>
    </xf>
    <xf numFmtId="0" fontId="14" fillId="6" borderId="8" xfId="0" applyFont="1" applyFill="1" applyBorder="1" applyAlignment="1">
      <alignment horizontal="center" wrapText="1"/>
    </xf>
    <xf numFmtId="0" fontId="14" fillId="6" borderId="1" xfId="0" applyFont="1" applyFill="1" applyBorder="1" applyAlignment="1">
      <alignment horizontal="center" wrapText="1"/>
    </xf>
    <xf numFmtId="0" fontId="5" fillId="0" borderId="7" xfId="0" applyFont="1" applyBorder="1" applyAlignment="1">
      <alignment horizontal="center"/>
    </xf>
    <xf numFmtId="0" fontId="11" fillId="0" borderId="1" xfId="0" applyFont="1" applyBorder="1" applyAlignment="1">
      <alignment horizontal="center" vertical="center"/>
    </xf>
    <xf numFmtId="0" fontId="11" fillId="0" borderId="31" xfId="0" applyFont="1" applyBorder="1" applyAlignment="1">
      <alignment horizontal="center" vertical="center"/>
    </xf>
    <xf numFmtId="0" fontId="11" fillId="0" borderId="16" xfId="0" applyFont="1" applyBorder="1" applyAlignment="1">
      <alignment horizontal="center" vertical="center"/>
    </xf>
    <xf numFmtId="0" fontId="11" fillId="0" borderId="17" xfId="0" applyFont="1" applyBorder="1" applyAlignment="1">
      <alignment horizontal="center" vertical="center"/>
    </xf>
    <xf numFmtId="164" fontId="14" fillId="6" borderId="1" xfId="1" applyFont="1" applyFill="1" applyBorder="1" applyAlignment="1">
      <alignment horizontal="center"/>
    </xf>
    <xf numFmtId="0" fontId="5" fillId="0" borderId="9" xfId="0" applyFont="1" applyBorder="1" applyAlignment="1">
      <alignment horizontal="center"/>
    </xf>
    <xf numFmtId="0" fontId="5" fillId="0" borderId="8" xfId="0" applyFont="1" applyBorder="1" applyAlignment="1">
      <alignment horizontal="center"/>
    </xf>
    <xf numFmtId="0" fontId="11" fillId="0" borderId="48" xfId="0" applyFont="1" applyBorder="1" applyAlignment="1">
      <alignment horizontal="center" vertical="center" wrapText="1"/>
    </xf>
    <xf numFmtId="0" fontId="11" fillId="0" borderId="24" xfId="0" applyFont="1" applyBorder="1" applyAlignment="1">
      <alignment horizontal="center" vertical="center" wrapText="1"/>
    </xf>
    <xf numFmtId="0" fontId="11" fillId="0" borderId="30" xfId="0" applyFont="1" applyBorder="1" applyAlignment="1">
      <alignment horizontal="center" vertical="center" wrapText="1"/>
    </xf>
    <xf numFmtId="0" fontId="14" fillId="6" borderId="9" xfId="0" applyFont="1" applyFill="1" applyBorder="1" applyAlignment="1">
      <alignment horizontal="center" vertical="center"/>
    </xf>
    <xf numFmtId="0" fontId="14" fillId="6" borderId="8" xfId="0" applyFont="1" applyFill="1" applyBorder="1" applyAlignment="1">
      <alignment horizontal="center" vertical="center"/>
    </xf>
    <xf numFmtId="2" fontId="5" fillId="0" borderId="9" xfId="0" applyNumberFormat="1" applyFont="1" applyBorder="1" applyAlignment="1">
      <alignment horizontal="center"/>
    </xf>
    <xf numFmtId="2" fontId="5" fillId="0" borderId="8" xfId="0" applyNumberFormat="1" applyFont="1" applyBorder="1" applyAlignment="1">
      <alignment horizontal="center"/>
    </xf>
    <xf numFmtId="164" fontId="14" fillId="6" borderId="18" xfId="1" applyFont="1" applyFill="1" applyBorder="1" applyAlignment="1">
      <alignment horizontal="center" vertical="center"/>
    </xf>
    <xf numFmtId="164" fontId="14" fillId="6" borderId="38" xfId="1" applyFont="1" applyFill="1" applyBorder="1" applyAlignment="1">
      <alignment horizontal="center" vertical="center"/>
    </xf>
    <xf numFmtId="164" fontId="14" fillId="6" borderId="19" xfId="1" applyFont="1" applyFill="1" applyBorder="1" applyAlignment="1">
      <alignment horizontal="center" vertical="center"/>
    </xf>
    <xf numFmtId="164" fontId="14" fillId="6" borderId="3" xfId="1" applyFont="1" applyFill="1" applyBorder="1" applyAlignment="1">
      <alignment horizontal="center" vertical="center"/>
    </xf>
    <xf numFmtId="0" fontId="5" fillId="0" borderId="18" xfId="0" applyFont="1" applyBorder="1" applyAlignment="1">
      <alignment horizontal="center" vertical="center"/>
    </xf>
    <xf numFmtId="0" fontId="5" fillId="0" borderId="38" xfId="0" applyFont="1" applyBorder="1" applyAlignment="1">
      <alignment horizontal="center" vertical="center"/>
    </xf>
    <xf numFmtId="0" fontId="5" fillId="0" borderId="19" xfId="0" applyFont="1" applyBorder="1" applyAlignment="1">
      <alignment horizontal="center" vertical="center"/>
    </xf>
    <xf numFmtId="0" fontId="5" fillId="0" borderId="3" xfId="0" applyFont="1" applyBorder="1" applyAlignment="1">
      <alignment horizontal="center" vertical="center"/>
    </xf>
    <xf numFmtId="0" fontId="5" fillId="0" borderId="2" xfId="0" applyFont="1" applyBorder="1" applyAlignment="1">
      <alignment horizontal="center" vertical="center"/>
    </xf>
    <xf numFmtId="0" fontId="5" fillId="0" borderId="4" xfId="0" applyFont="1" applyBorder="1" applyAlignment="1">
      <alignment horizontal="center" vertical="center"/>
    </xf>
  </cellXfs>
  <cellStyles count="19">
    <cellStyle name="Bueno" xfId="2" builtinId="26"/>
    <cellStyle name="Millares 2" xfId="6" xr:uid="{00000000-0005-0000-0000-000001000000}"/>
    <cellStyle name="Millares 2 2" xfId="10" xr:uid="{00000000-0005-0000-0000-000002000000}"/>
    <cellStyle name="Millares 3" xfId="7" xr:uid="{00000000-0005-0000-0000-000003000000}"/>
    <cellStyle name="Millares 3 2" xfId="11" xr:uid="{00000000-0005-0000-0000-000004000000}"/>
    <cellStyle name="Moneda [0]" xfId="1" builtinId="7"/>
    <cellStyle name="Moneda [0] 2" xfId="5" xr:uid="{00000000-0005-0000-0000-000006000000}"/>
    <cellStyle name="Moneda 2" xfId="12" xr:uid="{00000000-0005-0000-0000-000007000000}"/>
    <cellStyle name="Moneda 3" xfId="16" xr:uid="{00000000-0005-0000-0000-000008000000}"/>
    <cellStyle name="Moneda 4" xfId="15" xr:uid="{00000000-0005-0000-0000-000009000000}"/>
    <cellStyle name="Moneda 5" xfId="8" xr:uid="{00000000-0005-0000-0000-00000A000000}"/>
    <cellStyle name="Moneda 6" xfId="9" xr:uid="{00000000-0005-0000-0000-00000B000000}"/>
    <cellStyle name="Moneda 7" xfId="17" xr:uid="{00000000-0005-0000-0000-00000C000000}"/>
    <cellStyle name="Normal" xfId="0" builtinId="0"/>
    <cellStyle name="Normal 2" xfId="3" xr:uid="{00000000-0005-0000-0000-00000E000000}"/>
    <cellStyle name="Normal 2 2" xfId="18" xr:uid="{00000000-0005-0000-0000-00000F000000}"/>
    <cellStyle name="Normal 3" xfId="14" xr:uid="{00000000-0005-0000-0000-000010000000}"/>
    <cellStyle name="Porcentaje" xfId="4" builtinId="5"/>
    <cellStyle name="Porcentual 2" xfId="13" xr:uid="{00000000-0005-0000-0000-000012000000}"/>
  </cellStyles>
  <dxfs count="5263">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ill>
        <patternFill>
          <bgColor rgb="FFFFFF99"/>
        </patternFill>
      </fill>
    </dxf>
    <dxf>
      <font>
        <color rgb="FF9C0006"/>
      </font>
    </dxf>
    <dxf>
      <font>
        <color rgb="FF00B050"/>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FF99"/>
        </patternFill>
      </fill>
    </dxf>
    <dxf>
      <font>
        <color rgb="FF00B050"/>
      </font>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ill>
        <patternFill>
          <bgColor rgb="FFFFFF99"/>
        </patternFill>
      </fill>
    </dxf>
    <dxf>
      <font>
        <color rgb="FF9C0006"/>
      </font>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ont>
        <color rgb="FF9C0006"/>
      </font>
    </dxf>
    <dxf>
      <font>
        <color rgb="FF00B050"/>
      </font>
    </dxf>
    <dxf>
      <fill>
        <patternFill>
          <bgColor rgb="FFFFFF99"/>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FF99"/>
        </patternFill>
      </fill>
    </dxf>
    <dxf>
      <font>
        <color rgb="FF00B050"/>
      </font>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ill>
        <patternFill>
          <bgColor rgb="FFFFFF99"/>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FF99"/>
        </patternFill>
      </fill>
    </dxf>
    <dxf>
      <font>
        <color rgb="FF00B050"/>
      </font>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ill>
        <patternFill>
          <bgColor rgb="FFFFFF99"/>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ill>
        <patternFill>
          <bgColor theme="0" tint="-0.14996795556505021"/>
        </patternFill>
      </fill>
    </dxf>
    <dxf>
      <font>
        <color rgb="FF9C0006"/>
      </font>
    </dxf>
    <dxf>
      <font>
        <color rgb="FF00B050"/>
      </font>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FF99"/>
        </patternFill>
      </fill>
    </dxf>
    <dxf>
      <font>
        <color rgb="FF00B050"/>
      </font>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ill>
        <patternFill>
          <bgColor rgb="FFFFFF99"/>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b/>
        <i val="0"/>
        <color rgb="FF002060"/>
      </font>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ill>
        <patternFill>
          <bgColor theme="0" tint="-0.14996795556505021"/>
        </patternFill>
      </fill>
    </dxf>
    <dxf>
      <font>
        <color rgb="FF9C0006"/>
      </font>
    </dxf>
    <dxf>
      <font>
        <color rgb="FF00B050"/>
      </font>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FF99"/>
        </patternFill>
      </fill>
    </dxf>
    <dxf>
      <font>
        <color rgb="FF00B050"/>
      </font>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ill>
        <patternFill>
          <bgColor rgb="FFFFFF99"/>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FF99"/>
        </patternFill>
      </fill>
    </dxf>
    <dxf>
      <font>
        <color rgb="FF00B050"/>
      </font>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ill>
        <patternFill>
          <bgColor rgb="FFFFFF99"/>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FF99"/>
        </patternFill>
      </fill>
    </dxf>
    <dxf>
      <font>
        <color rgb="FF00B050"/>
      </font>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ill>
        <patternFill>
          <bgColor rgb="FFFFFF99"/>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ill>
        <patternFill>
          <bgColor rgb="FFFFFF99"/>
        </patternFill>
      </fill>
    </dxf>
    <dxf>
      <font>
        <color rgb="FF00B050"/>
      </font>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ont>
        <color rgb="FF00B050"/>
      </font>
    </dxf>
    <dxf>
      <fill>
        <patternFill>
          <bgColor rgb="FFFFFF99"/>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ill>
        <patternFill>
          <bgColor theme="0" tint="-0.14996795556505021"/>
        </patternFill>
      </fill>
    </dxf>
    <dxf>
      <font>
        <color rgb="FF9C0006"/>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ont>
        <color rgb="FF00B050"/>
      </font>
    </dxf>
    <dxf>
      <font>
        <color rgb="FF9C0006"/>
      </font>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dxf>
    <dxf>
      <fill>
        <patternFill>
          <bgColor theme="0" tint="-0.14996795556505021"/>
        </patternFill>
      </fill>
    </dxf>
    <dxf>
      <fill>
        <patternFill>
          <bgColor rgb="FFFFFF99"/>
        </patternFill>
      </fill>
    </dxf>
    <dxf>
      <font>
        <color rgb="FF00B050"/>
      </font>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B050"/>
      </font>
    </dxf>
    <dxf>
      <font>
        <color rgb="FF9C0006"/>
      </font>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0" tint="-0.14996795556505021"/>
        </patternFill>
      </fill>
    </dxf>
    <dxf>
      <fill>
        <patternFill>
          <bgColor rgb="FFFFFF99"/>
        </patternFill>
      </fill>
    </dxf>
    <dxf>
      <font>
        <color rgb="FF9C0006"/>
      </font>
    </dxf>
    <dxf>
      <font>
        <color rgb="FF00B050"/>
      </font>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B050"/>
      </font>
    </dxf>
    <dxf>
      <font>
        <color rgb="FF9C0006"/>
      </font>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ont>
        <color rgb="FF00B050"/>
      </font>
    </dxf>
    <dxf>
      <font>
        <color rgb="FF9C0006"/>
      </font>
    </dxf>
    <dxf>
      <fill>
        <patternFill>
          <bgColor theme="0" tint="-0.14996795556505021"/>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B050"/>
      </font>
    </dxf>
    <dxf>
      <font>
        <color rgb="FF9C0006"/>
      </font>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ont>
        <color rgb="FF00B050"/>
      </font>
    </dxf>
    <dxf>
      <font>
        <color rgb="FF9C0006"/>
      </font>
    </dxf>
    <dxf>
      <fill>
        <patternFill>
          <bgColor theme="0" tint="-0.14996795556505021"/>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B050"/>
      </font>
    </dxf>
    <dxf>
      <font>
        <color rgb="FF9C0006"/>
      </font>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ont>
        <color rgb="FF00B050"/>
      </font>
    </dxf>
    <dxf>
      <font>
        <color rgb="FF9C0006"/>
      </font>
    </dxf>
    <dxf>
      <fill>
        <patternFill>
          <bgColor theme="0" tint="-0.14996795556505021"/>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B050"/>
      </font>
    </dxf>
    <dxf>
      <font>
        <color rgb="FF9C0006"/>
      </font>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0" tint="-0.14996795556505021"/>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b/>
        <i val="0"/>
        <color rgb="FF002060"/>
      </font>
    </dxf>
    <dxf>
      <font>
        <color rgb="FF9C0006"/>
      </font>
      <fill>
        <patternFill>
          <bgColor rgb="FFFFC7CE"/>
        </patternFill>
      </fill>
    </dxf>
    <dxf>
      <fill>
        <patternFill>
          <bgColor theme="0" tint="-0.14996795556505021"/>
        </patternFill>
      </fill>
    </dxf>
    <dxf>
      <fill>
        <patternFill>
          <bgColor rgb="FFFFFF99"/>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99"/>
        </patternFill>
      </fill>
    </dxf>
    <dxf>
      <fill>
        <patternFill>
          <bgColor theme="0" tint="-0.14996795556505021"/>
        </patternFill>
      </fill>
    </dxf>
    <dxf>
      <fill>
        <patternFill>
          <bgColor theme="0" tint="-0.14996795556505021"/>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ont>
        <color rgb="FF00B050"/>
      </font>
    </dxf>
    <dxf>
      <fill>
        <patternFill>
          <bgColor theme="0" tint="-0.14996795556505021"/>
        </patternFill>
      </fill>
    </dxf>
    <dxf>
      <font>
        <color rgb="FF9C0006"/>
      </font>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B050"/>
      </font>
    </dxf>
    <dxf>
      <fill>
        <patternFill>
          <bgColor rgb="FFFFFF99"/>
        </patternFill>
      </fill>
    </dxf>
    <dxf>
      <font>
        <color rgb="FF9C0006"/>
      </font>
    </dxf>
    <dxf>
      <fill>
        <patternFill>
          <bgColor theme="0" tint="-0.14996795556505021"/>
        </patternFill>
      </fill>
    </dxf>
    <dxf>
      <fill>
        <patternFill>
          <bgColor theme="0" tint="-0.14996795556505021"/>
        </patternFill>
      </fill>
    </dxf>
    <dxf>
      <fill>
        <patternFill>
          <bgColor rgb="FFFFFF99"/>
        </patternFill>
      </fill>
    </dxf>
    <dxf>
      <fill>
        <patternFill>
          <bgColor theme="0" tint="-0.14996795556505021"/>
        </patternFill>
      </fill>
    </dxf>
    <dxf>
      <fill>
        <patternFill>
          <bgColor rgb="FFFFFF99"/>
        </patternFill>
      </fill>
    </dxf>
    <dxf>
      <fill>
        <patternFill>
          <bgColor rgb="FFFFFF99"/>
        </patternFill>
      </fill>
    </dxf>
    <dxf>
      <fill>
        <patternFill>
          <bgColor rgb="FFFFFF99"/>
        </patternFill>
      </fill>
    </dxf>
    <dxf>
      <fill>
        <patternFill>
          <bgColor theme="0" tint="-0.1499679555650502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rgb="FFFFFF99"/>
        </patternFill>
      </fill>
    </dxf>
    <dxf>
      <fill>
        <patternFill>
          <bgColor theme="0" tint="-0.14996795556505021"/>
        </patternFill>
      </fill>
    </dxf>
    <dxf>
      <font>
        <color rgb="FF9C0006"/>
      </font>
    </dxf>
    <dxf>
      <font>
        <color rgb="FF00B050"/>
      </font>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patternType="none">
          <bgColor auto="1"/>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b/>
        <i val="0"/>
      </font>
      <fill>
        <patternFill>
          <bgColor theme="8" tint="0.59996337778862885"/>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b/>
        <i val="0"/>
      </font>
      <fill>
        <patternFill>
          <bgColor theme="8" tint="0.59996337778862885"/>
        </patternFill>
      </fill>
    </dxf>
    <dxf>
      <font>
        <color rgb="FF9C0006"/>
      </font>
      <fill>
        <patternFill>
          <bgColor rgb="FFFFC7CE"/>
        </patternFill>
      </fill>
    </dxf>
  </dxfs>
  <tableStyles count="0" defaultTableStyle="TableStyleMedium2" defaultPivotStyle="PivotStyleLight16"/>
  <colors>
    <mruColors>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styles" Target="styles.xml"/><Relationship Id="rId16" Type="http://schemas.openxmlformats.org/officeDocument/2006/relationships/worksheet" Target="worksheets/sheet16.xml"/><Relationship Id="rId107" Type="http://schemas.openxmlformats.org/officeDocument/2006/relationships/externalLink" Target="externalLinks/externalLink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externalLink" Target="externalLinks/externalLink1.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sharedStrings" Target="sharedStrings.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externalLink" Target="externalLinks/externalLink2.xml"/><Relationship Id="rId108" Type="http://schemas.openxmlformats.org/officeDocument/2006/relationships/externalLink" Target="externalLinks/externalLink7.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externalLink" Target="externalLinks/externalLink5.xml"/><Relationship Id="rId114" Type="http://schemas.openxmlformats.org/officeDocument/2006/relationships/sheetMetadata" Target="metadata.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externalLink" Target="externalLinks/externalLink8.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externalLink" Target="externalLinks/externalLink3.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externalLink" Target="externalLinks/externalLink9.xml"/><Relationship Id="rId115" Type="http://schemas.openxmlformats.org/officeDocument/2006/relationships/calcChain" Target="calcChain.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externalLink" Target="externalLinks/externalLink4.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224220</xdr:colOff>
      <xdr:row>3</xdr:row>
      <xdr:rowOff>202425</xdr:rowOff>
    </xdr:from>
    <xdr:to>
      <xdr:col>1</xdr:col>
      <xdr:colOff>2760395</xdr:colOff>
      <xdr:row>4</xdr:row>
      <xdr:rowOff>345732</xdr:rowOff>
    </xdr:to>
    <xdr:pic>
      <xdr:nvPicPr>
        <xdr:cNvPr id="2" name="Imagen 1">
          <a:extLst>
            <a:ext uri="{FF2B5EF4-FFF2-40B4-BE49-F238E27FC236}">
              <a16:creationId xmlns:a16="http://schemas.microsoft.com/office/drawing/2014/main" id="{31F28FEB-64C8-463B-B6DF-67CF64E1C5EE}"/>
            </a:ext>
          </a:extLst>
        </xdr:cNvPr>
        <xdr:cNvPicPr>
          <a:picLocks noChangeAspect="1"/>
        </xdr:cNvPicPr>
      </xdr:nvPicPr>
      <xdr:blipFill rotWithShape="1">
        <a:blip xmlns:r="http://schemas.openxmlformats.org/officeDocument/2006/relationships" r:embed="rId1"/>
        <a:srcRect l="24137" t="48182" r="56472" b="38879"/>
        <a:stretch/>
      </xdr:blipFill>
      <xdr:spPr>
        <a:xfrm>
          <a:off x="224220" y="814746"/>
          <a:ext cx="2965616" cy="109363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478220</xdr:colOff>
      <xdr:row>3</xdr:row>
      <xdr:rowOff>265925</xdr:rowOff>
    </xdr:from>
    <xdr:to>
      <xdr:col>1</xdr:col>
      <xdr:colOff>2949625</xdr:colOff>
      <xdr:row>4</xdr:row>
      <xdr:rowOff>420662</xdr:rowOff>
    </xdr:to>
    <xdr:pic>
      <xdr:nvPicPr>
        <xdr:cNvPr id="4" name="Imagen 3">
          <a:extLst>
            <a:ext uri="{FF2B5EF4-FFF2-40B4-BE49-F238E27FC236}">
              <a16:creationId xmlns:a16="http://schemas.microsoft.com/office/drawing/2014/main" id="{969FBE42-6E7F-4924-9B62-F763F8BEC20C}"/>
            </a:ext>
          </a:extLst>
        </xdr:cNvPr>
        <xdr:cNvPicPr>
          <a:picLocks noChangeAspect="1"/>
        </xdr:cNvPicPr>
      </xdr:nvPicPr>
      <xdr:blipFill rotWithShape="1">
        <a:blip xmlns:r="http://schemas.openxmlformats.org/officeDocument/2006/relationships" r:embed="rId1"/>
        <a:srcRect l="24137" t="48182" r="56472" b="38879"/>
        <a:stretch/>
      </xdr:blipFill>
      <xdr:spPr>
        <a:xfrm>
          <a:off x="478220" y="885050"/>
          <a:ext cx="2959720" cy="1091362"/>
        </a:xfrm>
        <a:prstGeom prst="rect">
          <a:avLst/>
        </a:prstGeom>
      </xdr:spPr>
    </xdr:pic>
    <xdr:clientData/>
  </xdr:twoCellAnchor>
  <xdr:twoCellAnchor>
    <xdr:from>
      <xdr:col>12</xdr:col>
      <xdr:colOff>275845</xdr:colOff>
      <xdr:row>0</xdr:row>
      <xdr:rowOff>0</xdr:rowOff>
    </xdr:from>
    <xdr:to>
      <xdr:col>12</xdr:col>
      <xdr:colOff>7729591</xdr:colOff>
      <xdr:row>9</xdr:row>
      <xdr:rowOff>137227</xdr:rowOff>
    </xdr:to>
    <xdr:grpSp>
      <xdr:nvGrpSpPr>
        <xdr:cNvPr id="5" name="Grupo 4">
          <a:extLst>
            <a:ext uri="{FF2B5EF4-FFF2-40B4-BE49-F238E27FC236}">
              <a16:creationId xmlns:a16="http://schemas.microsoft.com/office/drawing/2014/main" id="{60DEB769-8705-4EE3-A188-8D6CE41567F4}"/>
            </a:ext>
          </a:extLst>
        </xdr:cNvPr>
        <xdr:cNvGrpSpPr/>
      </xdr:nvGrpSpPr>
      <xdr:grpSpPr>
        <a:xfrm>
          <a:off x="23241678" y="0"/>
          <a:ext cx="7453746" cy="3982505"/>
          <a:chOff x="4100946" y="110837"/>
          <a:chExt cx="5228571" cy="3166502"/>
        </a:xfrm>
      </xdr:grpSpPr>
      <xdr:pic>
        <xdr:nvPicPr>
          <xdr:cNvPr id="2" name="Imagen 1">
            <a:extLst>
              <a:ext uri="{FF2B5EF4-FFF2-40B4-BE49-F238E27FC236}">
                <a16:creationId xmlns:a16="http://schemas.microsoft.com/office/drawing/2014/main" id="{5A480710-7553-D34F-0ECA-66C642FF6C9A}"/>
              </a:ext>
            </a:extLst>
          </xdr:cNvPr>
          <xdr:cNvPicPr>
            <a:picLocks noChangeAspect="1"/>
          </xdr:cNvPicPr>
        </xdr:nvPicPr>
        <xdr:blipFill>
          <a:blip xmlns:r="http://schemas.openxmlformats.org/officeDocument/2006/relationships" r:embed="rId2"/>
          <a:stretch>
            <a:fillRect/>
          </a:stretch>
        </xdr:blipFill>
        <xdr:spPr>
          <a:xfrm>
            <a:off x="4114800" y="110837"/>
            <a:ext cx="5209524" cy="2190476"/>
          </a:xfrm>
          <a:prstGeom prst="rect">
            <a:avLst/>
          </a:prstGeom>
        </xdr:spPr>
      </xdr:pic>
      <xdr:pic>
        <xdr:nvPicPr>
          <xdr:cNvPr id="3" name="Imagen 2">
            <a:extLst>
              <a:ext uri="{FF2B5EF4-FFF2-40B4-BE49-F238E27FC236}">
                <a16:creationId xmlns:a16="http://schemas.microsoft.com/office/drawing/2014/main" id="{561F1BF1-BCA2-F453-DD7E-3C2C1A0ABDFE}"/>
              </a:ext>
            </a:extLst>
          </xdr:cNvPr>
          <xdr:cNvPicPr>
            <a:picLocks noChangeAspect="1"/>
          </xdr:cNvPicPr>
        </xdr:nvPicPr>
        <xdr:blipFill>
          <a:blip xmlns:r="http://schemas.openxmlformats.org/officeDocument/2006/relationships" r:embed="rId3"/>
          <a:stretch>
            <a:fillRect/>
          </a:stretch>
        </xdr:blipFill>
        <xdr:spPr>
          <a:xfrm>
            <a:off x="4100946" y="2258291"/>
            <a:ext cx="5228571" cy="1019048"/>
          </a:xfrm>
          <a:prstGeom prst="rect">
            <a:avLst/>
          </a:prstGeom>
        </xdr:spPr>
      </xdr:pic>
    </xdr:grpSp>
    <xdr:clientData/>
  </xdr:twoCellAnchor>
</xdr:wsDr>
</file>

<file path=xl/drawings/drawing3.xml><?xml version="1.0" encoding="utf-8"?>
<xdr:wsDr xmlns:xdr="http://schemas.openxmlformats.org/drawingml/2006/spreadsheetDrawing" xmlns:a="http://schemas.openxmlformats.org/drawingml/2006/main">
  <xdr:twoCellAnchor editAs="oneCell">
    <xdr:from>
      <xdr:col>10</xdr:col>
      <xdr:colOff>862061</xdr:colOff>
      <xdr:row>0</xdr:row>
      <xdr:rowOff>204739</xdr:rowOff>
    </xdr:from>
    <xdr:to>
      <xdr:col>16</xdr:col>
      <xdr:colOff>26672</xdr:colOff>
      <xdr:row>5</xdr:row>
      <xdr:rowOff>929547</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15407794" y="204739"/>
          <a:ext cx="6429011" cy="2519741"/>
        </a:xfrm>
        <a:prstGeom prst="rect">
          <a:avLst/>
        </a:prstGeom>
      </xdr:spPr>
    </xdr:pic>
    <xdr:clientData/>
  </xdr:twoCellAnchor>
  <xdr:twoCellAnchor editAs="oneCell">
    <xdr:from>
      <xdr:col>10</xdr:col>
      <xdr:colOff>405695</xdr:colOff>
      <xdr:row>6</xdr:row>
      <xdr:rowOff>52915</xdr:rowOff>
    </xdr:from>
    <xdr:to>
      <xdr:col>17</xdr:col>
      <xdr:colOff>28928</xdr:colOff>
      <xdr:row>20</xdr:row>
      <xdr:rowOff>114895</xdr:rowOff>
    </xdr:to>
    <xdr:pic>
      <xdr:nvPicPr>
        <xdr:cNvPr id="4" name="Imagen 3">
          <a:extLst>
            <a:ext uri="{FF2B5EF4-FFF2-40B4-BE49-F238E27FC236}">
              <a16:creationId xmlns:a16="http://schemas.microsoft.com/office/drawing/2014/main" id="{86AC7355-32D5-3147-DA01-D91098AB5471}"/>
            </a:ext>
          </a:extLst>
        </xdr:cNvPr>
        <xdr:cNvPicPr>
          <a:picLocks noChangeAspect="1"/>
        </xdr:cNvPicPr>
      </xdr:nvPicPr>
      <xdr:blipFill>
        <a:blip xmlns:r="http://schemas.openxmlformats.org/officeDocument/2006/relationships" r:embed="rId2"/>
        <a:stretch>
          <a:fillRect/>
        </a:stretch>
      </xdr:blipFill>
      <xdr:spPr>
        <a:xfrm>
          <a:off x="14975417" y="3086804"/>
          <a:ext cx="7772400" cy="277836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367391</xdr:colOff>
      <xdr:row>1</xdr:row>
      <xdr:rowOff>176894</xdr:rowOff>
    </xdr:from>
    <xdr:to>
      <xdr:col>1</xdr:col>
      <xdr:colOff>2492284</xdr:colOff>
      <xdr:row>2</xdr:row>
      <xdr:rowOff>131530</xdr:rowOff>
    </xdr:to>
    <xdr:pic>
      <xdr:nvPicPr>
        <xdr:cNvPr id="2" name="Imagen 1">
          <a:extLst>
            <a:ext uri="{FF2B5EF4-FFF2-40B4-BE49-F238E27FC236}">
              <a16:creationId xmlns:a16="http://schemas.microsoft.com/office/drawing/2014/main" id="{7284BD5A-4410-4238-8161-7971124EA18C}"/>
            </a:ext>
          </a:extLst>
        </xdr:cNvPr>
        <xdr:cNvPicPr>
          <a:picLocks noChangeAspect="1"/>
        </xdr:cNvPicPr>
      </xdr:nvPicPr>
      <xdr:blipFill rotWithShape="1">
        <a:blip xmlns:r="http://schemas.openxmlformats.org/officeDocument/2006/relationships" r:embed="rId1"/>
        <a:srcRect l="23542" t="48182" r="56132" b="38879"/>
        <a:stretch/>
      </xdr:blipFill>
      <xdr:spPr>
        <a:xfrm>
          <a:off x="367391" y="367394"/>
          <a:ext cx="2803073" cy="90332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38100</xdr:colOff>
      <xdr:row>1</xdr:row>
      <xdr:rowOff>285750</xdr:rowOff>
    </xdr:from>
    <xdr:to>
      <xdr:col>0</xdr:col>
      <xdr:colOff>2133600</xdr:colOff>
      <xdr:row>2</xdr:row>
      <xdr:rowOff>3029</xdr:rowOff>
    </xdr:to>
    <xdr:pic>
      <xdr:nvPicPr>
        <xdr:cNvPr id="2" name="Imagen 2">
          <a:extLst>
            <a:ext uri="{FF2B5EF4-FFF2-40B4-BE49-F238E27FC236}">
              <a16:creationId xmlns:a16="http://schemas.microsoft.com/office/drawing/2014/main" id="{E97B8CF1-896F-4A53-BA39-5CB5AE4755BA}"/>
            </a:ext>
          </a:extLst>
        </xdr:cNvPr>
        <xdr:cNvPicPr>
          <a:picLocks noChangeAspect="1"/>
        </xdr:cNvPicPr>
      </xdr:nvPicPr>
      <xdr:blipFill rotWithShape="1">
        <a:blip xmlns:r="http://schemas.openxmlformats.org/officeDocument/2006/relationships" r:embed="rId1"/>
        <a:srcRect l="23542" t="48182" r="56132" b="38879"/>
        <a:stretch/>
      </xdr:blipFill>
      <xdr:spPr>
        <a:xfrm>
          <a:off x="800100" y="933450"/>
          <a:ext cx="2095500" cy="87615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Users/ldrr/Desktop/SDDE/REVISION%20DE%20CARPETAS/C:\Users\ASUS\OneDrive\Escritorio\alcaldia%20local%20de%20usaquen\2025\16.%20EVALUACION%20DE%20PROCESOS\INTERVENTORIA%20DE%20VIAS\consolidado%20equipo\MONICA_%20Evaluacio&#769;n_Tecnica_fdlusa-CMA-003-2025.xlsx?F2B2D6BA" TargetMode="External"/><Relationship Id="rId1" Type="http://schemas.openxmlformats.org/officeDocument/2006/relationships/externalLinkPath" Target="file:///F2B2D6BA/MONICA_%20Evaluacio&#769;n_Tecnica_fdlusa-CMA-003-2025.xlsx"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Users/ldrr/Desktop/SDDE/REVISION%20DE%20CARPETAS/C:\Users\ASUS\OneDrive\Escritorio\alcaldia%20local%20de%20usaquen\2025\16.%20EVALUACION%20DE%20PROCESOS\INTERVENTORIA%20DE%20VIAS\consolidado%20equipo\Juliana_%2015%20A%2024_Evaluacio&#769;n_Tecnica_fdlusa-CMA-003-2025.xlsx?F2B2D6BA" TargetMode="External"/><Relationship Id="rId1" Type="http://schemas.openxmlformats.org/officeDocument/2006/relationships/externalLinkPath" Target="file:///F2B2D6BA/Juliana_%2015%20A%2024_Evaluacio&#769;n_Tecnica_fdlusa-CMA-003-2025.xlsx"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Users/ldrr/Desktop/SDDE/REVISION%20DE%20CARPETAS/C:\Users\ASUS\OneDrive\Escritorio\alcaldia%20local%20de%20usaquen\2025\16.%20EVALUACION%20DE%20PROCESOS\INTERVENTORIA%20DE%20VIAS\consolidado%20equipo\Edgar_%20Evaluaci&#243;n_Tecnica_fdlusa-CMA-003-2025%20-%2025A34.xlsx?F2B2D6BA" TargetMode="External"/><Relationship Id="rId1" Type="http://schemas.openxmlformats.org/officeDocument/2006/relationships/externalLinkPath" Target="file:///F2B2D6BA/Edgar_%20Evaluaci&#243;n_Tecnica_fdlusa-CMA-003-2025%20-%2025A34.xlsx" TargetMode="External"/></Relationships>
</file>

<file path=xl/externalLinks/_rels/externalLink4.xml.rels><?xml version="1.0" encoding="UTF-8" standalone="yes"?>
<Relationships xmlns="http://schemas.openxmlformats.org/package/2006/relationships"><Relationship Id="rId2" Type="http://schemas.microsoft.com/office/2019/04/relationships/externalLinkLongPath" Target="/Users/ldrr/Desktop/SDDE/REVISION%20DE%20CARPETAS/C:\Users\ASUS\OneDrive\Escritorio\alcaldia%20local%20de%20usaquen\2025\16.%20EVALUACION%20DE%20PROCESOS\INTERVENTORIA%20DE%20VIAS\consolidado%20equipo\JUAN%20CAMILO_%20Evaluacio&#769;n_Tecnica_fdlusa-CMA-003-2025.xlsx?F2B2D6BA" TargetMode="External"/><Relationship Id="rId1" Type="http://schemas.openxmlformats.org/officeDocument/2006/relationships/externalLinkPath" Target="file:///F2B2D6BA/JUAN%20CAMILO_%20Evaluacio&#769;n_Tecnica_fdlusa-CMA-003-2025.xlsx" TargetMode="External"/></Relationships>
</file>

<file path=xl/externalLinks/_rels/externalLink5.xml.rels><?xml version="1.0" encoding="UTF-8" standalone="yes"?>
<Relationships xmlns="http://schemas.openxmlformats.org/package/2006/relationships"><Relationship Id="rId2" Type="http://schemas.microsoft.com/office/2019/04/relationships/externalLinkLongPath" Target="/Users/ldrr/Desktop/SDDE/REVISION%20DE%20CARPETAS/C:\Users\ASUS\OneDrive\Escritorio\alcaldia%20local%20de%20usaquen\2025\16.%20EVALUACION%20DE%20PROCESOS\INTERVENTORIA%20DE%20VIAS\consolidado%20equipo\Nicolas_%20Evaluacio&#769;n_Tecnica_fdlusa-CMA-003-2025%2045%20a%2054.xlsx?F2B2D6BA" TargetMode="External"/><Relationship Id="rId1" Type="http://schemas.openxmlformats.org/officeDocument/2006/relationships/externalLinkPath" Target="file:///F2B2D6BA/Nicolas_%20Evaluacio&#769;n_Tecnica_fdlusa-CMA-003-2025%2045%20a%2054.xlsx" TargetMode="External"/></Relationships>
</file>

<file path=xl/externalLinks/_rels/externalLink6.xml.rels><?xml version="1.0" encoding="UTF-8" standalone="yes"?>
<Relationships xmlns="http://schemas.openxmlformats.org/package/2006/relationships"><Relationship Id="rId2" Type="http://schemas.microsoft.com/office/2019/04/relationships/externalLinkLongPath" Target="/Users/ldrr/Desktop/SDDE/REVISION%20DE%20CARPETAS/C:\Users\ASUS\OneDrive\Escritorio\alcaldia%20local%20de%20usaquen\2025\16.%20EVALUACION%20DE%20PROCESOS\INTERVENTORIA%20DE%20VIAS\consolidado%20equipo\DUVAN_%20Evaluaci&#243;n_Tecnica_fdlusa-CMA-003-2025%20(1).xlsx?F2B2D6BA" TargetMode="External"/><Relationship Id="rId1" Type="http://schemas.openxmlformats.org/officeDocument/2006/relationships/externalLinkPath" Target="file:///F2B2D6BA/DUVAN_%20Evaluaci&#243;n_Tecnica_fdlusa-CMA-003-2025%20(1).xlsx" TargetMode="External"/></Relationships>
</file>

<file path=xl/externalLinks/_rels/externalLink7.xml.rels><?xml version="1.0" encoding="UTF-8" standalone="yes"?>
<Relationships xmlns="http://schemas.openxmlformats.org/package/2006/relationships"><Relationship Id="rId2" Type="http://schemas.microsoft.com/office/2019/04/relationships/externalLinkLongPath" Target="/Users/ldrr/Desktop/SDDE/REVISION%20DE%20CARPETAS/C:\Users\ASUS\OneDrive\Escritorio\alcaldia%20local%20de%20usaquen\2025\16.%20EVALUACION%20DE%20PROCESOS\INTERVENTORIA%20DE%20VIAS\consolidado%20equipo\CRISTIAN_%20Evaluaci&#243;n_Tecnica_fdlusa-CMA-003-2025%20CM%2065-74.xlsx?F2B2D6BA" TargetMode="External"/><Relationship Id="rId1" Type="http://schemas.openxmlformats.org/officeDocument/2006/relationships/externalLinkPath" Target="file:///F2B2D6BA/CRISTIAN_%20Evaluaci&#243;n_Tecnica_fdlusa-CMA-003-2025%20CM%2065-74.xlsx" TargetMode="External"/></Relationships>
</file>

<file path=xl/externalLinks/_rels/externalLink8.xml.rels><?xml version="1.0" encoding="UTF-8" standalone="yes"?>
<Relationships xmlns="http://schemas.openxmlformats.org/package/2006/relationships"><Relationship Id="rId2" Type="http://schemas.microsoft.com/office/2019/04/relationships/externalLinkLongPath" Target="/Users/ldrr/Desktop/SDDE/REVISION%20DE%20CARPETAS/C:\Users\ASUS\OneDrive\Escritorio\alcaldia%20local%20de%20usaquen\2025\16.%20EVALUACION%20DE%20PROCESOS\INTERVENTORIA%20DE%20VIAS\consolidado%20equipo\ALBERT_%20Evaluaci&#243;n_Tecnica_Albert%20Bahamon.xlsx?F2B2D6BA" TargetMode="External"/><Relationship Id="rId1" Type="http://schemas.openxmlformats.org/officeDocument/2006/relationships/externalLinkPath" Target="file:///F2B2D6BA/ALBERT_%20Evaluaci&#243;n_Tecnica_Albert%20Bahamon.xlsx" TargetMode="External"/></Relationships>
</file>

<file path=xl/externalLinks/_rels/externalLink9.xml.rels><?xml version="1.0" encoding="UTF-8" standalone="yes"?>
<Relationships xmlns="http://schemas.openxmlformats.org/package/2006/relationships"><Relationship Id="rId2" Type="http://schemas.microsoft.com/office/2019/04/relationships/externalLinkLongPath" Target="/Users/ldrr/Desktop/SDDE/REVISION%20DE%20CARPETAS/C:\Users\ASUS\OneDrive\Escritorio\alcaldia%20local%20de%20usaquen\2025\16.%20EVALUACION%20DE%20PROCESOS\INTERVENTORIA%20DE%20VIAS\consolidado%20equipo\juan_manuel_Evaluacio&#769;n_Tecnica_fdlusa-CMA-003-2025%2085%20A%2094.xlsx?F2B2D6BA" TargetMode="External"/><Relationship Id="rId1" Type="http://schemas.openxmlformats.org/officeDocument/2006/relationships/externalLinkPath" Target="file:///F2B2D6BA/juan_manuel_Evaluacio&#769;n_Tecnica_fdlusa-CMA-003-2025%2085%20A%209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INICIALES"/>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5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9.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98.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99.bin"/></Relationships>
</file>

<file path=xl/worksheets/_rels/sheet10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05"/>
  <sheetViews>
    <sheetView zoomScale="70" zoomScaleNormal="70" workbookViewId="0">
      <pane ySplit="9" topLeftCell="A34" activePane="bottomLeft" state="frozen"/>
      <selection activeCell="F40" sqref="F40"/>
      <selection pane="bottomLeft" activeCell="E52" sqref="E52"/>
    </sheetView>
  </sheetViews>
  <sheetFormatPr baseColWidth="10" defaultColWidth="11.5" defaultRowHeight="15" x14ac:dyDescent="0.2"/>
  <cols>
    <col min="1" max="1" width="6.33203125" style="14" customWidth="1"/>
    <col min="2" max="2" width="46.6640625" customWidth="1"/>
    <col min="3" max="3" width="20.1640625" style="15" hidden="1" customWidth="1"/>
    <col min="4" max="4" width="18.5" hidden="1" customWidth="1"/>
    <col min="5" max="5" width="22.5" customWidth="1"/>
    <col min="6" max="6" width="23.83203125" hidden="1" customWidth="1"/>
    <col min="7" max="7" width="21.5" customWidth="1"/>
    <col min="8" max="9" width="22" customWidth="1"/>
    <col min="10" max="10" width="28.1640625" customWidth="1"/>
    <col min="11" max="11" width="80.1640625" customWidth="1"/>
    <col min="12" max="12" width="21.1640625" customWidth="1"/>
  </cols>
  <sheetData>
    <row r="1" spans="1:12" x14ac:dyDescent="0.2">
      <c r="A1" s="323"/>
      <c r="B1" s="323"/>
      <c r="C1" s="323"/>
      <c r="D1" s="323"/>
      <c r="E1" s="323"/>
      <c r="F1" s="323"/>
      <c r="G1" s="323"/>
      <c r="H1" s="323"/>
      <c r="I1" s="323"/>
      <c r="J1" s="323"/>
      <c r="K1" s="323"/>
    </row>
    <row r="2" spans="1:12" ht="24.75" customHeight="1" x14ac:dyDescent="0.2">
      <c r="A2" s="321" t="s">
        <v>146</v>
      </c>
      <c r="B2" s="321"/>
      <c r="C2" s="321"/>
      <c r="D2" s="321"/>
      <c r="E2" s="321"/>
      <c r="F2" s="321"/>
      <c r="G2" s="321"/>
      <c r="H2" s="321"/>
      <c r="I2" s="321"/>
      <c r="J2" s="321"/>
      <c r="K2" s="321"/>
    </row>
    <row r="3" spans="1:12" ht="8.5" customHeight="1" x14ac:dyDescent="0.2">
      <c r="A3" s="323"/>
      <c r="B3" s="323"/>
      <c r="C3" s="323"/>
      <c r="D3" s="323"/>
      <c r="E3" s="323"/>
      <c r="F3" s="323"/>
      <c r="G3" s="323"/>
      <c r="H3" s="323"/>
      <c r="I3" s="323"/>
      <c r="J3" s="323"/>
      <c r="K3" s="323"/>
    </row>
    <row r="4" spans="1:12" ht="73.25" customHeight="1" x14ac:dyDescent="0.2">
      <c r="A4" s="323"/>
      <c r="B4" s="323"/>
      <c r="C4" s="326" t="s">
        <v>147</v>
      </c>
      <c r="D4" s="326"/>
      <c r="E4" s="32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F4" s="327"/>
      <c r="G4" s="327"/>
      <c r="H4" s="327"/>
      <c r="I4" s="327"/>
      <c r="J4" s="327"/>
      <c r="K4" s="327"/>
    </row>
    <row r="5" spans="1:12" ht="29.25" customHeight="1" x14ac:dyDescent="0.2">
      <c r="A5" s="323"/>
      <c r="B5" s="323"/>
      <c r="C5" s="326" t="s">
        <v>148</v>
      </c>
      <c r="D5" s="326"/>
      <c r="E5" s="328" t="str">
        <f>'DATOS INICIALES'!G4</f>
        <v xml:space="preserve"> FDLUSA-CMA-003-2025</v>
      </c>
      <c r="F5" s="328"/>
      <c r="G5" s="328"/>
      <c r="H5" s="328"/>
      <c r="I5" s="328"/>
      <c r="J5" s="322">
        <f>'DATOS INICIALES'!C5</f>
        <v>1404008910</v>
      </c>
      <c r="K5" s="322"/>
    </row>
    <row r="6" spans="1:12" ht="7.5" customHeight="1" x14ac:dyDescent="0.2">
      <c r="A6" s="31"/>
      <c r="B6" s="324"/>
      <c r="C6" s="324"/>
      <c r="D6" s="324"/>
      <c r="E6" s="324"/>
      <c r="F6" s="324"/>
      <c r="G6" s="324"/>
      <c r="H6" s="324"/>
      <c r="I6" s="324"/>
      <c r="J6" s="324"/>
      <c r="K6" s="324"/>
    </row>
    <row r="7" spans="1:12" ht="21.75" customHeight="1" x14ac:dyDescent="0.2">
      <c r="A7" s="321" t="str">
        <f>CONCATENATE("RESUMEN DE EVALUACIÓN REQUISITOS HABILITANTES - ",'DATOS INICIALES'!G4)</f>
        <v>RESUMEN DE EVALUACIÓN REQUISITOS HABILITANTES -  FDLUSA-CMA-003-2025</v>
      </c>
      <c r="B7" s="321"/>
      <c r="C7" s="321"/>
      <c r="D7" s="321"/>
      <c r="E7" s="321"/>
      <c r="F7" s="321"/>
      <c r="G7" s="321"/>
      <c r="H7" s="321"/>
      <c r="I7" s="321"/>
      <c r="J7" s="321"/>
      <c r="K7" s="321"/>
    </row>
    <row r="8" spans="1:12" ht="8.25" customHeight="1" x14ac:dyDescent="0.2">
      <c r="A8" s="323"/>
      <c r="B8" s="323"/>
      <c r="C8" s="323"/>
      <c r="D8" s="323"/>
      <c r="E8" s="323"/>
      <c r="F8" s="323"/>
      <c r="G8" s="323"/>
      <c r="H8" s="323"/>
      <c r="I8" s="323"/>
      <c r="J8" s="323"/>
      <c r="K8" s="323"/>
    </row>
    <row r="9" spans="1:12" s="3" customFormat="1" ht="32" x14ac:dyDescent="0.2">
      <c r="A9" s="169" t="s">
        <v>37</v>
      </c>
      <c r="B9" s="169" t="s">
        <v>38</v>
      </c>
      <c r="C9" s="169" t="s">
        <v>149</v>
      </c>
      <c r="D9" s="169" t="s">
        <v>40</v>
      </c>
      <c r="E9" s="169" t="s">
        <v>150</v>
      </c>
      <c r="F9" s="169"/>
      <c r="G9" s="169" t="s">
        <v>151</v>
      </c>
      <c r="H9" s="169" t="s">
        <v>152</v>
      </c>
      <c r="I9" s="169" t="s">
        <v>153</v>
      </c>
      <c r="J9" s="169" t="s">
        <v>154</v>
      </c>
      <c r="K9" s="169" t="s">
        <v>78</v>
      </c>
    </row>
    <row r="10" spans="1:12" ht="6.75" customHeight="1" x14ac:dyDescent="0.2">
      <c r="A10" s="325"/>
      <c r="B10" s="325"/>
      <c r="C10" s="325"/>
      <c r="D10" s="325"/>
      <c r="E10" s="325"/>
      <c r="F10" s="325"/>
      <c r="G10" s="325"/>
      <c r="H10" s="325"/>
      <c r="I10" s="325"/>
      <c r="J10" s="325"/>
      <c r="K10" s="325"/>
    </row>
    <row r="11" spans="1:12" ht="16" x14ac:dyDescent="0.2">
      <c r="A11" s="95">
        <v>1</v>
      </c>
      <c r="B11" s="195" t="str">
        <f>+PROPONENTES!B10</f>
        <v>GRUPO METRO COLOMBIA SAS</v>
      </c>
      <c r="C11" s="95">
        <f>+PROPONENTES!M10</f>
        <v>1</v>
      </c>
      <c r="D11" s="239">
        <f>+PROPONENTES!N10</f>
        <v>1</v>
      </c>
      <c r="E11" s="25" t="str">
        <f>+'1'!$I$11</f>
        <v>CUMPLE</v>
      </c>
      <c r="F11" s="18"/>
      <c r="G11" s="18" t="s">
        <v>24</v>
      </c>
      <c r="H11" s="18" t="s">
        <v>24</v>
      </c>
      <c r="I11" s="18" t="s">
        <v>24</v>
      </c>
      <c r="J11" s="63" t="str">
        <f>IF(AND(E11="",G11="",H11="",I11=""),"",IF(AND(E11="CUMPLE",G11="CUMPLE",H11="CUMPLE",I11="CUMPLE"),"HABILITADO","INHABILITADO"))</f>
        <v>HABILITADO</v>
      </c>
      <c r="K11" s="166"/>
      <c r="L11" s="197"/>
    </row>
    <row r="12" spans="1:12" ht="16" x14ac:dyDescent="0.2">
      <c r="A12" s="95">
        <v>2</v>
      </c>
      <c r="B12" s="195" t="str">
        <f>+PROPONENTES!B11</f>
        <v>CONSORCIO INTERVIAS USAQUEN AI</v>
      </c>
      <c r="C12" s="95">
        <f>+PROPONENTES!M11</f>
        <v>2</v>
      </c>
      <c r="D12" s="239">
        <f>+PROPONENTES!N11</f>
        <v>1</v>
      </c>
      <c r="E12" s="25" t="str">
        <f>+'2'!$I$11</f>
        <v>CUMPLE</v>
      </c>
      <c r="F12" s="18"/>
      <c r="G12" s="18" t="s">
        <v>24</v>
      </c>
      <c r="H12" s="18" t="s">
        <v>24</v>
      </c>
      <c r="I12" s="18" t="s">
        <v>24</v>
      </c>
      <c r="J12" s="63" t="str">
        <f t="shared" ref="J12:J75" si="0">IF(AND(E12="",G12="",H12="",I12=""),"",IF(AND(E12="CUMPLE",G12="CUMPLE",H12="CUMPLE",I12="CUMPLE"),"HABILITADO","INHABILITADO"))</f>
        <v>HABILITADO</v>
      </c>
      <c r="K12" s="166"/>
    </row>
    <row r="13" spans="1:12" ht="16" x14ac:dyDescent="0.2">
      <c r="A13" s="95">
        <v>3</v>
      </c>
      <c r="B13" s="195" t="str">
        <f>+PROPONENTES!B12</f>
        <v>CONSORCIO PROYECTA VIAL</v>
      </c>
      <c r="C13" s="95">
        <f>+PROPONENTES!M12</f>
        <v>2</v>
      </c>
      <c r="D13" s="239">
        <f>+PROPONENTES!N12</f>
        <v>1</v>
      </c>
      <c r="E13" s="25" t="str">
        <f>+'3'!$I$11</f>
        <v>CUMPLE</v>
      </c>
      <c r="F13" s="18"/>
      <c r="G13" s="18" t="s">
        <v>24</v>
      </c>
      <c r="H13" s="18" t="s">
        <v>24</v>
      </c>
      <c r="I13" s="18" t="s">
        <v>24</v>
      </c>
      <c r="J13" s="63" t="str">
        <f t="shared" si="0"/>
        <v>HABILITADO</v>
      </c>
      <c r="K13" s="166"/>
    </row>
    <row r="14" spans="1:12" ht="16" x14ac:dyDescent="0.2">
      <c r="A14" s="95">
        <v>4</v>
      </c>
      <c r="B14" s="195" t="str">
        <f>+PROPONENTES!B13</f>
        <v>PROYECTOS E INTERVENTORIAS S.A.S.</v>
      </c>
      <c r="C14" s="95">
        <f>+PROPONENTES!M13</f>
        <v>1</v>
      </c>
      <c r="D14" s="239">
        <f>+PROPONENTES!N13</f>
        <v>1</v>
      </c>
      <c r="E14" s="25" t="str">
        <f>+'4'!$I$11</f>
        <v>CUMPLE</v>
      </c>
      <c r="F14" s="18"/>
      <c r="G14" s="18" t="s">
        <v>24</v>
      </c>
      <c r="H14" s="18" t="s">
        <v>24</v>
      </c>
      <c r="I14" s="18" t="s">
        <v>24</v>
      </c>
      <c r="J14" s="63" t="str">
        <f t="shared" si="0"/>
        <v>HABILITADO</v>
      </c>
      <c r="K14" s="233"/>
    </row>
    <row r="15" spans="1:12" ht="16" x14ac:dyDescent="0.2">
      <c r="A15" s="95">
        <v>5</v>
      </c>
      <c r="B15" s="195" t="str">
        <f>+PROPONENTES!B14</f>
        <v>CONSORCIO GAB VIAL USAQUEN 2025</v>
      </c>
      <c r="C15" s="95">
        <f>+PROPONENTES!M14</f>
        <v>2</v>
      </c>
      <c r="D15" s="239">
        <f>+PROPONENTES!N14</f>
        <v>1</v>
      </c>
      <c r="E15" s="25" t="str">
        <f>+'5'!$I$11</f>
        <v>CUMPLE</v>
      </c>
      <c r="F15" s="18"/>
      <c r="G15" s="18" t="s">
        <v>24</v>
      </c>
      <c r="H15" s="18" t="s">
        <v>24</v>
      </c>
      <c r="I15" s="18" t="s">
        <v>24</v>
      </c>
      <c r="J15" s="63" t="str">
        <f t="shared" si="0"/>
        <v>HABILITADO</v>
      </c>
      <c r="K15" s="233"/>
    </row>
    <row r="16" spans="1:12" ht="21.5" customHeight="1" x14ac:dyDescent="0.2">
      <c r="A16" s="95">
        <v>6</v>
      </c>
      <c r="B16" s="195" t="str">
        <f>+PROPONENTES!B15</f>
        <v>CONSORCIO INTER TS 03</v>
      </c>
      <c r="C16" s="95">
        <f>+PROPONENTES!M15</f>
        <v>2</v>
      </c>
      <c r="D16" s="239">
        <f>+PROPONENTES!N15</f>
        <v>1</v>
      </c>
      <c r="E16" s="25" t="str">
        <f>+'6'!$I$11</f>
        <v>CUMPLE</v>
      </c>
      <c r="F16" s="18"/>
      <c r="G16" s="18" t="s">
        <v>24</v>
      </c>
      <c r="H16" s="18" t="s">
        <v>24</v>
      </c>
      <c r="I16" s="18" t="s">
        <v>24</v>
      </c>
      <c r="J16" s="63" t="str">
        <f t="shared" si="0"/>
        <v>HABILITADO</v>
      </c>
      <c r="K16" s="233"/>
    </row>
    <row r="17" spans="1:11" ht="16" x14ac:dyDescent="0.2">
      <c r="A17" s="95">
        <v>7</v>
      </c>
      <c r="B17" s="195" t="str">
        <f>+PROPONENTES!B16</f>
        <v>CONSORCIO PB</v>
      </c>
      <c r="C17" s="95">
        <f>+PROPONENTES!M16</f>
        <v>2</v>
      </c>
      <c r="D17" s="239">
        <f>+PROPONENTES!N16</f>
        <v>1</v>
      </c>
      <c r="E17" s="25" t="str">
        <f>+'7'!$I$11</f>
        <v>NO CUMPLE</v>
      </c>
      <c r="F17" s="18"/>
      <c r="G17" s="18" t="s">
        <v>24</v>
      </c>
      <c r="H17" s="18" t="s">
        <v>24</v>
      </c>
      <c r="I17" s="18" t="s">
        <v>26</v>
      </c>
      <c r="J17" s="63" t="str">
        <f t="shared" si="0"/>
        <v>INHABILITADO</v>
      </c>
      <c r="K17" s="312" t="s">
        <v>1419</v>
      </c>
    </row>
    <row r="18" spans="1:11" ht="16" x14ac:dyDescent="0.2">
      <c r="A18" s="95">
        <v>8</v>
      </c>
      <c r="B18" s="195" t="str">
        <f>+PROPONENTES!B17</f>
        <v>Inveler Consultoría S.A.S.</v>
      </c>
      <c r="C18" s="95">
        <f>+PROPONENTES!M17</f>
        <v>1</v>
      </c>
      <c r="D18" s="239">
        <f>+PROPONENTES!N17</f>
        <v>1</v>
      </c>
      <c r="E18" s="25" t="str">
        <f>+'8'!$I$11</f>
        <v>NO CUMPLE</v>
      </c>
      <c r="F18" s="18"/>
      <c r="G18" s="18" t="s">
        <v>24</v>
      </c>
      <c r="H18" s="18" t="s">
        <v>24</v>
      </c>
      <c r="I18" s="18" t="s">
        <v>26</v>
      </c>
      <c r="J18" s="63" t="str">
        <f t="shared" si="0"/>
        <v>INHABILITADO</v>
      </c>
      <c r="K18" s="312" t="s">
        <v>1419</v>
      </c>
    </row>
    <row r="19" spans="1:11" ht="16" x14ac:dyDescent="0.2">
      <c r="A19" s="95">
        <v>9</v>
      </c>
      <c r="B19" s="195" t="str">
        <f>+PROPONENTES!B18</f>
        <v>CONSORCIO VYE USAQUÉN</v>
      </c>
      <c r="C19" s="95">
        <f>+PROPONENTES!M18</f>
        <v>2</v>
      </c>
      <c r="D19" s="239">
        <f>+PROPONENTES!N18</f>
        <v>1</v>
      </c>
      <c r="E19" s="25" t="str">
        <f>+'9'!$I$11</f>
        <v>CUMPLE</v>
      </c>
      <c r="F19" s="18"/>
      <c r="G19" s="18" t="s">
        <v>24</v>
      </c>
      <c r="H19" s="18" t="s">
        <v>24</v>
      </c>
      <c r="I19" s="18" t="s">
        <v>24</v>
      </c>
      <c r="J19" s="63" t="str">
        <f t="shared" si="0"/>
        <v>HABILITADO</v>
      </c>
      <c r="K19" s="184"/>
    </row>
    <row r="20" spans="1:11" ht="16" x14ac:dyDescent="0.2">
      <c r="A20" s="95">
        <v>10</v>
      </c>
      <c r="B20" s="195" t="str">
        <f>+PROPONENTES!B19</f>
        <v>CONSORCIO INGENIERIA PROES LATAM</v>
      </c>
      <c r="C20" s="95">
        <f>+PROPONENTES!M19</f>
        <v>2</v>
      </c>
      <c r="D20" s="239">
        <f>+PROPONENTES!N19</f>
        <v>1</v>
      </c>
      <c r="E20" s="25" t="str">
        <f>+'10'!$I$11</f>
        <v>CUMPLE</v>
      </c>
      <c r="F20" s="18"/>
      <c r="G20" s="18" t="s">
        <v>24</v>
      </c>
      <c r="H20" s="18" t="s">
        <v>24</v>
      </c>
      <c r="I20" s="18" t="s">
        <v>24</v>
      </c>
      <c r="J20" s="63" t="str">
        <f t="shared" si="0"/>
        <v>HABILITADO</v>
      </c>
      <c r="K20" s="184"/>
    </row>
    <row r="21" spans="1:11" ht="16" x14ac:dyDescent="0.2">
      <c r="A21" s="95">
        <v>11</v>
      </c>
      <c r="B21" s="195" t="str">
        <f>+PROPONENTES!B20</f>
        <v>COMPAÑÍA DE PROYECTOS TÉCNICOS CPT S.A.</v>
      </c>
      <c r="C21" s="95">
        <f>+PROPONENTES!M20</f>
        <v>1</v>
      </c>
      <c r="D21" s="239">
        <f>+PROPONENTES!N20</f>
        <v>1</v>
      </c>
      <c r="E21" s="25" t="str">
        <f>+'11'!$I$11</f>
        <v>CUMPLE</v>
      </c>
      <c r="F21" s="18"/>
      <c r="G21" s="18" t="s">
        <v>24</v>
      </c>
      <c r="H21" s="18" t="s">
        <v>24</v>
      </c>
      <c r="I21" s="18" t="s">
        <v>24</v>
      </c>
      <c r="J21" s="63" t="str">
        <f t="shared" si="0"/>
        <v>HABILITADO</v>
      </c>
      <c r="K21" s="233"/>
    </row>
    <row r="22" spans="1:11" ht="16" x14ac:dyDescent="0.2">
      <c r="A22" s="95">
        <v>12</v>
      </c>
      <c r="B22" s="195" t="str">
        <f>+PROPONENTES!B21</f>
        <v>CONSORCIO 3797 KAPROY USAQUEN</v>
      </c>
      <c r="C22" s="95">
        <f>+PROPONENTES!M21</f>
        <v>2</v>
      </c>
      <c r="D22" s="239">
        <f>+PROPONENTES!N21</f>
        <v>1</v>
      </c>
      <c r="E22" s="25" t="str">
        <f>+'12'!$I$11</f>
        <v>CUMPLE</v>
      </c>
      <c r="F22" s="18"/>
      <c r="G22" s="18" t="s">
        <v>24</v>
      </c>
      <c r="H22" s="18" t="s">
        <v>24</v>
      </c>
      <c r="I22" s="18" t="s">
        <v>24</v>
      </c>
      <c r="J22" s="63" t="str">
        <f t="shared" si="0"/>
        <v>HABILITADO</v>
      </c>
      <c r="K22" s="233"/>
    </row>
    <row r="23" spans="1:11" ht="16" x14ac:dyDescent="0.2">
      <c r="A23" s="95">
        <v>13</v>
      </c>
      <c r="B23" s="195" t="str">
        <f>+PROPONENTES!B22</f>
        <v>CONSORCIO MIRALTA</v>
      </c>
      <c r="C23" s="95">
        <f>+PROPONENTES!M22</f>
        <v>2</v>
      </c>
      <c r="D23" s="239">
        <f>+PROPONENTES!N22</f>
        <v>1</v>
      </c>
      <c r="E23" s="25" t="str">
        <f>+'13'!$I$11</f>
        <v>CUMPLE</v>
      </c>
      <c r="F23" s="18"/>
      <c r="G23" s="18" t="s">
        <v>24</v>
      </c>
      <c r="H23" s="18" t="s">
        <v>24</v>
      </c>
      <c r="I23" s="18" t="s">
        <v>24</v>
      </c>
      <c r="J23" s="63" t="str">
        <f t="shared" si="0"/>
        <v>HABILITADO</v>
      </c>
      <c r="K23" s="166"/>
    </row>
    <row r="24" spans="1:11" ht="16" x14ac:dyDescent="0.2">
      <c r="A24" s="95">
        <v>14</v>
      </c>
      <c r="B24" s="195" t="str">
        <f>+PROPONENTES!B23</f>
        <v>INT TERRA</v>
      </c>
      <c r="C24" s="95">
        <f>+PROPONENTES!M23</f>
        <v>1</v>
      </c>
      <c r="D24" s="239">
        <f>+PROPONENTES!N23</f>
        <v>1</v>
      </c>
      <c r="E24" s="25" t="str">
        <f>+'14'!$I$11</f>
        <v>CUMPLE</v>
      </c>
      <c r="F24" s="18"/>
      <c r="G24" s="18" t="s">
        <v>24</v>
      </c>
      <c r="H24" s="18" t="s">
        <v>24</v>
      </c>
      <c r="I24" s="18" t="s">
        <v>24</v>
      </c>
      <c r="J24" s="63" t="str">
        <f t="shared" si="0"/>
        <v>HABILITADO</v>
      </c>
      <c r="K24" s="233"/>
    </row>
    <row r="25" spans="1:11" ht="16" x14ac:dyDescent="0.2">
      <c r="A25" s="95">
        <v>15</v>
      </c>
      <c r="B25" s="195" t="str">
        <f>+PROPONENTES!B24</f>
        <v>CONSORCIO SAN RAFAEL</v>
      </c>
      <c r="C25" s="95">
        <f>+PROPONENTES!M24</f>
        <v>2</v>
      </c>
      <c r="D25" s="239">
        <f>+PROPONENTES!N24</f>
        <v>1</v>
      </c>
      <c r="E25" s="25" t="str">
        <f>+'15'!$I$11</f>
        <v>CUMPLE</v>
      </c>
      <c r="F25" s="18"/>
      <c r="G25" s="18" t="s">
        <v>24</v>
      </c>
      <c r="H25" s="18" t="s">
        <v>24</v>
      </c>
      <c r="I25" s="18" t="s">
        <v>24</v>
      </c>
      <c r="J25" s="63" t="str">
        <f t="shared" si="0"/>
        <v>HABILITADO</v>
      </c>
      <c r="K25" s="184"/>
    </row>
    <row r="26" spans="1:11" ht="16" x14ac:dyDescent="0.2">
      <c r="A26" s="95">
        <v>16</v>
      </c>
      <c r="B26" s="195" t="str">
        <f>+PROPONENTES!B25</f>
        <v>CONSORCIO INTER MALLA USAQUEN</v>
      </c>
      <c r="C26" s="95">
        <f>+PROPONENTES!M25</f>
        <v>2</v>
      </c>
      <c r="D26" s="239">
        <f>+PROPONENTES!N25</f>
        <v>1</v>
      </c>
      <c r="E26" s="25" t="str">
        <f>+'16'!$I$11</f>
        <v>CUMPLE</v>
      </c>
      <c r="F26" s="18"/>
      <c r="G26" s="18" t="s">
        <v>24</v>
      </c>
      <c r="H26" s="18" t="s">
        <v>26</v>
      </c>
      <c r="I26" s="18" t="s">
        <v>24</v>
      </c>
      <c r="J26" s="63" t="str">
        <f t="shared" si="0"/>
        <v>INHABILITADO</v>
      </c>
      <c r="K26" s="262"/>
    </row>
    <row r="27" spans="1:11" ht="16" x14ac:dyDescent="0.2">
      <c r="A27" s="95">
        <v>17</v>
      </c>
      <c r="B27" s="195" t="str">
        <f>+PROPONENTES!B26</f>
        <v>GAVINCO INGENIEROS CONSULTORES SAS</v>
      </c>
      <c r="C27" s="95">
        <f>+PROPONENTES!M26</f>
        <v>1</v>
      </c>
      <c r="D27" s="239">
        <f>+PROPONENTES!N26</f>
        <v>1</v>
      </c>
      <c r="E27" s="25" t="str">
        <f>+'17'!$I$11</f>
        <v>CUMPLE</v>
      </c>
      <c r="F27" s="18"/>
      <c r="G27" s="18" t="s">
        <v>24</v>
      </c>
      <c r="H27" s="18" t="s">
        <v>24</v>
      </c>
      <c r="I27" s="18" t="s">
        <v>24</v>
      </c>
      <c r="J27" s="63" t="str">
        <f t="shared" si="0"/>
        <v>HABILITADO</v>
      </c>
      <c r="K27" s="166"/>
    </row>
    <row r="28" spans="1:11" ht="16" x14ac:dyDescent="0.2">
      <c r="A28" s="95">
        <v>18</v>
      </c>
      <c r="B28" s="195" t="str">
        <f>+PROPONENTES!B27</f>
        <v>INGEOCILCON S.A.S.</v>
      </c>
      <c r="C28" s="95">
        <f>+PROPONENTES!M27</f>
        <v>1</v>
      </c>
      <c r="D28" s="239">
        <f>+PROPONENTES!N27</f>
        <v>1</v>
      </c>
      <c r="E28" s="25" t="str">
        <f>+'18'!$I$11</f>
        <v>CUMPLE</v>
      </c>
      <c r="F28" s="18"/>
      <c r="G28" s="18" t="s">
        <v>24</v>
      </c>
      <c r="H28" s="18" t="s">
        <v>24</v>
      </c>
      <c r="I28" s="18" t="s">
        <v>24</v>
      </c>
      <c r="J28" s="63" t="str">
        <f t="shared" si="0"/>
        <v>HABILITADO</v>
      </c>
      <c r="K28" s="233"/>
    </row>
    <row r="29" spans="1:11" ht="16" x14ac:dyDescent="0.2">
      <c r="A29" s="95">
        <v>19</v>
      </c>
      <c r="B29" s="195" t="str">
        <f>+PROPONENTES!B28</f>
        <v>CONSORCIO TORCA</v>
      </c>
      <c r="C29" s="95">
        <f>+PROPONENTES!M28</f>
        <v>3</v>
      </c>
      <c r="D29" s="239">
        <f>+PROPONENTES!N28</f>
        <v>1</v>
      </c>
      <c r="E29" s="25" t="str">
        <f>+'19'!$I$11</f>
        <v>CUMPLE</v>
      </c>
      <c r="F29" s="18"/>
      <c r="G29" s="18" t="s">
        <v>24</v>
      </c>
      <c r="H29" s="18" t="s">
        <v>24</v>
      </c>
      <c r="I29" s="18" t="s">
        <v>24</v>
      </c>
      <c r="J29" s="63" t="str">
        <f t="shared" si="0"/>
        <v>HABILITADO</v>
      </c>
      <c r="K29" s="233"/>
    </row>
    <row r="30" spans="1:11" ht="16" x14ac:dyDescent="0.2">
      <c r="A30" s="95">
        <v>20</v>
      </c>
      <c r="B30" s="195" t="str">
        <f>+PROPONENTES!B29</f>
        <v>CONSORCIO INTER USAQUEN JGK</v>
      </c>
      <c r="C30" s="95">
        <f>+PROPONENTES!M29</f>
        <v>2</v>
      </c>
      <c r="D30" s="239">
        <f>+PROPONENTES!N29</f>
        <v>1</v>
      </c>
      <c r="E30" s="25" t="str">
        <f>+'20'!$I$11</f>
        <v>CUMPLE</v>
      </c>
      <c r="F30" s="18"/>
      <c r="G30" s="18" t="s">
        <v>24</v>
      </c>
      <c r="H30" s="18" t="s">
        <v>24</v>
      </c>
      <c r="I30" s="18" t="s">
        <v>24</v>
      </c>
      <c r="J30" s="63" t="str">
        <f t="shared" si="0"/>
        <v>HABILITADO</v>
      </c>
      <c r="K30" s="233"/>
    </row>
    <row r="31" spans="1:11" ht="16" x14ac:dyDescent="0.2">
      <c r="A31" s="95">
        <v>21</v>
      </c>
      <c r="B31" s="195" t="str">
        <f>+PROPONENTES!B30</f>
        <v>CONSORCIO LGI USAQUÉN</v>
      </c>
      <c r="C31" s="95">
        <f>+PROPONENTES!M30</f>
        <v>2</v>
      </c>
      <c r="D31" s="239">
        <f>+PROPONENTES!N30</f>
        <v>1</v>
      </c>
      <c r="E31" s="25" t="str">
        <f>+'21'!$I$11</f>
        <v>CUMPLE</v>
      </c>
      <c r="F31" s="18"/>
      <c r="G31" s="18" t="s">
        <v>24</v>
      </c>
      <c r="H31" s="18" t="s">
        <v>24</v>
      </c>
      <c r="I31" s="18" t="s">
        <v>24</v>
      </c>
      <c r="J31" s="63" t="str">
        <f t="shared" si="0"/>
        <v>HABILITADO</v>
      </c>
      <c r="K31" s="233"/>
    </row>
    <row r="32" spans="1:11" ht="16" x14ac:dyDescent="0.2">
      <c r="A32" s="95">
        <v>22</v>
      </c>
      <c r="B32" s="195" t="str">
        <f>+PROPONENTES!B31</f>
        <v>CONSORCIO INTERDESARROLLO USAQUÉN</v>
      </c>
      <c r="C32" s="95">
        <f>+PROPONENTES!M31</f>
        <v>2</v>
      </c>
      <c r="D32" s="239">
        <f>+PROPONENTES!N31</f>
        <v>1</v>
      </c>
      <c r="E32" s="25" t="str">
        <f>+'22'!$I$11</f>
        <v>CUMPLE</v>
      </c>
      <c r="F32" s="18"/>
      <c r="G32" s="18" t="s">
        <v>24</v>
      </c>
      <c r="H32" s="18" t="s">
        <v>24</v>
      </c>
      <c r="I32" s="18" t="s">
        <v>24</v>
      </c>
      <c r="J32" s="63" t="str">
        <f t="shared" si="0"/>
        <v>HABILITADO</v>
      </c>
      <c r="K32" s="233"/>
    </row>
    <row r="33" spans="1:11" ht="16" x14ac:dyDescent="0.2">
      <c r="A33" s="95">
        <v>23</v>
      </c>
      <c r="B33" s="195" t="str">
        <f>+PROPONENTES!B32</f>
        <v>COBA B&amp;C SAS</v>
      </c>
      <c r="C33" s="95">
        <f>+PROPONENTES!M32</f>
        <v>1</v>
      </c>
      <c r="D33" s="239">
        <f>+PROPONENTES!N32</f>
        <v>1</v>
      </c>
      <c r="E33" s="25" t="str">
        <f>+'23'!$I$11</f>
        <v>CUMPLE</v>
      </c>
      <c r="F33" s="18"/>
      <c r="G33" s="18" t="s">
        <v>24</v>
      </c>
      <c r="H33" s="18" t="s">
        <v>24</v>
      </c>
      <c r="I33" s="18" t="s">
        <v>24</v>
      </c>
      <c r="J33" s="63" t="str">
        <f t="shared" si="0"/>
        <v>HABILITADO</v>
      </c>
      <c r="K33" s="233"/>
    </row>
    <row r="34" spans="1:11" ht="16" x14ac:dyDescent="0.2">
      <c r="A34" s="95">
        <v>24</v>
      </c>
      <c r="B34" s="195" t="str">
        <f>+PROPONENTES!B33</f>
        <v>CONSORCIO USAQUEN 3M</v>
      </c>
      <c r="C34" s="95">
        <f>+PROPONENTES!M33</f>
        <v>3</v>
      </c>
      <c r="D34" s="239">
        <f>+PROPONENTES!N33</f>
        <v>1</v>
      </c>
      <c r="E34" s="25" t="str">
        <f>+'24'!$I$11</f>
        <v>CUMPLE</v>
      </c>
      <c r="F34" s="18"/>
      <c r="G34" s="18" t="s">
        <v>24</v>
      </c>
      <c r="H34" s="18" t="s">
        <v>24</v>
      </c>
      <c r="I34" s="18" t="s">
        <v>24</v>
      </c>
      <c r="J34" s="63" t="str">
        <f t="shared" si="0"/>
        <v>HABILITADO</v>
      </c>
      <c r="K34" s="233"/>
    </row>
    <row r="35" spans="1:11" ht="16" x14ac:dyDescent="0.2">
      <c r="A35" s="95">
        <v>25</v>
      </c>
      <c r="B35" s="195" t="str">
        <f>+PROPONENTES!B34</f>
        <v>CB INGENIEROS SAS</v>
      </c>
      <c r="C35" s="95">
        <f>+PROPONENTES!M34</f>
        <v>1</v>
      </c>
      <c r="D35" s="239">
        <f>+PROPONENTES!N34</f>
        <v>1</v>
      </c>
      <c r="E35" s="25" t="str">
        <f>+'25'!$I$11</f>
        <v>CUMPLE</v>
      </c>
      <c r="F35" s="18"/>
      <c r="G35" s="18" t="s">
        <v>24</v>
      </c>
      <c r="H35" s="18" t="s">
        <v>24</v>
      </c>
      <c r="I35" s="18" t="s">
        <v>24</v>
      </c>
      <c r="J35" s="63" t="str">
        <f t="shared" si="0"/>
        <v>HABILITADO</v>
      </c>
      <c r="K35" s="233"/>
    </row>
    <row r="36" spans="1:11" ht="16" x14ac:dyDescent="0.2">
      <c r="A36" s="95">
        <v>26</v>
      </c>
      <c r="B36" s="195" t="str">
        <f>+PROPONENTES!B35</f>
        <v>PD USAQUEN</v>
      </c>
      <c r="C36" s="95">
        <f>+PROPONENTES!M35</f>
        <v>2</v>
      </c>
      <c r="D36" s="239">
        <f>+PROPONENTES!N35</f>
        <v>1</v>
      </c>
      <c r="E36" s="25" t="str">
        <f>+'26'!$I$11</f>
        <v>CUMPLE</v>
      </c>
      <c r="F36" s="18"/>
      <c r="G36" s="18" t="s">
        <v>24</v>
      </c>
      <c r="H36" s="18" t="s">
        <v>24</v>
      </c>
      <c r="I36" s="18" t="s">
        <v>24</v>
      </c>
      <c r="J36" s="63" t="str">
        <f t="shared" si="0"/>
        <v>HABILITADO</v>
      </c>
      <c r="K36" s="233"/>
    </row>
    <row r="37" spans="1:11" ht="16" x14ac:dyDescent="0.2">
      <c r="A37" s="95">
        <v>27</v>
      </c>
      <c r="B37" s="195" t="str">
        <f>+PROPONENTES!B36</f>
        <v>VICOS USAQUEN</v>
      </c>
      <c r="C37" s="95">
        <f>+PROPONENTES!M36</f>
        <v>3</v>
      </c>
      <c r="D37" s="239">
        <f>+PROPONENTES!N36</f>
        <v>1</v>
      </c>
      <c r="E37" s="25" t="str">
        <f>+'27'!$I$11</f>
        <v>CUMPLE</v>
      </c>
      <c r="F37" s="18"/>
      <c r="G37" s="18" t="s">
        <v>24</v>
      </c>
      <c r="H37" s="18" t="s">
        <v>24</v>
      </c>
      <c r="I37" s="18" t="s">
        <v>24</v>
      </c>
      <c r="J37" s="63" t="str">
        <f t="shared" si="0"/>
        <v>HABILITADO</v>
      </c>
      <c r="K37" s="233"/>
    </row>
    <row r="38" spans="1:11" ht="16" x14ac:dyDescent="0.2">
      <c r="A38" s="95">
        <v>28</v>
      </c>
      <c r="B38" s="195" t="str">
        <f>+PROPONENTES!B37</f>
        <v>CONSORCIO INTERVENTORIA COANDINA</v>
      </c>
      <c r="C38" s="95">
        <f>+PROPONENTES!M37</f>
        <v>2</v>
      </c>
      <c r="D38" s="239">
        <f>+PROPONENTES!N37</f>
        <v>1</v>
      </c>
      <c r="E38" s="25" t="str">
        <f>+'28'!$I$11</f>
        <v>CUMPLE</v>
      </c>
      <c r="F38" s="18"/>
      <c r="G38" s="18" t="s">
        <v>24</v>
      </c>
      <c r="H38" s="18" t="s">
        <v>24</v>
      </c>
      <c r="I38" s="18" t="s">
        <v>24</v>
      </c>
      <c r="J38" s="63" t="str">
        <f t="shared" si="0"/>
        <v>HABILITADO</v>
      </c>
      <c r="K38" s="234"/>
    </row>
    <row r="39" spans="1:11" ht="16" x14ac:dyDescent="0.2">
      <c r="A39" s="95">
        <v>29</v>
      </c>
      <c r="B39" s="195" t="str">
        <f>+PROPONENTES!B38</f>
        <v>CONSORCIO USAQUEN AVANZA MIC</v>
      </c>
      <c r="C39" s="95">
        <f>+PROPONENTES!M38</f>
        <v>3</v>
      </c>
      <c r="D39" s="239">
        <f>+PROPONENTES!N38</f>
        <v>1</v>
      </c>
      <c r="E39" s="25" t="str">
        <f>+'29'!$I$11</f>
        <v>CUMPLE</v>
      </c>
      <c r="F39" s="18"/>
      <c r="G39" s="18" t="s">
        <v>24</v>
      </c>
      <c r="H39" s="18" t="s">
        <v>24</v>
      </c>
      <c r="I39" s="18" t="s">
        <v>24</v>
      </c>
      <c r="J39" s="63" t="str">
        <f t="shared" si="0"/>
        <v>HABILITADO</v>
      </c>
      <c r="K39" s="233"/>
    </row>
    <row r="40" spans="1:11" ht="16" x14ac:dyDescent="0.2">
      <c r="A40" s="95">
        <v>30</v>
      </c>
      <c r="B40" s="195" t="str">
        <f>+PROPONENTES!B39</f>
        <v>CONSORCIO INTER-USAQUEN 003 HCPC</v>
      </c>
      <c r="C40" s="95">
        <f>+PROPONENTES!M39</f>
        <v>3</v>
      </c>
      <c r="D40" s="239">
        <f>+PROPONENTES!N39</f>
        <v>1</v>
      </c>
      <c r="E40" s="25" t="str">
        <f>+'30'!$I$11</f>
        <v>CUMPLE</v>
      </c>
      <c r="F40" s="18"/>
      <c r="G40" s="18" t="s">
        <v>24</v>
      </c>
      <c r="H40" s="18" t="s">
        <v>24</v>
      </c>
      <c r="I40" s="18" t="s">
        <v>24</v>
      </c>
      <c r="J40" s="63" t="str">
        <f t="shared" si="0"/>
        <v>HABILITADO</v>
      </c>
      <c r="K40" s="233"/>
    </row>
    <row r="41" spans="1:11" ht="16" x14ac:dyDescent="0.2">
      <c r="A41" s="95">
        <v>31</v>
      </c>
      <c r="B41" s="195" t="str">
        <f>+PROPONENTES!B40</f>
        <v>CONSORCIO VIAS USA 2025</v>
      </c>
      <c r="C41" s="95">
        <f>+PROPONENTES!M40</f>
        <v>2</v>
      </c>
      <c r="D41" s="239">
        <f>+PROPONENTES!N40</f>
        <v>1</v>
      </c>
      <c r="E41" s="25" t="str">
        <f>+'31'!$I$11</f>
        <v>CUMPLE</v>
      </c>
      <c r="F41" s="18"/>
      <c r="G41" s="18" t="s">
        <v>24</v>
      </c>
      <c r="H41" s="18" t="s">
        <v>24</v>
      </c>
      <c r="I41" s="18" t="s">
        <v>24</v>
      </c>
      <c r="J41" s="63" t="str">
        <f t="shared" si="0"/>
        <v>HABILITADO</v>
      </c>
      <c r="K41" s="233"/>
    </row>
    <row r="42" spans="1:11" ht="16" x14ac:dyDescent="0.2">
      <c r="A42" s="95">
        <v>32</v>
      </c>
      <c r="B42" s="195" t="str">
        <f>+PROPONENTES!B41</f>
        <v>CONSORCIO VIAL TAED USAQUEN</v>
      </c>
      <c r="C42" s="95">
        <f>+PROPONENTES!M41</f>
        <v>2</v>
      </c>
      <c r="D42" s="239">
        <f>+PROPONENTES!N41</f>
        <v>1</v>
      </c>
      <c r="E42" s="25" t="str">
        <f>+'32'!$I$11</f>
        <v>NO CUMPLE</v>
      </c>
      <c r="F42" s="18"/>
      <c r="G42" s="18" t="s">
        <v>24</v>
      </c>
      <c r="H42" s="18" t="s">
        <v>24</v>
      </c>
      <c r="I42" s="18" t="s">
        <v>24</v>
      </c>
      <c r="J42" s="63" t="str">
        <f t="shared" si="0"/>
        <v>INHABILITADO</v>
      </c>
      <c r="K42" s="312" t="s">
        <v>1419</v>
      </c>
    </row>
    <row r="43" spans="1:11" ht="16" x14ac:dyDescent="0.2">
      <c r="A43" s="95">
        <v>33</v>
      </c>
      <c r="B43" s="195" t="str">
        <f>+PROPONENTES!B42</f>
        <v>COLOMBOINGENIERIA S.A.S.</v>
      </c>
      <c r="C43" s="95">
        <f>+PROPONENTES!M42</f>
        <v>1</v>
      </c>
      <c r="D43" s="239">
        <f>+PROPONENTES!N42</f>
        <v>1</v>
      </c>
      <c r="E43" s="25" t="str">
        <f>+'33'!$I$11</f>
        <v>NO CUMPLE</v>
      </c>
      <c r="F43" s="18"/>
      <c r="G43" s="18" t="s">
        <v>24</v>
      </c>
      <c r="H43" s="18" t="s">
        <v>24</v>
      </c>
      <c r="I43" s="18" t="s">
        <v>24</v>
      </c>
      <c r="J43" s="63" t="str">
        <f t="shared" si="0"/>
        <v>INHABILITADO</v>
      </c>
      <c r="K43" s="312" t="s">
        <v>1419</v>
      </c>
    </row>
    <row r="44" spans="1:11" ht="16" x14ac:dyDescent="0.2">
      <c r="A44" s="95">
        <v>34</v>
      </c>
      <c r="B44" s="195" t="str">
        <f>+PROPONENTES!B43</f>
        <v>URBANO - USAQUEN 03</v>
      </c>
      <c r="C44" s="95">
        <f>+PROPONENTES!M43</f>
        <v>2</v>
      </c>
      <c r="D44" s="239">
        <f>+PROPONENTES!N43</f>
        <v>1</v>
      </c>
      <c r="E44" s="25" t="str">
        <f>+'34'!$I$11</f>
        <v>CUMPLE</v>
      </c>
      <c r="F44" s="18"/>
      <c r="G44" s="18" t="s">
        <v>26</v>
      </c>
      <c r="H44" s="18" t="s">
        <v>24</v>
      </c>
      <c r="I44" s="18" t="s">
        <v>24</v>
      </c>
      <c r="J44" s="63" t="str">
        <f t="shared" si="0"/>
        <v>INHABILITADO</v>
      </c>
      <c r="K44" s="233"/>
    </row>
    <row r="45" spans="1:11" ht="16" x14ac:dyDescent="0.2">
      <c r="A45" s="95">
        <v>35</v>
      </c>
      <c r="B45" s="195" t="str">
        <f>+PROPONENTES!B44</f>
        <v>CONSORCIO INTERUSAQUEN RH</v>
      </c>
      <c r="C45" s="95">
        <f>+PROPONENTES!M44</f>
        <v>2</v>
      </c>
      <c r="D45" s="239">
        <f>+PROPONENTES!N44</f>
        <v>1</v>
      </c>
      <c r="E45" s="25" t="str">
        <f>+'35'!$I$11</f>
        <v>CUMPLE</v>
      </c>
      <c r="F45" s="18"/>
      <c r="G45" s="18" t="s">
        <v>24</v>
      </c>
      <c r="H45" s="18" t="s">
        <v>24</v>
      </c>
      <c r="I45" s="18" t="s">
        <v>24</v>
      </c>
      <c r="J45" s="63" t="str">
        <f t="shared" si="0"/>
        <v>HABILITADO</v>
      </c>
      <c r="K45" s="233"/>
    </row>
    <row r="46" spans="1:11" ht="16" x14ac:dyDescent="0.2">
      <c r="A46" s="95">
        <v>36</v>
      </c>
      <c r="B46" s="195" t="str">
        <f>+PROPONENTES!B45</f>
        <v>CONSORCIO USAQUEN 2025</v>
      </c>
      <c r="C46" s="95">
        <f>+PROPONENTES!M45</f>
        <v>2</v>
      </c>
      <c r="D46" s="239">
        <f>+PROPONENTES!N45</f>
        <v>1</v>
      </c>
      <c r="E46" s="25" t="str">
        <f>+'36'!$I$11</f>
        <v>CUMPLE</v>
      </c>
      <c r="F46" s="18"/>
      <c r="G46" s="18" t="s">
        <v>24</v>
      </c>
      <c r="H46" s="18" t="s">
        <v>24</v>
      </c>
      <c r="I46" s="18" t="s">
        <v>24</v>
      </c>
      <c r="J46" s="63" t="str">
        <f t="shared" si="0"/>
        <v>HABILITADO</v>
      </c>
      <c r="K46" s="166"/>
    </row>
    <row r="47" spans="1:11" ht="16" x14ac:dyDescent="0.2">
      <c r="A47" s="95">
        <v>37</v>
      </c>
      <c r="B47" s="195" t="str">
        <f>+PROPONENTES!B46</f>
        <v>PRODEINCOL S.A.S.</v>
      </c>
      <c r="C47" s="95">
        <f>+PROPONENTES!M46</f>
        <v>1</v>
      </c>
      <c r="D47" s="239">
        <f>+PROPONENTES!N46</f>
        <v>1</v>
      </c>
      <c r="E47" s="25" t="str">
        <f>+'37'!$I$11</f>
        <v>CUMPLE</v>
      </c>
      <c r="F47" s="18"/>
      <c r="G47" s="18" t="s">
        <v>24</v>
      </c>
      <c r="H47" s="18" t="s">
        <v>24</v>
      </c>
      <c r="I47" s="18" t="s">
        <v>24</v>
      </c>
      <c r="J47" s="63" t="str">
        <f t="shared" si="0"/>
        <v>HABILITADO</v>
      </c>
      <c r="K47" s="184"/>
    </row>
    <row r="48" spans="1:11" ht="16" x14ac:dyDescent="0.2">
      <c r="A48" s="95">
        <v>38</v>
      </c>
      <c r="B48" s="195" t="str">
        <f>+PROPONENTES!B47</f>
        <v>PROYECTOS TECNICOS DE COLOMBIA SAS</v>
      </c>
      <c r="C48" s="95">
        <f>+PROPONENTES!M47</f>
        <v>1</v>
      </c>
      <c r="D48" s="239">
        <f>+PROPONENTES!N47</f>
        <v>1</v>
      </c>
      <c r="E48" s="25" t="str">
        <f>+'38'!$I$11</f>
        <v>CUMPLE</v>
      </c>
      <c r="F48" s="18"/>
      <c r="G48" s="18" t="s">
        <v>24</v>
      </c>
      <c r="H48" s="18" t="s">
        <v>24</v>
      </c>
      <c r="I48" s="18" t="s">
        <v>24</v>
      </c>
      <c r="J48" s="63" t="str">
        <f t="shared" si="0"/>
        <v>HABILITADO</v>
      </c>
      <c r="K48" s="233"/>
    </row>
    <row r="49" spans="1:11" ht="16" x14ac:dyDescent="0.2">
      <c r="A49" s="95">
        <v>39</v>
      </c>
      <c r="B49" s="195" t="str">
        <f>+PROPONENTES!B48</f>
        <v>CONSORCIO INTERPROVIAS USQ</v>
      </c>
      <c r="C49" s="95">
        <f>+PROPONENTES!M48</f>
        <v>2</v>
      </c>
      <c r="D49" s="239">
        <f>+PROPONENTES!N48</f>
        <v>1</v>
      </c>
      <c r="E49" s="25" t="str">
        <f>+'39'!$I$11</f>
        <v>CUMPLE</v>
      </c>
      <c r="F49" s="18"/>
      <c r="G49" s="18" t="s">
        <v>24</v>
      </c>
      <c r="H49" s="18" t="s">
        <v>24</v>
      </c>
      <c r="I49" s="18" t="s">
        <v>24</v>
      </c>
      <c r="J49" s="63" t="str">
        <f t="shared" si="0"/>
        <v>HABILITADO</v>
      </c>
      <c r="K49" s="233"/>
    </row>
    <row r="50" spans="1:11" ht="16" x14ac:dyDescent="0.2">
      <c r="A50" s="95">
        <v>40</v>
      </c>
      <c r="B50" s="195" t="str">
        <f>+PROPONENTES!B49</f>
        <v>CONSORCIO INTER Y19</v>
      </c>
      <c r="C50" s="95">
        <f>+PROPONENTES!M49</f>
        <v>2</v>
      </c>
      <c r="D50" s="239">
        <f>+PROPONENTES!N49</f>
        <v>1</v>
      </c>
      <c r="E50" s="25" t="str">
        <f>+'40'!$I$11</f>
        <v>CUMPLE</v>
      </c>
      <c r="F50" s="18"/>
      <c r="G50" s="18" t="s">
        <v>24</v>
      </c>
      <c r="H50" s="18" t="s">
        <v>24</v>
      </c>
      <c r="I50" s="18" t="s">
        <v>24</v>
      </c>
      <c r="J50" s="63" t="str">
        <f t="shared" si="0"/>
        <v>HABILITADO</v>
      </c>
      <c r="K50" s="233"/>
    </row>
    <row r="51" spans="1:11" ht="16" x14ac:dyDescent="0.2">
      <c r="A51" s="95">
        <v>41</v>
      </c>
      <c r="B51" s="195" t="str">
        <f>+PROPONENTES!B50</f>
        <v>CONSORCIO INTER AXPROCOL</v>
      </c>
      <c r="C51" s="95">
        <f>+PROPONENTES!M50</f>
        <v>2</v>
      </c>
      <c r="D51" s="239">
        <f>+PROPONENTES!N50</f>
        <v>1</v>
      </c>
      <c r="E51" s="25" t="str">
        <f>+'41'!$I$11</f>
        <v>NO CUMPLE</v>
      </c>
      <c r="F51" s="18"/>
      <c r="G51" s="18" t="s">
        <v>24</v>
      </c>
      <c r="H51" s="18" t="s">
        <v>24</v>
      </c>
      <c r="I51" s="18" t="s">
        <v>24</v>
      </c>
      <c r="J51" s="63" t="str">
        <f t="shared" si="0"/>
        <v>INHABILITADO</v>
      </c>
      <c r="K51" s="233"/>
    </row>
    <row r="52" spans="1:11" ht="16" x14ac:dyDescent="0.2">
      <c r="A52" s="95">
        <v>42</v>
      </c>
      <c r="B52" s="195" t="str">
        <f>+PROPONENTES!B51</f>
        <v>CONSERVACIÓN USAQUEN IC</v>
      </c>
      <c r="C52" s="95">
        <f>+PROPONENTES!M51</f>
        <v>2</v>
      </c>
      <c r="D52" s="239">
        <f>+PROPONENTES!N51</f>
        <v>1</v>
      </c>
      <c r="E52" s="25" t="str">
        <f>+'42'!$I$11</f>
        <v>CUMPLE</v>
      </c>
      <c r="F52" s="18"/>
      <c r="G52" s="18" t="s">
        <v>24</v>
      </c>
      <c r="H52" s="18" t="s">
        <v>24</v>
      </c>
      <c r="I52" s="18" t="s">
        <v>24</v>
      </c>
      <c r="J52" s="63" t="str">
        <f t="shared" si="0"/>
        <v>HABILITADO</v>
      </c>
      <c r="K52" s="233"/>
    </row>
    <row r="53" spans="1:11" ht="16" x14ac:dyDescent="0.2">
      <c r="A53" s="95">
        <v>43</v>
      </c>
      <c r="B53" s="195" t="str">
        <f>+PROPONENTES!B52</f>
        <v>CONSORCIO HGR–INCON 13</v>
      </c>
      <c r="C53" s="95">
        <f>+PROPONENTES!M52</f>
        <v>2</v>
      </c>
      <c r="D53" s="239">
        <f>+PROPONENTES!N52</f>
        <v>1</v>
      </c>
      <c r="E53" s="25" t="str">
        <f>+'43'!$I$11</f>
        <v>CUMPLE</v>
      </c>
      <c r="F53" s="18"/>
      <c r="G53" s="18" t="s">
        <v>24</v>
      </c>
      <c r="H53" s="18" t="s">
        <v>24</v>
      </c>
      <c r="I53" s="18" t="s">
        <v>24</v>
      </c>
      <c r="J53" s="63" t="str">
        <f t="shared" si="0"/>
        <v>HABILITADO</v>
      </c>
      <c r="K53" s="233"/>
    </row>
    <row r="54" spans="1:11" ht="16" x14ac:dyDescent="0.2">
      <c r="A54" s="95">
        <v>44</v>
      </c>
      <c r="B54" s="195" t="str">
        <f>+PROPONENTES!B53</f>
        <v>DF CONSULTORIA SAS</v>
      </c>
      <c r="C54" s="95">
        <f>+PROPONENTES!M53</f>
        <v>1</v>
      </c>
      <c r="D54" s="239">
        <f>+PROPONENTES!N53</f>
        <v>1</v>
      </c>
      <c r="E54" s="25" t="str">
        <f>+'44'!$I$11</f>
        <v>CUMPLE</v>
      </c>
      <c r="F54" s="18"/>
      <c r="G54" s="18" t="s">
        <v>24</v>
      </c>
      <c r="H54" s="18" t="s">
        <v>24</v>
      </c>
      <c r="I54" s="18" t="s">
        <v>24</v>
      </c>
      <c r="J54" s="63" t="str">
        <f t="shared" si="0"/>
        <v>HABILITADO</v>
      </c>
      <c r="K54" s="166"/>
    </row>
    <row r="55" spans="1:11" ht="16" x14ac:dyDescent="0.2">
      <c r="A55" s="95">
        <v>45</v>
      </c>
      <c r="B55" s="195" t="str">
        <f>+PROPONENTES!B54</f>
        <v>ARINCO SAS</v>
      </c>
      <c r="C55" s="95">
        <f>+PROPONENTES!M54</f>
        <v>1</v>
      </c>
      <c r="D55" s="239">
        <f>+PROPONENTES!N54</f>
        <v>1</v>
      </c>
      <c r="E55" s="25" t="str">
        <f>+'45'!$I$11</f>
        <v>CUMPLE</v>
      </c>
      <c r="F55" s="18"/>
      <c r="G55" s="18" t="s">
        <v>24</v>
      </c>
      <c r="H55" s="18" t="s">
        <v>24</v>
      </c>
      <c r="I55" s="18" t="s">
        <v>24</v>
      </c>
      <c r="J55" s="63" t="str">
        <f t="shared" si="0"/>
        <v>HABILITADO</v>
      </c>
      <c r="K55" s="166"/>
    </row>
    <row r="56" spans="1:11" ht="16" x14ac:dyDescent="0.2">
      <c r="A56" s="95">
        <v>46</v>
      </c>
      <c r="B56" s="195" t="str">
        <f>+PROPONENTES!B55</f>
        <v>MALLAUSA</v>
      </c>
      <c r="C56" s="95">
        <f>+PROPONENTES!M55</f>
        <v>3</v>
      </c>
      <c r="D56" s="239">
        <f>+PROPONENTES!N55</f>
        <v>1</v>
      </c>
      <c r="E56" s="25" t="str">
        <f>+'46'!$I$11</f>
        <v>CUMPLE</v>
      </c>
      <c r="F56" s="18"/>
      <c r="G56" s="18" t="s">
        <v>24</v>
      </c>
      <c r="H56" s="18" t="s">
        <v>24</v>
      </c>
      <c r="I56" s="18" t="s">
        <v>24</v>
      </c>
      <c r="J56" s="63" t="str">
        <f t="shared" si="0"/>
        <v>HABILITADO</v>
      </c>
      <c r="K56" s="233"/>
    </row>
    <row r="57" spans="1:11" ht="16" x14ac:dyDescent="0.2">
      <c r="A57" s="95">
        <v>47</v>
      </c>
      <c r="B57" s="195" t="str">
        <f>+PROPONENTES!B56</f>
        <v>CONSORCIO VÍAS URBANAS P&amp;C-U-2025</v>
      </c>
      <c r="C57" s="95">
        <f>+PROPONENTES!M56</f>
        <v>2</v>
      </c>
      <c r="D57" s="239">
        <f>+PROPONENTES!N56</f>
        <v>1</v>
      </c>
      <c r="E57" s="25" t="str">
        <f>+'47'!$I$11</f>
        <v>CUMPLE</v>
      </c>
      <c r="F57" s="18"/>
      <c r="G57" s="18" t="s">
        <v>24</v>
      </c>
      <c r="H57" s="18" t="s">
        <v>24</v>
      </c>
      <c r="I57" s="18" t="s">
        <v>24</v>
      </c>
      <c r="J57" s="63" t="str">
        <f t="shared" si="0"/>
        <v>HABILITADO</v>
      </c>
      <c r="K57" s="233"/>
    </row>
    <row r="58" spans="1:11" ht="16" x14ac:dyDescent="0.2">
      <c r="A58" s="95">
        <v>48</v>
      </c>
      <c r="B58" s="195" t="str">
        <f>+PROPONENTES!B57</f>
        <v>GES-USAQUEN-003</v>
      </c>
      <c r="C58" s="95">
        <f>+PROPONENTES!M57</f>
        <v>2</v>
      </c>
      <c r="D58" s="239">
        <f>+PROPONENTES!N57</f>
        <v>1</v>
      </c>
      <c r="E58" s="25" t="str">
        <f>+'48'!$I$11</f>
        <v>CUMPLE</v>
      </c>
      <c r="F58" s="18"/>
      <c r="G58" s="18" t="s">
        <v>24</v>
      </c>
      <c r="H58" s="18" t="s">
        <v>24</v>
      </c>
      <c r="I58" s="18" t="s">
        <v>26</v>
      </c>
      <c r="J58" s="63" t="str">
        <f t="shared" si="0"/>
        <v>INHABILITADO</v>
      </c>
      <c r="K58" s="312" t="s">
        <v>1419</v>
      </c>
    </row>
    <row r="59" spans="1:11" ht="16" x14ac:dyDescent="0.2">
      <c r="A59" s="95">
        <v>49</v>
      </c>
      <c r="B59" s="195" t="str">
        <f>+PROPONENTES!B58</f>
        <v>CONSORCIO SOLIING USAQUEN</v>
      </c>
      <c r="C59" s="95">
        <f>+PROPONENTES!M58</f>
        <v>2</v>
      </c>
      <c r="D59" s="239">
        <f>+PROPONENTES!N58</f>
        <v>1</v>
      </c>
      <c r="E59" s="25" t="str">
        <f>+'49'!$I$11</f>
        <v>CUMPLE</v>
      </c>
      <c r="F59" s="18"/>
      <c r="G59" s="18" t="s">
        <v>24</v>
      </c>
      <c r="H59" s="18" t="s">
        <v>24</v>
      </c>
      <c r="I59" s="18" t="s">
        <v>24</v>
      </c>
      <c r="J59" s="63" t="str">
        <f t="shared" si="0"/>
        <v>HABILITADO</v>
      </c>
      <c r="K59" s="233"/>
    </row>
    <row r="60" spans="1:11" ht="16" x14ac:dyDescent="0.2">
      <c r="A60" s="95">
        <v>50</v>
      </c>
      <c r="B60" s="195" t="str">
        <f>+PROPONENTES!B59</f>
        <v>INEXIA</v>
      </c>
      <c r="C60" s="95">
        <f>+PROPONENTES!M59</f>
        <v>1</v>
      </c>
      <c r="D60" s="239">
        <f>+PROPONENTES!N59</f>
        <v>1</v>
      </c>
      <c r="E60" s="25" t="str">
        <f>+'50'!$I$11</f>
        <v>CUMPLE</v>
      </c>
      <c r="F60" s="18"/>
      <c r="G60" s="18" t="s">
        <v>24</v>
      </c>
      <c r="H60" s="18" t="s">
        <v>24</v>
      </c>
      <c r="I60" s="18" t="s">
        <v>24</v>
      </c>
      <c r="J60" s="63" t="str">
        <f t="shared" si="0"/>
        <v>HABILITADO</v>
      </c>
      <c r="K60" s="233"/>
    </row>
    <row r="61" spans="1:11" ht="16" x14ac:dyDescent="0.2">
      <c r="A61" s="95">
        <v>51</v>
      </c>
      <c r="B61" s="195" t="str">
        <f>+PROPONENTES!B60</f>
        <v>INCOLTA S.A.S.</v>
      </c>
      <c r="C61" s="95">
        <f>+PROPONENTES!M60</f>
        <v>1</v>
      </c>
      <c r="D61" s="239">
        <f>+PROPONENTES!N60</f>
        <v>1</v>
      </c>
      <c r="E61" s="25" t="str">
        <f>+'51'!$I$11</f>
        <v>CUMPLE</v>
      </c>
      <c r="F61" s="18"/>
      <c r="G61" s="18" t="s">
        <v>24</v>
      </c>
      <c r="H61" s="18" t="s">
        <v>24</v>
      </c>
      <c r="I61" s="18" t="s">
        <v>24</v>
      </c>
      <c r="J61" s="63" t="str">
        <f t="shared" si="0"/>
        <v>HABILITADO</v>
      </c>
      <c r="K61" s="233"/>
    </row>
    <row r="62" spans="1:11" ht="16" x14ac:dyDescent="0.2">
      <c r="A62" s="95">
        <v>52</v>
      </c>
      <c r="B62" s="195" t="str">
        <f>+PROPONENTES!B61</f>
        <v>DIN INGENIERIA SAS</v>
      </c>
      <c r="C62" s="95">
        <f>+PROPONENTES!M61</f>
        <v>1</v>
      </c>
      <c r="D62" s="239">
        <f>+PROPONENTES!N61</f>
        <v>1</v>
      </c>
      <c r="E62" s="25" t="str">
        <f>+'52'!$I$11</f>
        <v>CUMPLE</v>
      </c>
      <c r="F62" s="18"/>
      <c r="G62" s="18" t="s">
        <v>24</v>
      </c>
      <c r="H62" s="18" t="s">
        <v>24</v>
      </c>
      <c r="I62" s="18" t="s">
        <v>24</v>
      </c>
      <c r="J62" s="63" t="str">
        <f t="shared" si="0"/>
        <v>HABILITADO</v>
      </c>
      <c r="K62" s="166"/>
    </row>
    <row r="63" spans="1:11" ht="48" x14ac:dyDescent="0.2">
      <c r="A63" s="95">
        <v>53</v>
      </c>
      <c r="B63" s="195" t="str">
        <f>+PROPONENTES!B62</f>
        <v>UNIOBRAS DEL ORIENTE S.A.S</v>
      </c>
      <c r="C63" s="95">
        <f>+PROPONENTES!M62</f>
        <v>1</v>
      </c>
      <c r="D63" s="239">
        <f>+PROPONENTES!N62</f>
        <v>1</v>
      </c>
      <c r="E63" s="25" t="str">
        <f>+'53'!$I$11</f>
        <v>NO CUMPLE</v>
      </c>
      <c r="F63" s="18"/>
      <c r="G63" s="18" t="s">
        <v>24</v>
      </c>
      <c r="H63" s="18" t="s">
        <v>24</v>
      </c>
      <c r="I63" s="18" t="s">
        <v>24</v>
      </c>
      <c r="J63" s="63" t="str">
        <f>IF(AND(E63="",G63="",H63="",I63=""),"",IF(AND(E63="CUMPLE",G63="CUMPLE",H63="CUMPLE",I63="CUMPLE"),"HABILITADO","INHABILITADO"))</f>
        <v>INHABILITADO</v>
      </c>
      <c r="K63" s="312" t="s">
        <v>1432</v>
      </c>
    </row>
    <row r="64" spans="1:11" ht="16" x14ac:dyDescent="0.2">
      <c r="A64" s="95">
        <v>54</v>
      </c>
      <c r="B64" s="195" t="str">
        <f>+PROPONENTES!B63</f>
        <v>INGESCOR S.A.S.</v>
      </c>
      <c r="C64" s="95">
        <f>+PROPONENTES!M63</f>
        <v>1</v>
      </c>
      <c r="D64" s="239">
        <f>+PROPONENTES!N63</f>
        <v>1</v>
      </c>
      <c r="E64" s="25" t="str">
        <f>+'54'!$I$11</f>
        <v>CUMPLE</v>
      </c>
      <c r="F64" s="18"/>
      <c r="G64" s="18" t="s">
        <v>24</v>
      </c>
      <c r="H64" s="18" t="s">
        <v>24</v>
      </c>
      <c r="I64" s="18" t="s">
        <v>24</v>
      </c>
      <c r="J64" s="63" t="str">
        <f t="shared" si="0"/>
        <v>HABILITADO</v>
      </c>
      <c r="K64" s="233"/>
    </row>
    <row r="65" spans="1:11" ht="16" x14ac:dyDescent="0.2">
      <c r="A65" s="95">
        <v>55</v>
      </c>
      <c r="B65" s="195" t="str">
        <f>+PROPONENTES!B64</f>
        <v>CONSORCIO FENIX</v>
      </c>
      <c r="C65" s="95">
        <f>+PROPONENTES!M64</f>
        <v>2</v>
      </c>
      <c r="D65" s="239">
        <f>+PROPONENTES!N64</f>
        <v>1</v>
      </c>
      <c r="E65" s="25" t="str">
        <f>+'55'!$I$11</f>
        <v>CUMPLE</v>
      </c>
      <c r="F65" s="18"/>
      <c r="G65" s="18" t="s">
        <v>24</v>
      </c>
      <c r="H65" s="18" t="s">
        <v>24</v>
      </c>
      <c r="I65" s="18" t="s">
        <v>26</v>
      </c>
      <c r="J65" s="63" t="str">
        <f t="shared" si="0"/>
        <v>INHABILITADO</v>
      </c>
      <c r="K65" s="312" t="s">
        <v>1419</v>
      </c>
    </row>
    <row r="66" spans="1:11" ht="16" x14ac:dyDescent="0.2">
      <c r="A66" s="95">
        <v>56</v>
      </c>
      <c r="B66" s="195" t="str">
        <f>+PROPONENTES!B65</f>
        <v>INGOSER SAS</v>
      </c>
      <c r="C66" s="95">
        <f>+PROPONENTES!M65</f>
        <v>1</v>
      </c>
      <c r="D66" s="239">
        <f>+PROPONENTES!N65</f>
        <v>1</v>
      </c>
      <c r="E66" s="25" t="str">
        <f>+'56'!$I$11</f>
        <v>CUMPLE</v>
      </c>
      <c r="F66" s="18"/>
      <c r="G66" s="18" t="s">
        <v>24</v>
      </c>
      <c r="H66" s="18" t="s">
        <v>24</v>
      </c>
      <c r="I66" s="18" t="s">
        <v>24</v>
      </c>
      <c r="J66" s="63" t="str">
        <f t="shared" si="0"/>
        <v>HABILITADO</v>
      </c>
      <c r="K66" s="233"/>
    </row>
    <row r="67" spans="1:11" ht="16" x14ac:dyDescent="0.2">
      <c r="A67" s="95">
        <v>57</v>
      </c>
      <c r="B67" s="195" t="str">
        <f>+PROPONENTES!B66</f>
        <v>EUROESTUDIOS INGENIEROS DE CONSULTA SAS</v>
      </c>
      <c r="C67" s="95">
        <f>+PROPONENTES!M66</f>
        <v>1</v>
      </c>
      <c r="D67" s="239">
        <f>+PROPONENTES!N66</f>
        <v>1</v>
      </c>
      <c r="E67" s="25" t="str">
        <f>+'57'!$I$11</f>
        <v>CUMPLE</v>
      </c>
      <c r="F67" s="18"/>
      <c r="G67" s="18" t="s">
        <v>26</v>
      </c>
      <c r="H67" s="18" t="s">
        <v>24</v>
      </c>
      <c r="I67" s="18" t="s">
        <v>24</v>
      </c>
      <c r="J67" s="63" t="str">
        <f t="shared" si="0"/>
        <v>INHABILITADO</v>
      </c>
      <c r="K67" s="233"/>
    </row>
    <row r="68" spans="1:11" ht="16" x14ac:dyDescent="0.2">
      <c r="A68" s="95">
        <v>58</v>
      </c>
      <c r="B68" s="195" t="str">
        <f>+PROPONENTES!B67</f>
        <v>CONSORCIO CUARZO 37</v>
      </c>
      <c r="C68" s="95">
        <f>+PROPONENTES!M67</f>
        <v>2</v>
      </c>
      <c r="D68" s="239">
        <f>+PROPONENTES!N67</f>
        <v>1</v>
      </c>
      <c r="E68" s="25" t="str">
        <f>+'58'!$I$11</f>
        <v>CUMPLE</v>
      </c>
      <c r="F68" s="18"/>
      <c r="G68" s="18" t="s">
        <v>24</v>
      </c>
      <c r="H68" s="18" t="s">
        <v>24</v>
      </c>
      <c r="I68" s="18" t="s">
        <v>24</v>
      </c>
      <c r="J68" s="63" t="str">
        <f t="shared" si="0"/>
        <v>HABILITADO</v>
      </c>
      <c r="K68" s="233"/>
    </row>
    <row r="69" spans="1:11" ht="16" x14ac:dyDescent="0.2">
      <c r="A69" s="95">
        <v>59</v>
      </c>
      <c r="B69" s="195" t="str">
        <f>+PROPONENTES!B68</f>
        <v>INGENIERIA MASTER S.A.S.</v>
      </c>
      <c r="C69" s="95">
        <f>+PROPONENTES!M68</f>
        <v>1</v>
      </c>
      <c r="D69" s="239">
        <f>+PROPONENTES!N68</f>
        <v>1</v>
      </c>
      <c r="E69" s="25" t="str">
        <f>+'59'!$I$11</f>
        <v>CUMPLE</v>
      </c>
      <c r="F69" s="18"/>
      <c r="G69" s="18" t="s">
        <v>24</v>
      </c>
      <c r="H69" s="18" t="s">
        <v>24</v>
      </c>
      <c r="I69" s="18" t="s">
        <v>24</v>
      </c>
      <c r="J69" s="63" t="str">
        <f t="shared" si="0"/>
        <v>HABILITADO</v>
      </c>
      <c r="K69" s="233"/>
    </row>
    <row r="70" spans="1:11" s="4" customFormat="1" ht="16" x14ac:dyDescent="0.2">
      <c r="A70" s="95">
        <v>60</v>
      </c>
      <c r="B70" s="195" t="str">
        <f>+PROPONENTES!B69</f>
        <v>CONSULTORES DONOVAN SAS</v>
      </c>
      <c r="C70" s="194">
        <f>+PROPONENTES!M69</f>
        <v>1</v>
      </c>
      <c r="D70" s="237">
        <f>+PROPONENTES!N69</f>
        <v>1</v>
      </c>
      <c r="E70" s="25" t="str">
        <f>+'60'!$I$11</f>
        <v>CUMPLE</v>
      </c>
      <c r="F70" s="238"/>
      <c r="G70" s="18" t="s">
        <v>24</v>
      </c>
      <c r="H70" s="18" t="s">
        <v>24</v>
      </c>
      <c r="I70" s="18" t="s">
        <v>24</v>
      </c>
      <c r="J70" s="63" t="str">
        <f t="shared" si="0"/>
        <v>HABILITADO</v>
      </c>
      <c r="K70" s="233"/>
    </row>
    <row r="71" spans="1:11" ht="16" x14ac:dyDescent="0.2">
      <c r="A71" s="95">
        <v>61</v>
      </c>
      <c r="B71" s="195" t="str">
        <f>+PROPONENTES!B70</f>
        <v>VERBENAL 25</v>
      </c>
      <c r="C71" s="95">
        <f>+PROPONENTES!M70</f>
        <v>2</v>
      </c>
      <c r="D71" s="239">
        <f>+PROPONENTES!N70</f>
        <v>0</v>
      </c>
      <c r="E71" s="25" t="str">
        <f>+'61'!$I$11</f>
        <v>CUMPLE</v>
      </c>
      <c r="F71" s="18"/>
      <c r="G71" s="18" t="s">
        <v>24</v>
      </c>
      <c r="H71" s="18" t="s">
        <v>24</v>
      </c>
      <c r="I71" s="18" t="s">
        <v>24</v>
      </c>
      <c r="J71" s="63" t="str">
        <f t="shared" si="0"/>
        <v>HABILITADO</v>
      </c>
      <c r="K71" s="262"/>
    </row>
    <row r="72" spans="1:11" ht="16" x14ac:dyDescent="0.2">
      <c r="A72" s="95">
        <v>62</v>
      </c>
      <c r="B72" s="195" t="str">
        <f>+PROPONENTES!B71</f>
        <v>CONSORCIO GL USAQUEN 2025</v>
      </c>
      <c r="C72" s="95">
        <f>+PROPONENTES!M71</f>
        <v>2</v>
      </c>
      <c r="D72" s="239">
        <f>+PROPONENTES!N71</f>
        <v>1</v>
      </c>
      <c r="E72" s="25" t="str">
        <f>+'62'!$I$11</f>
        <v>CUMPLE</v>
      </c>
      <c r="F72" s="18"/>
      <c r="G72" s="18" t="s">
        <v>24</v>
      </c>
      <c r="H72" s="18" t="s">
        <v>24</v>
      </c>
      <c r="I72" s="18" t="s">
        <v>24</v>
      </c>
      <c r="J72" s="63" t="str">
        <f t="shared" si="0"/>
        <v>HABILITADO</v>
      </c>
      <c r="K72" s="233"/>
    </row>
    <row r="73" spans="1:11" ht="48" x14ac:dyDescent="0.2">
      <c r="A73" s="95">
        <v>63</v>
      </c>
      <c r="B73" s="195" t="str">
        <f>+PROPONENTES!B72</f>
        <v>TORRES &amp; ASOCIADOS</v>
      </c>
      <c r="C73" s="95">
        <f>+PROPONENTES!M72</f>
        <v>1</v>
      </c>
      <c r="D73" s="239">
        <f>+PROPONENTES!N72</f>
        <v>1</v>
      </c>
      <c r="E73" s="25" t="str">
        <f>+'63'!$I$11</f>
        <v>NO CUMPLE</v>
      </c>
      <c r="F73" s="18"/>
      <c r="G73" s="18" t="s">
        <v>24</v>
      </c>
      <c r="H73" s="18" t="s">
        <v>24</v>
      </c>
      <c r="I73" s="18" t="s">
        <v>24</v>
      </c>
      <c r="J73" s="63" t="str">
        <f>IF(AND(E73="",G73="",H73="",I73=""),"",IF(AND(E73="CUMPLE",G73="CUMPLE",H73="CUMPLE",I73="CUMPLE"),"HABILITADO","INHABILITADO"))</f>
        <v>INHABILITADO</v>
      </c>
      <c r="K73" s="312" t="s">
        <v>1432</v>
      </c>
    </row>
    <row r="74" spans="1:11" ht="16" x14ac:dyDescent="0.2">
      <c r="A74" s="95">
        <v>64</v>
      </c>
      <c r="B74" s="195" t="str">
        <f>+PROPONENTES!B73</f>
        <v>TRIPLE C SAS</v>
      </c>
      <c r="C74" s="95">
        <f>+PROPONENTES!M73</f>
        <v>1</v>
      </c>
      <c r="D74" s="239">
        <f>+PROPONENTES!N73</f>
        <v>1</v>
      </c>
      <c r="E74" s="25" t="str">
        <f>+'64'!$I$11</f>
        <v>CUMPLE</v>
      </c>
      <c r="F74" s="18"/>
      <c r="G74" s="18" t="s">
        <v>24</v>
      </c>
      <c r="H74" s="18" t="s">
        <v>24</v>
      </c>
      <c r="I74" s="18" t="s">
        <v>24</v>
      </c>
      <c r="J74" s="63" t="str">
        <f t="shared" si="0"/>
        <v>HABILITADO</v>
      </c>
      <c r="K74" s="184"/>
    </row>
    <row r="75" spans="1:11" ht="16" x14ac:dyDescent="0.2">
      <c r="A75" s="95">
        <v>65</v>
      </c>
      <c r="B75" s="195" t="str">
        <f>+PROPONENTES!B74</f>
        <v>CONSORCIO VERTEX</v>
      </c>
      <c r="C75" s="95">
        <f>+PROPONENTES!M74</f>
        <v>2</v>
      </c>
      <c r="D75" s="239">
        <f>+PROPONENTES!N74</f>
        <v>1</v>
      </c>
      <c r="E75" s="25" t="str">
        <f>+'65'!$I$11</f>
        <v>CUMPLE</v>
      </c>
      <c r="F75" s="18"/>
      <c r="G75" s="18" t="s">
        <v>24</v>
      </c>
      <c r="H75" s="18" t="s">
        <v>24</v>
      </c>
      <c r="I75" s="18" t="s">
        <v>24</v>
      </c>
      <c r="J75" s="63" t="str">
        <f t="shared" si="0"/>
        <v>HABILITADO</v>
      </c>
      <c r="K75" s="233"/>
    </row>
    <row r="76" spans="1:11" ht="16" x14ac:dyDescent="0.2">
      <c r="A76" s="95">
        <v>66</v>
      </c>
      <c r="B76" s="195" t="str">
        <f>+PROPONENTES!B75</f>
        <v>UMBRELLA INTERNATIONAL S.A.S</v>
      </c>
      <c r="C76" s="95">
        <f>+PROPONENTES!M75</f>
        <v>1</v>
      </c>
      <c r="D76" s="239">
        <f>+PROPONENTES!N75</f>
        <v>1</v>
      </c>
      <c r="E76" s="25" t="str">
        <f>+'66'!$I$11</f>
        <v>CUMPLE</v>
      </c>
      <c r="F76" s="18"/>
      <c r="G76" s="18" t="s">
        <v>24</v>
      </c>
      <c r="H76" s="18" t="s">
        <v>24</v>
      </c>
      <c r="I76" s="18" t="s">
        <v>24</v>
      </c>
      <c r="J76" s="63" t="str">
        <f t="shared" ref="J76:J104" si="1">IF(AND(E76="",G76="",H76="",I76=""),"",IF(AND(E76="CUMPLE",G76="CUMPLE",H76="CUMPLE",I76="CUMPLE"),"HABILITADO","INHABILITADO"))</f>
        <v>HABILITADO</v>
      </c>
      <c r="K76" s="184"/>
    </row>
    <row r="77" spans="1:11" ht="16" x14ac:dyDescent="0.2">
      <c r="A77" s="95">
        <v>67</v>
      </c>
      <c r="B77" s="195" t="str">
        <f>+PROPONENTES!B76</f>
        <v>ICE S.A.S.</v>
      </c>
      <c r="C77" s="95">
        <f>+PROPONENTES!M76</f>
        <v>1</v>
      </c>
      <c r="D77" s="239">
        <f>+PROPONENTES!N76</f>
        <v>1</v>
      </c>
      <c r="E77" s="25" t="str">
        <f>+'67'!$I$11</f>
        <v>CUMPLE</v>
      </c>
      <c r="F77" s="18"/>
      <c r="G77" s="18" t="s">
        <v>26</v>
      </c>
      <c r="H77" s="18" t="s">
        <v>24</v>
      </c>
      <c r="I77" s="18" t="s">
        <v>24</v>
      </c>
      <c r="J77" s="63" t="str">
        <f t="shared" si="1"/>
        <v>INHABILITADO</v>
      </c>
      <c r="K77" s="233"/>
    </row>
    <row r="78" spans="1:11" ht="16" x14ac:dyDescent="0.2">
      <c r="A78" s="95">
        <v>68</v>
      </c>
      <c r="B78" s="195" t="str">
        <f>+PROPONENTES!B77</f>
        <v>INTERVENTORIA Y CONSTRUCIVILES SAS</v>
      </c>
      <c r="C78" s="95">
        <f>+PROPONENTES!M77</f>
        <v>1</v>
      </c>
      <c r="D78" s="239">
        <f>+PROPONENTES!N77</f>
        <v>1</v>
      </c>
      <c r="E78" s="25" t="str">
        <f>+'68'!$I$11</f>
        <v>CUMPLE</v>
      </c>
      <c r="F78" s="18"/>
      <c r="G78" s="18" t="s">
        <v>24</v>
      </c>
      <c r="H78" s="18" t="s">
        <v>24</v>
      </c>
      <c r="I78" s="18" t="s">
        <v>24</v>
      </c>
      <c r="J78" s="63" t="str">
        <f t="shared" si="1"/>
        <v>HABILITADO</v>
      </c>
      <c r="K78" s="233"/>
    </row>
    <row r="79" spans="1:11" ht="16" x14ac:dyDescent="0.2">
      <c r="A79" s="95">
        <v>69</v>
      </c>
      <c r="B79" s="195" t="str">
        <f>+PROPONENTES!B78</f>
        <v>CONSORCIO BLUCK</v>
      </c>
      <c r="C79" s="95">
        <f>+PROPONENTES!M78</f>
        <v>2</v>
      </c>
      <c r="D79" s="239">
        <f>+PROPONENTES!N78</f>
        <v>1</v>
      </c>
      <c r="E79" s="25" t="str">
        <f>+'69'!$I$11</f>
        <v>CUMPLE</v>
      </c>
      <c r="F79" s="18"/>
      <c r="G79" s="18" t="s">
        <v>24</v>
      </c>
      <c r="H79" s="18" t="s">
        <v>24</v>
      </c>
      <c r="I79" s="18" t="s">
        <v>24</v>
      </c>
      <c r="J79" s="63" t="str">
        <f t="shared" si="1"/>
        <v>HABILITADO</v>
      </c>
      <c r="K79" s="184"/>
    </row>
    <row r="80" spans="1:11" ht="16" x14ac:dyDescent="0.2">
      <c r="A80" s="95">
        <v>70</v>
      </c>
      <c r="B80" s="195" t="str">
        <f>+PROPONENTES!B79</f>
        <v>CONSORCIO DESARROLLO URBANO USAQUEN</v>
      </c>
      <c r="C80" s="95">
        <f>+PROPONENTES!M79</f>
        <v>2</v>
      </c>
      <c r="D80" s="239">
        <f>+PROPONENTES!N79</f>
        <v>1</v>
      </c>
      <c r="E80" s="25" t="str">
        <f>+'70'!$I$11</f>
        <v>CUMPLE</v>
      </c>
      <c r="F80" s="18"/>
      <c r="G80" s="18" t="s">
        <v>24</v>
      </c>
      <c r="H80" s="18" t="s">
        <v>24</v>
      </c>
      <c r="I80" s="18" t="s">
        <v>24</v>
      </c>
      <c r="J80" s="63" t="str">
        <f t="shared" si="1"/>
        <v>HABILITADO</v>
      </c>
      <c r="K80" s="233"/>
    </row>
    <row r="81" spans="1:11" ht="16" x14ac:dyDescent="0.2">
      <c r="A81" s="95">
        <v>71</v>
      </c>
      <c r="B81" s="195" t="str">
        <f>+PROPONENTES!B80</f>
        <v>PIV Ingenieria S.A.S.</v>
      </c>
      <c r="C81" s="95">
        <f>+PROPONENTES!M80</f>
        <v>1</v>
      </c>
      <c r="D81" s="239">
        <f>+PROPONENTES!N80</f>
        <v>1</v>
      </c>
      <c r="E81" s="25" t="str">
        <f>+'71'!$I$11</f>
        <v>CUMPLE</v>
      </c>
      <c r="F81" s="18"/>
      <c r="G81" s="18" t="s">
        <v>24</v>
      </c>
      <c r="H81" s="18" t="s">
        <v>24</v>
      </c>
      <c r="I81" s="18" t="s">
        <v>24</v>
      </c>
      <c r="J81" s="63" t="str">
        <f t="shared" si="1"/>
        <v>HABILITADO</v>
      </c>
      <c r="K81" s="184"/>
    </row>
    <row r="82" spans="1:11" ht="16" x14ac:dyDescent="0.2">
      <c r="A82" s="95">
        <v>72</v>
      </c>
      <c r="B82" s="195" t="str">
        <f>+PROPONENTES!B81</f>
        <v>TECNUMEC S.A.S.</v>
      </c>
      <c r="C82" s="95">
        <f>+PROPONENTES!M81</f>
        <v>1</v>
      </c>
      <c r="D82" s="239">
        <f>+PROPONENTES!N81</f>
        <v>1</v>
      </c>
      <c r="E82" s="25" t="str">
        <f>+'72'!$I$11</f>
        <v>CUMPLE</v>
      </c>
      <c r="F82" s="18"/>
      <c r="G82" s="18" t="s">
        <v>24</v>
      </c>
      <c r="H82" s="18" t="s">
        <v>24</v>
      </c>
      <c r="I82" s="18" t="s">
        <v>24</v>
      </c>
      <c r="J82" s="63" t="str">
        <f t="shared" si="1"/>
        <v>HABILITADO</v>
      </c>
      <c r="K82" s="233"/>
    </row>
    <row r="83" spans="1:11" ht="16" x14ac:dyDescent="0.2">
      <c r="A83" s="95">
        <v>73</v>
      </c>
      <c r="B83" s="195" t="str">
        <f>+PROPONENTES!B82</f>
        <v>ALIANZA INTEGRAL DE PROYECTOS SAS BIC</v>
      </c>
      <c r="C83" s="95">
        <f>+PROPONENTES!M82</f>
        <v>1</v>
      </c>
      <c r="D83" s="239">
        <f>+PROPONENTES!N82</f>
        <v>1</v>
      </c>
      <c r="E83" s="25" t="str">
        <f>+'73'!$I$11</f>
        <v>CUMPLE</v>
      </c>
      <c r="F83" s="18"/>
      <c r="G83" s="18" t="s">
        <v>24</v>
      </c>
      <c r="H83" s="18" t="s">
        <v>24</v>
      </c>
      <c r="I83" s="18" t="s">
        <v>24</v>
      </c>
      <c r="J83" s="63" t="str">
        <f t="shared" si="1"/>
        <v>HABILITADO</v>
      </c>
      <c r="K83" s="233"/>
    </row>
    <row r="84" spans="1:11" ht="16" x14ac:dyDescent="0.2">
      <c r="A84" s="95">
        <v>74</v>
      </c>
      <c r="B84" s="195" t="str">
        <f>+PROPONENTES!B83</f>
        <v>CONSORCIO USAQUÉN VELNEC</v>
      </c>
      <c r="C84" s="95">
        <f>+PROPONENTES!M83</f>
        <v>2</v>
      </c>
      <c r="D84" s="239">
        <f>+PROPONENTES!N83</f>
        <v>1</v>
      </c>
      <c r="E84" s="25" t="str">
        <f>+'74'!$I$11</f>
        <v>CUMPLE</v>
      </c>
      <c r="F84" s="18"/>
      <c r="G84" s="18" t="s">
        <v>24</v>
      </c>
      <c r="H84" s="18" t="s">
        <v>24</v>
      </c>
      <c r="I84" s="18" t="s">
        <v>24</v>
      </c>
      <c r="J84" s="63" t="str">
        <f t="shared" si="1"/>
        <v>HABILITADO</v>
      </c>
      <c r="K84" s="166"/>
    </row>
    <row r="85" spans="1:11" ht="16" x14ac:dyDescent="0.2">
      <c r="A85" s="95">
        <v>75</v>
      </c>
      <c r="B85" s="195" t="str">
        <f>+PROPONENTES!B84</f>
        <v>GEVIAL S.A.S.</v>
      </c>
      <c r="C85" s="95">
        <f>+PROPONENTES!M84</f>
        <v>1</v>
      </c>
      <c r="D85" s="239">
        <f>+PROPONENTES!N84</f>
        <v>1</v>
      </c>
      <c r="E85" s="25" t="str">
        <f>+'75'!$I$11</f>
        <v>CUMPLE</v>
      </c>
      <c r="F85" s="18"/>
      <c r="G85" s="18" t="s">
        <v>24</v>
      </c>
      <c r="H85" s="18" t="s">
        <v>24</v>
      </c>
      <c r="I85" s="18" t="s">
        <v>24</v>
      </c>
      <c r="J85" s="63" t="str">
        <f t="shared" si="1"/>
        <v>HABILITADO</v>
      </c>
      <c r="K85" s="166"/>
    </row>
    <row r="86" spans="1:11" ht="16" x14ac:dyDescent="0.2">
      <c r="A86" s="95">
        <v>76</v>
      </c>
      <c r="B86" s="195" t="str">
        <f>+PROPONENTES!B85</f>
        <v>CONSORCIO HUPK VIAS DE USAQUEN</v>
      </c>
      <c r="C86" s="95">
        <f>+PROPONENTES!M85</f>
        <v>2</v>
      </c>
      <c r="D86" s="239">
        <f>+PROPONENTES!N85</f>
        <v>1</v>
      </c>
      <c r="E86" s="25" t="str">
        <f>+'76'!$I$11</f>
        <v>CUMPLE</v>
      </c>
      <c r="F86" s="18"/>
      <c r="G86" s="18" t="s">
        <v>24</v>
      </c>
      <c r="H86" s="18" t="s">
        <v>24</v>
      </c>
      <c r="I86" s="18" t="s">
        <v>26</v>
      </c>
      <c r="J86" s="63" t="str">
        <f t="shared" si="1"/>
        <v>INHABILITADO</v>
      </c>
      <c r="K86" s="312" t="s">
        <v>1419</v>
      </c>
    </row>
    <row r="87" spans="1:11" ht="16" x14ac:dyDescent="0.2">
      <c r="A87" s="95">
        <v>77</v>
      </c>
      <c r="B87" s="195" t="str">
        <f>+PROPONENTES!B86</f>
        <v>EMPRESA DE INFRAESTRUCTURA COLOMBIANA S.A.S</v>
      </c>
      <c r="C87" s="95">
        <f>+PROPONENTES!M86</f>
        <v>1</v>
      </c>
      <c r="D87" s="239">
        <f>+PROPONENTES!N86</f>
        <v>1</v>
      </c>
      <c r="E87" s="25" t="str">
        <f>+'77'!$I$11</f>
        <v>CUMPLE</v>
      </c>
      <c r="F87" s="18"/>
      <c r="G87" s="18" t="s">
        <v>24</v>
      </c>
      <c r="H87" s="18" t="s">
        <v>24</v>
      </c>
      <c r="I87" s="18" t="s">
        <v>24</v>
      </c>
      <c r="J87" s="63" t="str">
        <f t="shared" si="1"/>
        <v>HABILITADO</v>
      </c>
      <c r="K87" s="166"/>
    </row>
    <row r="88" spans="1:11" ht="16" x14ac:dyDescent="0.2">
      <c r="A88" s="95">
        <v>78</v>
      </c>
      <c r="B88" s="195" t="str">
        <f>+PROPONENTES!B87</f>
        <v>CONSORCIO VIAS LOCALES 2025</v>
      </c>
      <c r="C88" s="95">
        <f>+PROPONENTES!M87</f>
        <v>2</v>
      </c>
      <c r="D88" s="239">
        <f>+PROPONENTES!N87</f>
        <v>1</v>
      </c>
      <c r="E88" s="25" t="str">
        <f>+'78'!$I$11</f>
        <v>CUMPLE</v>
      </c>
      <c r="F88" s="18"/>
      <c r="G88" s="18" t="s">
        <v>24</v>
      </c>
      <c r="H88" s="18" t="s">
        <v>24</v>
      </c>
      <c r="I88" s="18" t="s">
        <v>24</v>
      </c>
      <c r="J88" s="63" t="str">
        <f t="shared" si="1"/>
        <v>HABILITADO</v>
      </c>
      <c r="K88" s="233"/>
    </row>
    <row r="89" spans="1:11" ht="16" x14ac:dyDescent="0.2">
      <c r="A89" s="95">
        <v>79</v>
      </c>
      <c r="B89" s="195" t="str">
        <f>+PROPONENTES!B88</f>
        <v>CONSORCIO MALLA VIAL USA</v>
      </c>
      <c r="C89" s="95">
        <f>+PROPONENTES!M88</f>
        <v>2</v>
      </c>
      <c r="D89" s="239">
        <f>+PROPONENTES!N88</f>
        <v>1</v>
      </c>
      <c r="E89" s="25" t="str">
        <f>+'79'!$I$11</f>
        <v>CUMPLE</v>
      </c>
      <c r="F89" s="18"/>
      <c r="G89" s="18" t="s">
        <v>24</v>
      </c>
      <c r="H89" s="18" t="s">
        <v>24</v>
      </c>
      <c r="I89" s="18" t="s">
        <v>24</v>
      </c>
      <c r="J89" s="63" t="str">
        <f t="shared" si="1"/>
        <v>HABILITADO</v>
      </c>
      <c r="K89" s="233"/>
    </row>
    <row r="90" spans="1:11" ht="48" x14ac:dyDescent="0.2">
      <c r="A90" s="95">
        <v>80</v>
      </c>
      <c r="B90" s="195" t="str">
        <f>+PROPONENTES!B89</f>
        <v>PROBINTEC SAS</v>
      </c>
      <c r="C90" s="95">
        <f>+PROPONENTES!M89</f>
        <v>1</v>
      </c>
      <c r="D90" s="239">
        <f>+PROPONENTES!N89</f>
        <v>1</v>
      </c>
      <c r="E90" s="25" t="str">
        <f>+'80'!$I$11</f>
        <v>NO CUMPLE</v>
      </c>
      <c r="F90" s="18"/>
      <c r="G90" s="18" t="s">
        <v>24</v>
      </c>
      <c r="H90" s="18" t="s">
        <v>24</v>
      </c>
      <c r="I90" s="18" t="s">
        <v>24</v>
      </c>
      <c r="J90" s="63" t="str">
        <f t="shared" si="1"/>
        <v>INHABILITADO</v>
      </c>
      <c r="K90" s="312" t="s">
        <v>1432</v>
      </c>
    </row>
    <row r="91" spans="1:11" ht="16" x14ac:dyDescent="0.2">
      <c r="A91" s="95">
        <v>81</v>
      </c>
      <c r="B91" s="195" t="str">
        <f>+PROPONENTES!B90</f>
        <v>ESCALA CCI SAS</v>
      </c>
      <c r="C91" s="95">
        <f>+PROPONENTES!M90</f>
        <v>1</v>
      </c>
      <c r="D91" s="239">
        <f>+PROPONENTES!N90</f>
        <v>1</v>
      </c>
      <c r="E91" s="25" t="str">
        <f>+'81'!$I$11</f>
        <v>CUMPLE</v>
      </c>
      <c r="F91" s="18"/>
      <c r="G91" s="18" t="s">
        <v>24</v>
      </c>
      <c r="H91" s="18" t="s">
        <v>24</v>
      </c>
      <c r="I91" s="18" t="s">
        <v>24</v>
      </c>
      <c r="J91" s="63" t="str">
        <f t="shared" si="1"/>
        <v>HABILITADO</v>
      </c>
      <c r="K91" s="233"/>
    </row>
    <row r="92" spans="1:11" ht="16" x14ac:dyDescent="0.2">
      <c r="A92" s="95">
        <v>82</v>
      </c>
      <c r="B92" s="195" t="str">
        <f>+PROPONENTES!B91</f>
        <v>C. SAN MARTIN 003</v>
      </c>
      <c r="C92" s="95">
        <f>+PROPONENTES!M91</f>
        <v>2</v>
      </c>
      <c r="D92" s="239">
        <f>+PROPONENTES!N91</f>
        <v>1</v>
      </c>
      <c r="E92" s="25" t="str">
        <f>+'82'!$I$11</f>
        <v>CUMPLE</v>
      </c>
      <c r="F92" s="18"/>
      <c r="G92" s="18" t="s">
        <v>24</v>
      </c>
      <c r="H92" s="18" t="s">
        <v>24</v>
      </c>
      <c r="I92" s="18" t="s">
        <v>24</v>
      </c>
      <c r="J92" s="63" t="str">
        <f t="shared" si="1"/>
        <v>HABILITADO</v>
      </c>
      <c r="K92" s="233"/>
    </row>
    <row r="93" spans="1:11" ht="16" x14ac:dyDescent="0.2">
      <c r="A93" s="95">
        <v>83</v>
      </c>
      <c r="B93" s="195" t="str">
        <f>+PROPONENTES!B92</f>
        <v>CONSORCIO INTERVENTORES GTI 003</v>
      </c>
      <c r="C93" s="95">
        <f>+PROPONENTES!M92</f>
        <v>3</v>
      </c>
      <c r="D93" s="239">
        <f>+PROPONENTES!N92</f>
        <v>1</v>
      </c>
      <c r="E93" s="25" t="str">
        <f>+'83'!$I$11</f>
        <v>CUMPLE</v>
      </c>
      <c r="F93" s="18"/>
      <c r="G93" s="18" t="s">
        <v>24</v>
      </c>
      <c r="H93" s="18" t="s">
        <v>24</v>
      </c>
      <c r="I93" s="18" t="s">
        <v>24</v>
      </c>
      <c r="J93" s="63" t="str">
        <f t="shared" si="1"/>
        <v>HABILITADO</v>
      </c>
      <c r="K93" s="233"/>
    </row>
    <row r="94" spans="1:11" ht="16" x14ac:dyDescent="0.2">
      <c r="A94" s="95">
        <v>84</v>
      </c>
      <c r="B94" s="195" t="str">
        <f>+PROPONENTES!B93</f>
        <v>INGCONSASAS</v>
      </c>
      <c r="C94" s="95">
        <f>+PROPONENTES!M93</f>
        <v>1</v>
      </c>
      <c r="D94" s="239">
        <f>+PROPONENTES!N93</f>
        <v>1</v>
      </c>
      <c r="E94" s="25" t="str">
        <f>+'84'!$I$11</f>
        <v>CUMPLE</v>
      </c>
      <c r="F94" s="18"/>
      <c r="G94" s="18" t="s">
        <v>24</v>
      </c>
      <c r="H94" s="18" t="s">
        <v>24</v>
      </c>
      <c r="I94" s="18" t="s">
        <v>24</v>
      </c>
      <c r="J94" s="63" t="str">
        <f t="shared" si="1"/>
        <v>HABILITADO</v>
      </c>
      <c r="K94" s="184"/>
    </row>
    <row r="95" spans="1:11" ht="16" x14ac:dyDescent="0.2">
      <c r="A95" s="95">
        <v>85</v>
      </c>
      <c r="B95" s="195" t="str">
        <f>+PROPONENTES!B94</f>
        <v>AESA PROYECTOS SAS</v>
      </c>
      <c r="C95" s="95">
        <f>+PROPONENTES!M94</f>
        <v>1</v>
      </c>
      <c r="D95" s="239">
        <f>+PROPONENTES!N94</f>
        <v>1</v>
      </c>
      <c r="E95" s="25" t="str">
        <f>+'85'!$I$11</f>
        <v>CUMPLE</v>
      </c>
      <c r="F95" s="18"/>
      <c r="G95" s="18" t="s">
        <v>24</v>
      </c>
      <c r="H95" s="18" t="s">
        <v>24</v>
      </c>
      <c r="I95" s="18" t="s">
        <v>24</v>
      </c>
      <c r="J95" s="63" t="str">
        <f t="shared" si="1"/>
        <v>HABILITADO</v>
      </c>
      <c r="K95" s="233"/>
    </row>
    <row r="96" spans="1:11" ht="16" x14ac:dyDescent="0.2">
      <c r="A96" s="95">
        <v>86</v>
      </c>
      <c r="B96" s="195" t="str">
        <f>+PROPONENTES!B95</f>
        <v>C INTERUSAQUEN EI</v>
      </c>
      <c r="C96" s="95">
        <f>+PROPONENTES!M95</f>
        <v>2</v>
      </c>
      <c r="D96" s="239">
        <f>+PROPONENTES!N95</f>
        <v>1</v>
      </c>
      <c r="E96" s="25" t="str">
        <f>+'86'!$I$11</f>
        <v>CUMPLE</v>
      </c>
      <c r="F96" s="18"/>
      <c r="G96" s="18" t="s">
        <v>24</v>
      </c>
      <c r="H96" s="18" t="s">
        <v>24</v>
      </c>
      <c r="I96" s="18" t="s">
        <v>24</v>
      </c>
      <c r="J96" s="63" t="str">
        <f t="shared" si="1"/>
        <v>HABILITADO</v>
      </c>
      <c r="K96" s="233"/>
    </row>
    <row r="97" spans="1:11" ht="16" x14ac:dyDescent="0.2">
      <c r="A97" s="95">
        <v>87</v>
      </c>
      <c r="B97" s="195" t="str">
        <f>+PROPONENTES!B96</f>
        <v>ARCA ARQUITECTURA E INGENIERÍA S.A.</v>
      </c>
      <c r="C97" s="95">
        <f>+PROPONENTES!M96</f>
        <v>1</v>
      </c>
      <c r="D97" s="239">
        <f>+PROPONENTES!N96</f>
        <v>1</v>
      </c>
      <c r="E97" s="25" t="str">
        <f>+'87'!$I$11</f>
        <v>CUMPLE</v>
      </c>
      <c r="F97" s="18"/>
      <c r="G97" s="18" t="s">
        <v>24</v>
      </c>
      <c r="H97" s="18" t="s">
        <v>24</v>
      </c>
      <c r="I97" s="18" t="s">
        <v>24</v>
      </c>
      <c r="J97" s="63" t="str">
        <f t="shared" si="1"/>
        <v>HABILITADO</v>
      </c>
      <c r="K97" s="233"/>
    </row>
    <row r="98" spans="1:11" ht="16" x14ac:dyDescent="0.2">
      <c r="A98" s="95">
        <v>88</v>
      </c>
      <c r="B98" s="195" t="str">
        <f>+PROPONENTES!B97</f>
        <v>CONSORCIO VIAL USAQUEN 2026</v>
      </c>
      <c r="C98" s="95">
        <f>+PROPONENTES!M97</f>
        <v>3</v>
      </c>
      <c r="D98" s="239">
        <f>+PROPONENTES!N97</f>
        <v>1</v>
      </c>
      <c r="E98" s="25" t="str">
        <f>+'88'!$I$11</f>
        <v>NO CUMPLE</v>
      </c>
      <c r="F98" s="186"/>
      <c r="G98" s="18" t="s">
        <v>26</v>
      </c>
      <c r="H98" s="18" t="s">
        <v>24</v>
      </c>
      <c r="I98" s="18" t="s">
        <v>26</v>
      </c>
      <c r="J98" s="63" t="str">
        <f t="shared" si="1"/>
        <v>INHABILITADO</v>
      </c>
      <c r="K98" s="312" t="s">
        <v>1419</v>
      </c>
    </row>
    <row r="99" spans="1:11" ht="16" x14ac:dyDescent="0.2">
      <c r="A99" s="95">
        <v>89</v>
      </c>
      <c r="B99" s="195" t="str">
        <f>+PROPONENTES!B98</f>
        <v>CS USAQUEN JINT 3</v>
      </c>
      <c r="C99" s="194">
        <f>+PROPONENTES!M98</f>
        <v>2</v>
      </c>
      <c r="D99" s="237">
        <f>+PROPONENTES!N98</f>
        <v>1</v>
      </c>
      <c r="E99" s="25" t="str">
        <f>+'89'!$I$11</f>
        <v>CUMPLE</v>
      </c>
      <c r="F99" s="164"/>
      <c r="G99" s="18" t="s">
        <v>24</v>
      </c>
      <c r="H99" s="18" t="s">
        <v>24</v>
      </c>
      <c r="I99" s="18" t="s">
        <v>24</v>
      </c>
      <c r="J99" s="63" t="str">
        <f t="shared" si="1"/>
        <v>HABILITADO</v>
      </c>
      <c r="K99" s="184"/>
    </row>
    <row r="100" spans="1:11" ht="16" x14ac:dyDescent="0.2">
      <c r="A100" s="95">
        <v>90</v>
      </c>
      <c r="B100" s="195" t="str">
        <f>+PROPONENTES!B99</f>
        <v>CONSORCIO MT USAQUEN 2025</v>
      </c>
      <c r="C100" s="95">
        <f>+PROPONENTES!M99</f>
        <v>2</v>
      </c>
      <c r="D100" s="239">
        <f>+PROPONENTES!N99</f>
        <v>1</v>
      </c>
      <c r="E100" s="25" t="str">
        <f>+'90'!$I$11</f>
        <v>CUMPLE</v>
      </c>
      <c r="F100" s="18"/>
      <c r="G100" s="18" t="s">
        <v>24</v>
      </c>
      <c r="H100" s="18" t="s">
        <v>26</v>
      </c>
      <c r="I100" s="18" t="s">
        <v>24</v>
      </c>
      <c r="J100" s="63" t="str">
        <f t="shared" si="1"/>
        <v>INHABILITADO</v>
      </c>
      <c r="K100" s="233"/>
    </row>
    <row r="101" spans="1:11" ht="16" x14ac:dyDescent="0.2">
      <c r="A101" s="95">
        <v>91</v>
      </c>
      <c r="B101" s="195" t="str">
        <f>+PROPONENTES!B100</f>
        <v>CONSORCIO MALLA VIAL USAQUEN</v>
      </c>
      <c r="C101" s="95">
        <f>+PROPONENTES!M100</f>
        <v>2</v>
      </c>
      <c r="D101" s="239">
        <f>+PROPONENTES!N100</f>
        <v>1</v>
      </c>
      <c r="E101" s="25" t="str">
        <f>+'91'!$I$11</f>
        <v>CUMPLE</v>
      </c>
      <c r="F101" s="18"/>
      <c r="G101" s="18" t="s">
        <v>24</v>
      </c>
      <c r="H101" s="18" t="s">
        <v>24</v>
      </c>
      <c r="I101" s="18" t="s">
        <v>24</v>
      </c>
      <c r="J101" s="63" t="str">
        <f t="shared" si="1"/>
        <v>HABILITADO</v>
      </c>
      <c r="K101" s="184"/>
    </row>
    <row r="102" spans="1:11" ht="16" x14ac:dyDescent="0.2">
      <c r="A102" s="95">
        <v>92</v>
      </c>
      <c r="B102" s="195" t="str">
        <f>+PROPONENTES!B101</f>
        <v>TERRA PROYECTOS CIVILES SAS</v>
      </c>
      <c r="C102" s="95">
        <f>+PROPONENTES!M101</f>
        <v>1</v>
      </c>
      <c r="D102" s="239">
        <f>+PROPONENTES!N101</f>
        <v>1</v>
      </c>
      <c r="E102" s="25" t="str">
        <f>+'92'!$I$11</f>
        <v>CUMPLE</v>
      </c>
      <c r="F102" s="18"/>
      <c r="G102" s="18" t="s">
        <v>24</v>
      </c>
      <c r="H102" s="18" t="s">
        <v>24</v>
      </c>
      <c r="I102" s="18" t="s">
        <v>26</v>
      </c>
      <c r="J102" s="63" t="str">
        <f t="shared" si="1"/>
        <v>INHABILITADO</v>
      </c>
      <c r="K102" s="312" t="s">
        <v>1419</v>
      </c>
    </row>
    <row r="103" spans="1:11" ht="16" x14ac:dyDescent="0.2">
      <c r="A103" s="95">
        <v>93</v>
      </c>
      <c r="B103" s="195" t="str">
        <f>+PROPONENTES!B102</f>
        <v>ONSORCIO FLU 003 GH 2025</v>
      </c>
      <c r="C103" s="95">
        <f>+PROPONENTES!M102</f>
        <v>2</v>
      </c>
      <c r="D103" s="239">
        <f>+PROPONENTES!N102</f>
        <v>1</v>
      </c>
      <c r="E103" s="25" t="str">
        <f>+'93'!$I$11</f>
        <v>CUMPLE</v>
      </c>
      <c r="F103" s="18"/>
      <c r="G103" s="18" t="s">
        <v>26</v>
      </c>
      <c r="H103" s="18" t="s">
        <v>24</v>
      </c>
      <c r="I103" s="18" t="s">
        <v>26</v>
      </c>
      <c r="J103" s="63" t="str">
        <f t="shared" si="1"/>
        <v>INHABILITADO</v>
      </c>
      <c r="K103" s="312" t="s">
        <v>1419</v>
      </c>
    </row>
    <row r="104" spans="1:11" ht="16" x14ac:dyDescent="0.2">
      <c r="A104" s="95">
        <v>94</v>
      </c>
      <c r="B104" s="195" t="str">
        <f>+PROPONENTES!B103</f>
        <v>INGEVAL SAS</v>
      </c>
      <c r="C104" s="95">
        <f>+PROPONENTES!M103</f>
        <v>1</v>
      </c>
      <c r="D104" s="239">
        <f>+PROPONENTES!N103</f>
        <v>1</v>
      </c>
      <c r="E104" s="25" t="str">
        <f>+'94'!$I$11</f>
        <v>NO CUMPLE</v>
      </c>
      <c r="F104" s="18"/>
      <c r="G104" s="18" t="s">
        <v>24</v>
      </c>
      <c r="H104" s="18" t="s">
        <v>24</v>
      </c>
      <c r="I104" s="18" t="s">
        <v>26</v>
      </c>
      <c r="J104" s="63" t="str">
        <f t="shared" si="1"/>
        <v>INHABILITADO</v>
      </c>
      <c r="K104" s="312" t="s">
        <v>1419</v>
      </c>
    </row>
    <row r="105" spans="1:11" x14ac:dyDescent="0.2">
      <c r="E105">
        <v>6</v>
      </c>
      <c r="H105">
        <v>2</v>
      </c>
      <c r="I105">
        <v>9</v>
      </c>
      <c r="J105">
        <v>13</v>
      </c>
    </row>
  </sheetData>
  <mergeCells count="13">
    <mergeCell ref="A8:K8"/>
    <mergeCell ref="A10:K10"/>
    <mergeCell ref="A4:B5"/>
    <mergeCell ref="C5:D5"/>
    <mergeCell ref="C4:D4"/>
    <mergeCell ref="E4:K4"/>
    <mergeCell ref="E5:I5"/>
    <mergeCell ref="A2:K2"/>
    <mergeCell ref="J5:K5"/>
    <mergeCell ref="A7:K7"/>
    <mergeCell ref="A1:K1"/>
    <mergeCell ref="A3:K3"/>
    <mergeCell ref="B6:K6"/>
  </mergeCells>
  <phoneticPr fontId="13" type="noConversion"/>
  <conditionalFormatting sqref="J11:J104">
    <cfRule type="containsText" dxfId="5262" priority="234" operator="containsText" text="INHABILITADO">
      <formula>NOT(ISERROR(SEARCH("INHABILITADO",J11)))</formula>
    </cfRule>
    <cfRule type="containsText" dxfId="5261" priority="235" operator="containsText" text="HABILITADO">
      <formula>NOT(ISERROR(SEARCH("HABILITADO",J11)))</formula>
    </cfRule>
  </conditionalFormatting>
  <conditionalFormatting sqref="L11 E11:I104">
    <cfRule type="cellIs" dxfId="5260" priority="3" operator="equal">
      <formula>"CUMPLE"</formula>
    </cfRule>
    <cfRule type="cellIs" dxfId="5259" priority="4" operator="equal">
      <formula>"NO CUMPLE"</formula>
    </cfRule>
    <cfRule type="cellIs" dxfId="5258" priority="5" operator="equal">
      <formula>"""CUMPLE"""</formula>
    </cfRule>
  </conditionalFormatting>
  <dataValidations count="1">
    <dataValidation type="list" allowBlank="1" showInputMessage="1" showErrorMessage="1" sqref="F20:F39 F50:F57" xr:uid="{00000000-0002-0000-0000-000000000000}">
      <formula1>$A$57:$A$58</formula1>
    </dataValidation>
  </dataValidations>
  <pageMargins left="0.7" right="0.7" top="0.75" bottom="0.75" header="0.3" footer="0.3"/>
  <pageSetup scale="41" orientation="landscape" r:id="rId1"/>
  <rowBreaks count="2" manualBreakCount="2">
    <brk id="29" max="10" man="1"/>
    <brk id="66" max="10"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1000000}">
          <x14:formula1>
            <xm:f>'DATOS INICIALES'!$A$57:$A$58</xm:f>
          </x14:formula1>
          <xm:sqref>F91:F94 G11:I104</xm:sqref>
        </x14:dataValidation>
        <x14:dataValidation type="list" allowBlank="1" showInputMessage="1" showErrorMessage="1" xr:uid="{00000000-0002-0000-0000-000002000000}">
          <x14:formula1>
            <xm:f>'DATOS INICIALES'!$A$52:$A$53</xm:f>
          </x14:formula1>
          <xm:sqref>J11:J104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105"/>
  <sheetViews>
    <sheetView tabSelected="1" zoomScale="72" zoomScaleNormal="55" workbookViewId="0">
      <selection activeCell="C17" sqref="C17"/>
    </sheetView>
  </sheetViews>
  <sheetFormatPr baseColWidth="10" defaultColWidth="11.5" defaultRowHeight="15" x14ac:dyDescent="0.2"/>
  <cols>
    <col min="1" max="1" width="7.5" style="14" customWidth="1"/>
    <col min="2" max="2" width="52.6640625" customWidth="1"/>
    <col min="3" max="3" width="22.6640625" style="15" customWidth="1"/>
    <col min="4" max="6" width="23.5" style="64" customWidth="1"/>
    <col min="7" max="11" width="23.83203125" customWidth="1"/>
    <col min="12" max="12" width="28.5" customWidth="1"/>
    <col min="13" max="13" width="117" customWidth="1"/>
    <col min="15" max="15" width="11.5" customWidth="1"/>
  </cols>
  <sheetData>
    <row r="1" spans="1:13" x14ac:dyDescent="0.2">
      <c r="A1" s="323"/>
      <c r="B1" s="323"/>
      <c r="C1" s="323"/>
      <c r="D1" s="323"/>
      <c r="E1" s="323"/>
      <c r="F1" s="323"/>
      <c r="G1" s="323"/>
      <c r="H1" s="323"/>
      <c r="I1" s="323"/>
      <c r="J1" s="323"/>
      <c r="K1" s="323"/>
      <c r="L1" s="323"/>
      <c r="M1" s="14"/>
    </row>
    <row r="2" spans="1:13" ht="24.75" customHeight="1" x14ac:dyDescent="0.2">
      <c r="A2" s="329" t="str">
        <f>+'DATOS INICIALES'!A1:I1</f>
        <v>ALCALDIA LOCAL DE USAQUEN</v>
      </c>
      <c r="B2" s="329"/>
      <c r="C2" s="329"/>
      <c r="D2" s="329"/>
      <c r="E2" s="329"/>
      <c r="F2" s="329"/>
      <c r="G2" s="329"/>
      <c r="H2" s="329"/>
      <c r="I2" s="329"/>
      <c r="J2" s="329"/>
      <c r="K2" s="329"/>
      <c r="L2" s="329"/>
      <c r="M2" s="178"/>
    </row>
    <row r="3" spans="1:13" ht="8.5" customHeight="1" x14ac:dyDescent="0.2">
      <c r="A3" s="323"/>
      <c r="B3" s="323"/>
      <c r="C3" s="323"/>
      <c r="D3" s="323"/>
      <c r="E3" s="323"/>
      <c r="F3" s="323"/>
      <c r="G3" s="323"/>
      <c r="H3" s="323"/>
      <c r="I3" s="323"/>
      <c r="J3" s="323"/>
      <c r="K3" s="323"/>
      <c r="L3" s="323"/>
      <c r="M3" s="14"/>
    </row>
    <row r="4" spans="1:13" ht="73.5" customHeight="1" x14ac:dyDescent="0.2">
      <c r="A4" s="323"/>
      <c r="B4" s="323"/>
      <c r="C4" s="329" t="s">
        <v>147</v>
      </c>
      <c r="D4" s="329"/>
      <c r="E4" s="170"/>
      <c r="F4" s="171"/>
      <c r="G4" s="332"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H4" s="333"/>
      <c r="I4" s="333"/>
      <c r="J4" s="333"/>
      <c r="K4" s="333"/>
      <c r="L4" s="334"/>
      <c r="M4" s="179"/>
    </row>
    <row r="5" spans="1:13" ht="55.5" customHeight="1" x14ac:dyDescent="0.2">
      <c r="A5" s="323"/>
      <c r="B5" s="323"/>
      <c r="C5" s="329" t="s">
        <v>148</v>
      </c>
      <c r="D5" s="329"/>
      <c r="E5" s="170"/>
      <c r="F5" s="171"/>
      <c r="G5" s="335" t="str">
        <f>'DATOS INICIALES'!G4</f>
        <v xml:space="preserve"> FDLUSA-CMA-003-2025</v>
      </c>
      <c r="H5" s="336"/>
      <c r="I5" s="336"/>
      <c r="J5" s="336"/>
      <c r="K5" s="337"/>
      <c r="L5" s="19">
        <f>'DATOS INICIALES'!C5</f>
        <v>1404008910</v>
      </c>
      <c r="M5" s="180"/>
    </row>
    <row r="6" spans="1:13" ht="7.5" customHeight="1" x14ac:dyDescent="0.2">
      <c r="A6" s="330"/>
      <c r="B6" s="325"/>
      <c r="C6" s="325"/>
      <c r="D6" s="325"/>
      <c r="E6" s="325"/>
      <c r="F6" s="325"/>
      <c r="G6" s="325"/>
      <c r="H6" s="325"/>
      <c r="I6" s="325"/>
      <c r="J6" s="325"/>
      <c r="K6" s="325"/>
      <c r="L6" s="331"/>
      <c r="M6" s="14"/>
    </row>
    <row r="7" spans="1:13" ht="21.75" customHeight="1" x14ac:dyDescent="0.2">
      <c r="A7" s="329" t="str">
        <f>CONCATENATE("RESUMEN DE EVALUACIÓN PUNTAJE - ",'DATOS INICIALES'!G4)</f>
        <v>RESUMEN DE EVALUACIÓN PUNTAJE -  FDLUSA-CMA-003-2025</v>
      </c>
      <c r="B7" s="329"/>
      <c r="C7" s="329"/>
      <c r="D7" s="329"/>
      <c r="E7" s="329"/>
      <c r="F7" s="329"/>
      <c r="G7" s="329"/>
      <c r="H7" s="329"/>
      <c r="I7" s="329"/>
      <c r="J7" s="329"/>
      <c r="K7" s="329"/>
      <c r="L7" s="329"/>
      <c r="M7" s="178"/>
    </row>
    <row r="8" spans="1:13" ht="8.25" customHeight="1" x14ac:dyDescent="0.2">
      <c r="A8" s="330"/>
      <c r="B8" s="325"/>
      <c r="C8" s="325"/>
      <c r="D8" s="325"/>
      <c r="E8" s="325"/>
      <c r="F8" s="325"/>
      <c r="G8" s="325"/>
      <c r="H8" s="325"/>
      <c r="I8" s="325"/>
      <c r="J8" s="325"/>
      <c r="K8" s="325"/>
      <c r="L8" s="331"/>
      <c r="M8" s="14"/>
    </row>
    <row r="9" spans="1:13" s="3" customFormat="1" ht="90" customHeight="1" x14ac:dyDescent="0.2">
      <c r="A9" s="173" t="s">
        <v>37</v>
      </c>
      <c r="B9" s="173" t="s">
        <v>38</v>
      </c>
      <c r="C9" s="173" t="s">
        <v>155</v>
      </c>
      <c r="D9" s="173" t="s">
        <v>186</v>
      </c>
      <c r="E9" s="173" t="s">
        <v>185</v>
      </c>
      <c r="F9" s="173" t="s">
        <v>187</v>
      </c>
      <c r="G9" s="173" t="s">
        <v>188</v>
      </c>
      <c r="H9" s="173" t="s">
        <v>189</v>
      </c>
      <c r="I9" s="173" t="s">
        <v>190</v>
      </c>
      <c r="J9" s="173" t="s">
        <v>191</v>
      </c>
      <c r="K9" s="173" t="s">
        <v>156</v>
      </c>
      <c r="L9" s="173" t="s">
        <v>157</v>
      </c>
      <c r="M9" s="181" t="s">
        <v>78</v>
      </c>
    </row>
    <row r="10" spans="1:13" s="3" customFormat="1" ht="42" customHeight="1" x14ac:dyDescent="0.2">
      <c r="A10" s="173"/>
      <c r="B10" s="173"/>
      <c r="C10" s="173"/>
      <c r="D10" s="173"/>
      <c r="E10" s="173" t="s">
        <v>204</v>
      </c>
      <c r="F10" s="173" t="s">
        <v>202</v>
      </c>
      <c r="G10" s="173" t="s">
        <v>200</v>
      </c>
      <c r="H10" s="173" t="s">
        <v>201</v>
      </c>
      <c r="I10" s="173" t="s">
        <v>203</v>
      </c>
      <c r="J10" s="173"/>
      <c r="K10" s="173"/>
      <c r="L10" s="173"/>
      <c r="M10" s="181"/>
    </row>
    <row r="11" spans="1:13" ht="6.75" customHeight="1" x14ac:dyDescent="0.2">
      <c r="D11"/>
      <c r="E11"/>
      <c r="F11"/>
    </row>
    <row r="12" spans="1:13" ht="23.25" customHeight="1" x14ac:dyDescent="0.2">
      <c r="A12" s="163">
        <v>1</v>
      </c>
      <c r="B12" s="17" t="str">
        <f>+PROPONENTES!B10</f>
        <v>GRUPO METRO COLOMBIA SAS</v>
      </c>
      <c r="C12" s="18" t="str">
        <f>CONSOLIDADO!J11</f>
        <v>HABILITADO</v>
      </c>
      <c r="D12" s="157">
        <v>63.523549735653539</v>
      </c>
      <c r="E12" s="196">
        <v>10</v>
      </c>
      <c r="F12" s="196">
        <v>1</v>
      </c>
      <c r="G12" s="250">
        <v>20</v>
      </c>
      <c r="H12" s="250">
        <v>1</v>
      </c>
      <c r="I12" s="250">
        <v>0.25</v>
      </c>
      <c r="J12" s="250">
        <v>0.25</v>
      </c>
      <c r="K12" s="319">
        <f t="shared" ref="K12:K43" si="0">SUM(D12:J12)</f>
        <v>96.023549735653546</v>
      </c>
      <c r="L12" s="18">
        <f t="shared" ref="L12:L43" si="1">RANK(K12,$K$12:$K$105,0)</f>
        <v>19</v>
      </c>
      <c r="M12" s="18"/>
    </row>
    <row r="13" spans="1:13" ht="23.25" customHeight="1" x14ac:dyDescent="0.2">
      <c r="A13" s="163">
        <v>2</v>
      </c>
      <c r="B13" s="17" t="str">
        <f>+PROPONENTES!B11</f>
        <v>CONSORCIO INTERVIAS USAQUEN AI</v>
      </c>
      <c r="C13" s="18" t="str">
        <f>CONSOLIDADO!J12</f>
        <v>HABILITADO</v>
      </c>
      <c r="D13" s="157">
        <v>61.56724349821431</v>
      </c>
      <c r="E13" s="196">
        <v>10</v>
      </c>
      <c r="F13" s="196">
        <v>1</v>
      </c>
      <c r="G13" s="250">
        <v>20</v>
      </c>
      <c r="H13" s="250">
        <v>1</v>
      </c>
      <c r="I13" s="250">
        <v>0.25</v>
      </c>
      <c r="J13" s="250">
        <v>0.25</v>
      </c>
      <c r="K13" s="319">
        <f t="shared" si="0"/>
        <v>94.06724349821431</v>
      </c>
      <c r="L13" s="18">
        <f t="shared" si="1"/>
        <v>30</v>
      </c>
      <c r="M13" s="25"/>
    </row>
    <row r="14" spans="1:13" ht="23.25" customHeight="1" x14ac:dyDescent="0.2">
      <c r="A14" s="163">
        <v>3</v>
      </c>
      <c r="B14" s="17" t="str">
        <f>+PROPONENTES!B12</f>
        <v>CONSORCIO PROYECTA VIAL</v>
      </c>
      <c r="C14" s="18" t="str">
        <f>CONSOLIDADO!J13</f>
        <v>HABILITADO</v>
      </c>
      <c r="D14" s="157">
        <v>65.600972861810078</v>
      </c>
      <c r="E14" s="196">
        <v>10</v>
      </c>
      <c r="F14" s="196">
        <v>1</v>
      </c>
      <c r="G14" s="250">
        <v>20</v>
      </c>
      <c r="H14" s="250">
        <v>1</v>
      </c>
      <c r="I14" s="250">
        <v>0.25</v>
      </c>
      <c r="J14" s="250">
        <v>0.25</v>
      </c>
      <c r="K14" s="319">
        <f t="shared" si="0"/>
        <v>98.100972861810078</v>
      </c>
      <c r="L14" s="18">
        <f t="shared" si="1"/>
        <v>12</v>
      </c>
      <c r="M14" s="25"/>
    </row>
    <row r="15" spans="1:13" ht="23.25" customHeight="1" x14ac:dyDescent="0.2">
      <c r="A15" s="163">
        <v>4</v>
      </c>
      <c r="B15" s="17" t="str">
        <f>+PROPONENTES!B13</f>
        <v>PROYECTOS E INTERVENTORIAS S.A.S.</v>
      </c>
      <c r="C15" s="18" t="str">
        <f>CONSOLIDADO!J14</f>
        <v>HABILITADO</v>
      </c>
      <c r="D15" s="157">
        <v>49.936609644208495</v>
      </c>
      <c r="E15" s="196">
        <v>10</v>
      </c>
      <c r="F15" s="196">
        <v>1</v>
      </c>
      <c r="G15" s="250">
        <v>20</v>
      </c>
      <c r="H15" s="250">
        <v>1</v>
      </c>
      <c r="I15" s="250">
        <v>0.25</v>
      </c>
      <c r="J15" s="250">
        <v>0.25</v>
      </c>
      <c r="K15" s="319">
        <f t="shared" si="0"/>
        <v>82.436609644208488</v>
      </c>
      <c r="L15" s="18">
        <f t="shared" si="1"/>
        <v>53</v>
      </c>
      <c r="M15" s="25"/>
    </row>
    <row r="16" spans="1:13" ht="23.25" customHeight="1" x14ac:dyDescent="0.2">
      <c r="A16" s="163">
        <v>5</v>
      </c>
      <c r="B16" s="17" t="str">
        <f>+PROPONENTES!B14</f>
        <v>CONSORCIO GAB VIAL USAQUEN 2025</v>
      </c>
      <c r="C16" s="18" t="str">
        <f>CONSOLIDADO!J15</f>
        <v>HABILITADO</v>
      </c>
      <c r="D16" s="157">
        <v>48.599113904018573</v>
      </c>
      <c r="E16" s="196">
        <v>10</v>
      </c>
      <c r="F16" s="196">
        <v>1</v>
      </c>
      <c r="G16" s="250">
        <v>20</v>
      </c>
      <c r="H16" s="250">
        <v>1</v>
      </c>
      <c r="I16" s="250">
        <v>0.25</v>
      </c>
      <c r="J16" s="250">
        <v>0.25</v>
      </c>
      <c r="K16" s="319">
        <f t="shared" si="0"/>
        <v>81.099113904018566</v>
      </c>
      <c r="L16" s="18">
        <f t="shared" si="1"/>
        <v>56</v>
      </c>
      <c r="M16" s="251"/>
    </row>
    <row r="17" spans="1:20" ht="22.75" customHeight="1" x14ac:dyDescent="0.2">
      <c r="A17" s="163">
        <v>6</v>
      </c>
      <c r="B17" s="17" t="str">
        <f>+PROPONENTES!B15</f>
        <v>CONSORCIO INTER TS 03</v>
      </c>
      <c r="C17" s="18" t="str">
        <f>CONSOLIDADO!J16</f>
        <v>HABILITADO</v>
      </c>
      <c r="D17" s="157">
        <v>54.337329403989983</v>
      </c>
      <c r="E17" s="196">
        <v>10</v>
      </c>
      <c r="F17" s="196">
        <v>1</v>
      </c>
      <c r="G17" s="250">
        <v>20</v>
      </c>
      <c r="H17" s="250">
        <v>1</v>
      </c>
      <c r="I17" s="250">
        <v>0.25</v>
      </c>
      <c r="J17" s="250">
        <v>0.25</v>
      </c>
      <c r="K17" s="319">
        <f t="shared" si="0"/>
        <v>86.837329403989983</v>
      </c>
      <c r="L17" s="18">
        <f t="shared" si="1"/>
        <v>43</v>
      </c>
      <c r="M17" s="25"/>
    </row>
    <row r="18" spans="1:20" ht="52.75" customHeight="1" x14ac:dyDescent="0.2">
      <c r="A18" s="163">
        <v>7</v>
      </c>
      <c r="B18" s="17" t="str">
        <f>+PROPONENTES!B16</f>
        <v>CONSORCIO PB</v>
      </c>
      <c r="C18" s="18" t="str">
        <f>CONSOLIDADO!J17</f>
        <v>INHABILITADO</v>
      </c>
      <c r="D18" s="157" t="s">
        <v>21</v>
      </c>
      <c r="E18" s="196">
        <v>10</v>
      </c>
      <c r="F18" s="196">
        <v>1</v>
      </c>
      <c r="G18" s="250">
        <v>20</v>
      </c>
      <c r="H18" s="257">
        <v>0</v>
      </c>
      <c r="I18" s="250">
        <v>0.25</v>
      </c>
      <c r="J18" s="250">
        <v>0.25</v>
      </c>
      <c r="K18" s="319">
        <f t="shared" si="0"/>
        <v>31.5</v>
      </c>
      <c r="L18" s="18">
        <f t="shared" si="1"/>
        <v>90</v>
      </c>
      <c r="M18" s="258" t="s">
        <v>352</v>
      </c>
    </row>
    <row r="19" spans="1:20" ht="23.25" customHeight="1" x14ac:dyDescent="0.2">
      <c r="A19" s="163">
        <v>8</v>
      </c>
      <c r="B19" s="17" t="str">
        <f>+PROPONENTES!B17</f>
        <v>Inveler Consultoría S.A.S.</v>
      </c>
      <c r="C19" s="18" t="str">
        <f>CONSOLIDADO!J18</f>
        <v>INHABILITADO</v>
      </c>
      <c r="D19" s="157" t="s">
        <v>21</v>
      </c>
      <c r="E19" s="196">
        <v>10</v>
      </c>
      <c r="F19" s="196">
        <v>1</v>
      </c>
      <c r="G19" s="250">
        <v>20</v>
      </c>
      <c r="H19" s="250">
        <v>1</v>
      </c>
      <c r="I19" s="250">
        <v>0.25</v>
      </c>
      <c r="J19" s="250">
        <v>0.25</v>
      </c>
      <c r="K19" s="319">
        <f t="shared" si="0"/>
        <v>32.5</v>
      </c>
      <c r="L19" s="18">
        <f t="shared" si="1"/>
        <v>70</v>
      </c>
      <c r="M19" s="25"/>
    </row>
    <row r="20" spans="1:20" ht="23.25" customHeight="1" x14ac:dyDescent="0.2">
      <c r="A20" s="163">
        <v>9</v>
      </c>
      <c r="B20" s="17" t="str">
        <f>+PROPONENTES!B18</f>
        <v>CONSORCIO VYE USAQUÉN</v>
      </c>
      <c r="C20" s="18" t="str">
        <f>CONSOLIDADO!J19</f>
        <v>HABILITADO</v>
      </c>
      <c r="D20" s="157">
        <v>57.263735643886676</v>
      </c>
      <c r="E20" s="196">
        <v>10</v>
      </c>
      <c r="F20" s="196">
        <v>1</v>
      </c>
      <c r="G20" s="250">
        <v>20</v>
      </c>
      <c r="H20" s="250">
        <v>1</v>
      </c>
      <c r="I20" s="250">
        <v>0.25</v>
      </c>
      <c r="J20" s="250">
        <v>0.25</v>
      </c>
      <c r="K20" s="319">
        <f t="shared" si="0"/>
        <v>89.763735643886676</v>
      </c>
      <c r="L20" s="18">
        <f t="shared" si="1"/>
        <v>35</v>
      </c>
      <c r="M20" s="25"/>
    </row>
    <row r="21" spans="1:20" ht="31.75" customHeight="1" x14ac:dyDescent="0.2">
      <c r="A21" s="163">
        <v>10</v>
      </c>
      <c r="B21" s="17" t="str">
        <f>+PROPONENTES!B19</f>
        <v>CONSORCIO INGENIERIA PROES LATAM</v>
      </c>
      <c r="C21" s="18" t="str">
        <f>CONSOLIDADO!J20</f>
        <v>HABILITADO</v>
      </c>
      <c r="D21" s="157">
        <v>0</v>
      </c>
      <c r="E21" s="196">
        <v>10</v>
      </c>
      <c r="F21" s="196">
        <v>1</v>
      </c>
      <c r="G21" s="250">
        <v>20</v>
      </c>
      <c r="H21" s="250">
        <v>1</v>
      </c>
      <c r="I21" s="257">
        <v>0</v>
      </c>
      <c r="J21" s="250">
        <v>0.25</v>
      </c>
      <c r="K21" s="319">
        <f t="shared" si="0"/>
        <v>32.25</v>
      </c>
      <c r="L21" s="18">
        <f t="shared" si="1"/>
        <v>87</v>
      </c>
      <c r="M21" s="258" t="s">
        <v>353</v>
      </c>
    </row>
    <row r="22" spans="1:20" ht="27.5" customHeight="1" x14ac:dyDescent="0.2">
      <c r="A22" s="163">
        <v>11</v>
      </c>
      <c r="B22" s="17" t="str">
        <f>+PROPONENTES!B20</f>
        <v>COMPAÑÍA DE PROYECTOS TÉCNICOS CPT S.A.</v>
      </c>
      <c r="C22" s="18" t="str">
        <f>CONSOLIDADO!J21</f>
        <v>HABILITADO</v>
      </c>
      <c r="D22" s="157">
        <v>66.682832748530302</v>
      </c>
      <c r="E22" s="196">
        <v>10</v>
      </c>
      <c r="F22" s="196">
        <v>1</v>
      </c>
      <c r="G22" s="250">
        <v>20</v>
      </c>
      <c r="H22" s="250">
        <v>1</v>
      </c>
      <c r="I22" s="250">
        <v>0.25</v>
      </c>
      <c r="J22" s="250">
        <v>0.25</v>
      </c>
      <c r="K22" s="319">
        <f t="shared" si="0"/>
        <v>99.182832748530302</v>
      </c>
      <c r="L22" s="18">
        <f t="shared" si="1"/>
        <v>8</v>
      </c>
      <c r="M22" s="96"/>
    </row>
    <row r="23" spans="1:20" ht="23.25" customHeight="1" x14ac:dyDescent="0.2">
      <c r="A23" s="163">
        <v>12</v>
      </c>
      <c r="B23" s="17" t="str">
        <f>+PROPONENTES!B21</f>
        <v>CONSORCIO 3797 KAPROY USAQUEN</v>
      </c>
      <c r="C23" s="18" t="str">
        <f>CONSOLIDADO!J22</f>
        <v>HABILITADO</v>
      </c>
      <c r="D23" s="157">
        <v>62.952963575635295</v>
      </c>
      <c r="E23" s="196">
        <v>10</v>
      </c>
      <c r="F23" s="196">
        <v>1</v>
      </c>
      <c r="G23" s="250">
        <v>20</v>
      </c>
      <c r="H23" s="250">
        <v>1</v>
      </c>
      <c r="I23" s="250">
        <v>0.25</v>
      </c>
      <c r="J23" s="250">
        <v>0.25</v>
      </c>
      <c r="K23" s="319">
        <f t="shared" si="0"/>
        <v>95.452963575635295</v>
      </c>
      <c r="L23" s="18">
        <f t="shared" si="1"/>
        <v>23</v>
      </c>
      <c r="M23" s="25"/>
    </row>
    <row r="24" spans="1:20" ht="23.25" customHeight="1" x14ac:dyDescent="0.2">
      <c r="A24" s="163">
        <v>13</v>
      </c>
      <c r="B24" s="17" t="str">
        <f>+PROPONENTES!B22</f>
        <v>CONSORCIO MIRALTA</v>
      </c>
      <c r="C24" s="18" t="str">
        <f>CONSOLIDADO!J23</f>
        <v>HABILITADO</v>
      </c>
      <c r="D24" s="157">
        <v>65.914787394521625</v>
      </c>
      <c r="E24" s="196">
        <v>10</v>
      </c>
      <c r="F24" s="196">
        <v>1</v>
      </c>
      <c r="G24" s="250">
        <v>20</v>
      </c>
      <c r="H24" s="250">
        <v>1</v>
      </c>
      <c r="I24" s="250">
        <v>0.25</v>
      </c>
      <c r="J24" s="250">
        <v>0.25</v>
      </c>
      <c r="K24" s="319">
        <f t="shared" si="0"/>
        <v>98.414787394521625</v>
      </c>
      <c r="L24" s="18">
        <f t="shared" si="1"/>
        <v>10</v>
      </c>
      <c r="M24" s="25"/>
    </row>
    <row r="25" spans="1:20" ht="23.25" customHeight="1" x14ac:dyDescent="0.2">
      <c r="A25" s="163">
        <v>14</v>
      </c>
      <c r="B25" s="17" t="str">
        <f>+PROPONENTES!B23</f>
        <v>INT TERRA</v>
      </c>
      <c r="C25" s="18" t="str">
        <f>CONSOLIDADO!J24</f>
        <v>HABILITADO</v>
      </c>
      <c r="D25" s="157">
        <v>62.272593772464788</v>
      </c>
      <c r="E25" s="196">
        <v>10</v>
      </c>
      <c r="F25" s="196">
        <v>1</v>
      </c>
      <c r="G25" s="250">
        <v>20</v>
      </c>
      <c r="H25" s="250">
        <v>1</v>
      </c>
      <c r="I25" s="250">
        <v>0.25</v>
      </c>
      <c r="J25" s="250">
        <v>0.25</v>
      </c>
      <c r="K25" s="319">
        <f t="shared" si="0"/>
        <v>94.772593772464788</v>
      </c>
      <c r="L25" s="18">
        <f t="shared" si="1"/>
        <v>28</v>
      </c>
      <c r="M25" s="25"/>
    </row>
    <row r="26" spans="1:20" ht="23.25" customHeight="1" x14ac:dyDescent="0.2">
      <c r="A26" s="163">
        <v>15</v>
      </c>
      <c r="B26" s="195" t="str">
        <f>+PROPONENTES!B24</f>
        <v>CONSORCIO SAN RAFAEL</v>
      </c>
      <c r="C26" s="25" t="str">
        <f>CONSOLIDADO!J25</f>
        <v>HABILITADO</v>
      </c>
      <c r="D26" s="157">
        <v>57.575202731969576</v>
      </c>
      <c r="E26" s="196">
        <v>10</v>
      </c>
      <c r="F26" s="196">
        <v>1</v>
      </c>
      <c r="G26" s="250">
        <v>20</v>
      </c>
      <c r="H26" s="250">
        <v>1</v>
      </c>
      <c r="I26" s="250">
        <v>0.25</v>
      </c>
      <c r="J26" s="250">
        <v>0.25</v>
      </c>
      <c r="K26" s="320">
        <f t="shared" si="0"/>
        <v>90.075202731969569</v>
      </c>
      <c r="L26" s="18">
        <f t="shared" si="1"/>
        <v>34</v>
      </c>
      <c r="M26" s="25"/>
    </row>
    <row r="27" spans="1:20" ht="23.25" customHeight="1" x14ac:dyDescent="0.2">
      <c r="A27" s="163">
        <v>16</v>
      </c>
      <c r="B27" s="17" t="str">
        <f>+PROPONENTES!B25</f>
        <v>CONSORCIO INTER MALLA USAQUEN</v>
      </c>
      <c r="C27" s="18" t="str">
        <f>CONSOLIDADO!J26</f>
        <v>INHABILITADO</v>
      </c>
      <c r="D27" s="157" t="s">
        <v>21</v>
      </c>
      <c r="E27" s="196">
        <v>10</v>
      </c>
      <c r="F27" s="196">
        <v>1</v>
      </c>
      <c r="G27" s="250">
        <v>20</v>
      </c>
      <c r="H27" s="250">
        <v>1</v>
      </c>
      <c r="I27" s="250">
        <v>0.25</v>
      </c>
      <c r="J27" s="250">
        <v>0.25</v>
      </c>
      <c r="K27" s="319">
        <f t="shared" si="0"/>
        <v>32.5</v>
      </c>
      <c r="L27" s="18">
        <f t="shared" si="1"/>
        <v>70</v>
      </c>
      <c r="M27" s="25"/>
    </row>
    <row r="28" spans="1:20" ht="23.25" customHeight="1" x14ac:dyDescent="0.2">
      <c r="A28" s="163">
        <v>17</v>
      </c>
      <c r="B28" s="17" t="str">
        <f>+PROPONENTES!B26</f>
        <v>GAVINCO INGENIEROS CONSULTORES SAS</v>
      </c>
      <c r="C28" s="18" t="str">
        <f>CONSOLIDADO!J27</f>
        <v>HABILITADO</v>
      </c>
      <c r="D28" s="157">
        <v>53.031935518126858</v>
      </c>
      <c r="E28" s="196">
        <v>10</v>
      </c>
      <c r="F28" s="196">
        <v>1</v>
      </c>
      <c r="G28" s="250">
        <v>20</v>
      </c>
      <c r="H28" s="250">
        <v>1</v>
      </c>
      <c r="I28" s="250">
        <v>0.25</v>
      </c>
      <c r="J28" s="250">
        <v>0.25</v>
      </c>
      <c r="K28" s="319">
        <f t="shared" si="0"/>
        <v>85.531935518126858</v>
      </c>
      <c r="L28" s="18">
        <f t="shared" si="1"/>
        <v>45</v>
      </c>
      <c r="M28" s="25"/>
    </row>
    <row r="29" spans="1:20" ht="23.25" customHeight="1" x14ac:dyDescent="0.2">
      <c r="A29" s="163">
        <v>18</v>
      </c>
      <c r="B29" s="17" t="str">
        <f>+PROPONENTES!B27</f>
        <v>INGEOCILCON S.A.S.</v>
      </c>
      <c r="C29" s="18" t="str">
        <f>CONSOLIDADO!J28</f>
        <v>HABILITADO</v>
      </c>
      <c r="D29" s="157">
        <v>48.568417326482155</v>
      </c>
      <c r="E29" s="196">
        <v>10</v>
      </c>
      <c r="F29" s="196">
        <v>1</v>
      </c>
      <c r="G29" s="250">
        <v>20</v>
      </c>
      <c r="H29" s="250">
        <v>1</v>
      </c>
      <c r="I29" s="250">
        <v>0.25</v>
      </c>
      <c r="J29" s="250">
        <v>0.25</v>
      </c>
      <c r="K29" s="319">
        <f t="shared" si="0"/>
        <v>81.068417326482148</v>
      </c>
      <c r="L29" s="18">
        <f t="shared" si="1"/>
        <v>57</v>
      </c>
      <c r="M29" s="25"/>
    </row>
    <row r="30" spans="1:20" ht="23.25" customHeight="1" x14ac:dyDescent="0.2">
      <c r="A30" s="163">
        <v>19</v>
      </c>
      <c r="B30" s="17" t="str">
        <f>+PROPONENTES!B28</f>
        <v>CONSORCIO TORCA</v>
      </c>
      <c r="C30" s="18" t="str">
        <f>CONSOLIDADO!J29</f>
        <v>HABILITADO</v>
      </c>
      <c r="D30" s="157">
        <v>62.7535652902069</v>
      </c>
      <c r="E30" s="196">
        <v>10</v>
      </c>
      <c r="F30" s="196">
        <v>1</v>
      </c>
      <c r="G30" s="250">
        <v>20</v>
      </c>
      <c r="H30" s="250">
        <v>1</v>
      </c>
      <c r="I30" s="250">
        <v>0.25</v>
      </c>
      <c r="J30" s="250">
        <v>0.25</v>
      </c>
      <c r="K30" s="319">
        <f t="shared" si="0"/>
        <v>95.253565290206893</v>
      </c>
      <c r="L30" s="18">
        <f t="shared" si="1"/>
        <v>25</v>
      </c>
      <c r="M30" s="25"/>
    </row>
    <row r="31" spans="1:20" ht="16" x14ac:dyDescent="0.2">
      <c r="A31" s="163">
        <v>20</v>
      </c>
      <c r="B31" s="17" t="str">
        <f>+PROPONENTES!B29</f>
        <v>CONSORCIO INTER USAQUEN JGK</v>
      </c>
      <c r="C31" s="18" t="str">
        <f>CONSOLIDADO!J30</f>
        <v>HABILITADO</v>
      </c>
      <c r="D31" s="157">
        <v>48.079443816555063</v>
      </c>
      <c r="E31" s="196">
        <v>10</v>
      </c>
      <c r="F31" s="196">
        <v>1</v>
      </c>
      <c r="G31" s="250">
        <v>20</v>
      </c>
      <c r="H31" s="250">
        <v>1</v>
      </c>
      <c r="I31" s="250">
        <v>0.25</v>
      </c>
      <c r="J31" s="250">
        <v>0.25</v>
      </c>
      <c r="K31" s="319">
        <f t="shared" si="0"/>
        <v>80.579443816555056</v>
      </c>
      <c r="L31" s="18">
        <f t="shared" si="1"/>
        <v>59</v>
      </c>
      <c r="M31" s="252"/>
      <c r="N31" s="182"/>
      <c r="O31" s="182"/>
      <c r="P31" s="182"/>
      <c r="Q31" s="182"/>
      <c r="R31" s="182"/>
      <c r="S31" s="182"/>
      <c r="T31" s="182"/>
    </row>
    <row r="32" spans="1:20" ht="23.25" customHeight="1" x14ac:dyDescent="0.2">
      <c r="A32" s="163">
        <v>21</v>
      </c>
      <c r="B32" s="17" t="str">
        <f>+PROPONENTES!B30</f>
        <v>CONSORCIO LGI USAQUÉN</v>
      </c>
      <c r="C32" s="18" t="str">
        <f>CONSOLIDADO!J31</f>
        <v>HABILITADO</v>
      </c>
      <c r="D32" s="157">
        <v>62.60364793877811</v>
      </c>
      <c r="E32" s="196">
        <v>10</v>
      </c>
      <c r="F32" s="196">
        <v>1</v>
      </c>
      <c r="G32" s="250">
        <v>20</v>
      </c>
      <c r="H32" s="250">
        <v>1</v>
      </c>
      <c r="I32" s="250">
        <v>0.25</v>
      </c>
      <c r="J32" s="250">
        <v>0.25</v>
      </c>
      <c r="K32" s="319">
        <f t="shared" si="0"/>
        <v>95.10364793877811</v>
      </c>
      <c r="L32" s="18">
        <f t="shared" si="1"/>
        <v>26</v>
      </c>
      <c r="M32" s="25"/>
    </row>
    <row r="33" spans="1:19" ht="23.25" customHeight="1" x14ac:dyDescent="0.2">
      <c r="A33" s="163">
        <v>22</v>
      </c>
      <c r="B33" s="17" t="str">
        <f>+PROPONENTES!B31</f>
        <v>CONSORCIO INTERDESARROLLO USAQUÉN</v>
      </c>
      <c r="C33" s="18" t="str">
        <f>CONSOLIDADO!J32</f>
        <v>HABILITADO</v>
      </c>
      <c r="D33" s="157">
        <v>56.379799128307766</v>
      </c>
      <c r="E33" s="196">
        <v>10</v>
      </c>
      <c r="F33" s="196">
        <v>1</v>
      </c>
      <c r="G33" s="250">
        <v>20</v>
      </c>
      <c r="H33" s="250">
        <v>1</v>
      </c>
      <c r="I33" s="250">
        <v>0.25</v>
      </c>
      <c r="J33" s="250">
        <v>0.25</v>
      </c>
      <c r="K33" s="319">
        <f t="shared" si="0"/>
        <v>88.879799128307766</v>
      </c>
      <c r="L33" s="18">
        <f t="shared" si="1"/>
        <v>36</v>
      </c>
      <c r="M33" s="25"/>
    </row>
    <row r="34" spans="1:19" ht="23.25" customHeight="1" x14ac:dyDescent="0.2">
      <c r="A34" s="163">
        <v>23</v>
      </c>
      <c r="B34" s="17" t="str">
        <f>+PROPONENTES!B32</f>
        <v>COBA B&amp;C SAS</v>
      </c>
      <c r="C34" s="18" t="str">
        <f>CONSOLIDADO!J33</f>
        <v>HABILITADO</v>
      </c>
      <c r="D34" s="157">
        <v>66.566401256395437</v>
      </c>
      <c r="E34" s="196">
        <v>10</v>
      </c>
      <c r="F34" s="196">
        <v>1</v>
      </c>
      <c r="G34" s="250">
        <v>20</v>
      </c>
      <c r="H34" s="250">
        <v>1</v>
      </c>
      <c r="I34" s="250">
        <v>0.25</v>
      </c>
      <c r="J34" s="250">
        <v>0.25</v>
      </c>
      <c r="K34" s="319">
        <f t="shared" si="0"/>
        <v>99.066401256395437</v>
      </c>
      <c r="L34" s="18">
        <f t="shared" si="1"/>
        <v>9</v>
      </c>
      <c r="M34" s="25"/>
    </row>
    <row r="35" spans="1:19" ht="23.25" customHeight="1" x14ac:dyDescent="0.2">
      <c r="A35" s="163">
        <v>24</v>
      </c>
      <c r="B35" s="17" t="str">
        <f>+PROPONENTES!B33</f>
        <v>CONSORCIO USAQUEN 3M</v>
      </c>
      <c r="C35" s="18" t="str">
        <f>CONSOLIDADO!J34</f>
        <v>HABILITADO</v>
      </c>
      <c r="D35" s="157">
        <v>63.990234689747616</v>
      </c>
      <c r="E35" s="196">
        <v>10</v>
      </c>
      <c r="F35" s="196">
        <v>1</v>
      </c>
      <c r="G35" s="250">
        <v>20</v>
      </c>
      <c r="H35" s="250">
        <v>1</v>
      </c>
      <c r="I35" s="250">
        <v>0.25</v>
      </c>
      <c r="J35" s="250">
        <v>0.25</v>
      </c>
      <c r="K35" s="319">
        <f t="shared" si="0"/>
        <v>96.490234689747609</v>
      </c>
      <c r="L35" s="18">
        <f t="shared" si="1"/>
        <v>17</v>
      </c>
      <c r="M35" s="25"/>
    </row>
    <row r="36" spans="1:19" ht="23.25" customHeight="1" x14ac:dyDescent="0.2">
      <c r="A36" s="163">
        <v>25</v>
      </c>
      <c r="B36" s="17" t="str">
        <f>+PROPONENTES!B34</f>
        <v>CB INGENIEROS SAS</v>
      </c>
      <c r="C36" s="18" t="str">
        <f>CONSOLIDADO!J35</f>
        <v>HABILITADO</v>
      </c>
      <c r="D36" s="157">
        <v>65.678967227183222</v>
      </c>
      <c r="E36" s="196">
        <v>10</v>
      </c>
      <c r="F36" s="196">
        <v>1</v>
      </c>
      <c r="G36" s="250">
        <v>20</v>
      </c>
      <c r="H36" s="250">
        <v>1</v>
      </c>
      <c r="I36" s="250">
        <v>0.25</v>
      </c>
      <c r="J36" s="250">
        <v>0.25</v>
      </c>
      <c r="K36" s="319">
        <f t="shared" si="0"/>
        <v>98.178967227183222</v>
      </c>
      <c r="L36" s="18">
        <f t="shared" si="1"/>
        <v>11</v>
      </c>
      <c r="M36" s="25"/>
    </row>
    <row r="37" spans="1:19" ht="16" x14ac:dyDescent="0.2">
      <c r="A37" s="163">
        <v>26</v>
      </c>
      <c r="B37" s="17" t="str">
        <f>+PROPONENTES!B35</f>
        <v>PD USAQUEN</v>
      </c>
      <c r="C37" s="18" t="str">
        <f>CONSOLIDADO!J36</f>
        <v>HABILITADO</v>
      </c>
      <c r="D37" s="157">
        <v>52.954463203392102</v>
      </c>
      <c r="E37" s="196">
        <v>10</v>
      </c>
      <c r="F37" s="196">
        <v>1</v>
      </c>
      <c r="G37" s="250">
        <v>20</v>
      </c>
      <c r="H37" s="250">
        <v>1</v>
      </c>
      <c r="I37" s="250">
        <v>0.25</v>
      </c>
      <c r="J37" s="250">
        <v>0.25</v>
      </c>
      <c r="K37" s="319">
        <f t="shared" si="0"/>
        <v>85.454463203392095</v>
      </c>
      <c r="L37" s="18">
        <f t="shared" si="1"/>
        <v>46</v>
      </c>
      <c r="M37" s="253"/>
      <c r="N37" s="183"/>
      <c r="O37" s="183"/>
      <c r="P37" s="183"/>
      <c r="Q37" s="183"/>
      <c r="R37" s="183"/>
      <c r="S37" s="183"/>
    </row>
    <row r="38" spans="1:19" ht="19.75" customHeight="1" x14ac:dyDescent="0.2">
      <c r="A38" s="163">
        <v>27</v>
      </c>
      <c r="B38" s="17" t="str">
        <f>+PROPONENTES!B36</f>
        <v>VICOS USAQUEN</v>
      </c>
      <c r="C38" s="18" t="str">
        <f>CONSOLIDADO!J37</f>
        <v>HABILITADO</v>
      </c>
      <c r="D38" s="157">
        <v>52.293180416667461</v>
      </c>
      <c r="E38" s="196">
        <v>10</v>
      </c>
      <c r="F38" s="196">
        <v>1</v>
      </c>
      <c r="G38" s="250">
        <v>20</v>
      </c>
      <c r="H38" s="250">
        <v>1</v>
      </c>
      <c r="I38" s="250">
        <v>0.25</v>
      </c>
      <c r="J38" s="250">
        <v>0.25</v>
      </c>
      <c r="K38" s="319">
        <f t="shared" si="0"/>
        <v>84.793180416667468</v>
      </c>
      <c r="L38" s="18">
        <f t="shared" si="1"/>
        <v>50</v>
      </c>
      <c r="M38" s="252"/>
      <c r="N38" s="182"/>
      <c r="O38" s="182"/>
      <c r="P38" s="182"/>
      <c r="Q38" s="182"/>
      <c r="R38" s="182"/>
      <c r="S38" s="182"/>
    </row>
    <row r="39" spans="1:19" ht="16" x14ac:dyDescent="0.2">
      <c r="A39" s="163">
        <v>28</v>
      </c>
      <c r="B39" s="17" t="str">
        <f>+PROPONENTES!B37</f>
        <v>CONSORCIO INTERVENTORIA COANDINA</v>
      </c>
      <c r="C39" s="18" t="str">
        <f>CONSOLIDADO!J38</f>
        <v>HABILITADO</v>
      </c>
      <c r="D39" s="157">
        <v>67.066383770184558</v>
      </c>
      <c r="E39" s="196">
        <v>10</v>
      </c>
      <c r="F39" s="196">
        <v>1</v>
      </c>
      <c r="G39" s="250">
        <v>20</v>
      </c>
      <c r="H39" s="250">
        <v>1</v>
      </c>
      <c r="I39" s="250">
        <v>0.25</v>
      </c>
      <c r="J39" s="250">
        <v>0.25</v>
      </c>
      <c r="K39" s="319">
        <f t="shared" si="0"/>
        <v>99.566383770184558</v>
      </c>
      <c r="L39" s="18">
        <f t="shared" si="1"/>
        <v>3</v>
      </c>
      <c r="M39" s="252"/>
      <c r="N39" s="182"/>
      <c r="O39" s="182"/>
      <c r="P39" s="182"/>
      <c r="Q39" s="182"/>
      <c r="R39" s="182"/>
      <c r="S39" s="182"/>
    </row>
    <row r="40" spans="1:19" ht="23.25" customHeight="1" x14ac:dyDescent="0.2">
      <c r="A40" s="163">
        <v>29</v>
      </c>
      <c r="B40" s="17" t="str">
        <f>+PROPONENTES!B38</f>
        <v>CONSORCIO USAQUEN AVANZA MIC</v>
      </c>
      <c r="C40" s="18" t="str">
        <f>CONSOLIDADO!J39</f>
        <v>HABILITADO</v>
      </c>
      <c r="D40" s="157">
        <v>63.351598658827996</v>
      </c>
      <c r="E40" s="196">
        <v>10</v>
      </c>
      <c r="F40" s="196">
        <v>1</v>
      </c>
      <c r="G40" s="250">
        <v>20</v>
      </c>
      <c r="H40" s="250">
        <v>1</v>
      </c>
      <c r="I40" s="250">
        <v>0.25</v>
      </c>
      <c r="J40" s="250">
        <v>0.25</v>
      </c>
      <c r="K40" s="319">
        <f t="shared" si="0"/>
        <v>95.851598658827996</v>
      </c>
      <c r="L40" s="18">
        <f t="shared" si="1"/>
        <v>21</v>
      </c>
      <c r="M40" s="25"/>
    </row>
    <row r="41" spans="1:19" ht="23.25" customHeight="1" x14ac:dyDescent="0.2">
      <c r="A41" s="163">
        <v>30</v>
      </c>
      <c r="B41" s="17" t="str">
        <f>+PROPONENTES!B39</f>
        <v>CONSORCIO INTER-USAQUEN 003 HCPC</v>
      </c>
      <c r="C41" s="18" t="str">
        <f>CONSOLIDADO!J40</f>
        <v>HABILITADO</v>
      </c>
      <c r="D41" s="157">
        <v>55.84021241111946</v>
      </c>
      <c r="E41" s="196">
        <v>10</v>
      </c>
      <c r="F41" s="196">
        <v>1</v>
      </c>
      <c r="G41" s="250">
        <v>20</v>
      </c>
      <c r="H41" s="250">
        <v>1</v>
      </c>
      <c r="I41" s="250">
        <v>0.25</v>
      </c>
      <c r="J41" s="250">
        <v>0.25</v>
      </c>
      <c r="K41" s="319">
        <f t="shared" si="0"/>
        <v>88.340212411119467</v>
      </c>
      <c r="L41" s="18">
        <f t="shared" si="1"/>
        <v>39</v>
      </c>
      <c r="M41" s="25"/>
    </row>
    <row r="42" spans="1:19" ht="23.25" customHeight="1" x14ac:dyDescent="0.2">
      <c r="A42" s="163">
        <v>31</v>
      </c>
      <c r="B42" s="17" t="str">
        <f>+PROPONENTES!B40</f>
        <v>CONSORCIO VIAS USA 2025</v>
      </c>
      <c r="C42" s="18" t="str">
        <f>CONSOLIDADO!J41</f>
        <v>HABILITADO</v>
      </c>
      <c r="D42" s="157">
        <v>54.989954466894154</v>
      </c>
      <c r="E42" s="196">
        <v>10</v>
      </c>
      <c r="F42" s="196">
        <v>1</v>
      </c>
      <c r="G42" s="250">
        <v>20</v>
      </c>
      <c r="H42" s="250">
        <v>1</v>
      </c>
      <c r="I42" s="250">
        <v>0.25</v>
      </c>
      <c r="J42" s="250">
        <v>0.25</v>
      </c>
      <c r="K42" s="319">
        <f t="shared" si="0"/>
        <v>87.489954466894147</v>
      </c>
      <c r="L42" s="18">
        <f t="shared" si="1"/>
        <v>41</v>
      </c>
      <c r="M42" s="25"/>
    </row>
    <row r="43" spans="1:19" ht="23.25" customHeight="1" x14ac:dyDescent="0.2">
      <c r="A43" s="163">
        <v>32</v>
      </c>
      <c r="B43" s="17" t="str">
        <f>+PROPONENTES!B41</f>
        <v>CONSORCIO VIAL TAED USAQUEN</v>
      </c>
      <c r="C43" s="18" t="str">
        <f>CONSOLIDADO!J42</f>
        <v>INHABILITADO</v>
      </c>
      <c r="D43" s="157" t="s">
        <v>21</v>
      </c>
      <c r="E43" s="196">
        <v>10</v>
      </c>
      <c r="F43" s="196">
        <v>1</v>
      </c>
      <c r="G43" s="250">
        <v>20</v>
      </c>
      <c r="H43" s="257">
        <v>0</v>
      </c>
      <c r="I43" s="250">
        <v>0.25</v>
      </c>
      <c r="J43" s="250">
        <v>0.25</v>
      </c>
      <c r="K43" s="319">
        <f t="shared" si="0"/>
        <v>31.5</v>
      </c>
      <c r="L43" s="18">
        <f t="shared" si="1"/>
        <v>90</v>
      </c>
      <c r="M43" s="25" t="s">
        <v>1423</v>
      </c>
    </row>
    <row r="44" spans="1:19" ht="23.25" customHeight="1" x14ac:dyDescent="0.2">
      <c r="A44" s="163">
        <v>33</v>
      </c>
      <c r="B44" s="17" t="str">
        <f>+PROPONENTES!B42</f>
        <v>COLOMBOINGENIERIA S.A.S.</v>
      </c>
      <c r="C44" s="18" t="str">
        <f>CONSOLIDADO!J43</f>
        <v>INHABILITADO</v>
      </c>
      <c r="D44" s="157" t="s">
        <v>21</v>
      </c>
      <c r="E44" s="196">
        <v>10</v>
      </c>
      <c r="F44" s="196">
        <v>1</v>
      </c>
      <c r="G44" s="250">
        <v>20</v>
      </c>
      <c r="H44" s="257">
        <v>0</v>
      </c>
      <c r="I44" s="250">
        <v>0.25</v>
      </c>
      <c r="J44" s="250">
        <v>0.25</v>
      </c>
      <c r="K44" s="319">
        <f t="shared" ref="K44:K75" si="2">SUM(D44:J44)</f>
        <v>31.5</v>
      </c>
      <c r="L44" s="18">
        <f t="shared" ref="L44:L75" si="3">RANK(K44,$K$12:$K$105,0)</f>
        <v>90</v>
      </c>
      <c r="M44" s="25" t="s">
        <v>1423</v>
      </c>
    </row>
    <row r="45" spans="1:19" ht="23.25" customHeight="1" x14ac:dyDescent="0.2">
      <c r="A45" s="163">
        <v>34</v>
      </c>
      <c r="B45" s="17" t="str">
        <f>+PROPONENTES!B43</f>
        <v>URBANO - USAQUEN 03</v>
      </c>
      <c r="C45" s="18" t="str">
        <f>CONSOLIDADO!J44</f>
        <v>INHABILITADO</v>
      </c>
      <c r="D45" s="157" t="s">
        <v>21</v>
      </c>
      <c r="E45" s="196">
        <v>10</v>
      </c>
      <c r="F45" s="196">
        <v>1</v>
      </c>
      <c r="G45" s="250">
        <v>20</v>
      </c>
      <c r="H45" s="250">
        <v>1</v>
      </c>
      <c r="I45" s="250">
        <v>0.25</v>
      </c>
      <c r="J45" s="250">
        <v>0.25</v>
      </c>
      <c r="K45" s="319">
        <f t="shared" si="2"/>
        <v>32.5</v>
      </c>
      <c r="L45" s="18">
        <f t="shared" si="3"/>
        <v>70</v>
      </c>
      <c r="M45" s="25"/>
    </row>
    <row r="46" spans="1:19" ht="23.25" customHeight="1" x14ac:dyDescent="0.2">
      <c r="A46" s="163">
        <v>35</v>
      </c>
      <c r="B46" s="195" t="str">
        <f>+PROPONENTES!B44</f>
        <v>CONSORCIO INTERUSAQUEN RH</v>
      </c>
      <c r="C46" s="25" t="str">
        <f>CONSOLIDADO!J45</f>
        <v>HABILITADO</v>
      </c>
      <c r="D46" s="157">
        <v>61.320719502665447</v>
      </c>
      <c r="E46" s="196">
        <v>10</v>
      </c>
      <c r="F46" s="196">
        <v>1</v>
      </c>
      <c r="G46" s="250">
        <v>20</v>
      </c>
      <c r="H46" s="250">
        <v>1</v>
      </c>
      <c r="I46" s="250">
        <v>0.25</v>
      </c>
      <c r="J46" s="250">
        <v>0.25</v>
      </c>
      <c r="K46" s="320">
        <f t="shared" si="2"/>
        <v>93.82071950266544</v>
      </c>
      <c r="L46" s="25">
        <f t="shared" si="3"/>
        <v>31</v>
      </c>
      <c r="M46" s="92"/>
    </row>
    <row r="47" spans="1:19" ht="23.25" customHeight="1" x14ac:dyDescent="0.2">
      <c r="A47" s="163">
        <v>36</v>
      </c>
      <c r="B47" s="17" t="str">
        <f>+PROPONENTES!B45</f>
        <v>CONSORCIO USAQUEN 2025</v>
      </c>
      <c r="C47" s="18" t="str">
        <f>CONSOLIDADO!J46</f>
        <v>HABILITADO</v>
      </c>
      <c r="D47" s="157">
        <v>49.715174640761113</v>
      </c>
      <c r="E47" s="196">
        <v>10</v>
      </c>
      <c r="F47" s="196">
        <v>1</v>
      </c>
      <c r="G47" s="250">
        <v>20</v>
      </c>
      <c r="H47" s="250">
        <v>1</v>
      </c>
      <c r="I47" s="250">
        <v>0.25</v>
      </c>
      <c r="J47" s="250">
        <v>0.25</v>
      </c>
      <c r="K47" s="319">
        <f t="shared" si="2"/>
        <v>82.21517464076112</v>
      </c>
      <c r="L47" s="18">
        <f t="shared" si="3"/>
        <v>54</v>
      </c>
      <c r="M47" s="92"/>
    </row>
    <row r="48" spans="1:19" ht="23.25" customHeight="1" x14ac:dyDescent="0.2">
      <c r="A48" s="163">
        <v>37</v>
      </c>
      <c r="B48" s="17" t="str">
        <f>+PROPONENTES!B46</f>
        <v>PRODEINCOL S.A.S.</v>
      </c>
      <c r="C48" s="18" t="str">
        <f>CONSOLIDADO!J47</f>
        <v>HABILITADO</v>
      </c>
      <c r="D48" s="157">
        <v>24.882564162083561</v>
      </c>
      <c r="E48" s="196">
        <v>10</v>
      </c>
      <c r="F48" s="196">
        <v>1</v>
      </c>
      <c r="G48" s="250">
        <v>20</v>
      </c>
      <c r="H48" s="257">
        <v>0</v>
      </c>
      <c r="I48" s="257">
        <v>0</v>
      </c>
      <c r="J48" s="250">
        <v>0.25</v>
      </c>
      <c r="K48" s="319">
        <f t="shared" si="2"/>
        <v>56.132564162083561</v>
      </c>
      <c r="L48" s="18">
        <f t="shared" si="3"/>
        <v>68</v>
      </c>
      <c r="M48" s="92" t="s">
        <v>772</v>
      </c>
    </row>
    <row r="49" spans="1:13" ht="23.25" customHeight="1" x14ac:dyDescent="0.2">
      <c r="A49" s="163">
        <v>38</v>
      </c>
      <c r="B49" s="17" t="str">
        <f>+PROPONENTES!B47</f>
        <v>PROYECTOS TECNICOS DE COLOMBIA SAS</v>
      </c>
      <c r="C49" s="18" t="str">
        <f>CONSOLIDADO!J48</f>
        <v>HABILITADO</v>
      </c>
      <c r="D49" s="157">
        <v>44.345982666666913</v>
      </c>
      <c r="E49" s="196">
        <v>10</v>
      </c>
      <c r="F49" s="196">
        <v>1</v>
      </c>
      <c r="G49" s="250">
        <v>20</v>
      </c>
      <c r="H49" s="250">
        <v>1</v>
      </c>
      <c r="I49" s="250">
        <v>0.25</v>
      </c>
      <c r="J49" s="250">
        <v>0.25</v>
      </c>
      <c r="K49" s="319">
        <f t="shared" si="2"/>
        <v>76.845982666666913</v>
      </c>
      <c r="L49" s="18">
        <f t="shared" si="3"/>
        <v>62</v>
      </c>
      <c r="M49" s="92"/>
    </row>
    <row r="50" spans="1:13" ht="23.25" customHeight="1" x14ac:dyDescent="0.2">
      <c r="A50" s="163">
        <v>39</v>
      </c>
      <c r="B50" s="17" t="str">
        <f>+PROPONENTES!B48</f>
        <v>CONSORCIO INTERPROVIAS USQ</v>
      </c>
      <c r="C50" s="18" t="str">
        <f>CONSOLIDADO!J49</f>
        <v>HABILITADO</v>
      </c>
      <c r="D50" s="157">
        <v>47.327122906201232</v>
      </c>
      <c r="E50" s="196">
        <v>10</v>
      </c>
      <c r="F50" s="196">
        <v>1</v>
      </c>
      <c r="G50" s="250">
        <v>20</v>
      </c>
      <c r="H50" s="250">
        <v>1</v>
      </c>
      <c r="I50" s="250">
        <v>0.25</v>
      </c>
      <c r="J50" s="250">
        <v>0.25</v>
      </c>
      <c r="K50" s="319">
        <f t="shared" si="2"/>
        <v>79.827122906201225</v>
      </c>
      <c r="L50" s="18">
        <f t="shared" si="3"/>
        <v>61</v>
      </c>
      <c r="M50" s="92"/>
    </row>
    <row r="51" spans="1:13" ht="23.25" customHeight="1" x14ac:dyDescent="0.2">
      <c r="A51" s="163">
        <v>40</v>
      </c>
      <c r="B51" s="17" t="str">
        <f>+PROPONENTES!B49</f>
        <v>CONSORCIO INTER Y19</v>
      </c>
      <c r="C51" s="18" t="str">
        <f>CONSOLIDADO!J50</f>
        <v>HABILITADO</v>
      </c>
      <c r="D51" s="157">
        <v>62.901559267870354</v>
      </c>
      <c r="E51" s="196">
        <v>10</v>
      </c>
      <c r="F51" s="196">
        <v>1</v>
      </c>
      <c r="G51" s="250">
        <v>20</v>
      </c>
      <c r="H51" s="250">
        <v>1</v>
      </c>
      <c r="I51" s="250">
        <v>0.25</v>
      </c>
      <c r="J51" s="250">
        <v>0.25</v>
      </c>
      <c r="K51" s="319">
        <f t="shared" si="2"/>
        <v>95.401559267870354</v>
      </c>
      <c r="L51" s="18">
        <f t="shared" si="3"/>
        <v>24</v>
      </c>
      <c r="M51" s="92"/>
    </row>
    <row r="52" spans="1:13" ht="23.25" customHeight="1" x14ac:dyDescent="0.2">
      <c r="A52" s="163">
        <v>41</v>
      </c>
      <c r="B52" s="17" t="str">
        <f>+PROPONENTES!B50</f>
        <v>CONSORCIO INTER AXPROCOL</v>
      </c>
      <c r="C52" s="18" t="str">
        <f>CONSOLIDADO!J51</f>
        <v>INHABILITADO</v>
      </c>
      <c r="D52" s="157" t="s">
        <v>21</v>
      </c>
      <c r="E52" s="196">
        <v>10</v>
      </c>
      <c r="F52" s="196">
        <v>1</v>
      </c>
      <c r="G52" s="250">
        <v>20</v>
      </c>
      <c r="H52" s="250">
        <v>1</v>
      </c>
      <c r="I52" s="250">
        <v>0.25</v>
      </c>
      <c r="J52" s="250">
        <v>0.25</v>
      </c>
      <c r="K52" s="319">
        <f t="shared" si="2"/>
        <v>32.5</v>
      </c>
      <c r="L52" s="18">
        <f t="shared" si="3"/>
        <v>70</v>
      </c>
      <c r="M52" s="92"/>
    </row>
    <row r="53" spans="1:13" ht="23.25" customHeight="1" x14ac:dyDescent="0.2">
      <c r="A53" s="163">
        <v>42</v>
      </c>
      <c r="B53" s="17" t="str">
        <f>+PROPONENTES!B51</f>
        <v>CONSERVACIÓN USAQUEN IC</v>
      </c>
      <c r="C53" s="18" t="str">
        <f>CONSOLIDADO!J52</f>
        <v>HABILITADO</v>
      </c>
      <c r="D53" s="157">
        <v>64.272652749151504</v>
      </c>
      <c r="E53" s="196">
        <v>10</v>
      </c>
      <c r="F53" s="196">
        <v>1</v>
      </c>
      <c r="G53" s="250">
        <v>20</v>
      </c>
      <c r="H53" s="250">
        <v>1</v>
      </c>
      <c r="I53" s="250">
        <v>0.25</v>
      </c>
      <c r="J53" s="250">
        <v>0.25</v>
      </c>
      <c r="K53" s="319">
        <f t="shared" si="2"/>
        <v>96.772652749151504</v>
      </c>
      <c r="L53" s="18">
        <f t="shared" si="3"/>
        <v>15</v>
      </c>
      <c r="M53" s="264"/>
    </row>
    <row r="54" spans="1:13" ht="23.25" customHeight="1" x14ac:dyDescent="0.2">
      <c r="A54" s="163">
        <v>43</v>
      </c>
      <c r="B54" s="17" t="str">
        <f>+PROPONENTES!B52</f>
        <v>CONSORCIO HGR–INCON 13</v>
      </c>
      <c r="C54" s="18" t="str">
        <f>CONSOLIDADO!J53</f>
        <v>HABILITADO</v>
      </c>
      <c r="D54" s="157">
        <v>64.588004745970565</v>
      </c>
      <c r="E54" s="196">
        <v>10</v>
      </c>
      <c r="F54" s="196">
        <v>1</v>
      </c>
      <c r="G54" s="250">
        <v>20</v>
      </c>
      <c r="H54" s="250">
        <v>1</v>
      </c>
      <c r="I54" s="250">
        <v>0.25</v>
      </c>
      <c r="J54" s="250">
        <v>0.25</v>
      </c>
      <c r="K54" s="319">
        <f t="shared" si="2"/>
        <v>97.088004745970565</v>
      </c>
      <c r="L54" s="18">
        <f t="shared" si="3"/>
        <v>14</v>
      </c>
      <c r="M54" s="92"/>
    </row>
    <row r="55" spans="1:13" ht="23.25" customHeight="1" x14ac:dyDescent="0.2">
      <c r="A55" s="163">
        <v>44</v>
      </c>
      <c r="B55" s="17" t="str">
        <f>+PROPONENTES!B53</f>
        <v>DF CONSULTORIA SAS</v>
      </c>
      <c r="C55" s="18" t="str">
        <f>CONSOLIDADO!J54</f>
        <v>HABILITADO</v>
      </c>
      <c r="D55" s="157">
        <v>35.893906810984937</v>
      </c>
      <c r="E55" s="196">
        <v>10</v>
      </c>
      <c r="F55" s="196">
        <v>1</v>
      </c>
      <c r="G55" s="250">
        <v>20</v>
      </c>
      <c r="H55" s="250">
        <v>1</v>
      </c>
      <c r="I55" s="250">
        <v>0.25</v>
      </c>
      <c r="J55" s="250">
        <v>0.25</v>
      </c>
      <c r="K55" s="319">
        <f t="shared" si="2"/>
        <v>68.39390681098493</v>
      </c>
      <c r="L55" s="18">
        <f t="shared" si="3"/>
        <v>67</v>
      </c>
      <c r="M55" s="92"/>
    </row>
    <row r="56" spans="1:13" ht="23.25" customHeight="1" x14ac:dyDescent="0.2">
      <c r="A56" s="163">
        <v>45</v>
      </c>
      <c r="B56" s="17" t="str">
        <f>+PROPONENTES!B54</f>
        <v>ARINCO SAS</v>
      </c>
      <c r="C56" s="18" t="str">
        <f>CONSOLIDADO!J55</f>
        <v>HABILITADO</v>
      </c>
      <c r="D56" s="157">
        <v>52.747896267636904</v>
      </c>
      <c r="E56" s="196">
        <v>10</v>
      </c>
      <c r="F56" s="196">
        <v>1</v>
      </c>
      <c r="G56" s="250">
        <v>20</v>
      </c>
      <c r="H56" s="250">
        <v>1</v>
      </c>
      <c r="I56" s="250">
        <v>0.25</v>
      </c>
      <c r="J56" s="250">
        <v>0.25</v>
      </c>
      <c r="K56" s="319">
        <f t="shared" si="2"/>
        <v>85.247896267636904</v>
      </c>
      <c r="L56" s="18">
        <f t="shared" si="3"/>
        <v>47</v>
      </c>
      <c r="M56" s="92"/>
    </row>
    <row r="57" spans="1:13" ht="23.25" customHeight="1" x14ac:dyDescent="0.2">
      <c r="A57" s="163">
        <v>46</v>
      </c>
      <c r="B57" s="17" t="str">
        <f>+PROPONENTES!B55</f>
        <v>MALLAUSA</v>
      </c>
      <c r="C57" s="18" t="str">
        <f>CONSOLIDADO!J56</f>
        <v>HABILITADO</v>
      </c>
      <c r="D57" s="157">
        <v>53.784079080303044</v>
      </c>
      <c r="E57" s="196">
        <v>10</v>
      </c>
      <c r="F57" s="196">
        <v>1</v>
      </c>
      <c r="G57" s="250">
        <v>20</v>
      </c>
      <c r="H57" s="250">
        <v>1</v>
      </c>
      <c r="I57" s="250">
        <v>0.25</v>
      </c>
      <c r="J57" s="250">
        <v>0.25</v>
      </c>
      <c r="K57" s="319">
        <f t="shared" si="2"/>
        <v>86.284079080303044</v>
      </c>
      <c r="L57" s="18">
        <f t="shared" si="3"/>
        <v>44</v>
      </c>
      <c r="M57" s="92"/>
    </row>
    <row r="58" spans="1:13" ht="23.25" customHeight="1" x14ac:dyDescent="0.2">
      <c r="A58" s="163">
        <v>47</v>
      </c>
      <c r="B58" s="17" t="str">
        <f>+PROPONENTES!B56</f>
        <v>CONSORCIO VÍAS URBANAS P&amp;C-U-2025</v>
      </c>
      <c r="C58" s="18" t="str">
        <f>CONSOLIDADO!J57</f>
        <v>HABILITADO</v>
      </c>
      <c r="D58" s="157">
        <v>55.713244127326625</v>
      </c>
      <c r="E58" s="196">
        <v>10</v>
      </c>
      <c r="F58" s="196">
        <v>1</v>
      </c>
      <c r="G58" s="250">
        <v>20</v>
      </c>
      <c r="H58" s="250">
        <v>1</v>
      </c>
      <c r="I58" s="250">
        <v>0.25</v>
      </c>
      <c r="J58" s="250">
        <v>0.25</v>
      </c>
      <c r="K58" s="319">
        <f t="shared" si="2"/>
        <v>88.213244127326618</v>
      </c>
      <c r="L58" s="18">
        <f t="shared" si="3"/>
        <v>40</v>
      </c>
      <c r="M58" s="92"/>
    </row>
    <row r="59" spans="1:13" ht="34.75" customHeight="1" x14ac:dyDescent="0.2">
      <c r="A59" s="163">
        <v>48</v>
      </c>
      <c r="B59" s="17" t="str">
        <f>+PROPONENTES!B57</f>
        <v>GES-USAQUEN-003</v>
      </c>
      <c r="C59" s="18" t="str">
        <f>CONSOLIDADO!J58</f>
        <v>INHABILITADO</v>
      </c>
      <c r="D59" s="157" t="s">
        <v>21</v>
      </c>
      <c r="E59" s="196">
        <v>10</v>
      </c>
      <c r="F59" s="196">
        <v>1</v>
      </c>
      <c r="G59" s="250">
        <v>20</v>
      </c>
      <c r="H59" s="250">
        <v>1</v>
      </c>
      <c r="I59" s="257">
        <v>0</v>
      </c>
      <c r="J59" s="250">
        <v>0.25</v>
      </c>
      <c r="K59" s="319">
        <f t="shared" si="2"/>
        <v>32.25</v>
      </c>
      <c r="L59" s="18">
        <f t="shared" si="3"/>
        <v>87</v>
      </c>
      <c r="M59" s="92" t="s">
        <v>874</v>
      </c>
    </row>
    <row r="60" spans="1:13" ht="23.25" customHeight="1" x14ac:dyDescent="0.2">
      <c r="A60" s="163">
        <v>49</v>
      </c>
      <c r="B60" s="17" t="str">
        <f>+PROPONENTES!B58</f>
        <v>CONSORCIO SOLIING USAQUEN</v>
      </c>
      <c r="C60" s="18" t="str">
        <f>CONSOLIDADO!J59</f>
        <v>HABILITADO</v>
      </c>
      <c r="D60" s="157">
        <v>0</v>
      </c>
      <c r="E60" s="196">
        <v>10</v>
      </c>
      <c r="F60" s="196">
        <v>1</v>
      </c>
      <c r="G60" s="250">
        <v>20</v>
      </c>
      <c r="H60" s="250">
        <v>1</v>
      </c>
      <c r="I60" s="250">
        <v>0.25</v>
      </c>
      <c r="J60" s="250">
        <v>0.25</v>
      </c>
      <c r="K60" s="319">
        <f t="shared" si="2"/>
        <v>32.5</v>
      </c>
      <c r="L60" s="18">
        <f t="shared" si="3"/>
        <v>70</v>
      </c>
      <c r="M60" s="92"/>
    </row>
    <row r="61" spans="1:13" ht="34.75" customHeight="1" x14ac:dyDescent="0.2">
      <c r="A61" s="163">
        <v>50</v>
      </c>
      <c r="B61" s="17" t="str">
        <f>+PROPONENTES!B59</f>
        <v>INEXIA</v>
      </c>
      <c r="C61" s="18" t="str">
        <f>CONSOLIDADO!J60</f>
        <v>HABILITADO</v>
      </c>
      <c r="D61" s="157">
        <v>0</v>
      </c>
      <c r="E61" s="196">
        <v>10</v>
      </c>
      <c r="F61" s="196">
        <v>1</v>
      </c>
      <c r="G61" s="250">
        <v>20</v>
      </c>
      <c r="H61" s="250">
        <v>1</v>
      </c>
      <c r="I61" s="250">
        <v>0.25</v>
      </c>
      <c r="J61" s="250">
        <v>0.25</v>
      </c>
      <c r="K61" s="319">
        <f t="shared" si="2"/>
        <v>32.5</v>
      </c>
      <c r="L61" s="18">
        <f t="shared" si="3"/>
        <v>70</v>
      </c>
      <c r="M61" s="92" t="s">
        <v>875</v>
      </c>
    </row>
    <row r="62" spans="1:13" ht="23.25" customHeight="1" x14ac:dyDescent="0.2">
      <c r="A62" s="163">
        <v>51</v>
      </c>
      <c r="B62" s="17" t="str">
        <f>+PROPONENTES!B60</f>
        <v>INCOLTA S.A.S.</v>
      </c>
      <c r="C62" s="18" t="str">
        <f>CONSOLIDADO!J61</f>
        <v>HABILITADO</v>
      </c>
      <c r="D62" s="157">
        <v>67.5</v>
      </c>
      <c r="E62" s="196">
        <v>10</v>
      </c>
      <c r="F62" s="196">
        <v>1</v>
      </c>
      <c r="G62" s="250">
        <v>20</v>
      </c>
      <c r="H62" s="250">
        <v>1</v>
      </c>
      <c r="I62" s="250">
        <v>0.25</v>
      </c>
      <c r="J62" s="250">
        <v>0.25</v>
      </c>
      <c r="K62" s="319">
        <f t="shared" si="2"/>
        <v>100</v>
      </c>
      <c r="L62" s="18">
        <f t="shared" si="3"/>
        <v>1</v>
      </c>
      <c r="M62" s="92"/>
    </row>
    <row r="63" spans="1:13" ht="37.25" customHeight="1" x14ac:dyDescent="0.2">
      <c r="A63" s="163">
        <v>52</v>
      </c>
      <c r="B63" s="17" t="str">
        <f>+PROPONENTES!B61</f>
        <v>DIN INGENIERIA SAS</v>
      </c>
      <c r="C63" s="18" t="str">
        <f>CONSOLIDADO!J62</f>
        <v>HABILITADO</v>
      </c>
      <c r="D63" s="157">
        <v>51.028720869393069</v>
      </c>
      <c r="E63" s="196">
        <v>10</v>
      </c>
      <c r="F63" s="196">
        <v>1</v>
      </c>
      <c r="G63" s="250">
        <v>20</v>
      </c>
      <c r="H63" s="250">
        <v>1</v>
      </c>
      <c r="I63" s="257">
        <v>0</v>
      </c>
      <c r="J63" s="250">
        <v>0.25</v>
      </c>
      <c r="K63" s="319">
        <f t="shared" si="2"/>
        <v>83.278720869393069</v>
      </c>
      <c r="L63" s="18">
        <f t="shared" si="3"/>
        <v>51</v>
      </c>
      <c r="M63" s="92" t="s">
        <v>876</v>
      </c>
    </row>
    <row r="64" spans="1:13" ht="23.25" customHeight="1" x14ac:dyDescent="0.2">
      <c r="A64" s="163">
        <v>53</v>
      </c>
      <c r="B64" s="17" t="str">
        <f>+PROPONENTES!B62</f>
        <v>UNIOBRAS DEL ORIENTE S.A.S</v>
      </c>
      <c r="C64" s="18" t="str">
        <f>CONSOLIDADO!J63</f>
        <v>INHABILITADO</v>
      </c>
      <c r="D64" s="157" t="s">
        <v>21</v>
      </c>
      <c r="E64" s="196">
        <v>10</v>
      </c>
      <c r="F64" s="196">
        <v>1</v>
      </c>
      <c r="G64" s="250">
        <v>20</v>
      </c>
      <c r="H64" s="250">
        <v>1</v>
      </c>
      <c r="I64" s="250">
        <v>0.25</v>
      </c>
      <c r="J64" s="250">
        <v>0.25</v>
      </c>
      <c r="K64" s="319">
        <f t="shared" si="2"/>
        <v>32.5</v>
      </c>
      <c r="L64" s="18">
        <f t="shared" si="3"/>
        <v>70</v>
      </c>
      <c r="M64" s="92"/>
    </row>
    <row r="65" spans="1:13" ht="23.25" customHeight="1" x14ac:dyDescent="0.2">
      <c r="A65" s="163">
        <v>54</v>
      </c>
      <c r="B65" s="17" t="str">
        <f>+PROPONENTES!B63</f>
        <v>INGESCOR S.A.S.</v>
      </c>
      <c r="C65" s="18" t="str">
        <f>CONSOLIDADO!J64</f>
        <v>HABILITADO</v>
      </c>
      <c r="D65" s="157">
        <v>62.286237540921213</v>
      </c>
      <c r="E65" s="196">
        <v>10</v>
      </c>
      <c r="F65" s="196">
        <v>1</v>
      </c>
      <c r="G65" s="250">
        <v>20</v>
      </c>
      <c r="H65" s="250">
        <v>1</v>
      </c>
      <c r="I65" s="250">
        <v>0.25</v>
      </c>
      <c r="J65" s="250">
        <v>0.25</v>
      </c>
      <c r="K65" s="319">
        <f t="shared" si="2"/>
        <v>94.786237540921206</v>
      </c>
      <c r="L65" s="18">
        <f t="shared" si="3"/>
        <v>27</v>
      </c>
      <c r="M65" s="92"/>
    </row>
    <row r="66" spans="1:13" ht="23.25" customHeight="1" x14ac:dyDescent="0.2">
      <c r="A66" s="163">
        <v>55</v>
      </c>
      <c r="B66" s="17" t="str">
        <f>+PROPONENTES!B64</f>
        <v>CONSORCIO FENIX</v>
      </c>
      <c r="C66" s="18" t="str">
        <f>CONSOLIDADO!J65</f>
        <v>INHABILITADO</v>
      </c>
      <c r="D66" s="157" t="s">
        <v>21</v>
      </c>
      <c r="E66" s="196">
        <v>10</v>
      </c>
      <c r="F66" s="196">
        <v>1</v>
      </c>
      <c r="G66" s="250">
        <v>20</v>
      </c>
      <c r="H66" s="250">
        <v>1</v>
      </c>
      <c r="I66" s="250">
        <v>0.25</v>
      </c>
      <c r="J66" s="250">
        <v>0.25</v>
      </c>
      <c r="K66" s="319">
        <f t="shared" si="2"/>
        <v>32.5</v>
      </c>
      <c r="L66" s="18">
        <f t="shared" si="3"/>
        <v>70</v>
      </c>
      <c r="M66" s="25"/>
    </row>
    <row r="67" spans="1:13" ht="23.25" customHeight="1" x14ac:dyDescent="0.2">
      <c r="A67" s="163">
        <v>56</v>
      </c>
      <c r="B67" s="17" t="str">
        <f>+PROPONENTES!B65</f>
        <v>INGOSER SAS</v>
      </c>
      <c r="C67" s="18" t="str">
        <f>CONSOLIDADO!J66</f>
        <v>HABILITADO</v>
      </c>
      <c r="D67" s="157">
        <v>13.17962080965084</v>
      </c>
      <c r="E67" s="196">
        <v>10</v>
      </c>
      <c r="F67" s="196">
        <v>1</v>
      </c>
      <c r="G67" s="250">
        <v>20</v>
      </c>
      <c r="H67" s="250">
        <v>1</v>
      </c>
      <c r="I67" s="250">
        <v>0.25</v>
      </c>
      <c r="J67" s="250">
        <v>0.25</v>
      </c>
      <c r="K67" s="319">
        <f t="shared" si="2"/>
        <v>45.679620809650842</v>
      </c>
      <c r="L67" s="18">
        <f t="shared" si="3"/>
        <v>69</v>
      </c>
      <c r="M67" s="25"/>
    </row>
    <row r="68" spans="1:13" ht="23.25" customHeight="1" x14ac:dyDescent="0.2">
      <c r="A68" s="163">
        <v>57</v>
      </c>
      <c r="B68" s="17" t="str">
        <f>+PROPONENTES!B66</f>
        <v>EUROESTUDIOS INGENIEROS DE CONSULTA SAS</v>
      </c>
      <c r="C68" s="18" t="str">
        <f>CONSOLIDADO!J67</f>
        <v>INHABILITADO</v>
      </c>
      <c r="D68" s="157" t="s">
        <v>21</v>
      </c>
      <c r="E68" s="196">
        <v>10</v>
      </c>
      <c r="F68" s="196">
        <v>1</v>
      </c>
      <c r="G68" s="250">
        <v>20</v>
      </c>
      <c r="H68" s="250">
        <v>1</v>
      </c>
      <c r="I68" s="250">
        <v>0.25</v>
      </c>
      <c r="J68" s="250">
        <v>0.25</v>
      </c>
      <c r="K68" s="319">
        <f t="shared" si="2"/>
        <v>32.5</v>
      </c>
      <c r="L68" s="18">
        <f t="shared" si="3"/>
        <v>70</v>
      </c>
      <c r="M68" s="25"/>
    </row>
    <row r="69" spans="1:13" ht="23.25" customHeight="1" x14ac:dyDescent="0.2">
      <c r="A69" s="163">
        <v>58</v>
      </c>
      <c r="B69" s="17" t="str">
        <f>+PROPONENTES!B67</f>
        <v>CONSORCIO CUARZO 37</v>
      </c>
      <c r="C69" s="18" t="str">
        <f>CONSOLIDADO!J68</f>
        <v>HABILITADO</v>
      </c>
      <c r="D69" s="157">
        <v>43.299464643495995</v>
      </c>
      <c r="E69" s="196">
        <v>10</v>
      </c>
      <c r="F69" s="196">
        <v>1</v>
      </c>
      <c r="G69" s="250">
        <v>20</v>
      </c>
      <c r="H69" s="250">
        <v>1</v>
      </c>
      <c r="I69" s="250">
        <v>0.25</v>
      </c>
      <c r="J69" s="250">
        <v>0.25</v>
      </c>
      <c r="K69" s="319">
        <f t="shared" si="2"/>
        <v>75.799464643495995</v>
      </c>
      <c r="L69" s="18">
        <f t="shared" si="3"/>
        <v>64</v>
      </c>
      <c r="M69" s="25"/>
    </row>
    <row r="70" spans="1:13" ht="23.25" customHeight="1" x14ac:dyDescent="0.2">
      <c r="A70" s="163">
        <v>59</v>
      </c>
      <c r="B70" s="17" t="str">
        <f>+PROPONENTES!B68</f>
        <v>INGENIERIA MASTER S.A.S.</v>
      </c>
      <c r="C70" s="18" t="str">
        <f>CONSOLIDADO!J69</f>
        <v>HABILITADO</v>
      </c>
      <c r="D70" s="157">
        <v>59.826811043082763</v>
      </c>
      <c r="E70" s="196">
        <v>10</v>
      </c>
      <c r="F70" s="196">
        <v>1</v>
      </c>
      <c r="G70" s="250">
        <v>20</v>
      </c>
      <c r="H70" s="250">
        <v>1</v>
      </c>
      <c r="I70" s="250">
        <v>0.25</v>
      </c>
      <c r="J70" s="250">
        <v>0.25</v>
      </c>
      <c r="K70" s="319">
        <f t="shared" si="2"/>
        <v>92.326811043082756</v>
      </c>
      <c r="L70" s="18">
        <f t="shared" si="3"/>
        <v>32</v>
      </c>
      <c r="M70" s="25"/>
    </row>
    <row r="71" spans="1:13" ht="23.25" customHeight="1" x14ac:dyDescent="0.2">
      <c r="A71" s="163">
        <v>60</v>
      </c>
      <c r="B71" s="17" t="str">
        <f>+PROPONENTES!B69</f>
        <v>CONSULTORES DONOVAN SAS</v>
      </c>
      <c r="C71" s="18" t="str">
        <f>CONSOLIDADO!J70</f>
        <v>HABILITADO</v>
      </c>
      <c r="D71" s="157">
        <v>63.322063967018217</v>
      </c>
      <c r="E71" s="196">
        <v>10</v>
      </c>
      <c r="F71" s="196">
        <v>1</v>
      </c>
      <c r="G71" s="250">
        <v>20</v>
      </c>
      <c r="H71" s="250">
        <v>1</v>
      </c>
      <c r="I71" s="250">
        <v>0.25</v>
      </c>
      <c r="J71" s="250">
        <v>0.25</v>
      </c>
      <c r="K71" s="319">
        <f t="shared" si="2"/>
        <v>95.822063967018209</v>
      </c>
      <c r="L71" s="18">
        <f t="shared" si="3"/>
        <v>22</v>
      </c>
      <c r="M71" s="292"/>
    </row>
    <row r="72" spans="1:13" ht="23.25" customHeight="1" x14ac:dyDescent="0.2">
      <c r="A72" s="163">
        <v>61</v>
      </c>
      <c r="B72" s="17" t="str">
        <f>+PROPONENTES!B70</f>
        <v>VERBENAL 25</v>
      </c>
      <c r="C72" s="18" t="str">
        <f>CONSOLIDADO!J71</f>
        <v>HABILITADO</v>
      </c>
      <c r="D72" s="157">
        <v>43.984271459452188</v>
      </c>
      <c r="E72" s="196">
        <v>10</v>
      </c>
      <c r="F72" s="196">
        <v>1</v>
      </c>
      <c r="G72" s="250">
        <v>20</v>
      </c>
      <c r="H72" s="250">
        <v>1</v>
      </c>
      <c r="I72" s="250">
        <v>0.25</v>
      </c>
      <c r="J72" s="250">
        <v>0.25</v>
      </c>
      <c r="K72" s="319">
        <f t="shared" si="2"/>
        <v>76.484271459452188</v>
      </c>
      <c r="L72" s="18">
        <f t="shared" si="3"/>
        <v>63</v>
      </c>
      <c r="M72" s="293"/>
    </row>
    <row r="73" spans="1:13" ht="23.25" customHeight="1" x14ac:dyDescent="0.2">
      <c r="A73" s="163">
        <v>62</v>
      </c>
      <c r="B73" s="17" t="str">
        <f>+PROPONENTES!B71</f>
        <v>CONSORCIO GL USAQUEN 2025</v>
      </c>
      <c r="C73" s="18" t="str">
        <f>CONSOLIDADO!J72</f>
        <v>HABILITADO</v>
      </c>
      <c r="D73" s="157">
        <v>56.217384938641423</v>
      </c>
      <c r="E73" s="196">
        <v>10</v>
      </c>
      <c r="F73" s="196">
        <v>1</v>
      </c>
      <c r="G73" s="250">
        <v>20</v>
      </c>
      <c r="H73" s="250">
        <v>1</v>
      </c>
      <c r="I73" s="257">
        <v>0</v>
      </c>
      <c r="J73" s="250">
        <v>0.25</v>
      </c>
      <c r="K73" s="319">
        <f t="shared" si="2"/>
        <v>88.46738493864143</v>
      </c>
      <c r="L73" s="18">
        <f t="shared" si="3"/>
        <v>38</v>
      </c>
      <c r="M73" s="293" t="s">
        <v>1027</v>
      </c>
    </row>
    <row r="74" spans="1:13" ht="23.25" customHeight="1" x14ac:dyDescent="0.2">
      <c r="A74" s="163">
        <v>63</v>
      </c>
      <c r="B74" s="17" t="str">
        <f>+PROPONENTES!B72</f>
        <v>TORRES &amp; ASOCIADOS</v>
      </c>
      <c r="C74" s="18" t="str">
        <f>CONSOLIDADO!J73</f>
        <v>INHABILITADO</v>
      </c>
      <c r="D74" s="157" t="s">
        <v>21</v>
      </c>
      <c r="E74" s="196">
        <v>10</v>
      </c>
      <c r="F74" s="196">
        <v>1</v>
      </c>
      <c r="G74" s="250">
        <v>20</v>
      </c>
      <c r="H74" s="250">
        <v>1</v>
      </c>
      <c r="I74" s="250">
        <v>0.25</v>
      </c>
      <c r="J74" s="250">
        <v>0.25</v>
      </c>
      <c r="K74" s="319">
        <f t="shared" si="2"/>
        <v>32.5</v>
      </c>
      <c r="L74" s="18">
        <f t="shared" si="3"/>
        <v>70</v>
      </c>
      <c r="M74" s="292"/>
    </row>
    <row r="75" spans="1:13" ht="23.25" customHeight="1" x14ac:dyDescent="0.2">
      <c r="A75" s="163">
        <v>64</v>
      </c>
      <c r="B75" s="17" t="str">
        <f>+PROPONENTES!B73</f>
        <v>TRIPLE C SAS</v>
      </c>
      <c r="C75" s="18" t="str">
        <f>CONSOLIDADO!J74</f>
        <v>HABILITADO</v>
      </c>
      <c r="D75" s="157">
        <v>47.689912451388729</v>
      </c>
      <c r="E75" s="196">
        <v>10</v>
      </c>
      <c r="F75" s="196">
        <v>1</v>
      </c>
      <c r="G75" s="250">
        <v>20</v>
      </c>
      <c r="H75" s="250">
        <v>1</v>
      </c>
      <c r="I75" s="250">
        <v>0.25</v>
      </c>
      <c r="J75" s="250">
        <v>0.25</v>
      </c>
      <c r="K75" s="319">
        <f t="shared" si="2"/>
        <v>80.189912451388722</v>
      </c>
      <c r="L75" s="18">
        <f t="shared" si="3"/>
        <v>60</v>
      </c>
      <c r="M75" s="293"/>
    </row>
    <row r="76" spans="1:13" ht="23.25" customHeight="1" x14ac:dyDescent="0.2">
      <c r="A76" s="163">
        <v>65</v>
      </c>
      <c r="B76" s="17" t="str">
        <f>+PROPONENTES!B74</f>
        <v>CONSORCIO VERTEX</v>
      </c>
      <c r="C76" s="18" t="str">
        <f>CONSOLIDADO!J75</f>
        <v>HABILITADO</v>
      </c>
      <c r="D76" s="157">
        <v>48.342180904982158</v>
      </c>
      <c r="E76" s="196">
        <v>10</v>
      </c>
      <c r="F76" s="196">
        <v>1</v>
      </c>
      <c r="G76" s="250">
        <v>20</v>
      </c>
      <c r="H76" s="250">
        <v>1</v>
      </c>
      <c r="I76" s="250">
        <v>0.25</v>
      </c>
      <c r="J76" s="250">
        <v>0.25</v>
      </c>
      <c r="K76" s="319">
        <f t="shared" ref="K76:K95" si="4">SUM(D76:J76)</f>
        <v>80.842180904982158</v>
      </c>
      <c r="L76" s="18">
        <f t="shared" ref="L76:L105" si="5">RANK(K76,$K$12:$K$105,0)</f>
        <v>58</v>
      </c>
      <c r="M76" s="293"/>
    </row>
    <row r="77" spans="1:13" ht="23.25" customHeight="1" x14ac:dyDescent="0.2">
      <c r="A77" s="163">
        <v>66</v>
      </c>
      <c r="B77" s="17" t="str">
        <f>+PROPONENTES!B75</f>
        <v>UMBRELLA INTERNATIONAL S.A.S</v>
      </c>
      <c r="C77" s="18" t="str">
        <f>CONSOLIDADO!J76</f>
        <v>HABILITADO</v>
      </c>
      <c r="D77" s="157">
        <v>63.563409220234398</v>
      </c>
      <c r="E77" s="196">
        <v>10</v>
      </c>
      <c r="F77" s="196">
        <v>1</v>
      </c>
      <c r="G77" s="250">
        <v>20</v>
      </c>
      <c r="H77" s="250">
        <v>1</v>
      </c>
      <c r="I77" s="250">
        <v>0.25</v>
      </c>
      <c r="J77" s="250">
        <v>0.25</v>
      </c>
      <c r="K77" s="319">
        <f t="shared" si="4"/>
        <v>96.063409220234405</v>
      </c>
      <c r="L77" s="18">
        <f t="shared" si="5"/>
        <v>18</v>
      </c>
      <c r="M77" s="292"/>
    </row>
    <row r="78" spans="1:13" ht="23.25" customHeight="1" x14ac:dyDescent="0.2">
      <c r="A78" s="163">
        <v>67</v>
      </c>
      <c r="B78" s="17" t="str">
        <f>+PROPONENTES!B76</f>
        <v>ICE S.A.S.</v>
      </c>
      <c r="C78" s="18" t="str">
        <f>CONSOLIDADO!J77</f>
        <v>INHABILITADO</v>
      </c>
      <c r="D78" s="157" t="s">
        <v>21</v>
      </c>
      <c r="E78" s="196">
        <v>10</v>
      </c>
      <c r="F78" s="196">
        <v>1</v>
      </c>
      <c r="G78" s="250">
        <v>20</v>
      </c>
      <c r="H78" s="250">
        <v>1</v>
      </c>
      <c r="I78" s="257">
        <v>0</v>
      </c>
      <c r="J78" s="250">
        <v>0.25</v>
      </c>
      <c r="K78" s="319">
        <f t="shared" si="4"/>
        <v>32.25</v>
      </c>
      <c r="L78" s="18">
        <f t="shared" si="5"/>
        <v>87</v>
      </c>
      <c r="M78" s="293" t="s">
        <v>1027</v>
      </c>
    </row>
    <row r="79" spans="1:13" ht="23.25" customHeight="1" x14ac:dyDescent="0.2">
      <c r="A79" s="163">
        <v>68</v>
      </c>
      <c r="B79" s="17" t="str">
        <f>+PROPONENTES!B77</f>
        <v>INTERVENTORIA Y CONSTRUCIVILES SAS</v>
      </c>
      <c r="C79" s="18" t="str">
        <f>CONSOLIDADO!J78</f>
        <v>HABILITADO</v>
      </c>
      <c r="D79" s="157">
        <v>66.717904528056806</v>
      </c>
      <c r="E79" s="196">
        <v>10</v>
      </c>
      <c r="F79" s="196">
        <v>1</v>
      </c>
      <c r="G79" s="250">
        <v>20</v>
      </c>
      <c r="H79" s="250">
        <v>1</v>
      </c>
      <c r="I79" s="250">
        <v>0.25</v>
      </c>
      <c r="J79" s="250">
        <v>0.25</v>
      </c>
      <c r="K79" s="319">
        <f t="shared" si="4"/>
        <v>99.217904528056806</v>
      </c>
      <c r="L79" s="18">
        <f t="shared" si="5"/>
        <v>6</v>
      </c>
      <c r="M79" s="293"/>
    </row>
    <row r="80" spans="1:13" ht="23.25" customHeight="1" x14ac:dyDescent="0.2">
      <c r="A80" s="163">
        <v>69</v>
      </c>
      <c r="B80" s="17" t="str">
        <f>+PROPONENTES!B78</f>
        <v>CONSORCIO BLUCK</v>
      </c>
      <c r="C80" s="18" t="str">
        <f>CONSOLIDADO!J79</f>
        <v>HABILITADO</v>
      </c>
      <c r="D80" s="157">
        <v>42.719645124574633</v>
      </c>
      <c r="E80" s="196">
        <v>10</v>
      </c>
      <c r="F80" s="196">
        <v>1</v>
      </c>
      <c r="G80" s="250">
        <v>20</v>
      </c>
      <c r="H80" s="250">
        <v>1</v>
      </c>
      <c r="I80" s="250">
        <v>0.25</v>
      </c>
      <c r="J80" s="250">
        <v>0.25</v>
      </c>
      <c r="K80" s="319">
        <f t="shared" si="4"/>
        <v>75.21964512457464</v>
      </c>
      <c r="L80" s="18">
        <f t="shared" si="5"/>
        <v>65</v>
      </c>
      <c r="M80" s="293"/>
    </row>
    <row r="81" spans="1:13" ht="23.25" customHeight="1" x14ac:dyDescent="0.2">
      <c r="A81" s="163">
        <v>70</v>
      </c>
      <c r="B81" s="17" t="str">
        <f>+PROPONENTES!B79</f>
        <v>CONSORCIO DESARROLLO URBANO USAQUEN</v>
      </c>
      <c r="C81" s="18" t="str">
        <f>CONSOLIDADO!J80</f>
        <v>HABILITADO</v>
      </c>
      <c r="D81" s="157">
        <v>50.491052415081576</v>
      </c>
      <c r="E81" s="196">
        <v>10</v>
      </c>
      <c r="F81" s="196">
        <v>1</v>
      </c>
      <c r="G81" s="250">
        <v>20</v>
      </c>
      <c r="H81" s="250">
        <v>1</v>
      </c>
      <c r="I81" s="250">
        <v>0.25</v>
      </c>
      <c r="J81" s="250">
        <v>0.25</v>
      </c>
      <c r="K81" s="319">
        <f t="shared" si="4"/>
        <v>82.991052415081583</v>
      </c>
      <c r="L81" s="18">
        <f t="shared" si="5"/>
        <v>52</v>
      </c>
      <c r="M81" s="25"/>
    </row>
    <row r="82" spans="1:13" ht="23.25" customHeight="1" x14ac:dyDescent="0.2">
      <c r="A82" s="163">
        <v>71</v>
      </c>
      <c r="B82" s="17" t="str">
        <f>+PROPONENTES!B80</f>
        <v>PIV Ingenieria S.A.S.</v>
      </c>
      <c r="C82" s="18" t="str">
        <f>CONSOLIDADO!J81</f>
        <v>HABILITADO</v>
      </c>
      <c r="D82" s="157">
        <v>54.663181373961763</v>
      </c>
      <c r="E82" s="196">
        <v>10</v>
      </c>
      <c r="F82" s="196">
        <v>1</v>
      </c>
      <c r="G82" s="250">
        <v>20</v>
      </c>
      <c r="H82" s="250">
        <v>1</v>
      </c>
      <c r="I82" s="250">
        <v>0.25</v>
      </c>
      <c r="J82" s="250">
        <v>0.25</v>
      </c>
      <c r="K82" s="319">
        <f t="shared" si="4"/>
        <v>87.163181373961763</v>
      </c>
      <c r="L82" s="18">
        <f t="shared" si="5"/>
        <v>42</v>
      </c>
      <c r="M82" s="92"/>
    </row>
    <row r="83" spans="1:13" ht="23.25" customHeight="1" x14ac:dyDescent="0.2">
      <c r="A83" s="163">
        <v>72</v>
      </c>
      <c r="B83" s="17" t="str">
        <f>+PROPONENTES!B81</f>
        <v>TECNUMEC S.A.S.</v>
      </c>
      <c r="C83" s="18" t="str">
        <f>CONSOLIDADO!J82</f>
        <v>HABILITADO</v>
      </c>
      <c r="D83" s="157">
        <v>67.391184734518802</v>
      </c>
      <c r="E83" s="196">
        <v>10</v>
      </c>
      <c r="F83" s="196">
        <v>1</v>
      </c>
      <c r="G83" s="250">
        <v>20</v>
      </c>
      <c r="H83" s="250">
        <v>1</v>
      </c>
      <c r="I83" s="250">
        <v>0.25</v>
      </c>
      <c r="J83" s="250">
        <v>0.25</v>
      </c>
      <c r="K83" s="319">
        <f t="shared" si="4"/>
        <v>99.891184734518802</v>
      </c>
      <c r="L83" s="18">
        <f t="shared" si="5"/>
        <v>2</v>
      </c>
      <c r="M83" s="251"/>
    </row>
    <row r="84" spans="1:13" ht="23.25" customHeight="1" x14ac:dyDescent="0.2">
      <c r="A84" s="194">
        <v>73</v>
      </c>
      <c r="B84" s="195" t="str">
        <f>+PROPONENTES!B82</f>
        <v>ALIANZA INTEGRAL DE PROYECTOS SAS BIC</v>
      </c>
      <c r="C84" s="25" t="str">
        <f>CONSOLIDADO!J83</f>
        <v>HABILITADO</v>
      </c>
      <c r="D84" s="157">
        <v>56.185059851366155</v>
      </c>
      <c r="E84" s="196">
        <v>10</v>
      </c>
      <c r="F84" s="196">
        <v>1</v>
      </c>
      <c r="G84" s="250">
        <v>20</v>
      </c>
      <c r="H84" s="250">
        <v>1</v>
      </c>
      <c r="I84" s="250">
        <v>0.25</v>
      </c>
      <c r="J84" s="250">
        <v>0.25</v>
      </c>
      <c r="K84" s="320">
        <f t="shared" si="4"/>
        <v>88.685059851366162</v>
      </c>
      <c r="L84" s="18">
        <f t="shared" si="5"/>
        <v>37</v>
      </c>
      <c r="M84" s="25"/>
    </row>
    <row r="85" spans="1:13" ht="23.25" customHeight="1" x14ac:dyDescent="0.2">
      <c r="A85" s="163">
        <v>74</v>
      </c>
      <c r="B85" s="17" t="str">
        <f>+PROPONENTES!B83</f>
        <v>CONSORCIO USAQUÉN VELNEC</v>
      </c>
      <c r="C85" s="18" t="str">
        <f>CONSOLIDADO!J84</f>
        <v>HABILITADO</v>
      </c>
      <c r="D85" s="157">
        <v>66.702401712299633</v>
      </c>
      <c r="E85" s="196">
        <v>10</v>
      </c>
      <c r="F85" s="196">
        <v>1</v>
      </c>
      <c r="G85" s="250">
        <v>20</v>
      </c>
      <c r="H85" s="250">
        <v>1</v>
      </c>
      <c r="I85" s="250">
        <v>0.25</v>
      </c>
      <c r="J85" s="250">
        <v>0.25</v>
      </c>
      <c r="K85" s="319">
        <f t="shared" si="4"/>
        <v>99.202401712299633</v>
      </c>
      <c r="L85" s="18">
        <f t="shared" si="5"/>
        <v>7</v>
      </c>
      <c r="M85" s="25"/>
    </row>
    <row r="86" spans="1:13" ht="23.25" customHeight="1" x14ac:dyDescent="0.2">
      <c r="A86" s="163">
        <v>75</v>
      </c>
      <c r="B86" s="17" t="str">
        <f>+PROPONENTES!B84</f>
        <v>GEVIAL S.A.S.</v>
      </c>
      <c r="C86" s="18" t="str">
        <f>CONSOLIDADO!J85</f>
        <v>HABILITADO</v>
      </c>
      <c r="D86" s="157">
        <v>52.454868548249777</v>
      </c>
      <c r="E86" s="196">
        <v>10</v>
      </c>
      <c r="F86" s="196">
        <v>1</v>
      </c>
      <c r="G86" s="250">
        <v>20</v>
      </c>
      <c r="H86" s="250">
        <v>1</v>
      </c>
      <c r="I86" s="250">
        <v>0.25</v>
      </c>
      <c r="J86" s="250">
        <v>0.25</v>
      </c>
      <c r="K86" s="319">
        <f t="shared" si="4"/>
        <v>84.954868548249777</v>
      </c>
      <c r="L86" s="18">
        <f t="shared" si="5"/>
        <v>48</v>
      </c>
      <c r="M86" s="25"/>
    </row>
    <row r="87" spans="1:13" ht="23.25" customHeight="1" x14ac:dyDescent="0.2">
      <c r="A87" s="163">
        <v>76</v>
      </c>
      <c r="B87" s="17" t="str">
        <f>+PROPONENTES!B85</f>
        <v>CONSORCIO HUPK VIAS DE USAQUEN</v>
      </c>
      <c r="C87" s="18" t="str">
        <f>CONSOLIDADO!J86</f>
        <v>INHABILITADO</v>
      </c>
      <c r="D87" s="157" t="s">
        <v>21</v>
      </c>
      <c r="E87" s="196">
        <v>10</v>
      </c>
      <c r="F87" s="196">
        <v>1</v>
      </c>
      <c r="G87" s="250">
        <v>20</v>
      </c>
      <c r="H87" s="250">
        <v>1</v>
      </c>
      <c r="I87" s="250">
        <v>0.25</v>
      </c>
      <c r="J87" s="250">
        <v>0.25</v>
      </c>
      <c r="K87" s="319">
        <f t="shared" si="4"/>
        <v>32.5</v>
      </c>
      <c r="L87" s="18">
        <f t="shared" si="5"/>
        <v>70</v>
      </c>
      <c r="M87" s="25"/>
    </row>
    <row r="88" spans="1:13" ht="23.25" customHeight="1" x14ac:dyDescent="0.2">
      <c r="A88" s="163">
        <v>77</v>
      </c>
      <c r="B88" s="17" t="str">
        <f>+PROPONENTES!B86</f>
        <v>EMPRESA DE INFRAESTRUCTURA COLOMBIANA S.A.S</v>
      </c>
      <c r="C88" s="18" t="str">
        <f>CONSOLIDADO!J87</f>
        <v>HABILITADO</v>
      </c>
      <c r="D88" s="157">
        <v>0</v>
      </c>
      <c r="E88" s="196">
        <v>10</v>
      </c>
      <c r="F88" s="196">
        <v>1</v>
      </c>
      <c r="G88" s="250">
        <v>20</v>
      </c>
      <c r="H88" s="250">
        <v>1</v>
      </c>
      <c r="I88" s="250">
        <v>0.25</v>
      </c>
      <c r="J88" s="250">
        <v>0.25</v>
      </c>
      <c r="K88" s="319">
        <f t="shared" si="4"/>
        <v>32.5</v>
      </c>
      <c r="L88" s="18">
        <f t="shared" si="5"/>
        <v>70</v>
      </c>
      <c r="M88" s="25"/>
    </row>
    <row r="89" spans="1:13" ht="23.25" customHeight="1" x14ac:dyDescent="0.2">
      <c r="A89" s="163">
        <v>78</v>
      </c>
      <c r="B89" s="17" t="str">
        <f>+PROPONENTES!B87</f>
        <v>CONSORCIO VIAS LOCALES 2025</v>
      </c>
      <c r="C89" s="18" t="str">
        <f>CONSOLIDADO!J88</f>
        <v>HABILITADO</v>
      </c>
      <c r="D89" s="157">
        <v>64.063856707125453</v>
      </c>
      <c r="E89" s="196">
        <v>10</v>
      </c>
      <c r="F89" s="196">
        <v>1</v>
      </c>
      <c r="G89" s="250">
        <v>20</v>
      </c>
      <c r="H89" s="250">
        <v>1</v>
      </c>
      <c r="I89" s="250">
        <v>0.25</v>
      </c>
      <c r="J89" s="250">
        <v>0.25</v>
      </c>
      <c r="K89" s="319">
        <f t="shared" si="4"/>
        <v>96.563856707125453</v>
      </c>
      <c r="L89" s="18">
        <f t="shared" si="5"/>
        <v>16</v>
      </c>
      <c r="M89" s="25"/>
    </row>
    <row r="90" spans="1:13" ht="23.25" customHeight="1" x14ac:dyDescent="0.2">
      <c r="A90" s="163">
        <v>79</v>
      </c>
      <c r="B90" s="17" t="str">
        <f>+PROPONENTES!B88</f>
        <v>CONSORCIO MALLA VIAL USA</v>
      </c>
      <c r="C90" s="18" t="str">
        <f>CONSOLIDADO!J89</f>
        <v>HABILITADO</v>
      </c>
      <c r="D90" s="157">
        <v>59.551794766787083</v>
      </c>
      <c r="E90" s="196">
        <v>10</v>
      </c>
      <c r="F90" s="196">
        <v>1</v>
      </c>
      <c r="G90" s="250">
        <v>20</v>
      </c>
      <c r="H90" s="250">
        <v>1</v>
      </c>
      <c r="I90" s="250">
        <v>0.25</v>
      </c>
      <c r="J90" s="250">
        <v>0.25</v>
      </c>
      <c r="K90" s="319">
        <f t="shared" si="4"/>
        <v>92.051794766787083</v>
      </c>
      <c r="L90" s="18">
        <f t="shared" si="5"/>
        <v>33</v>
      </c>
      <c r="M90" s="25"/>
    </row>
    <row r="91" spans="1:13" ht="23.25" customHeight="1" x14ac:dyDescent="0.2">
      <c r="A91" s="163">
        <v>80</v>
      </c>
      <c r="B91" s="17" t="str">
        <f>+PROPONENTES!B89</f>
        <v>PROBINTEC SAS</v>
      </c>
      <c r="C91" s="18" t="str">
        <f>CONSOLIDADO!J90</f>
        <v>INHABILITADO</v>
      </c>
      <c r="D91" s="157" t="s">
        <v>21</v>
      </c>
      <c r="E91" s="196">
        <v>10</v>
      </c>
      <c r="F91" s="196">
        <v>1</v>
      </c>
      <c r="G91" s="250">
        <v>20</v>
      </c>
      <c r="H91" s="250">
        <v>1</v>
      </c>
      <c r="I91" s="250">
        <v>0.25</v>
      </c>
      <c r="J91" s="250">
        <v>0.25</v>
      </c>
      <c r="K91" s="319">
        <f t="shared" si="4"/>
        <v>32.5</v>
      </c>
      <c r="L91" s="18">
        <f t="shared" si="5"/>
        <v>70</v>
      </c>
      <c r="M91" s="25"/>
    </row>
    <row r="92" spans="1:13" ht="23.25" customHeight="1" x14ac:dyDescent="0.2">
      <c r="A92" s="163">
        <v>81</v>
      </c>
      <c r="B92" s="17" t="str">
        <f>+PROPONENTES!B90</f>
        <v>ESCALA CCI SAS</v>
      </c>
      <c r="C92" s="18" t="str">
        <f>CONSOLIDADO!J91</f>
        <v>HABILITADO</v>
      </c>
      <c r="D92" s="157">
        <v>52.43280514709766</v>
      </c>
      <c r="E92" s="196">
        <v>10</v>
      </c>
      <c r="F92" s="196">
        <v>1</v>
      </c>
      <c r="G92" s="250">
        <v>20</v>
      </c>
      <c r="H92" s="250">
        <v>1</v>
      </c>
      <c r="I92" s="250">
        <v>0.25</v>
      </c>
      <c r="J92" s="250">
        <v>0.25</v>
      </c>
      <c r="K92" s="319">
        <f t="shared" si="4"/>
        <v>84.932805147097667</v>
      </c>
      <c r="L92" s="18">
        <f t="shared" si="5"/>
        <v>49</v>
      </c>
      <c r="M92" s="25"/>
    </row>
    <row r="93" spans="1:13" ht="23.25" customHeight="1" x14ac:dyDescent="0.2">
      <c r="A93" s="163">
        <v>82</v>
      </c>
      <c r="B93" s="17" t="str">
        <f>+PROPONENTES!B91</f>
        <v>C. SAN MARTIN 003</v>
      </c>
      <c r="C93" s="18" t="str">
        <f>CONSOLIDADO!J92</f>
        <v>HABILITADO</v>
      </c>
      <c r="D93" s="157">
        <v>49.054695653154312</v>
      </c>
      <c r="E93" s="196">
        <v>10</v>
      </c>
      <c r="F93" s="196">
        <v>1</v>
      </c>
      <c r="G93" s="250">
        <v>20</v>
      </c>
      <c r="H93" s="250">
        <v>1</v>
      </c>
      <c r="I93" s="250">
        <v>0.25</v>
      </c>
      <c r="J93" s="250">
        <v>0.25</v>
      </c>
      <c r="K93" s="319">
        <f t="shared" si="4"/>
        <v>81.554695653154312</v>
      </c>
      <c r="L93" s="18">
        <f t="shared" si="5"/>
        <v>55</v>
      </c>
      <c r="M93" s="25"/>
    </row>
    <row r="94" spans="1:13" ht="23.25" customHeight="1" x14ac:dyDescent="0.2">
      <c r="A94" s="163">
        <v>83</v>
      </c>
      <c r="B94" s="17" t="str">
        <f>+PROPONENTES!B92</f>
        <v>CONSORCIO INTERVENTORES GTI 003</v>
      </c>
      <c r="C94" s="18" t="str">
        <f>CONSOLIDADO!J93</f>
        <v>HABILITADO</v>
      </c>
      <c r="D94" s="157">
        <v>0</v>
      </c>
      <c r="E94" s="196">
        <v>10</v>
      </c>
      <c r="F94" s="196">
        <v>1</v>
      </c>
      <c r="G94" s="250">
        <v>20</v>
      </c>
      <c r="H94" s="250">
        <v>1</v>
      </c>
      <c r="I94" s="250">
        <v>0.25</v>
      </c>
      <c r="J94" s="250">
        <v>0.25</v>
      </c>
      <c r="K94" s="319">
        <f t="shared" si="4"/>
        <v>32.5</v>
      </c>
      <c r="L94" s="18">
        <f t="shared" si="5"/>
        <v>70</v>
      </c>
      <c r="M94" s="25"/>
    </row>
    <row r="95" spans="1:13" ht="23.25" customHeight="1" x14ac:dyDescent="0.2">
      <c r="A95" s="163">
        <v>84</v>
      </c>
      <c r="B95" s="17" t="str">
        <f>+PROPONENTES!B93</f>
        <v>INGCONSASAS</v>
      </c>
      <c r="C95" s="18" t="str">
        <f>CONSOLIDADO!J94</f>
        <v>HABILITADO</v>
      </c>
      <c r="D95" s="157">
        <v>65.122517777184328</v>
      </c>
      <c r="E95" s="196">
        <v>10</v>
      </c>
      <c r="F95" s="196">
        <v>1</v>
      </c>
      <c r="G95" s="250">
        <v>20</v>
      </c>
      <c r="H95" s="250">
        <v>1</v>
      </c>
      <c r="I95" s="250">
        <v>0.25</v>
      </c>
      <c r="J95" s="250">
        <v>0.25</v>
      </c>
      <c r="K95" s="319">
        <f t="shared" si="4"/>
        <v>97.622517777184328</v>
      </c>
      <c r="L95" s="18">
        <f t="shared" si="5"/>
        <v>13</v>
      </c>
      <c r="M95" s="25"/>
    </row>
    <row r="96" spans="1:13" ht="23.25" customHeight="1" x14ac:dyDescent="0.2">
      <c r="A96" s="163">
        <v>85</v>
      </c>
      <c r="B96" s="17" t="str">
        <f>+PROPONENTES!B94</f>
        <v>AESA PROYECTOS SAS</v>
      </c>
      <c r="C96" s="18" t="str">
        <f>CONSOLIDADO!J95</f>
        <v>HABILITADO</v>
      </c>
      <c r="D96" s="157">
        <v>67.036058882876773</v>
      </c>
      <c r="E96" s="196">
        <v>10</v>
      </c>
      <c r="F96" s="196">
        <v>1</v>
      </c>
      <c r="G96" s="250">
        <v>20</v>
      </c>
      <c r="H96" s="250">
        <v>1</v>
      </c>
      <c r="I96" s="250">
        <v>0.25</v>
      </c>
      <c r="J96" s="250">
        <v>0.25</v>
      </c>
      <c r="K96" s="319">
        <f t="shared" ref="K96:K105" si="6">SUM(D96:J96)</f>
        <v>99.536058882876773</v>
      </c>
      <c r="L96" s="18">
        <f t="shared" si="5"/>
        <v>4</v>
      </c>
      <c r="M96" s="25"/>
    </row>
    <row r="97" spans="1:13" ht="23.25" customHeight="1" x14ac:dyDescent="0.2">
      <c r="A97" s="163">
        <v>86</v>
      </c>
      <c r="B97" s="17" t="str">
        <f>+PROPONENTES!B95</f>
        <v>C INTERUSAQUEN EI</v>
      </c>
      <c r="C97" s="18" t="str">
        <f>CONSOLIDADO!J96</f>
        <v>HABILITADO</v>
      </c>
      <c r="D97" s="157">
        <v>63.386976389860052</v>
      </c>
      <c r="E97" s="196">
        <v>10</v>
      </c>
      <c r="F97" s="196">
        <v>1</v>
      </c>
      <c r="G97" s="250">
        <v>20</v>
      </c>
      <c r="H97" s="250">
        <v>1</v>
      </c>
      <c r="I97" s="250">
        <v>0.25</v>
      </c>
      <c r="J97" s="250">
        <v>0.25</v>
      </c>
      <c r="K97" s="319">
        <f t="shared" si="6"/>
        <v>95.886976389860052</v>
      </c>
      <c r="L97" s="18">
        <f t="shared" si="5"/>
        <v>20</v>
      </c>
      <c r="M97" s="25"/>
    </row>
    <row r="98" spans="1:13" ht="17.5" customHeight="1" x14ac:dyDescent="0.2">
      <c r="A98" s="163">
        <v>87</v>
      </c>
      <c r="B98" s="17" t="str">
        <f>+PROPONENTES!B96</f>
        <v>ARCA ARQUITECTURA E INGENIERÍA S.A.</v>
      </c>
      <c r="C98" s="18" t="str">
        <f>CONSOLIDADO!J97</f>
        <v>HABILITADO</v>
      </c>
      <c r="D98" s="157">
        <v>61.819793499304424</v>
      </c>
      <c r="E98" s="196">
        <v>10</v>
      </c>
      <c r="F98" s="196">
        <v>1</v>
      </c>
      <c r="G98" s="250">
        <v>20</v>
      </c>
      <c r="H98" s="250">
        <v>1</v>
      </c>
      <c r="I98" s="250">
        <v>0.25</v>
      </c>
      <c r="J98" s="250">
        <v>0.25</v>
      </c>
      <c r="K98" s="319">
        <f t="shared" si="6"/>
        <v>94.319793499304424</v>
      </c>
      <c r="L98" s="18">
        <f t="shared" si="5"/>
        <v>29</v>
      </c>
      <c r="M98" s="25"/>
    </row>
    <row r="99" spans="1:13" ht="22.25" customHeight="1" x14ac:dyDescent="0.2">
      <c r="A99" s="163">
        <v>88</v>
      </c>
      <c r="B99" s="195" t="str">
        <f>+PROPONENTES!B97</f>
        <v>CONSORCIO VIAL USAQUEN 2026</v>
      </c>
      <c r="C99" s="25" t="str">
        <f>CONSOLIDADO!J98</f>
        <v>INHABILITADO</v>
      </c>
      <c r="D99" s="157" t="s">
        <v>21</v>
      </c>
      <c r="E99" s="196">
        <v>10</v>
      </c>
      <c r="F99" s="196">
        <v>1</v>
      </c>
      <c r="G99" s="250">
        <v>20</v>
      </c>
      <c r="H99" s="250">
        <v>1</v>
      </c>
      <c r="I99" s="250">
        <v>0.25</v>
      </c>
      <c r="J99" s="250">
        <v>0.25</v>
      </c>
      <c r="K99" s="320">
        <f t="shared" si="6"/>
        <v>32.5</v>
      </c>
      <c r="L99" s="25">
        <f t="shared" si="5"/>
        <v>70</v>
      </c>
      <c r="M99" s="25"/>
    </row>
    <row r="100" spans="1:13" ht="22.75" customHeight="1" x14ac:dyDescent="0.2">
      <c r="A100" s="163">
        <v>89</v>
      </c>
      <c r="B100" s="17" t="str">
        <f>+PROPONENTES!B98</f>
        <v>CS USAQUEN JINT 3</v>
      </c>
      <c r="C100" s="18" t="str">
        <f>CONSOLIDADO!J99</f>
        <v>HABILITADO</v>
      </c>
      <c r="D100" s="157">
        <v>66.950573995730721</v>
      </c>
      <c r="E100" s="196">
        <v>10</v>
      </c>
      <c r="F100" s="196">
        <v>1</v>
      </c>
      <c r="G100" s="250">
        <v>20</v>
      </c>
      <c r="H100" s="250">
        <v>1</v>
      </c>
      <c r="I100" s="250">
        <v>0.25</v>
      </c>
      <c r="J100" s="250">
        <v>0.25</v>
      </c>
      <c r="K100" s="319">
        <f t="shared" si="6"/>
        <v>99.450573995730721</v>
      </c>
      <c r="L100" s="18">
        <f t="shared" si="5"/>
        <v>5</v>
      </c>
      <c r="M100" s="25"/>
    </row>
    <row r="101" spans="1:13" ht="17.5" customHeight="1" x14ac:dyDescent="0.2">
      <c r="A101" s="163">
        <v>90</v>
      </c>
      <c r="B101" s="17" t="str">
        <f>+PROPONENTES!B99</f>
        <v>CONSORCIO MT USAQUEN 2025</v>
      </c>
      <c r="C101" s="18" t="str">
        <f>CONSOLIDADO!J100</f>
        <v>INHABILITADO</v>
      </c>
      <c r="D101" s="157" t="s">
        <v>21</v>
      </c>
      <c r="E101" s="196">
        <v>10</v>
      </c>
      <c r="F101" s="196">
        <v>1</v>
      </c>
      <c r="G101" s="250">
        <v>20</v>
      </c>
      <c r="H101" s="257">
        <v>0</v>
      </c>
      <c r="I101" s="257">
        <v>0</v>
      </c>
      <c r="J101" s="250">
        <v>0.25</v>
      </c>
      <c r="K101" s="319">
        <f t="shared" si="6"/>
        <v>31.25</v>
      </c>
      <c r="L101" s="18">
        <f t="shared" si="5"/>
        <v>93</v>
      </c>
      <c r="M101" s="25" t="s">
        <v>1416</v>
      </c>
    </row>
    <row r="102" spans="1:13" ht="17.5" customHeight="1" x14ac:dyDescent="0.2">
      <c r="A102" s="163">
        <v>91</v>
      </c>
      <c r="B102" s="17" t="str">
        <f>+PROPONENTES!B100</f>
        <v>CONSORCIO MALLA VIAL USAQUEN</v>
      </c>
      <c r="C102" s="18" t="str">
        <f>CONSOLIDADO!J101</f>
        <v>HABILITADO</v>
      </c>
      <c r="D102" s="157">
        <v>40.389462504284189</v>
      </c>
      <c r="E102" s="196">
        <v>10</v>
      </c>
      <c r="F102" s="196">
        <v>1</v>
      </c>
      <c r="G102" s="250">
        <v>20</v>
      </c>
      <c r="H102" s="250">
        <v>1</v>
      </c>
      <c r="I102" s="250">
        <v>0.25</v>
      </c>
      <c r="J102" s="250">
        <v>0.25</v>
      </c>
      <c r="K102" s="319">
        <f t="shared" si="6"/>
        <v>72.889462504284182</v>
      </c>
      <c r="L102" s="18">
        <f t="shared" si="5"/>
        <v>66</v>
      </c>
      <c r="M102" s="25"/>
    </row>
    <row r="103" spans="1:13" ht="17.5" customHeight="1" x14ac:dyDescent="0.2">
      <c r="A103" s="163">
        <v>92</v>
      </c>
      <c r="B103" s="17" t="str">
        <f>+PROPONENTES!B101</f>
        <v>TERRA PROYECTOS CIVILES SAS</v>
      </c>
      <c r="C103" s="18" t="str">
        <f>CONSOLIDADO!J102</f>
        <v>INHABILITADO</v>
      </c>
      <c r="D103" s="157" t="s">
        <v>21</v>
      </c>
      <c r="E103" s="196">
        <v>10</v>
      </c>
      <c r="F103" s="196">
        <v>1</v>
      </c>
      <c r="G103" s="250">
        <v>20</v>
      </c>
      <c r="H103" s="250">
        <v>1</v>
      </c>
      <c r="I103" s="250">
        <v>0.25</v>
      </c>
      <c r="J103" s="250">
        <v>0.25</v>
      </c>
      <c r="K103" s="319">
        <f t="shared" si="6"/>
        <v>32.5</v>
      </c>
      <c r="L103" s="18">
        <f t="shared" si="5"/>
        <v>70</v>
      </c>
      <c r="M103" s="25"/>
    </row>
    <row r="104" spans="1:13" ht="17.5" customHeight="1" x14ac:dyDescent="0.2">
      <c r="A104" s="163">
        <v>93</v>
      </c>
      <c r="B104" s="17" t="str">
        <f>+PROPONENTES!B102</f>
        <v>ONSORCIO FLU 003 GH 2025</v>
      </c>
      <c r="C104" s="18" t="str">
        <f>CONSOLIDADO!J103</f>
        <v>INHABILITADO</v>
      </c>
      <c r="D104" s="157" t="s">
        <v>21</v>
      </c>
      <c r="E104" s="310">
        <v>0</v>
      </c>
      <c r="F104" s="310">
        <v>0</v>
      </c>
      <c r="G104" s="257">
        <v>0</v>
      </c>
      <c r="H104" s="257">
        <v>0</v>
      </c>
      <c r="I104" s="257">
        <v>0</v>
      </c>
      <c r="J104" s="250">
        <v>0.25</v>
      </c>
      <c r="K104" s="319">
        <f t="shared" si="6"/>
        <v>0.25</v>
      </c>
      <c r="L104" s="18">
        <f t="shared" si="5"/>
        <v>94</v>
      </c>
      <c r="M104" s="25" t="s">
        <v>1417</v>
      </c>
    </row>
    <row r="105" spans="1:13" ht="17.5" customHeight="1" x14ac:dyDescent="0.2">
      <c r="A105" s="163">
        <v>94</v>
      </c>
      <c r="B105" s="17" t="str">
        <f>+PROPONENTES!B103</f>
        <v>INGEVAL SAS</v>
      </c>
      <c r="C105" s="18" t="str">
        <f>CONSOLIDADO!J104</f>
        <v>INHABILITADO</v>
      </c>
      <c r="D105" s="157" t="s">
        <v>21</v>
      </c>
      <c r="E105" s="196">
        <v>10</v>
      </c>
      <c r="F105" s="196">
        <v>1</v>
      </c>
      <c r="G105" s="250">
        <v>20</v>
      </c>
      <c r="H105" s="250">
        <v>1</v>
      </c>
      <c r="I105" s="250">
        <v>0.25</v>
      </c>
      <c r="J105" s="250">
        <v>0.25</v>
      </c>
      <c r="K105" s="319">
        <f t="shared" si="6"/>
        <v>32.5</v>
      </c>
      <c r="L105" s="18">
        <f t="shared" si="5"/>
        <v>70</v>
      </c>
      <c r="M105" s="25"/>
    </row>
  </sheetData>
  <mergeCells count="11">
    <mergeCell ref="C4:D4"/>
    <mergeCell ref="C5:D5"/>
    <mergeCell ref="A8:L8"/>
    <mergeCell ref="A6:L6"/>
    <mergeCell ref="A1:L1"/>
    <mergeCell ref="A2:L2"/>
    <mergeCell ref="A3:L3"/>
    <mergeCell ref="A4:B5"/>
    <mergeCell ref="A7:L7"/>
    <mergeCell ref="G4:L4"/>
    <mergeCell ref="G5:K5"/>
  </mergeCells>
  <conditionalFormatting sqref="G12:K105">
    <cfRule type="cellIs" dxfId="5257" priority="4" operator="equal">
      <formula>"NO CUMPLE"</formula>
    </cfRule>
    <cfRule type="cellIs" dxfId="5256" priority="3" operator="equal">
      <formula>"CUMPLE"</formula>
    </cfRule>
    <cfRule type="cellIs" dxfId="5255" priority="5" operator="equal">
      <formula>"""CUMPLE"""</formula>
    </cfRule>
  </conditionalFormatting>
  <conditionalFormatting sqref="K12:K105">
    <cfRule type="top10" dxfId="5254" priority="2" rank="1"/>
  </conditionalFormatting>
  <conditionalFormatting sqref="L12:L105">
    <cfRule type="top10" dxfId="5253" priority="1" bottom="1" rank="1"/>
  </conditionalFormatting>
  <conditionalFormatting sqref="L12:M12 C12:C105 M13:M52 L13:L105 M54:M105">
    <cfRule type="containsText" dxfId="5252" priority="32" operator="containsText" text="HABILITADO">
      <formula>NOT(ISERROR(SEARCH("HABILITADO",C12)))</formula>
    </cfRule>
  </conditionalFormatting>
  <conditionalFormatting sqref="L12:M12 L13:L105 C12:C105 M13:M52 M54:M105">
    <cfRule type="containsText" dxfId="5251" priority="31" operator="containsText" text="INHABILITADO">
      <formula>NOT(ISERROR(SEARCH("INHABILITADO",C12)))</formula>
    </cfRule>
  </conditionalFormatting>
  <pageMargins left="0.7" right="0.7" top="0.75" bottom="0.75" header="0.3" footer="0.3"/>
  <pageSetup scale="4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182"/>
  <sheetViews>
    <sheetView topLeftCell="A3" zoomScale="83" zoomScaleNormal="55" workbookViewId="0">
      <selection activeCell="G57" sqref="G57:H57"/>
    </sheetView>
  </sheetViews>
  <sheetFormatPr baseColWidth="10" defaultColWidth="11.5" defaultRowHeight="15" x14ac:dyDescent="0.2"/>
  <cols>
    <col min="2" max="2" width="56.6640625" bestFit="1" customWidth="1"/>
    <col min="3" max="3" width="19.83203125" style="14" hidden="1" customWidth="1"/>
    <col min="4" max="4" width="24.6640625" style="154" customWidth="1"/>
    <col min="5" max="5" width="18.5" style="156" hidden="1" customWidth="1"/>
    <col min="6" max="6" width="39.83203125" style="156" hidden="1" customWidth="1"/>
    <col min="7" max="7" width="53.83203125" customWidth="1"/>
    <col min="8" max="8" width="44.1640625" customWidth="1"/>
    <col min="9" max="10" width="19.1640625" hidden="1" customWidth="1"/>
    <col min="11" max="11" width="11.33203125" customWidth="1"/>
    <col min="13" max="13" width="30.1640625" customWidth="1"/>
    <col min="14" max="14" width="19.1640625" customWidth="1"/>
  </cols>
  <sheetData>
    <row r="1" spans="1:14" s="14" customFormat="1" ht="25" customHeight="1" thickBot="1" x14ac:dyDescent="0.25">
      <c r="A1" s="223" t="s">
        <v>158</v>
      </c>
      <c r="B1" s="341" t="str">
        <f>IF(AND(A5&gt;=0,A5&lt;=0.33),"MEDIANA CON VALOR ABSOLUTO",IF(AND(A5&gt;=0.34,A5&lt;=0.66),"MEDIA GEOMETRICA",IF(AND(A5&gt;=0.67,A5&lt;=0.99),"MEDIA ARITMETICA ALTA",)))</f>
        <v>MEDIA GEOMETRICA</v>
      </c>
      <c r="C1" s="342"/>
      <c r="D1" s="342"/>
      <c r="E1" s="344" t="str">
        <f>CONCATENATE("PUNTAJE EXPERIENCIA DEL PROPONENTE",'DATOS INICIALES'!G4)</f>
        <v>PUNTAJE EXPERIENCIA DEL PROPONENTE FDLUSA-CMA-003-2025</v>
      </c>
      <c r="F1" s="344"/>
      <c r="G1" s="344"/>
      <c r="H1" s="344"/>
      <c r="I1" s="344"/>
      <c r="J1" s="344"/>
    </row>
    <row r="2" spans="1:14" ht="25" customHeight="1" x14ac:dyDescent="0.2">
      <c r="A2" s="222" t="s">
        <v>159</v>
      </c>
      <c r="B2" s="324"/>
      <c r="C2" s="324"/>
      <c r="D2" s="324"/>
      <c r="E2" s="65" t="s">
        <v>160</v>
      </c>
      <c r="F2" s="134">
        <f>MEDIAN(D7:D100)</f>
        <v>2002.085</v>
      </c>
      <c r="G2" s="65" t="s">
        <v>161</v>
      </c>
      <c r="H2" s="135">
        <f>GEOMEAN(D7:D100)</f>
        <v>2020.2781540196222</v>
      </c>
      <c r="I2" s="65" t="s">
        <v>162</v>
      </c>
      <c r="J2" s="135">
        <f>AVERAGE(D7:D100)</f>
        <v>2173.715218493965</v>
      </c>
    </row>
    <row r="3" spans="1:14" ht="40.75" customHeight="1" x14ac:dyDescent="0.2">
      <c r="A3" s="137">
        <v>3861.34</v>
      </c>
      <c r="B3" s="324"/>
      <c r="C3" s="324"/>
      <c r="D3" s="324"/>
      <c r="E3" s="65" t="s">
        <v>163</v>
      </c>
      <c r="F3" s="134" cm="1">
        <f t="array" ref="F3">MAX(IF(D7:D90&lt;$F$2,D7:D90))</f>
        <v>1996.87</v>
      </c>
      <c r="G3" s="65" t="s">
        <v>164</v>
      </c>
      <c r="H3" s="138">
        <f>VLOOKUP(MIN(C7:C91),C7:D100,2,FALSE)</f>
        <v>2021.6171999999999</v>
      </c>
      <c r="I3" s="65" t="s">
        <v>165</v>
      </c>
      <c r="J3" s="135">
        <f>MAX(D7:H100)</f>
        <v>6605.1720000000005</v>
      </c>
      <c r="M3" s="3"/>
      <c r="N3" s="314"/>
    </row>
    <row r="4" spans="1:14" ht="25" customHeight="1" x14ac:dyDescent="0.2">
      <c r="A4" s="65" t="s">
        <v>166</v>
      </c>
      <c r="B4" s="324"/>
      <c r="C4" s="324"/>
      <c r="D4" s="324"/>
      <c r="E4" s="25">
        <f>COUNT(D7:D100)</f>
        <v>74</v>
      </c>
      <c r="F4" s="27" t="str">
        <f>IF(ISODD(E4),"IMPAR","PAR")</f>
        <v>PAR</v>
      </c>
      <c r="G4" s="324"/>
      <c r="H4" s="324"/>
      <c r="I4" s="65" t="s">
        <v>167</v>
      </c>
      <c r="J4" s="136">
        <f>AVERAGE(J2:J3)</f>
        <v>4389.4436092469823</v>
      </c>
      <c r="N4" s="314"/>
    </row>
    <row r="5" spans="1:14" ht="25" customHeight="1" x14ac:dyDescent="0.2">
      <c r="A5" s="137">
        <v>0.34</v>
      </c>
      <c r="B5" s="324"/>
      <c r="C5" s="324"/>
      <c r="D5" s="324"/>
      <c r="E5" s="65" t="s">
        <v>168</v>
      </c>
      <c r="F5" s="30">
        <v>67.5</v>
      </c>
      <c r="G5" s="65" t="s">
        <v>168</v>
      </c>
      <c r="H5" s="30">
        <v>67.5</v>
      </c>
      <c r="I5" s="65" t="s">
        <v>168</v>
      </c>
      <c r="J5" s="30">
        <v>67.5</v>
      </c>
    </row>
    <row r="6" spans="1:14" ht="99" customHeight="1" x14ac:dyDescent="0.2">
      <c r="A6" s="65" t="s">
        <v>169</v>
      </c>
      <c r="B6" s="65" t="s">
        <v>170</v>
      </c>
      <c r="C6" s="65" t="s">
        <v>171</v>
      </c>
      <c r="D6" s="65" t="s">
        <v>172</v>
      </c>
      <c r="E6" s="343" t="s">
        <v>174</v>
      </c>
      <c r="F6" s="343"/>
      <c r="G6" s="343" t="s">
        <v>173</v>
      </c>
      <c r="H6" s="343"/>
      <c r="I6" s="343" t="s">
        <v>174</v>
      </c>
      <c r="J6" s="343"/>
    </row>
    <row r="7" spans="1:14" x14ac:dyDescent="0.2">
      <c r="A7" s="248">
        <v>1</v>
      </c>
      <c r="B7" s="249" t="str">
        <f>+PROPONENTES!B10</f>
        <v>GRUPO METRO COLOMBIA SAS</v>
      </c>
      <c r="C7" s="235">
        <f t="shared" ref="C7:C90" si="0">IF(D7="","",ABS(D7-$H$2))</f>
        <v>119.01534221636621</v>
      </c>
      <c r="D7" s="236">
        <f>IF(AND(CONSOLIDADO!J11="HABILITADO",'1'!$L$16&gt;0),'1'!$L$16,"")</f>
        <v>1901.262811803256</v>
      </c>
      <c r="E7" s="338">
        <f>IF(D7="","",IF($F$4="IMPAR",IF(D7=$F$2,$F$5,((1-ABS(($F$2-D7)/$F$2))*$F$5)),IF(D7=$F$3,$F$5,((1-ABS((($F$3-D7)/$F$3)))*$F$5))))</f>
        <v>64.268199630782064</v>
      </c>
      <c r="F7" s="338"/>
      <c r="G7" s="338">
        <f>IF(D7="","",IF(D7=$H$3,$H$5,$H$5*(1-((ABS($H$2-D7))/$H$2))))</f>
        <v>63.523549735653539</v>
      </c>
      <c r="H7" s="338"/>
      <c r="I7" s="338">
        <f>IF(D7="","",IF(D7&lt;=$J$4,$J$5*(1-(($J$4-D7)/$J$4)),$J$5*(1-(2*((ABS($J$4-D7))/$J$4)))))</f>
        <v>29.237245359836383</v>
      </c>
      <c r="J7" s="338"/>
      <c r="M7" s="318"/>
    </row>
    <row r="8" spans="1:14" x14ac:dyDescent="0.2">
      <c r="A8" s="248">
        <v>2</v>
      </c>
      <c r="B8" s="249" t="str">
        <f>+PROPONENTES!B11</f>
        <v>CONSORCIO INTERVIAS USAQUEN AI</v>
      </c>
      <c r="C8" s="235">
        <f t="shared" si="0"/>
        <v>177.5676793137111</v>
      </c>
      <c r="D8" s="236">
        <f>IF(AND(CONSOLIDADO!J12="HABILITADO",'2'!$L$16&gt;0),'2'!$L$16,"")</f>
        <v>2197.8458333333333</v>
      </c>
      <c r="E8" s="338">
        <f t="shared" ref="E8:E71" si="1">IF(D8="","",IF($F$4="IMPAR",IF(D8=$F$2,$F$5,((1-ABS(($F$2-D8)/$F$2))*$F$5)),IF(D8=$F$3,$F$5,((1-ABS((($F$3-D8)/$F$3)))*$F$5))))</f>
        <v>60.706433693730688</v>
      </c>
      <c r="F8" s="338"/>
      <c r="G8" s="338">
        <f t="shared" ref="G8:G71" si="2">IF(D8="","",IF(D8=$H$3,$H$5,$H$5*(1-((ABS($H$2-D8))/$H$2))))</f>
        <v>61.56724349821431</v>
      </c>
      <c r="H8" s="338"/>
      <c r="I8" s="338">
        <f t="shared" ref="I8:I71" si="3">IF(D8="","",IF(D8&lt;=$J$4,$J$5*(1-(($J$4-D8)/$J$4)),$J$5*(1-(2*((ABS($J$4-D8))/$J$4)))))</f>
        <v>33.798040698704988</v>
      </c>
      <c r="J8" s="338"/>
      <c r="M8" s="318"/>
    </row>
    <row r="9" spans="1:14" x14ac:dyDescent="0.2">
      <c r="A9" s="248">
        <v>3</v>
      </c>
      <c r="B9" s="249" t="str">
        <f>+PROPONENTES!B12</f>
        <v>CONSORCIO PROYECTA VIAL</v>
      </c>
      <c r="C9" s="235">
        <f t="shared" si="0"/>
        <v>56.837970980377804</v>
      </c>
      <c r="D9" s="236">
        <f>IF(AND(CONSOLIDADO!J13="HABILITADO",'3'!$L$16&gt;0),'3'!$L$16,"")</f>
        <v>2077.116125</v>
      </c>
      <c r="E9" s="338">
        <f t="shared" si="1"/>
        <v>64.787448137585315</v>
      </c>
      <c r="F9" s="338"/>
      <c r="G9" s="338">
        <f>IF(D9="","",IF(D9=$H$3,$H$5,$H$5*(1-((ABS($H$2-D9))/$H$2))))</f>
        <v>65.600972861810078</v>
      </c>
      <c r="H9" s="338"/>
      <c r="I9" s="338">
        <f t="shared" si="3"/>
        <v>31.941483003025184</v>
      </c>
      <c r="J9" s="338"/>
      <c r="M9" s="318"/>
    </row>
    <row r="10" spans="1:14" x14ac:dyDescent="0.2">
      <c r="A10" s="248">
        <v>4</v>
      </c>
      <c r="B10" s="249" t="str">
        <f>+PROPONENTES!B13</f>
        <v>PROYECTOS E INTERVENTORIAS S.A.S.</v>
      </c>
      <c r="C10" s="235">
        <f t="shared" si="0"/>
        <v>525.67309401962211</v>
      </c>
      <c r="D10" s="236">
        <f>IF(AND(CONSOLIDADO!J14="HABILITADO",'4'!$L$16&gt;0),'4'!$L$16,"")</f>
        <v>1494.6050600000001</v>
      </c>
      <c r="E10" s="338">
        <f t="shared" si="1"/>
        <v>50.52198768572817</v>
      </c>
      <c r="F10" s="338"/>
      <c r="G10" s="338">
        <f t="shared" si="2"/>
        <v>49.936609644208495</v>
      </c>
      <c r="H10" s="338"/>
      <c r="I10" s="338">
        <f t="shared" si="3"/>
        <v>22.98374248104469</v>
      </c>
      <c r="J10" s="338"/>
      <c r="M10" s="318"/>
    </row>
    <row r="11" spans="1:14" x14ac:dyDescent="0.2">
      <c r="A11" s="248">
        <v>5</v>
      </c>
      <c r="B11" s="249" t="str">
        <f>+PROPONENTES!B14</f>
        <v>CONSORCIO GAB VIAL USAQUEN 2025</v>
      </c>
      <c r="C11" s="235">
        <f t="shared" si="0"/>
        <v>565.70440401962219</v>
      </c>
      <c r="D11" s="236">
        <f>IF(AND(CONSOLIDADO!J15="HABILITADO",'5'!$L$16&gt;0),'5'!$L$16,"")</f>
        <v>1454.57375</v>
      </c>
      <c r="E11" s="338">
        <f t="shared" si="1"/>
        <v>49.168813255244466</v>
      </c>
      <c r="F11" s="338"/>
      <c r="G11" s="338">
        <f t="shared" si="2"/>
        <v>48.599113904018573</v>
      </c>
      <c r="H11" s="338"/>
      <c r="I11" s="338">
        <f t="shared" si="3"/>
        <v>22.368148873848639</v>
      </c>
      <c r="J11" s="338"/>
      <c r="M11" s="318"/>
    </row>
    <row r="12" spans="1:14" x14ac:dyDescent="0.2">
      <c r="A12" s="248">
        <v>6</v>
      </c>
      <c r="B12" s="249" t="str">
        <f>+PROPONENTES!B15</f>
        <v>CONSORCIO INTER TS 03</v>
      </c>
      <c r="C12" s="235">
        <f t="shared" si="0"/>
        <v>393.95934598037752</v>
      </c>
      <c r="D12" s="236">
        <f>IF(AND(CONSOLIDADO!J16="HABILITADO",'6'!$L$16&gt;0),'6'!$L$16,"")</f>
        <v>2414.2374999999997</v>
      </c>
      <c r="E12" s="338">
        <f t="shared" si="1"/>
        <v>53.391767491123609</v>
      </c>
      <c r="F12" s="338"/>
      <c r="G12" s="338">
        <f t="shared" si="2"/>
        <v>54.337329403989983</v>
      </c>
      <c r="H12" s="338"/>
      <c r="I12" s="338">
        <f t="shared" si="3"/>
        <v>37.125669163786405</v>
      </c>
      <c r="J12" s="338"/>
      <c r="M12" s="318"/>
    </row>
    <row r="13" spans="1:14" x14ac:dyDescent="0.2">
      <c r="A13" s="248">
        <v>7</v>
      </c>
      <c r="B13" s="249" t="str">
        <f>+PROPONENTES!B16</f>
        <v>CONSORCIO PB</v>
      </c>
      <c r="C13" s="235" t="str">
        <f t="shared" si="0"/>
        <v/>
      </c>
      <c r="D13" s="236" t="str">
        <f>IF(AND(CONSOLIDADO!J17="HABILITADO",'7'!$L$16&gt;0),'7'!$L$16,"")</f>
        <v/>
      </c>
      <c r="E13" s="338" t="str">
        <f t="shared" si="1"/>
        <v/>
      </c>
      <c r="F13" s="338"/>
      <c r="G13" s="338" t="str">
        <f t="shared" si="2"/>
        <v/>
      </c>
      <c r="H13" s="338"/>
      <c r="I13" s="338" t="str">
        <f t="shared" si="3"/>
        <v/>
      </c>
      <c r="J13" s="338"/>
      <c r="M13" s="318"/>
    </row>
    <row r="14" spans="1:14" x14ac:dyDescent="0.2">
      <c r="A14" s="248">
        <v>8</v>
      </c>
      <c r="B14" s="249" t="str">
        <f>+PROPONENTES!B17</f>
        <v>Inveler Consultoría S.A.S.</v>
      </c>
      <c r="C14" s="235" t="str">
        <f t="shared" si="0"/>
        <v/>
      </c>
      <c r="D14" s="236" t="str">
        <f>IF(AND(CONSOLIDADO!J18="HABILITADO",'8'!$L$16&gt;0),'8'!$L$16,"")</f>
        <v/>
      </c>
      <c r="E14" s="338" t="str">
        <f t="shared" si="1"/>
        <v/>
      </c>
      <c r="F14" s="338"/>
      <c r="G14" s="338" t="str">
        <f t="shared" si="2"/>
        <v/>
      </c>
      <c r="H14" s="338"/>
      <c r="I14" s="338" t="str">
        <f t="shared" si="3"/>
        <v/>
      </c>
      <c r="J14" s="338"/>
      <c r="M14" s="318"/>
    </row>
    <row r="15" spans="1:14" x14ac:dyDescent="0.2">
      <c r="A15" s="248">
        <v>9</v>
      </c>
      <c r="B15" s="249" t="str">
        <f>+PROPONENTES!B18</f>
        <v>CONSORCIO VYE USAQUÉN</v>
      </c>
      <c r="C15" s="235">
        <f t="shared" si="0"/>
        <v>306.37187048037754</v>
      </c>
      <c r="D15" s="236">
        <f>IF(AND(CONSOLIDADO!J19="HABILITADO",'9'!$L$16&gt;0),'9'!$L$16,"")</f>
        <v>2326.6500244999997</v>
      </c>
      <c r="E15" s="338">
        <f t="shared" si="1"/>
        <v>56.352478301667112</v>
      </c>
      <c r="F15" s="338"/>
      <c r="G15" s="338">
        <f t="shared" si="2"/>
        <v>57.263735643886676</v>
      </c>
      <c r="H15" s="338"/>
      <c r="I15" s="338">
        <f t="shared" si="3"/>
        <v>35.778766202373433</v>
      </c>
      <c r="J15" s="338"/>
      <c r="K15" s="153"/>
      <c r="M15" s="318"/>
    </row>
    <row r="16" spans="1:14" x14ac:dyDescent="0.2">
      <c r="A16" s="248">
        <v>10</v>
      </c>
      <c r="B16" s="249" t="str">
        <f>+PROPONENTES!B19</f>
        <v>CONSORCIO INGENIERIA PROES LATAM</v>
      </c>
      <c r="C16" s="235">
        <f t="shared" si="0"/>
        <v>2210.9759126470444</v>
      </c>
      <c r="D16" s="236">
        <f>IF(AND(CONSOLIDADO!J20="HABILITADO",'10'!$L$16&gt;0),'10'!$L$16,"")</f>
        <v>4231.2540666666664</v>
      </c>
      <c r="E16" s="338">
        <f t="shared" si="1"/>
        <v>-8.0286646101148218</v>
      </c>
      <c r="F16" s="338"/>
      <c r="G16" s="338">
        <f t="shared" si="2"/>
        <v>-6.3714487441940495</v>
      </c>
      <c r="H16" s="338"/>
      <c r="I16" s="338">
        <f t="shared" si="3"/>
        <v>65.067392345199053</v>
      </c>
      <c r="J16" s="338"/>
      <c r="M16" s="318"/>
    </row>
    <row r="17" spans="1:13" x14ac:dyDescent="0.2">
      <c r="A17" s="248">
        <v>11</v>
      </c>
      <c r="B17" s="249" t="str">
        <f>+PROPONENTES!B20</f>
        <v>COMPAÑÍA DE PROYECTOS TÉCNICOS CPT S.A.</v>
      </c>
      <c r="C17" s="235">
        <f t="shared" si="0"/>
        <v>24.457854019621891</v>
      </c>
      <c r="D17" s="236">
        <f>IF(AND(CONSOLIDADO!J21="HABILITADO",'11'!$L$16&gt;0),'11'!$L$16,"")</f>
        <v>1995.8203000000003</v>
      </c>
      <c r="E17" s="338">
        <f t="shared" si="1"/>
        <v>67.464517094252528</v>
      </c>
      <c r="F17" s="338"/>
      <c r="G17" s="338">
        <f t="shared" si="2"/>
        <v>66.682832748530302</v>
      </c>
      <c r="H17" s="338"/>
      <c r="I17" s="338">
        <f t="shared" si="3"/>
        <v>30.691331804832352</v>
      </c>
      <c r="J17" s="338"/>
      <c r="M17" s="318"/>
    </row>
    <row r="18" spans="1:13" x14ac:dyDescent="0.2">
      <c r="A18" s="248">
        <v>12</v>
      </c>
      <c r="B18" s="249" t="str">
        <f>+PROPONENTES!B21</f>
        <v>CONSORCIO 3797 KAPROY USAQUEN</v>
      </c>
      <c r="C18" s="235">
        <f t="shared" si="0"/>
        <v>136.09301264704459</v>
      </c>
      <c r="D18" s="236">
        <f>IF(AND(CONSOLIDADO!J22="HABILITADO",'12'!$L$16&gt;0),'12'!$L$16,"")</f>
        <v>2156.3711666666668</v>
      </c>
      <c r="E18" s="338">
        <f t="shared" si="1"/>
        <v>62.10839776750614</v>
      </c>
      <c r="F18" s="338"/>
      <c r="G18" s="338">
        <f t="shared" si="2"/>
        <v>62.952963575635295</v>
      </c>
      <c r="H18" s="338"/>
      <c r="I18" s="338">
        <f t="shared" si="3"/>
        <v>33.160251436735109</v>
      </c>
      <c r="J18" s="338"/>
      <c r="M18" s="318"/>
    </row>
    <row r="19" spans="1:13" x14ac:dyDescent="0.2">
      <c r="A19" s="248">
        <v>13</v>
      </c>
      <c r="B19" s="249" t="str">
        <f>+PROPONENTES!B22</f>
        <v>CONSORCIO MIRALTA</v>
      </c>
      <c r="C19" s="235">
        <f t="shared" si="0"/>
        <v>47.445487352955297</v>
      </c>
      <c r="D19" s="236">
        <f>IF(AND(CONSOLIDADO!J23="HABILITADO",'13'!$L$16&gt;0),'13'!$L$16,"")</f>
        <v>1972.8326666666669</v>
      </c>
      <c r="E19" s="338">
        <f t="shared" si="1"/>
        <v>66.68746838802727</v>
      </c>
      <c r="F19" s="338"/>
      <c r="G19" s="338">
        <f t="shared" si="2"/>
        <v>65.914787394521625</v>
      </c>
      <c r="H19" s="338"/>
      <c r="I19" s="338">
        <f t="shared" si="3"/>
        <v>30.337832503296461</v>
      </c>
      <c r="J19" s="338"/>
      <c r="M19" s="318"/>
    </row>
    <row r="20" spans="1:13" x14ac:dyDescent="0.2">
      <c r="A20" s="248">
        <v>14</v>
      </c>
      <c r="B20" s="249" t="str">
        <f>+PROPONENTES!B23</f>
        <v>INT TERRA</v>
      </c>
      <c r="C20" s="235">
        <f t="shared" si="0"/>
        <v>156.45651264704452</v>
      </c>
      <c r="D20" s="236">
        <f>IF(AND(CONSOLIDADO!J24="HABILITADO",'14'!$L$16&gt;0),'14'!$L$16,"")</f>
        <v>2176.7346666666667</v>
      </c>
      <c r="E20" s="338">
        <f t="shared" si="1"/>
        <v>61.42005238197779</v>
      </c>
      <c r="F20" s="338"/>
      <c r="G20" s="338">
        <f t="shared" si="2"/>
        <v>62.272593772464788</v>
      </c>
      <c r="H20" s="338"/>
      <c r="I20" s="338">
        <f t="shared" si="3"/>
        <v>33.473397332288791</v>
      </c>
      <c r="J20" s="338"/>
      <c r="M20" s="318"/>
    </row>
    <row r="21" spans="1:13" x14ac:dyDescent="0.2">
      <c r="A21" s="248">
        <v>15</v>
      </c>
      <c r="B21" s="249" t="str">
        <f>+PROPONENTES!B24</f>
        <v>CONSORCIO SAN RAFAEL</v>
      </c>
      <c r="C21" s="235">
        <f t="shared" si="0"/>
        <v>297.04964598037782</v>
      </c>
      <c r="D21" s="236">
        <f>IF(AND(CONSOLIDADO!J25="HABILITADO",'15'!$L$16&gt;0),'15'!$L$16,"")</f>
        <v>2317.3278</v>
      </c>
      <c r="E21" s="338">
        <f t="shared" si="1"/>
        <v>56.667596538582877</v>
      </c>
      <c r="F21" s="338"/>
      <c r="G21" s="339">
        <f t="shared" si="2"/>
        <v>57.575202731969576</v>
      </c>
      <c r="H21" s="340"/>
      <c r="I21" s="338">
        <f t="shared" si="3"/>
        <v>35.635410868584806</v>
      </c>
      <c r="J21" s="338"/>
      <c r="M21" s="318"/>
    </row>
    <row r="22" spans="1:13" x14ac:dyDescent="0.2">
      <c r="A22" s="248">
        <v>16</v>
      </c>
      <c r="B22" s="249" t="str">
        <f>+PROPONENTES!B25</f>
        <v>CONSORCIO INTER MALLA USAQUEN</v>
      </c>
      <c r="C22" s="235" t="str">
        <f t="shared" si="0"/>
        <v/>
      </c>
      <c r="D22" s="236" t="str">
        <f>IF(AND(CONSOLIDADO!J26="HABILITADO",'16'!$L$16&gt;0),'16'!$L$16,"")</f>
        <v/>
      </c>
      <c r="E22" s="338" t="str">
        <f t="shared" si="1"/>
        <v/>
      </c>
      <c r="F22" s="338"/>
      <c r="G22" s="338" t="str">
        <f t="shared" si="2"/>
        <v/>
      </c>
      <c r="H22" s="338"/>
      <c r="I22" s="338" t="str">
        <f t="shared" si="3"/>
        <v/>
      </c>
      <c r="J22" s="338"/>
      <c r="M22" s="318"/>
    </row>
    <row r="23" spans="1:13" x14ac:dyDescent="0.2">
      <c r="A23" s="248">
        <v>17</v>
      </c>
      <c r="B23" s="249" t="str">
        <f>+PROPONENTES!B26</f>
        <v>GAVINCO INGENIEROS CONSULTORES SAS</v>
      </c>
      <c r="C23" s="235">
        <f t="shared" si="0"/>
        <v>433.02984598037824</v>
      </c>
      <c r="D23" s="236">
        <f>IF(AND(CONSOLIDADO!J27="HABILITADO",'17'!$L$16&gt;0),'17'!$L$16,"")</f>
        <v>2453.3080000000004</v>
      </c>
      <c r="E23" s="338">
        <f t="shared" si="1"/>
        <v>52.071071226469407</v>
      </c>
      <c r="F23" s="338"/>
      <c r="G23" s="338">
        <f t="shared" si="2"/>
        <v>53.031935518126858</v>
      </c>
      <c r="H23" s="338"/>
      <c r="I23" s="338">
        <f t="shared" si="3"/>
        <v>37.72648762388561</v>
      </c>
      <c r="J23" s="338"/>
      <c r="M23" s="318"/>
    </row>
    <row r="24" spans="1:13" x14ac:dyDescent="0.2">
      <c r="A24" s="248">
        <v>18</v>
      </c>
      <c r="B24" s="249" t="str">
        <f>+PROPONENTES!B27</f>
        <v>INGEOCILCON S.A.S.</v>
      </c>
      <c r="C24" s="235">
        <f t="shared" si="0"/>
        <v>566.62315401962223</v>
      </c>
      <c r="D24" s="236">
        <f>IF(AND(CONSOLIDADO!J28="HABILITADO",'18'!$L$16&gt;0),'18'!$L$16,"")</f>
        <v>1453.655</v>
      </c>
      <c r="E24" s="338">
        <f t="shared" si="1"/>
        <v>49.137756839453743</v>
      </c>
      <c r="F24" s="338"/>
      <c r="G24" s="338">
        <f t="shared" si="2"/>
        <v>48.568417326482155</v>
      </c>
      <c r="H24" s="338"/>
      <c r="I24" s="338">
        <f t="shared" si="3"/>
        <v>22.354020517154559</v>
      </c>
      <c r="J24" s="338"/>
      <c r="M24" s="318"/>
    </row>
    <row r="25" spans="1:13" x14ac:dyDescent="0.2">
      <c r="A25" s="248">
        <v>19</v>
      </c>
      <c r="B25" s="249" t="str">
        <f>+PROPONENTES!B28</f>
        <v>CONSORCIO TORCA</v>
      </c>
      <c r="C25" s="235">
        <f t="shared" si="0"/>
        <v>142.06101264704398</v>
      </c>
      <c r="D25" s="236">
        <f>IF(AND(CONSOLIDADO!J29="HABILITADO",'19'!$L$16&gt;0),'19'!$L$16,"")</f>
        <v>2162.3391666666662</v>
      </c>
      <c r="E25" s="338">
        <f t="shared" si="1"/>
        <v>61.906662051109997</v>
      </c>
      <c r="F25" s="338"/>
      <c r="G25" s="338">
        <f t="shared" si="2"/>
        <v>62.7535652902069</v>
      </c>
      <c r="H25" s="338"/>
      <c r="I25" s="338">
        <f t="shared" si="3"/>
        <v>33.25202616625922</v>
      </c>
      <c r="J25" s="338"/>
      <c r="M25" s="318"/>
    </row>
    <row r="26" spans="1:13" x14ac:dyDescent="0.2">
      <c r="A26" s="248">
        <v>20</v>
      </c>
      <c r="B26" s="249" t="str">
        <f>+PROPONENTES!B29</f>
        <v>CONSORCIO INTER USAQUEN JGK</v>
      </c>
      <c r="C26" s="235">
        <f t="shared" si="0"/>
        <v>581.25815401962222</v>
      </c>
      <c r="D26" s="236">
        <f>IF(AND(CONSOLIDADO!J30="HABILITADO",'20'!$L$16&gt;0),'20'!$L$16,"")</f>
        <v>1439.02</v>
      </c>
      <c r="E26" s="338">
        <f t="shared" si="1"/>
        <v>48.643051375402507</v>
      </c>
      <c r="F26" s="338"/>
      <c r="G26" s="338">
        <f t="shared" si="2"/>
        <v>48.079443816555063</v>
      </c>
      <c r="H26" s="338"/>
      <c r="I26" s="338">
        <f t="shared" si="3"/>
        <v>22.128966367257537</v>
      </c>
      <c r="J26" s="338"/>
      <c r="M26" s="318"/>
    </row>
    <row r="27" spans="1:13" x14ac:dyDescent="0.2">
      <c r="A27" s="248">
        <v>21</v>
      </c>
      <c r="B27" s="249" t="str">
        <f>+PROPONENTES!B30</f>
        <v>CONSORCIO LGI USAQUÉN</v>
      </c>
      <c r="C27" s="235">
        <f t="shared" si="0"/>
        <v>146.54804598037822</v>
      </c>
      <c r="D27" s="236">
        <f>IF(AND(CONSOLIDADO!J31="HABILITADO",'21'!$L$16&gt;0),'21'!$L$16,"")</f>
        <v>2166.8262000000004</v>
      </c>
      <c r="E27" s="338">
        <f t="shared" si="1"/>
        <v>61.754987305132516</v>
      </c>
      <c r="F27" s="338"/>
      <c r="G27" s="338">
        <f t="shared" si="2"/>
        <v>62.60364793877811</v>
      </c>
      <c r="H27" s="338"/>
      <c r="I27" s="338">
        <f t="shared" si="3"/>
        <v>33.32102688183101</v>
      </c>
      <c r="J27" s="338"/>
      <c r="M27" s="318"/>
    </row>
    <row r="28" spans="1:13" x14ac:dyDescent="0.2">
      <c r="A28" s="248">
        <v>22</v>
      </c>
      <c r="B28" s="249" t="str">
        <f>+PROPONENTES!B31</f>
        <v>CONSORCIO INTERDESARROLLO USAQUÉN</v>
      </c>
      <c r="C28" s="235">
        <f t="shared" si="0"/>
        <v>332.8281316946634</v>
      </c>
      <c r="D28" s="236">
        <f>IF(AND(CONSOLIDADO!J32="HABILITADO",'22'!$L$16&gt;0),'22'!$L$16,"")</f>
        <v>2353.1062857142856</v>
      </c>
      <c r="E28" s="338">
        <f t="shared" si="1"/>
        <v>55.458179908699975</v>
      </c>
      <c r="F28" s="338"/>
      <c r="G28" s="338">
        <f t="shared" si="2"/>
        <v>56.379799128307766</v>
      </c>
      <c r="H28" s="338"/>
      <c r="I28" s="338">
        <f t="shared" si="3"/>
        <v>36.18560538085206</v>
      </c>
      <c r="J28" s="338"/>
      <c r="M28" s="318"/>
    </row>
    <row r="29" spans="1:13" x14ac:dyDescent="0.2">
      <c r="A29" s="248">
        <v>23</v>
      </c>
      <c r="B29" s="249" t="str">
        <f>+PROPONENTES!B32</f>
        <v>COBA B&amp;C SAS</v>
      </c>
      <c r="C29" s="235">
        <f t="shared" si="0"/>
        <v>27.942654019621841</v>
      </c>
      <c r="D29" s="236">
        <f>IF(AND(CONSOLIDADO!J33="HABILITADO",'23'!$L$16&gt;0),'23'!$L$16,"")</f>
        <v>1992.3355000000004</v>
      </c>
      <c r="E29" s="338">
        <f t="shared" si="1"/>
        <v>67.346720742962759</v>
      </c>
      <c r="F29" s="338"/>
      <c r="G29" s="338">
        <f t="shared" si="2"/>
        <v>66.566401256395437</v>
      </c>
      <c r="H29" s="338"/>
      <c r="I29" s="338">
        <f t="shared" si="3"/>
        <v>30.637743236225507</v>
      </c>
      <c r="J29" s="338"/>
      <c r="M29" s="318"/>
    </row>
    <row r="30" spans="1:13" x14ac:dyDescent="0.2">
      <c r="A30" s="248">
        <v>24</v>
      </c>
      <c r="B30" s="249" t="str">
        <f>+PROPONENTES!B33</f>
        <v>CONSORCIO USAQUEN 3M</v>
      </c>
      <c r="C30" s="235">
        <f t="shared" si="0"/>
        <v>105.04743973390805</v>
      </c>
      <c r="D30" s="236">
        <f>IF(AND(CONSOLIDADO!J34="HABILITADO",'24'!$L$16&gt;0),'24'!$L$16,"")</f>
        <v>1915.2307142857142</v>
      </c>
      <c r="E30" s="338">
        <f t="shared" si="1"/>
        <v>64.740355263129658</v>
      </c>
      <c r="F30" s="338"/>
      <c r="G30" s="338">
        <f t="shared" si="2"/>
        <v>63.990234689747616</v>
      </c>
      <c r="H30" s="338"/>
      <c r="I30" s="338">
        <f t="shared" si="3"/>
        <v>29.452041015390471</v>
      </c>
      <c r="J30" s="338"/>
      <c r="M30" s="318"/>
    </row>
    <row r="31" spans="1:13" x14ac:dyDescent="0.2">
      <c r="A31" s="248">
        <v>25</v>
      </c>
      <c r="B31" s="249" t="str">
        <f>+PROPONENTES!B34</f>
        <v>CB INGENIEROS SAS</v>
      </c>
      <c r="C31" s="235">
        <f t="shared" si="0"/>
        <v>54.503595980377895</v>
      </c>
      <c r="D31" s="236">
        <f>IF(AND(CONSOLIDADO!J35="HABILITADO",'25'!$L$16&gt;0),'25'!$L$16,"")</f>
        <v>2074.7817500000001</v>
      </c>
      <c r="E31" s="338">
        <f t="shared" si="1"/>
        <v>64.866356785869883</v>
      </c>
      <c r="F31" s="338"/>
      <c r="G31" s="338">
        <f t="shared" si="2"/>
        <v>65.678967227183222</v>
      </c>
      <c r="H31" s="338"/>
      <c r="I31" s="338">
        <f t="shared" si="3"/>
        <v>31.905585443669814</v>
      </c>
      <c r="J31" s="338"/>
      <c r="M31" s="318"/>
    </row>
    <row r="32" spans="1:13" x14ac:dyDescent="0.2">
      <c r="A32" s="248">
        <v>26</v>
      </c>
      <c r="B32" s="249" t="str">
        <f>+PROPONENTES!B35</f>
        <v>PD USAQUEN</v>
      </c>
      <c r="C32" s="235">
        <f t="shared" si="0"/>
        <v>435.3485959803777</v>
      </c>
      <c r="D32" s="236">
        <f>IF(AND(CONSOLIDADO!J36="HABILITADO",'26'!$L$16&gt;0),'26'!$L$16,"")</f>
        <v>2455.6267499999999</v>
      </c>
      <c r="E32" s="338">
        <f t="shared" si="1"/>
        <v>51.99269074852144</v>
      </c>
      <c r="F32" s="338"/>
      <c r="G32" s="338">
        <f t="shared" si="2"/>
        <v>52.954463203392102</v>
      </c>
      <c r="H32" s="338"/>
      <c r="I32" s="338">
        <f t="shared" si="3"/>
        <v>37.762144905065895</v>
      </c>
      <c r="J32" s="338"/>
      <c r="M32" s="318"/>
    </row>
    <row r="33" spans="1:13" x14ac:dyDescent="0.2">
      <c r="A33" s="248">
        <v>27</v>
      </c>
      <c r="B33" s="249" t="str">
        <f>+PROPONENTES!B36</f>
        <v>VICOS USAQUEN</v>
      </c>
      <c r="C33" s="235">
        <f t="shared" si="0"/>
        <v>455.14082068628886</v>
      </c>
      <c r="D33" s="236">
        <f>IF(AND(CONSOLIDADO!J37="HABILITADO",'27'!$L$16&gt;0),'27'!$L$16,"")</f>
        <v>1565.1373333333333</v>
      </c>
      <c r="E33" s="338">
        <f t="shared" si="1"/>
        <v>52.906183176671497</v>
      </c>
      <c r="F33" s="338"/>
      <c r="G33" s="338">
        <f t="shared" si="2"/>
        <v>52.293180416667461</v>
      </c>
      <c r="H33" s="338"/>
      <c r="I33" s="338">
        <f t="shared" si="3"/>
        <v>24.068373899926666</v>
      </c>
      <c r="J33" s="338"/>
      <c r="M33" s="318"/>
    </row>
    <row r="34" spans="1:13" x14ac:dyDescent="0.2">
      <c r="A34" s="248">
        <v>28</v>
      </c>
      <c r="B34" s="249" t="str">
        <f>+PROPONENTES!B37</f>
        <v>CONSORCIO INTERVENTORIA COANDINA</v>
      </c>
      <c r="C34" s="235">
        <f t="shared" si="0"/>
        <v>12.978154019622252</v>
      </c>
      <c r="D34" s="236">
        <f>IF(AND(CONSOLIDADO!J38="HABILITADO",'28'!$L$16&gt;0),'28'!$L$16,"")</f>
        <v>2007.3</v>
      </c>
      <c r="E34" s="338">
        <f t="shared" si="1"/>
        <v>67.147435736928287</v>
      </c>
      <c r="F34" s="338"/>
      <c r="G34" s="338">
        <f t="shared" si="2"/>
        <v>67.066383770184558</v>
      </c>
      <c r="H34" s="338"/>
      <c r="I34" s="338">
        <f t="shared" si="3"/>
        <v>30.867864372278397</v>
      </c>
      <c r="J34" s="338"/>
      <c r="M34" s="318"/>
    </row>
    <row r="35" spans="1:13" x14ac:dyDescent="0.2">
      <c r="A35" s="248">
        <v>29</v>
      </c>
      <c r="B35" s="249" t="str">
        <f>+PROPONENTES!B38</f>
        <v>CONSORCIO USAQUEN AVANZA MIC</v>
      </c>
      <c r="C35" s="235">
        <f t="shared" si="0"/>
        <v>124.16184598037785</v>
      </c>
      <c r="D35" s="236">
        <f>IF(AND(CONSOLIDADO!J39="HABILITADO",'29'!$L$16&gt;0),'29'!$L$16,"")</f>
        <v>2144.44</v>
      </c>
      <c r="E35" s="338">
        <f t="shared" si="1"/>
        <v>62.511705819607677</v>
      </c>
      <c r="F35" s="338"/>
      <c r="G35" s="338">
        <f t="shared" si="2"/>
        <v>63.351598658827996</v>
      </c>
      <c r="H35" s="338"/>
      <c r="I35" s="338">
        <f t="shared" si="3"/>
        <v>32.976776303735704</v>
      </c>
      <c r="J35" s="338"/>
      <c r="M35" s="318"/>
    </row>
    <row r="36" spans="1:13" x14ac:dyDescent="0.2">
      <c r="A36" s="248">
        <v>30</v>
      </c>
      <c r="B36" s="249" t="str">
        <f>+PROPONENTES!B39</f>
        <v>CONSORCIO INTER-USAQUEN 003 HCPC</v>
      </c>
      <c r="C36" s="235">
        <f t="shared" si="0"/>
        <v>348.9779873529551</v>
      </c>
      <c r="D36" s="236">
        <f>IF(AND(CONSOLIDADO!J40="HABILITADO",'30'!$L$16&gt;0),'30'!$L$16,"")</f>
        <v>1671.3001666666671</v>
      </c>
      <c r="E36" s="338">
        <f t="shared" si="1"/>
        <v>56.494794979142377</v>
      </c>
      <c r="F36" s="338"/>
      <c r="G36" s="338">
        <f t="shared" si="2"/>
        <v>55.84021241111946</v>
      </c>
      <c r="H36" s="338"/>
      <c r="I36" s="338">
        <f t="shared" si="3"/>
        <v>25.700925058552752</v>
      </c>
      <c r="J36" s="338"/>
      <c r="M36" s="318"/>
    </row>
    <row r="37" spans="1:13" x14ac:dyDescent="0.2">
      <c r="A37" s="248">
        <v>31</v>
      </c>
      <c r="B37" s="249" t="str">
        <f>+PROPONENTES!B40</f>
        <v>CONSORCIO VIAS USA 2025</v>
      </c>
      <c r="C37" s="235">
        <f t="shared" si="0"/>
        <v>374.42624735295544</v>
      </c>
      <c r="D37" s="236">
        <f>IF(AND(CONSOLIDADO!J41="HABILITADO",'31'!$L$16&gt;0),'31'!$L$16,"")</f>
        <v>1645.8519066666668</v>
      </c>
      <c r="E37" s="338">
        <f t="shared" si="1"/>
        <v>55.634569951974846</v>
      </c>
      <c r="F37" s="338"/>
      <c r="G37" s="338">
        <f t="shared" si="2"/>
        <v>54.989954466894154</v>
      </c>
      <c r="H37" s="338"/>
      <c r="I37" s="338">
        <f t="shared" si="3"/>
        <v>25.309586724377255</v>
      </c>
      <c r="J37" s="338"/>
      <c r="M37" s="318"/>
    </row>
    <row r="38" spans="1:13" x14ac:dyDescent="0.2">
      <c r="A38" s="248">
        <v>32</v>
      </c>
      <c r="B38" s="249" t="str">
        <f>+PROPONENTES!B41</f>
        <v>CONSORCIO VIAL TAED USAQUEN</v>
      </c>
      <c r="C38" s="235" t="str">
        <f t="shared" si="0"/>
        <v/>
      </c>
      <c r="D38" s="236" t="str">
        <f>IF(AND(CONSOLIDADO!J42="HABILITADO",'32'!$L$16&gt;0),'32'!$L$16,"")</f>
        <v/>
      </c>
      <c r="E38" s="338" t="str">
        <f t="shared" si="1"/>
        <v/>
      </c>
      <c r="F38" s="338"/>
      <c r="G38" s="338" t="str">
        <f t="shared" si="2"/>
        <v/>
      </c>
      <c r="H38" s="338"/>
      <c r="I38" s="338" t="str">
        <f t="shared" si="3"/>
        <v/>
      </c>
      <c r="J38" s="338"/>
      <c r="M38" s="318"/>
    </row>
    <row r="39" spans="1:13" x14ac:dyDescent="0.2">
      <c r="A39" s="248">
        <v>33</v>
      </c>
      <c r="B39" s="249" t="str">
        <f>+PROPONENTES!B42</f>
        <v>COLOMBOINGENIERIA S.A.S.</v>
      </c>
      <c r="C39" s="235" t="str">
        <f t="shared" si="0"/>
        <v/>
      </c>
      <c r="D39" s="236" t="str">
        <f>IF(AND(CONSOLIDADO!J43="HABILITADO",'33'!$L$16&gt;0),'33'!$L$16,"")</f>
        <v/>
      </c>
      <c r="E39" s="338" t="str">
        <f t="shared" si="1"/>
        <v/>
      </c>
      <c r="F39" s="338"/>
      <c r="G39" s="338" t="str">
        <f t="shared" si="2"/>
        <v/>
      </c>
      <c r="H39" s="338"/>
      <c r="I39" s="338" t="str">
        <f t="shared" si="3"/>
        <v/>
      </c>
      <c r="J39" s="338"/>
      <c r="M39" s="318"/>
    </row>
    <row r="40" spans="1:13" x14ac:dyDescent="0.2">
      <c r="A40" s="248">
        <v>34</v>
      </c>
      <c r="B40" s="249" t="str">
        <f>+PROPONENTES!B43</f>
        <v>URBANO - USAQUEN 03</v>
      </c>
      <c r="C40" s="235" t="str">
        <f t="shared" si="0"/>
        <v/>
      </c>
      <c r="D40" s="236" t="str">
        <f>IF(AND(CONSOLIDADO!J44="HABILITADO",'34'!$L$16&gt;0),'34'!$L$16,"")</f>
        <v/>
      </c>
      <c r="E40" s="338" t="str">
        <f t="shared" si="1"/>
        <v/>
      </c>
      <c r="F40" s="338"/>
      <c r="G40" s="338" t="str">
        <f t="shared" si="2"/>
        <v/>
      </c>
      <c r="H40" s="338"/>
      <c r="I40" s="338" t="str">
        <f t="shared" si="3"/>
        <v/>
      </c>
      <c r="J40" s="338"/>
      <c r="M40" s="318"/>
    </row>
    <row r="41" spans="1:13" x14ac:dyDescent="0.2">
      <c r="A41" s="248">
        <v>35</v>
      </c>
      <c r="B41" s="249" t="str">
        <f>+PROPONENTES!B44</f>
        <v>CONSORCIO INTERUSAQUEN RH</v>
      </c>
      <c r="C41" s="235">
        <f t="shared" si="0"/>
        <v>184.94615401962233</v>
      </c>
      <c r="D41" s="236">
        <f>IF(AND(CONSOLIDADO!J45="HABILITADO",'35'!$L$16&gt;0),'35'!$L$16,"")</f>
        <v>1835.3319999999999</v>
      </c>
      <c r="E41" s="338">
        <f t="shared" si="1"/>
        <v>62.039546890884232</v>
      </c>
      <c r="F41" s="338"/>
      <c r="G41" s="338">
        <f t="shared" si="2"/>
        <v>61.320719502665447</v>
      </c>
      <c r="H41" s="338"/>
      <c r="I41" s="338">
        <f t="shared" si="3"/>
        <v>28.223374310816741</v>
      </c>
      <c r="J41" s="338"/>
      <c r="M41" s="318"/>
    </row>
    <row r="42" spans="1:13" x14ac:dyDescent="0.2">
      <c r="A42" s="248">
        <v>36</v>
      </c>
      <c r="B42" s="249" t="str">
        <f>+PROPONENTES!B45</f>
        <v>CONSORCIO USAQUEN 2025</v>
      </c>
      <c r="C42" s="235">
        <f t="shared" si="0"/>
        <v>532.30065401962224</v>
      </c>
      <c r="D42" s="236">
        <f>IF(AND(CONSOLIDADO!J46="HABILITADO",'36'!$L$16&gt;0),'36'!$L$16,"")</f>
        <v>1487.9775</v>
      </c>
      <c r="E42" s="338">
        <f t="shared" si="1"/>
        <v>50.297956927591684</v>
      </c>
      <c r="F42" s="338"/>
      <c r="G42" s="338">
        <f t="shared" si="2"/>
        <v>49.715174640761113</v>
      </c>
      <c r="H42" s="338"/>
      <c r="I42" s="338">
        <f t="shared" si="3"/>
        <v>22.88182516763905</v>
      </c>
      <c r="J42" s="338"/>
      <c r="M42" s="318"/>
    </row>
    <row r="43" spans="1:13" x14ac:dyDescent="0.2">
      <c r="A43" s="248">
        <v>37</v>
      </c>
      <c r="B43" s="249" t="str">
        <f>+PROPONENTES!B46</f>
        <v>PRODEINCOL S.A.S.</v>
      </c>
      <c r="C43" s="235">
        <f t="shared" si="0"/>
        <v>1275.541845980378</v>
      </c>
      <c r="D43" s="236">
        <f>IF(AND(CONSOLIDADO!J47="HABILITADO",'37'!$L$16&gt;0),'37'!$L$16,"")</f>
        <v>3295.82</v>
      </c>
      <c r="E43" s="338">
        <f t="shared" si="1"/>
        <v>23.591721043432958</v>
      </c>
      <c r="F43" s="338"/>
      <c r="G43" s="338">
        <f t="shared" si="2"/>
        <v>24.882564162083561</v>
      </c>
      <c r="H43" s="338"/>
      <c r="I43" s="338">
        <f t="shared" si="3"/>
        <v>50.682471357267261</v>
      </c>
      <c r="J43" s="338"/>
      <c r="M43" s="318"/>
    </row>
    <row r="44" spans="1:13" x14ac:dyDescent="0.2">
      <c r="A44" s="248">
        <v>38</v>
      </c>
      <c r="B44" s="249" t="str">
        <f>+PROPONENTES!B47</f>
        <v>PROYECTOS TECNICOS DE COLOMBIA SAS</v>
      </c>
      <c r="C44" s="235">
        <f t="shared" si="0"/>
        <v>693.00082068628899</v>
      </c>
      <c r="D44" s="236">
        <f>IF(AND(CONSOLIDADO!J48="HABILITADO",'38'!$L$16&gt;0),'38'!$L$16,"")</f>
        <v>1327.2773333333332</v>
      </c>
      <c r="E44" s="338">
        <f t="shared" si="1"/>
        <v>44.865825016150275</v>
      </c>
      <c r="F44" s="338"/>
      <c r="G44" s="338">
        <f t="shared" si="2"/>
        <v>44.345982666666913</v>
      </c>
      <c r="H44" s="338"/>
      <c r="I44" s="338">
        <f t="shared" si="3"/>
        <v>20.410609629717868</v>
      </c>
      <c r="J44" s="338"/>
      <c r="M44" s="318"/>
    </row>
    <row r="45" spans="1:13" x14ac:dyDescent="0.2">
      <c r="A45" s="248">
        <v>39</v>
      </c>
      <c r="B45" s="249" t="str">
        <f>+PROPONENTES!B48</f>
        <v>CONSORCIO INTERPROVIAS USQ</v>
      </c>
      <c r="C45" s="235">
        <f t="shared" si="0"/>
        <v>603.77515401962205</v>
      </c>
      <c r="D45" s="236">
        <f>IF(AND(CONSOLIDADO!J49="HABILITADO",'39'!$L$16&gt;0),'39'!$L$16,"")</f>
        <v>1416.5030000000002</v>
      </c>
      <c r="E45" s="338">
        <f t="shared" si="1"/>
        <v>47.881911441405805</v>
      </c>
      <c r="F45" s="338"/>
      <c r="G45" s="338">
        <f t="shared" si="2"/>
        <v>47.327122906201232</v>
      </c>
      <c r="H45" s="338"/>
      <c r="I45" s="338">
        <f t="shared" si="3"/>
        <v>21.782704372503098</v>
      </c>
      <c r="J45" s="338"/>
      <c r="M45" s="318"/>
    </row>
    <row r="46" spans="1:13" x14ac:dyDescent="0.2">
      <c r="A46" s="248">
        <v>40</v>
      </c>
      <c r="B46" s="249" t="str">
        <f>+PROPONENTES!B49</f>
        <v>CONSORCIO INTER Y19</v>
      </c>
      <c r="C46" s="235">
        <f t="shared" si="0"/>
        <v>137.63154598037795</v>
      </c>
      <c r="D46" s="236">
        <f>IF(AND(CONSOLIDADO!J50="HABILITADO",'40'!$L$16&gt;0),'40'!$L$16,"")</f>
        <v>2157.9097000000002</v>
      </c>
      <c r="E46" s="338">
        <f t="shared" si="1"/>
        <v>62.056390876722055</v>
      </c>
      <c r="F46" s="338"/>
      <c r="G46" s="338">
        <f t="shared" si="2"/>
        <v>62.901559267870354</v>
      </c>
      <c r="H46" s="338"/>
      <c r="I46" s="338">
        <f t="shared" si="3"/>
        <v>33.183910699558588</v>
      </c>
      <c r="J46" s="338"/>
      <c r="M46" s="318"/>
    </row>
    <row r="47" spans="1:13" x14ac:dyDescent="0.2">
      <c r="A47" s="248">
        <v>41</v>
      </c>
      <c r="B47" s="249" t="str">
        <f>+PROPONENTES!B50</f>
        <v>CONSORCIO INTER AXPROCOL</v>
      </c>
      <c r="C47" s="235" t="str">
        <f t="shared" si="0"/>
        <v/>
      </c>
      <c r="D47" s="236" t="str">
        <f>IF(AND(CONSOLIDADO!J51="HABILITADO",'41'!$L$16&gt;0),'41'!$L$16,"")</f>
        <v/>
      </c>
      <c r="E47" s="338" t="str">
        <f t="shared" si="1"/>
        <v/>
      </c>
      <c r="F47" s="338"/>
      <c r="G47" s="338" t="str">
        <f t="shared" si="2"/>
        <v/>
      </c>
      <c r="H47" s="338"/>
      <c r="I47" s="338" t="str">
        <f t="shared" si="3"/>
        <v/>
      </c>
      <c r="J47" s="338"/>
      <c r="M47" s="318"/>
    </row>
    <row r="48" spans="1:13" x14ac:dyDescent="0.2">
      <c r="A48" s="248">
        <v>42</v>
      </c>
      <c r="B48" s="249" t="str">
        <f>+PROPONENTES!B51</f>
        <v>CONSERVACIÓN USAQUEN IC</v>
      </c>
      <c r="C48" s="235">
        <f t="shared" si="0"/>
        <v>96.59465401962234</v>
      </c>
      <c r="D48" s="236">
        <f>IF(AND(CONSOLIDADO!J52="HABILITADO",'42'!$L$16&gt;0),'42'!$L$16,"")</f>
        <v>1923.6834999999999</v>
      </c>
      <c r="E48" s="338">
        <f t="shared" si="1"/>
        <v>65.026083946376076</v>
      </c>
      <c r="F48" s="338"/>
      <c r="G48" s="338">
        <f t="shared" si="2"/>
        <v>64.272652749151504</v>
      </c>
      <c r="H48" s="338"/>
      <c r="I48" s="338">
        <f t="shared" si="3"/>
        <v>29.582026290634087</v>
      </c>
      <c r="J48" s="338"/>
      <c r="M48" s="318"/>
    </row>
    <row r="49" spans="1:13" x14ac:dyDescent="0.2">
      <c r="A49" s="248">
        <v>43</v>
      </c>
      <c r="B49" s="249" t="str">
        <f>+PROPONENTES!B52</f>
        <v>CONSORCIO HGR–INCON 13</v>
      </c>
      <c r="C49" s="235">
        <f t="shared" si="0"/>
        <v>87.156154019622136</v>
      </c>
      <c r="D49" s="236">
        <f>IF(AND(CONSOLIDADO!J53="HABILITADO",'43'!$L$16&gt;0),'43'!$L$16,"")</f>
        <v>1933.1220000000001</v>
      </c>
      <c r="E49" s="338">
        <f t="shared" si="1"/>
        <v>65.345132632569971</v>
      </c>
      <c r="F49" s="338"/>
      <c r="G49" s="338">
        <f t="shared" si="2"/>
        <v>64.588004745970565</v>
      </c>
      <c r="H49" s="338"/>
      <c r="I49" s="338">
        <f t="shared" si="3"/>
        <v>29.727169686179224</v>
      </c>
      <c r="J49" s="338"/>
      <c r="M49" s="318"/>
    </row>
    <row r="50" spans="1:13" x14ac:dyDescent="0.2">
      <c r="A50" s="248">
        <v>44</v>
      </c>
      <c r="B50" s="249" t="str">
        <f>+PROPONENTES!B53</f>
        <v>DF CONSULTORIA SAS</v>
      </c>
      <c r="C50" s="235">
        <f t="shared" si="0"/>
        <v>945.97184598037779</v>
      </c>
      <c r="D50" s="236">
        <f>IF(AND(CONSOLIDADO!J54="HABILITADO",'44'!$L$16&gt;0),'44'!$L$16,"")</f>
        <v>2966.25</v>
      </c>
      <c r="E50" s="338">
        <f t="shared" si="1"/>
        <v>34.732143304271183</v>
      </c>
      <c r="F50" s="338"/>
      <c r="G50" s="338">
        <f t="shared" si="2"/>
        <v>35.893906810984937</v>
      </c>
      <c r="H50" s="338"/>
      <c r="I50" s="338">
        <f t="shared" si="3"/>
        <v>45.614408755178992</v>
      </c>
      <c r="J50" s="338"/>
      <c r="M50" s="318"/>
    </row>
    <row r="51" spans="1:13" x14ac:dyDescent="0.2">
      <c r="A51" s="248">
        <v>45</v>
      </c>
      <c r="B51" s="249" t="str">
        <f>+PROPONENTES!B54</f>
        <v>ARINCO SAS</v>
      </c>
      <c r="C51" s="235">
        <f t="shared" si="0"/>
        <v>441.53115401962214</v>
      </c>
      <c r="D51" s="236">
        <f>IF(AND(CONSOLIDADO!J55="HABILITADO",'45'!$L$16&gt;0),'45'!$L$16,"")</f>
        <v>1578.7470000000001</v>
      </c>
      <c r="E51" s="338">
        <f t="shared" si="1"/>
        <v>53.366229399009455</v>
      </c>
      <c r="F51" s="338"/>
      <c r="G51" s="338">
        <f t="shared" si="2"/>
        <v>52.747896267636904</v>
      </c>
      <c r="H51" s="338"/>
      <c r="I51" s="338">
        <f t="shared" si="3"/>
        <v>24.277660675604746</v>
      </c>
      <c r="J51" s="338"/>
      <c r="M51" s="318"/>
    </row>
    <row r="52" spans="1:13" x14ac:dyDescent="0.2">
      <c r="A52" s="248">
        <v>46</v>
      </c>
      <c r="B52" s="249" t="str">
        <f>+PROPONENTES!B55</f>
        <v>MALLAUSA</v>
      </c>
      <c r="C52" s="235">
        <f t="shared" si="0"/>
        <v>410.51815401962199</v>
      </c>
      <c r="D52" s="236">
        <f>IF(AND(CONSOLIDADO!J56="HABILITADO",'46'!$L$16&gt;0),'46'!$L$16,"")</f>
        <v>1609.7600000000002</v>
      </c>
      <c r="E52" s="338">
        <f t="shared" si="1"/>
        <v>54.41455878449775</v>
      </c>
      <c r="F52" s="338"/>
      <c r="G52" s="338">
        <f t="shared" si="2"/>
        <v>53.784079080303044</v>
      </c>
      <c r="H52" s="338"/>
      <c r="I52" s="338">
        <f t="shared" si="3"/>
        <v>24.754572486384131</v>
      </c>
      <c r="J52" s="338"/>
      <c r="M52" s="318"/>
    </row>
    <row r="53" spans="1:13" x14ac:dyDescent="0.2">
      <c r="A53" s="248">
        <v>47</v>
      </c>
      <c r="B53" s="249" t="str">
        <f>+PROPONENTES!B56</f>
        <v>CONSORCIO VÍAS URBANAS P&amp;C-U-2025</v>
      </c>
      <c r="C53" s="235">
        <f t="shared" si="0"/>
        <v>352.77815401962221</v>
      </c>
      <c r="D53" s="236">
        <f>IF(AND(CONSOLIDADO!J57="HABILITADO",'47'!$L$16&gt;0),'47'!$L$16,"")</f>
        <v>1667.5</v>
      </c>
      <c r="E53" s="338">
        <f t="shared" si="1"/>
        <v>56.366338319469975</v>
      </c>
      <c r="F53" s="338"/>
      <c r="G53" s="338">
        <f t="shared" si="2"/>
        <v>55.713244127326625</v>
      </c>
      <c r="H53" s="338"/>
      <c r="I53" s="338">
        <f t="shared" si="3"/>
        <v>25.642486843408665</v>
      </c>
      <c r="J53" s="338"/>
      <c r="M53" s="318"/>
    </row>
    <row r="54" spans="1:13" x14ac:dyDescent="0.2">
      <c r="A54" s="248">
        <v>48</v>
      </c>
      <c r="B54" s="249" t="str">
        <f>+PROPONENTES!B57</f>
        <v>GES-USAQUEN-003</v>
      </c>
      <c r="C54" s="235" t="str">
        <f t="shared" si="0"/>
        <v/>
      </c>
      <c r="D54" s="236" t="str">
        <f>IF(AND(CONSOLIDADO!J58="HABILITADO",'48'!$L$16&gt;0),'48'!$L$16,"")</f>
        <v/>
      </c>
      <c r="E54" s="338" t="str">
        <f t="shared" si="1"/>
        <v/>
      </c>
      <c r="F54" s="338"/>
      <c r="G54" s="338" t="str">
        <f t="shared" si="2"/>
        <v/>
      </c>
      <c r="H54" s="338"/>
      <c r="I54" s="338" t="str">
        <f t="shared" si="3"/>
        <v/>
      </c>
      <c r="J54" s="338"/>
      <c r="M54" s="318"/>
    </row>
    <row r="55" spans="1:13" x14ac:dyDescent="0.2">
      <c r="A55" s="248">
        <v>49</v>
      </c>
      <c r="B55" s="249" t="str">
        <f>+PROPONENTES!B58</f>
        <v>CONSORCIO SOLIING USAQUEN</v>
      </c>
      <c r="C55" s="235">
        <f t="shared" si="0"/>
        <v>3680.7768459803783</v>
      </c>
      <c r="D55" s="236">
        <f>IF(AND(CONSOLIDADO!J59="HABILITADO",'49'!$L$16&gt;0),'49'!$L$16,"")</f>
        <v>5701.0550000000003</v>
      </c>
      <c r="E55" s="338">
        <f t="shared" si="1"/>
        <v>-57.71220084432138</v>
      </c>
      <c r="F55" s="338"/>
      <c r="G55" s="338">
        <f t="shared" si="2"/>
        <v>-55.479321738120618</v>
      </c>
      <c r="H55" s="338"/>
      <c r="I55" s="338">
        <f t="shared" si="3"/>
        <v>27.160596304588651</v>
      </c>
      <c r="J55" s="338"/>
      <c r="M55" s="318"/>
    </row>
    <row r="56" spans="1:13" x14ac:dyDescent="0.2">
      <c r="A56" s="248">
        <v>50</v>
      </c>
      <c r="B56" s="249" t="str">
        <f>+PROPONENTES!B59</f>
        <v>INEXIA</v>
      </c>
      <c r="C56" s="235">
        <f t="shared" si="0"/>
        <v>4584.8938459803785</v>
      </c>
      <c r="D56" s="236">
        <f>IF(AND(CONSOLIDADO!J60="HABILITADO",'50'!$L$16&gt;0),'50'!$L$16,"")</f>
        <v>6605.1720000000005</v>
      </c>
      <c r="E56" s="338">
        <f t="shared" si="1"/>
        <v>-88.273978776785682</v>
      </c>
      <c r="F56" s="338"/>
      <c r="G56" s="338">
        <f t="shared" si="2"/>
        <v>-85.686992587095844</v>
      </c>
      <c r="H56" s="338"/>
      <c r="I56" s="338">
        <f t="shared" si="3"/>
        <v>-0.64607029499410107</v>
      </c>
      <c r="J56" s="338"/>
      <c r="M56" s="318"/>
    </row>
    <row r="57" spans="1:13" x14ac:dyDescent="0.2">
      <c r="A57" s="248">
        <v>51</v>
      </c>
      <c r="B57" s="249" t="str">
        <f>+PROPONENTES!B60</f>
        <v>INCOLTA S.A.S.</v>
      </c>
      <c r="C57" s="235">
        <f t="shared" si="0"/>
        <v>1.3390459803777048</v>
      </c>
      <c r="D57" s="236">
        <f>IF(AND(CONSOLIDADO!J61="HABILITADO",'51'!$L$16&gt;0),'51'!$L$16,"")</f>
        <v>2021.6171999999999</v>
      </c>
      <c r="E57" s="338">
        <f t="shared" si="1"/>
        <v>66.663472834986763</v>
      </c>
      <c r="F57" s="338"/>
      <c r="G57" s="338">
        <f t="shared" si="2"/>
        <v>67.5</v>
      </c>
      <c r="H57" s="338"/>
      <c r="I57" s="338">
        <f t="shared" si="3"/>
        <v>31.088031456317037</v>
      </c>
      <c r="J57" s="338"/>
      <c r="M57" s="318"/>
    </row>
    <row r="58" spans="1:13" x14ac:dyDescent="0.2">
      <c r="A58" s="248">
        <v>52</v>
      </c>
      <c r="B58" s="249" t="str">
        <f>+PROPONENTES!B61</f>
        <v>DIN INGENIERIA SAS</v>
      </c>
      <c r="C58" s="235">
        <f t="shared" si="0"/>
        <v>492.98615401962229</v>
      </c>
      <c r="D58" s="236">
        <f>IF(AND(CONSOLIDADO!J62="HABILITADO",'52'!$L$16&gt;0),'52'!$L$16,"")</f>
        <v>1527.2919999999999</v>
      </c>
      <c r="E58" s="338">
        <f t="shared" si="1"/>
        <v>51.626901100221843</v>
      </c>
      <c r="F58" s="338"/>
      <c r="G58" s="338">
        <f t="shared" si="2"/>
        <v>51.028720869393069</v>
      </c>
      <c r="H58" s="338"/>
      <c r="I58" s="338">
        <f t="shared" si="3"/>
        <v>23.486395811720126</v>
      </c>
      <c r="J58" s="338"/>
      <c r="M58" s="318"/>
    </row>
    <row r="59" spans="1:13" x14ac:dyDescent="0.2">
      <c r="A59" s="248">
        <v>53</v>
      </c>
      <c r="B59" s="249" t="str">
        <f>+PROPONENTES!B62</f>
        <v>UNIOBRAS DEL ORIENTE S.A.S</v>
      </c>
      <c r="C59" s="235" t="str">
        <f t="shared" si="0"/>
        <v/>
      </c>
      <c r="D59" s="236" t="str">
        <f>IF(AND(CONSOLIDADO!J63="HABILITADO",'53'!$L$16&gt;0),'53'!$L$16,"")</f>
        <v/>
      </c>
      <c r="E59" s="338" t="str">
        <f t="shared" si="1"/>
        <v/>
      </c>
      <c r="F59" s="338"/>
      <c r="G59" s="338" t="str">
        <f t="shared" si="2"/>
        <v/>
      </c>
      <c r="H59" s="338"/>
      <c r="I59" s="338" t="str">
        <f t="shared" si="3"/>
        <v/>
      </c>
      <c r="J59" s="338"/>
      <c r="M59" s="318"/>
    </row>
    <row r="60" spans="1:13" x14ac:dyDescent="0.2">
      <c r="A60" s="248">
        <v>54</v>
      </c>
      <c r="B60" s="249" t="str">
        <f>+PROPONENTES!B63</f>
        <v>INGESCOR S.A.S.</v>
      </c>
      <c r="C60" s="235">
        <f t="shared" si="0"/>
        <v>156.04815401962219</v>
      </c>
      <c r="D60" s="236">
        <f>IF(AND(CONSOLIDADO!J64="HABILITADO",'54'!$L$16&gt;0),'54'!$L$16,"")</f>
        <v>1864.23</v>
      </c>
      <c r="E60" s="338">
        <f t="shared" si="1"/>
        <v>63.016383139613502</v>
      </c>
      <c r="F60" s="338"/>
      <c r="G60" s="338">
        <f t="shared" si="2"/>
        <v>62.286237540921213</v>
      </c>
      <c r="H60" s="338"/>
      <c r="I60" s="338">
        <f t="shared" si="3"/>
        <v>28.667762067818739</v>
      </c>
      <c r="J60" s="338"/>
      <c r="M60" s="318"/>
    </row>
    <row r="61" spans="1:13" x14ac:dyDescent="0.2">
      <c r="A61" s="248">
        <v>55</v>
      </c>
      <c r="B61" s="249" t="str">
        <f>+PROPONENTES!B64</f>
        <v>CONSORCIO FENIX</v>
      </c>
      <c r="C61" s="235" t="str">
        <f t="shared" si="0"/>
        <v/>
      </c>
      <c r="D61" s="236" t="str">
        <f>IF(AND(CONSOLIDADO!J65="HABILITADO",'55'!$L$16&gt;0),'55'!$L$16,"")</f>
        <v/>
      </c>
      <c r="E61" s="338" t="str">
        <f t="shared" si="1"/>
        <v/>
      </c>
      <c r="F61" s="338"/>
      <c r="G61" s="338" t="str">
        <f t="shared" si="2"/>
        <v/>
      </c>
      <c r="H61" s="338"/>
      <c r="I61" s="338" t="str">
        <f t="shared" si="3"/>
        <v/>
      </c>
      <c r="J61" s="338"/>
      <c r="M61" s="318"/>
    </row>
    <row r="62" spans="1:13" x14ac:dyDescent="0.2">
      <c r="A62" s="248">
        <v>56</v>
      </c>
      <c r="B62" s="249" t="str">
        <f>+PROPONENTES!B65</f>
        <v>INGOSER SAS</v>
      </c>
      <c r="C62" s="235">
        <f t="shared" si="0"/>
        <v>1625.8114873529555</v>
      </c>
      <c r="D62" s="236">
        <f>IF(AND(CONSOLIDADO!J66="HABILITADO",'56'!$L$16&gt;0),'56'!$L$16,"")</f>
        <v>394.4666666666667</v>
      </c>
      <c r="E62" s="338">
        <f t="shared" si="1"/>
        <v>13.334117894504903</v>
      </c>
      <c r="F62" s="338"/>
      <c r="G62" s="338">
        <f t="shared" si="2"/>
        <v>13.17962080965084</v>
      </c>
      <c r="H62" s="338"/>
      <c r="I62" s="338">
        <f t="shared" si="3"/>
        <v>6.0660307707126098</v>
      </c>
      <c r="J62" s="338"/>
      <c r="M62" s="318"/>
    </row>
    <row r="63" spans="1:13" x14ac:dyDescent="0.2">
      <c r="A63" s="248">
        <v>57</v>
      </c>
      <c r="B63" s="249" t="str">
        <f>+PROPONENTES!B66</f>
        <v>EUROESTUDIOS INGENIEROS DE CONSULTA SAS</v>
      </c>
      <c r="C63" s="235" t="str">
        <f t="shared" si="0"/>
        <v/>
      </c>
      <c r="D63" s="236" t="str">
        <f>IF(AND(CONSOLIDADO!J67="HABILITADO",'57'!$L$16&gt;0),'57'!$L$16,"")</f>
        <v/>
      </c>
      <c r="E63" s="338" t="str">
        <f t="shared" si="1"/>
        <v/>
      </c>
      <c r="F63" s="338"/>
      <c r="G63" s="338" t="str">
        <f t="shared" si="2"/>
        <v/>
      </c>
      <c r="H63" s="338"/>
      <c r="I63" s="338" t="str">
        <f t="shared" si="3"/>
        <v/>
      </c>
      <c r="J63" s="338"/>
      <c r="M63" s="318"/>
    </row>
    <row r="64" spans="1:13" x14ac:dyDescent="0.2">
      <c r="A64" s="248">
        <v>58</v>
      </c>
      <c r="B64" s="249" t="str">
        <f>+PROPONENTES!B67</f>
        <v>CONSORCIO CUARZO 37</v>
      </c>
      <c r="C64" s="235">
        <f t="shared" si="0"/>
        <v>724.32315401962228</v>
      </c>
      <c r="D64" s="236">
        <f>IF(AND(CONSOLIDADO!J68="HABILITADO",'58'!$L$16&gt;0),'58'!$L$16,"")</f>
        <v>1295.9549999999999</v>
      </c>
      <c r="E64" s="338">
        <f t="shared" si="1"/>
        <v>43.807039266451994</v>
      </c>
      <c r="F64" s="338"/>
      <c r="G64" s="338">
        <f t="shared" si="2"/>
        <v>43.299464643495995</v>
      </c>
      <c r="H64" s="338"/>
      <c r="I64" s="338">
        <f t="shared" si="3"/>
        <v>19.9289409518139</v>
      </c>
      <c r="J64" s="338"/>
      <c r="M64" s="318"/>
    </row>
    <row r="65" spans="1:13" x14ac:dyDescent="0.2">
      <c r="A65" s="248">
        <v>59</v>
      </c>
      <c r="B65" s="249" t="str">
        <f>+PROPONENTES!B68</f>
        <v>INGENIERIA MASTER S.A.S.</v>
      </c>
      <c r="C65" s="235">
        <f t="shared" si="0"/>
        <v>229.65890401962224</v>
      </c>
      <c r="D65" s="236">
        <f>IF(AND(CONSOLIDADO!J69="HABILITADO",'59'!$L$16&gt;0),'59'!$L$16,"")</f>
        <v>1790.61925</v>
      </c>
      <c r="E65" s="338">
        <f t="shared" si="1"/>
        <v>60.528126205010842</v>
      </c>
      <c r="F65" s="338"/>
      <c r="G65" s="338">
        <f t="shared" si="2"/>
        <v>59.826811043082763</v>
      </c>
      <c r="H65" s="338"/>
      <c r="I65" s="338">
        <f t="shared" si="3"/>
        <v>27.535790440587284</v>
      </c>
      <c r="J65" s="338"/>
      <c r="M65" s="318"/>
    </row>
    <row r="66" spans="1:13" x14ac:dyDescent="0.2">
      <c r="A66" s="248">
        <v>60</v>
      </c>
      <c r="B66" s="249" t="str">
        <f>+PROPONENTES!B69</f>
        <v>CONSULTORES DONOVAN SAS</v>
      </c>
      <c r="C66" s="235">
        <f t="shared" si="0"/>
        <v>125.04582068628883</v>
      </c>
      <c r="D66" s="236">
        <f>IF(AND(CONSOLIDADO!J70="HABILITADO",'60'!$L$16&gt;0),'60'!$L$16,"")</f>
        <v>1895.2323333333334</v>
      </c>
      <c r="E66" s="338">
        <f t="shared" si="1"/>
        <v>64.064351960818684</v>
      </c>
      <c r="F66" s="338"/>
      <c r="G66" s="338">
        <f t="shared" si="2"/>
        <v>63.322063967018217</v>
      </c>
      <c r="H66" s="338"/>
      <c r="I66" s="338">
        <f t="shared" si="3"/>
        <v>29.144509848697275</v>
      </c>
      <c r="J66" s="338"/>
      <c r="K66" s="185"/>
      <c r="M66" s="318"/>
    </row>
    <row r="67" spans="1:13" x14ac:dyDescent="0.2">
      <c r="A67" s="248">
        <v>61</v>
      </c>
      <c r="B67" s="249" t="str">
        <f>+PROPONENTES!B70</f>
        <v>VERBENAL 25</v>
      </c>
      <c r="C67" s="235">
        <f t="shared" si="0"/>
        <v>703.82685401962203</v>
      </c>
      <c r="D67" s="236">
        <f>IF(AND(CONSOLIDADO!J71="HABILITADO",'61'!$L$16&gt;0),'61'!$L$16,"")</f>
        <v>1316.4513000000002</v>
      </c>
      <c r="E67" s="338">
        <f t="shared" si="1"/>
        <v>44.49987367730499</v>
      </c>
      <c r="F67" s="338"/>
      <c r="G67" s="338">
        <f t="shared" si="2"/>
        <v>43.984271459452188</v>
      </c>
      <c r="H67" s="338"/>
      <c r="I67" s="338">
        <f t="shared" si="3"/>
        <v>20.244129019633128</v>
      </c>
      <c r="J67" s="338"/>
      <c r="M67" s="318"/>
    </row>
    <row r="68" spans="1:13" x14ac:dyDescent="0.2">
      <c r="A68" s="248">
        <v>62</v>
      </c>
      <c r="B68" s="249" t="str">
        <f>+PROPONENTES!B71</f>
        <v>CONSORCIO GL USAQUEN 2025</v>
      </c>
      <c r="C68" s="235">
        <f t="shared" si="0"/>
        <v>337.68919598037769</v>
      </c>
      <c r="D68" s="236">
        <f>IF(AND(CONSOLIDADO!J72="HABILITADO",'62'!$L$16&gt;0),'62'!$L$16,"")</f>
        <v>2357.9673499999999</v>
      </c>
      <c r="E68" s="338">
        <f t="shared" si="1"/>
        <v>55.293861831265936</v>
      </c>
      <c r="F68" s="338"/>
      <c r="G68" s="338">
        <f t="shared" si="2"/>
        <v>56.217384938641423</v>
      </c>
      <c r="H68" s="338"/>
      <c r="I68" s="338">
        <f t="shared" si="3"/>
        <v>36.260357870801911</v>
      </c>
      <c r="J68" s="338"/>
      <c r="M68" s="318"/>
    </row>
    <row r="69" spans="1:13" x14ac:dyDescent="0.2">
      <c r="A69" s="248">
        <v>63</v>
      </c>
      <c r="B69" s="249" t="str">
        <f>+PROPONENTES!B72</f>
        <v>TORRES &amp; ASOCIADOS</v>
      </c>
      <c r="C69" s="235" t="str">
        <f t="shared" si="0"/>
        <v/>
      </c>
      <c r="D69" s="236" t="str">
        <f>IF(AND(CONSOLIDADO!J73="HABILITADO",'63'!$L$16&gt;0),'63'!$L$16,"")</f>
        <v/>
      </c>
      <c r="E69" s="338" t="str">
        <f t="shared" si="1"/>
        <v/>
      </c>
      <c r="F69" s="338"/>
      <c r="G69" s="338" t="str">
        <f t="shared" si="2"/>
        <v/>
      </c>
      <c r="H69" s="338"/>
      <c r="I69" s="338" t="str">
        <f t="shared" si="3"/>
        <v/>
      </c>
      <c r="J69" s="338"/>
      <c r="M69" s="318"/>
    </row>
    <row r="70" spans="1:13" x14ac:dyDescent="0.2">
      <c r="A70" s="248">
        <v>64</v>
      </c>
      <c r="B70" s="249" t="str">
        <f>+PROPONENTES!B73</f>
        <v>TRIPLE C SAS</v>
      </c>
      <c r="C70" s="235">
        <f t="shared" si="0"/>
        <v>592.9168459803775</v>
      </c>
      <c r="D70" s="236">
        <f>IF(AND(CONSOLIDADO!J74="HABILITADO",'64'!$L$16&gt;0),'64'!$L$16,"")</f>
        <v>2613.1949999999997</v>
      </c>
      <c r="E70" s="338">
        <f t="shared" si="1"/>
        <v>46.666426707797712</v>
      </c>
      <c r="F70" s="338"/>
      <c r="G70" s="338">
        <f t="shared" si="2"/>
        <v>47.689912451388729</v>
      </c>
      <c r="H70" s="338"/>
      <c r="I70" s="338">
        <f t="shared" si="3"/>
        <v>40.18519844483437</v>
      </c>
      <c r="J70" s="338"/>
      <c r="M70" s="318"/>
    </row>
    <row r="71" spans="1:13" x14ac:dyDescent="0.2">
      <c r="A71" s="248">
        <v>65</v>
      </c>
      <c r="B71" s="249" t="str">
        <f>+PROPONENTES!B74</f>
        <v>CONSORCIO VERTEX</v>
      </c>
      <c r="C71" s="235">
        <f t="shared" si="0"/>
        <v>573.39442068628887</v>
      </c>
      <c r="D71" s="236">
        <f>IF(AND(CONSOLIDADO!J75="HABILITADO",'65'!$L$16&gt;0),'65'!$L$16,"")</f>
        <v>1446.8837333333333</v>
      </c>
      <c r="E71" s="338">
        <f t="shared" si="1"/>
        <v>48.908868379013157</v>
      </c>
      <c r="F71" s="338"/>
      <c r="G71" s="338">
        <f t="shared" si="2"/>
        <v>48.342180904982158</v>
      </c>
      <c r="H71" s="338"/>
      <c r="I71" s="338">
        <f t="shared" si="3"/>
        <v>22.249893310909748</v>
      </c>
      <c r="J71" s="338"/>
      <c r="M71" s="318"/>
    </row>
    <row r="72" spans="1:13" x14ac:dyDescent="0.2">
      <c r="A72" s="248">
        <v>66</v>
      </c>
      <c r="B72" s="249" t="str">
        <f>+PROPONENTES!B75</f>
        <v>UMBRELLA INTERNATIONAL S.A.S</v>
      </c>
      <c r="C72" s="235">
        <f t="shared" si="0"/>
        <v>117.8223459803778</v>
      </c>
      <c r="D72" s="236">
        <f>IF(AND(CONSOLIDADO!J76="HABILITADO",'66'!$L$16&gt;0),'66'!$L$16,"")</f>
        <v>2138.1005</v>
      </c>
      <c r="E72" s="338">
        <f t="shared" ref="E72:E90" si="4">IF(D72="","",IF($F$4="IMPAR",IF(D72=$F$2,$F$5,((1-ABS(($F$2-D72)/$F$2))*$F$5)),IF(D72=$F$3,$F$5,((1-ABS((($F$3-D72)/$F$3)))*$F$5))))</f>
        <v>62.725999313926287</v>
      </c>
      <c r="F72" s="338"/>
      <c r="G72" s="338">
        <f t="shared" ref="G72:G86" si="5">IF(D72="","",IF(D72=$H$3,$H$5,$H$5*(1-((ABS($H$2-D72))/$H$2))))</f>
        <v>63.563409220234398</v>
      </c>
      <c r="H72" s="338"/>
      <c r="I72" s="338">
        <f t="shared" ref="I72:I85" si="6">IF(D72="","",IF(D72&lt;=$J$4,$J$5*(1-(($J$4-D72)/$J$4)),$J$5*(1-(2*((ABS($J$4-D72))/$J$4)))))</f>
        <v>32.879288720321135</v>
      </c>
      <c r="J72" s="338"/>
      <c r="M72" s="318"/>
    </row>
    <row r="73" spans="1:13" x14ac:dyDescent="0.2">
      <c r="A73" s="248">
        <v>67</v>
      </c>
      <c r="B73" s="249" t="str">
        <f>+PROPONENTES!B76</f>
        <v>ICE S.A.S.</v>
      </c>
      <c r="C73" s="235" t="str">
        <f t="shared" si="0"/>
        <v/>
      </c>
      <c r="D73" s="236" t="str">
        <f>IF(AND(CONSOLIDADO!J77="HABILITADO",'67'!$L$16&gt;0),'67'!$L$16,"")</f>
        <v/>
      </c>
      <c r="E73" s="338" t="str">
        <f t="shared" si="4"/>
        <v/>
      </c>
      <c r="F73" s="338"/>
      <c r="G73" s="338" t="str">
        <f t="shared" si="5"/>
        <v/>
      </c>
      <c r="H73" s="338"/>
      <c r="I73" s="338" t="str">
        <f t="shared" si="6"/>
        <v/>
      </c>
      <c r="J73" s="338"/>
      <c r="M73" s="318"/>
    </row>
    <row r="74" spans="1:13" x14ac:dyDescent="0.2">
      <c r="A74" s="248">
        <v>68</v>
      </c>
      <c r="B74" s="249" t="str">
        <f>+PROPONENTES!B77</f>
        <v>INTERVENTORIA Y CONSTRUCIVILES SAS</v>
      </c>
      <c r="C74" s="235">
        <f t="shared" si="0"/>
        <v>23.408154019622316</v>
      </c>
      <c r="D74" s="236">
        <f>IF(AND(CONSOLIDADO!J78="HABILITADO",'68'!$L$16&gt;0),'68'!$L$16,"")</f>
        <v>1996.87</v>
      </c>
      <c r="E74" s="338">
        <f t="shared" si="4"/>
        <v>67.5</v>
      </c>
      <c r="F74" s="338"/>
      <c r="G74" s="338">
        <f t="shared" si="5"/>
        <v>66.717904528056806</v>
      </c>
      <c r="H74" s="338"/>
      <c r="I74" s="338">
        <f t="shared" si="6"/>
        <v>30.707473884856046</v>
      </c>
      <c r="J74" s="338"/>
      <c r="M74" s="318"/>
    </row>
    <row r="75" spans="1:13" x14ac:dyDescent="0.2">
      <c r="A75" s="248">
        <v>69</v>
      </c>
      <c r="B75" s="249" t="str">
        <f>+PROPONENTES!B78</f>
        <v>CONSORCIO BLUCK</v>
      </c>
      <c r="C75" s="235">
        <f t="shared" si="0"/>
        <v>741.67717931371112</v>
      </c>
      <c r="D75" s="236">
        <f>IF(AND(CONSOLIDADO!J79="HABILITADO",'69'!$L$16&gt;0),'69'!$L$16,"")</f>
        <v>2761.9553333333333</v>
      </c>
      <c r="E75" s="338">
        <f t="shared" si="4"/>
        <v>41.637895806937856</v>
      </c>
      <c r="F75" s="338"/>
      <c r="G75" s="338">
        <f t="shared" si="5"/>
        <v>42.719645124574633</v>
      </c>
      <c r="H75" s="338"/>
      <c r="I75" s="338">
        <f t="shared" si="6"/>
        <v>42.472805575461713</v>
      </c>
      <c r="J75" s="338"/>
      <c r="M75" s="318"/>
    </row>
    <row r="76" spans="1:13" x14ac:dyDescent="0.2">
      <c r="A76" s="248">
        <v>70</v>
      </c>
      <c r="B76" s="249" t="str">
        <f>+PROPONENTES!B79</f>
        <v>CONSORCIO DESARROLLO URBANO USAQUEN</v>
      </c>
      <c r="C76" s="235">
        <f t="shared" si="0"/>
        <v>509.07859598037771</v>
      </c>
      <c r="D76" s="236">
        <f>IF(AND(CONSOLIDADO!J80="HABILITADO",'70'!$L$16&gt;0),'70'!$L$16,"")</f>
        <v>2529.3567499999999</v>
      </c>
      <c r="E76" s="338">
        <f t="shared" si="4"/>
        <v>49.500402817910029</v>
      </c>
      <c r="F76" s="338"/>
      <c r="G76" s="338">
        <f t="shared" si="5"/>
        <v>50.491052415081576</v>
      </c>
      <c r="H76" s="338"/>
      <c r="I76" s="338">
        <f t="shared" si="6"/>
        <v>38.895950335329481</v>
      </c>
      <c r="J76" s="338"/>
      <c r="M76" s="318"/>
    </row>
    <row r="77" spans="1:13" x14ac:dyDescent="0.2">
      <c r="A77" s="248">
        <v>71</v>
      </c>
      <c r="B77" s="249" t="str">
        <f>+PROPONENTES!B80</f>
        <v>PIV Ingenieria S.A.S.</v>
      </c>
      <c r="C77" s="235">
        <f t="shared" si="0"/>
        <v>384.2065812932924</v>
      </c>
      <c r="D77" s="236">
        <f>IF(AND(CONSOLIDADO!J81="HABILITADO",'71'!$L$16&gt;0),'71'!$L$16,"")</f>
        <v>1636.0715727263298</v>
      </c>
      <c r="E77" s="338">
        <f t="shared" si="4"/>
        <v>55.303966286752399</v>
      </c>
      <c r="F77" s="338"/>
      <c r="G77" s="338">
        <f t="shared" si="5"/>
        <v>54.663181373961763</v>
      </c>
      <c r="H77" s="338"/>
      <c r="I77" s="338">
        <f t="shared" si="6"/>
        <v>25.159186673769018</v>
      </c>
      <c r="J77" s="338"/>
      <c r="M77" s="318"/>
    </row>
    <row r="78" spans="1:13" x14ac:dyDescent="0.2">
      <c r="A78" s="248">
        <v>72</v>
      </c>
      <c r="B78" s="249" t="str">
        <f>+PROPONENTES!B81</f>
        <v>TECNUMEC S.A.S.</v>
      </c>
      <c r="C78" s="235">
        <f t="shared" si="0"/>
        <v>3.2568459803778751</v>
      </c>
      <c r="D78" s="236">
        <f>IF(AND(CONSOLIDADO!J82="HABILITADO",'72'!$L$16&gt;0),'72'!$L$16,"")</f>
        <v>2023.5350000000001</v>
      </c>
      <c r="E78" s="338">
        <f t="shared" si="4"/>
        <v>66.598645630411582</v>
      </c>
      <c r="F78" s="338"/>
      <c r="G78" s="338">
        <f t="shared" si="5"/>
        <v>67.391184734518802</v>
      </c>
      <c r="H78" s="338"/>
      <c r="I78" s="338">
        <f t="shared" si="6"/>
        <v>31.117523007302523</v>
      </c>
      <c r="J78" s="338"/>
      <c r="M78" s="318"/>
    </row>
    <row r="79" spans="1:13" x14ac:dyDescent="0.2">
      <c r="A79" s="248">
        <v>73</v>
      </c>
      <c r="B79" s="249" t="str">
        <f>+PROPONENTES!B82</f>
        <v>ALIANZA INTEGRAL DE PROYECTOS SAS BIC</v>
      </c>
      <c r="C79" s="235">
        <f t="shared" si="0"/>
        <v>338.65668735295549</v>
      </c>
      <c r="D79" s="236">
        <f>IF(AND(CONSOLIDADO!J83="HABILITADO",'73'!$L$16&gt;0),'73'!$L$16,"")</f>
        <v>1681.6214666666667</v>
      </c>
      <c r="E79" s="338">
        <f t="shared" si="4"/>
        <v>56.843684866816574</v>
      </c>
      <c r="F79" s="338"/>
      <c r="G79" s="338">
        <f t="shared" si="5"/>
        <v>56.185059851366155</v>
      </c>
      <c r="H79" s="338"/>
      <c r="I79" s="338">
        <f t="shared" si="6"/>
        <v>25.859643978766762</v>
      </c>
      <c r="J79" s="338"/>
      <c r="M79" s="318"/>
    </row>
    <row r="80" spans="1:13" x14ac:dyDescent="0.2">
      <c r="A80" s="248">
        <v>74</v>
      </c>
      <c r="B80" s="249" t="str">
        <f>+PROPONENTES!B83</f>
        <v>CONSORCIO USAQUÉN VELNEC</v>
      </c>
      <c r="C80" s="235">
        <f t="shared" si="0"/>
        <v>23.872154019622258</v>
      </c>
      <c r="D80" s="236">
        <f>IF(AND(CONSOLIDADO!J84="HABILITADO",'74'!$L$16&gt;0),'74'!$L$16,"")</f>
        <v>1996.4059999999999</v>
      </c>
      <c r="E80" s="338">
        <f t="shared" si="4"/>
        <v>67.484315453685014</v>
      </c>
      <c r="F80" s="338"/>
      <c r="G80" s="338">
        <f t="shared" si="5"/>
        <v>66.702401712299633</v>
      </c>
      <c r="H80" s="338"/>
      <c r="I80" s="338">
        <f t="shared" si="6"/>
        <v>30.700338584169192</v>
      </c>
      <c r="J80" s="338"/>
      <c r="M80" s="318"/>
    </row>
    <row r="81" spans="1:13" x14ac:dyDescent="0.2">
      <c r="A81" s="248">
        <v>75</v>
      </c>
      <c r="B81" s="249" t="str">
        <f>+PROPONENTES!B84</f>
        <v>GEVIAL S.A.S.</v>
      </c>
      <c r="C81" s="235">
        <f t="shared" si="0"/>
        <v>450.30148735295552</v>
      </c>
      <c r="D81" s="236">
        <f>IF(AND(CONSOLIDADO!J85="HABILITADO",'75'!$L$16&gt;0),'75'!$L$16,"")</f>
        <v>1569.9766666666667</v>
      </c>
      <c r="E81" s="338">
        <f t="shared" si="4"/>
        <v>53.069766684861811</v>
      </c>
      <c r="F81" s="338"/>
      <c r="G81" s="338">
        <f t="shared" si="5"/>
        <v>52.454868548249777</v>
      </c>
      <c r="H81" s="338"/>
      <c r="I81" s="338">
        <f t="shared" si="6"/>
        <v>24.142792215567368</v>
      </c>
      <c r="J81" s="338"/>
      <c r="M81" s="318"/>
    </row>
    <row r="82" spans="1:13" x14ac:dyDescent="0.2">
      <c r="A82" s="248">
        <v>76</v>
      </c>
      <c r="B82" s="249" t="str">
        <f>+PROPONENTES!B85</f>
        <v>CONSORCIO HUPK VIAS DE USAQUEN</v>
      </c>
      <c r="C82" s="235" t="str">
        <f t="shared" si="0"/>
        <v/>
      </c>
      <c r="D82" s="236" t="str">
        <f>IF(AND(CONSOLIDADO!J86="HABILITADO",'76'!$L$16&gt;0),'76'!$L$16,"")</f>
        <v/>
      </c>
      <c r="E82" s="338" t="str">
        <f t="shared" si="4"/>
        <v/>
      </c>
      <c r="F82" s="338"/>
      <c r="G82" s="338" t="str">
        <f t="shared" si="5"/>
        <v/>
      </c>
      <c r="H82" s="338"/>
      <c r="I82" s="338" t="str">
        <f t="shared" si="6"/>
        <v/>
      </c>
      <c r="J82" s="338"/>
      <c r="M82" s="318"/>
    </row>
    <row r="83" spans="1:13" x14ac:dyDescent="0.2">
      <c r="A83" s="248">
        <v>77</v>
      </c>
      <c r="B83" s="249" t="str">
        <f>+PROPONENTES!B86</f>
        <v>EMPRESA DE INFRAESTRUCTURA COLOMBIANA S.A.S</v>
      </c>
      <c r="C83" s="235">
        <f t="shared" si="0"/>
        <v>3391.4818459803782</v>
      </c>
      <c r="D83" s="236">
        <f>IF(AND(CONSOLIDADO!J87="HABILITADO",'77'!$L$16&gt;0),'77'!$L$16,"")</f>
        <v>5411.76</v>
      </c>
      <c r="E83" s="338">
        <f t="shared" si="4"/>
        <v>-47.933190443043387</v>
      </c>
      <c r="F83" s="338"/>
      <c r="G83" s="338">
        <f t="shared" si="5"/>
        <v>-45.813616814693354</v>
      </c>
      <c r="H83" s="338"/>
      <c r="I83" s="338">
        <f t="shared" si="6"/>
        <v>36.058039460647322</v>
      </c>
      <c r="J83" s="338"/>
      <c r="M83" s="318"/>
    </row>
    <row r="84" spans="1:13" x14ac:dyDescent="0.2">
      <c r="A84" s="248">
        <v>78</v>
      </c>
      <c r="B84" s="249" t="str">
        <f>+PROPONENTES!B87</f>
        <v>CONSORCIO VIAS LOCALES 2025</v>
      </c>
      <c r="C84" s="235">
        <f t="shared" si="0"/>
        <v>102.84392931371099</v>
      </c>
      <c r="D84" s="236">
        <f>IF(AND(CONSOLIDADO!J88="HABILITADO",'78'!$L$16&gt;0),'78'!$L$16,"")</f>
        <v>2123.1220833333332</v>
      </c>
      <c r="E84" s="338">
        <f t="shared" si="4"/>
        <v>63.23231325774838</v>
      </c>
      <c r="F84" s="338"/>
      <c r="G84" s="338">
        <f t="shared" si="5"/>
        <v>64.063856707125453</v>
      </c>
      <c r="H84" s="338"/>
      <c r="I84" s="338">
        <f t="shared" si="6"/>
        <v>32.648953576506983</v>
      </c>
      <c r="J84" s="338"/>
      <c r="M84" s="318"/>
    </row>
    <row r="85" spans="1:13" x14ac:dyDescent="0.2">
      <c r="A85" s="248">
        <v>79</v>
      </c>
      <c r="B85" s="249" t="str">
        <f>+PROPONENTES!B88</f>
        <v>CONSORCIO MALLA VIAL USA</v>
      </c>
      <c r="C85" s="235">
        <f t="shared" si="0"/>
        <v>237.89015401962229</v>
      </c>
      <c r="D85" s="236">
        <f>IF(AND(CONSOLIDADO!J89="HABILITADO",'79'!$L$16&gt;0),'79'!$L$16,"")</f>
        <v>1782.3879999999999</v>
      </c>
      <c r="E85" s="338">
        <f t="shared" si="4"/>
        <v>60.249886071702214</v>
      </c>
      <c r="F85" s="338"/>
      <c r="G85" s="338">
        <f t="shared" si="5"/>
        <v>59.551794766787083</v>
      </c>
      <c r="H85" s="338"/>
      <c r="I85" s="338">
        <f t="shared" si="6"/>
        <v>27.409211897960709</v>
      </c>
      <c r="J85" s="338"/>
      <c r="M85" s="318"/>
    </row>
    <row r="86" spans="1:13" x14ac:dyDescent="0.2">
      <c r="A86" s="248">
        <v>80</v>
      </c>
      <c r="B86" s="249" t="str">
        <f>+PROPONENTES!B89</f>
        <v>PROBINTEC SAS</v>
      </c>
      <c r="C86" s="235" t="str">
        <f t="shared" si="0"/>
        <v/>
      </c>
      <c r="D86" s="236" t="str">
        <f>IF(AND(CONSOLIDADO!J90="HABILITADO",'80'!$L$16&gt;0),'80'!$L$16,"")</f>
        <v/>
      </c>
      <c r="E86" s="338" t="str">
        <f t="shared" si="4"/>
        <v/>
      </c>
      <c r="F86" s="338"/>
      <c r="G86" s="338" t="str">
        <f t="shared" si="5"/>
        <v/>
      </c>
      <c r="H86" s="338"/>
      <c r="I86" s="338" t="str">
        <f t="shared" ref="I86:I100" si="7">IF(D86="","",IF(D86&lt;=$J$4,$J$5*(1-(($J$4-D86)/$J$4)),$J$5*(1-(2*((ABS($J$4-D86))/$J$4)))))</f>
        <v/>
      </c>
      <c r="J86" s="338"/>
      <c r="M86" s="318"/>
    </row>
    <row r="87" spans="1:13" x14ac:dyDescent="0.2">
      <c r="A87" s="248">
        <v>81</v>
      </c>
      <c r="B87" s="249" t="str">
        <f>+PROPONENTES!B90</f>
        <v>ESCALA CCI SAS</v>
      </c>
      <c r="C87" s="235">
        <f t="shared" si="0"/>
        <v>450.96184598037757</v>
      </c>
      <c r="D87" s="236">
        <f>IF(AND(CONSOLIDADO!J91="HABILITADO",'81'!$L$16&gt;0),'81'!$L$16,"")</f>
        <v>2471.2399999999998</v>
      </c>
      <c r="E87" s="338">
        <f t="shared" si="4"/>
        <v>51.4649175960378</v>
      </c>
      <c r="F87" s="338"/>
      <c r="G87" s="338">
        <f t="shared" ref="G87:G100" si="8">IF(D87="","",IF(D87=$H$3,$H$5,$H$5*(1-((ABS($H$2-D87))/$H$2))))</f>
        <v>52.43280514709766</v>
      </c>
      <c r="H87" s="338"/>
      <c r="I87" s="338">
        <f t="shared" si="7"/>
        <v>38.002242390947664</v>
      </c>
      <c r="J87" s="338"/>
      <c r="M87" s="318"/>
    </row>
    <row r="88" spans="1:13" x14ac:dyDescent="0.2">
      <c r="A88" s="248">
        <v>82</v>
      </c>
      <c r="B88" s="249" t="str">
        <f>+PROPONENTES!B91</f>
        <v>C. SAN MARTIN 003</v>
      </c>
      <c r="C88" s="235">
        <f t="shared" si="0"/>
        <v>552.06882098037818</v>
      </c>
      <c r="D88" s="236">
        <f>IF(AND(CONSOLIDADO!J92="HABILITADO",'82'!$L$16&gt;0),'82'!$L$16,"")</f>
        <v>2572.3469750000004</v>
      </c>
      <c r="E88" s="338">
        <f t="shared" si="4"/>
        <v>48.047208475013377</v>
      </c>
      <c r="F88" s="338"/>
      <c r="G88" s="338">
        <f t="shared" si="8"/>
        <v>49.054695653154312</v>
      </c>
      <c r="H88" s="338"/>
      <c r="I88" s="338">
        <f t="shared" si="7"/>
        <v>39.557045555094213</v>
      </c>
      <c r="J88" s="338"/>
      <c r="M88" s="318"/>
    </row>
    <row r="89" spans="1:13" x14ac:dyDescent="0.2">
      <c r="A89" s="248">
        <v>83</v>
      </c>
      <c r="B89" s="249" t="str">
        <f>+PROPONENTES!B92</f>
        <v>CONSORCIO INTERVENTORES GTI 003</v>
      </c>
      <c r="C89" s="235"/>
      <c r="D89" s="236">
        <f>IF(AND(CONSOLIDADO!J93="HABILITADO",'83'!$L$16&gt;0),'83'!$L$16,"")</f>
        <v>4350.7333333333336</v>
      </c>
      <c r="E89" s="338">
        <f>IF(D89="","",IF($F$4="IMPAR",IF(D89=$F$2,$F$5,((1-ABS(($F$2-D89)/$F$2))*$F$5)),IF(D89=$F$3,$F$5,((1-ABS((($F$3-D89)/$F$3)))*$F$5))))</f>
        <v>-12.067410497428487</v>
      </c>
      <c r="F89" s="338"/>
      <c r="G89" s="338">
        <f t="shared" si="8"/>
        <v>-10.363399300088503</v>
      </c>
      <c r="H89" s="338"/>
      <c r="I89" s="338">
        <f t="shared" si="7"/>
        <v>66.904720995010223</v>
      </c>
      <c r="J89" s="338"/>
      <c r="M89" s="318"/>
    </row>
    <row r="90" spans="1:13" x14ac:dyDescent="0.2">
      <c r="A90" s="248">
        <v>84</v>
      </c>
      <c r="B90" s="249" t="str">
        <f>+PROPONENTES!B93</f>
        <v>INGCONSASAS</v>
      </c>
      <c r="C90" s="235">
        <f t="shared" si="0"/>
        <v>71.158154019622316</v>
      </c>
      <c r="D90" s="236">
        <f>IF(AND(CONSOLIDADO!J94="HABILITADO",'84'!$L$16&gt;0),'84'!$L$16,"")</f>
        <v>1949.12</v>
      </c>
      <c r="E90" s="338">
        <f t="shared" si="4"/>
        <v>65.885911451421478</v>
      </c>
      <c r="F90" s="338"/>
      <c r="G90" s="338">
        <f t="shared" si="8"/>
        <v>65.122517777184328</v>
      </c>
      <c r="H90" s="338"/>
      <c r="I90" s="338">
        <f t="shared" si="7"/>
        <v>29.973183781843893</v>
      </c>
      <c r="J90" s="338"/>
      <c r="M90" s="318"/>
    </row>
    <row r="91" spans="1:13" x14ac:dyDescent="0.2">
      <c r="A91" s="248">
        <v>85</v>
      </c>
      <c r="B91" s="249" t="str">
        <f>+PROPONENTES!B94</f>
        <v>AESA PROYECTOS SAS</v>
      </c>
      <c r="C91" s="235">
        <f t="shared" ref="C91:C99" si="9">IF(D91="","",ABS(D91-$H$2))</f>
        <v>13.885779313711055</v>
      </c>
      <c r="D91" s="236">
        <f>IF(AND(CONSOLIDADO!J95="HABILITADO",'85'!$L$16&gt;0),'85'!$L$16,"")</f>
        <v>2034.1639333333333</v>
      </c>
      <c r="E91" s="338">
        <f t="shared" ref="E91:E99" si="10">IF(D91="","",IF($F$4="IMPAR",IF(D91=$F$2,$F$5,((1-ABS(($F$2-D91)/$F$2))*$F$5)),IF(D91=$F$3,$F$5,((1-ABS((($F$3-D91)/$F$3)))*$F$5))))</f>
        <v>66.239356843460016</v>
      </c>
      <c r="F91" s="338"/>
      <c r="G91" s="338">
        <f t="shared" si="8"/>
        <v>67.036058882876773</v>
      </c>
      <c r="H91" s="338"/>
      <c r="I91" s="338">
        <f t="shared" si="7"/>
        <v>31.280972652375663</v>
      </c>
      <c r="J91" s="338"/>
      <c r="M91" s="318"/>
    </row>
    <row r="92" spans="1:13" x14ac:dyDescent="0.2">
      <c r="A92" s="248">
        <v>86</v>
      </c>
      <c r="B92" s="249" t="str">
        <f>+PROPONENTES!B95</f>
        <v>C INTERUSAQUEN EI</v>
      </c>
      <c r="C92" s="235">
        <f t="shared" si="9"/>
        <v>123.1029888375208</v>
      </c>
      <c r="D92" s="236">
        <f>IF(AND(CONSOLIDADO!J96="HABILITADO",'86'!$L$16&gt;0),'86'!$L$16,"")</f>
        <v>2143.381142857143</v>
      </c>
      <c r="E92" s="338">
        <f t="shared" si="10"/>
        <v>62.547498263353567</v>
      </c>
      <c r="F92" s="338"/>
      <c r="G92" s="338">
        <f t="shared" si="8"/>
        <v>63.386976389860052</v>
      </c>
      <c r="H92" s="338"/>
      <c r="I92" s="338">
        <f t="shared" si="7"/>
        <v>32.960493406971231</v>
      </c>
      <c r="J92" s="338"/>
      <c r="M92" s="318"/>
    </row>
    <row r="93" spans="1:13" x14ac:dyDescent="0.2">
      <c r="A93" s="248">
        <v>87</v>
      </c>
      <c r="B93" s="249" t="str">
        <f>+PROPONENTES!B96</f>
        <v>ARCA ARQUITECTURA E INGENIERÍA S.A.</v>
      </c>
      <c r="C93" s="235">
        <f t="shared" si="9"/>
        <v>170.00884598037806</v>
      </c>
      <c r="D93" s="236">
        <f>IF(AND(CONSOLIDADO!J97="HABILITADO",'87'!$L$16&gt;0),'87'!$L$16,"")</f>
        <v>2190.2870000000003</v>
      </c>
      <c r="E93" s="338">
        <f t="shared" si="10"/>
        <v>60.961944192661498</v>
      </c>
      <c r="F93" s="338"/>
      <c r="G93" s="338">
        <f t="shared" si="8"/>
        <v>61.819793499304424</v>
      </c>
      <c r="H93" s="338"/>
      <c r="I93" s="338">
        <f t="shared" si="7"/>
        <v>33.681802447249801</v>
      </c>
      <c r="J93" s="338"/>
      <c r="M93" s="318"/>
    </row>
    <row r="94" spans="1:13" x14ac:dyDescent="0.2">
      <c r="A94" s="248">
        <v>88</v>
      </c>
      <c r="B94" s="249" t="str">
        <f>+PROPONENTES!B97</f>
        <v>CONSORCIO VIAL USAQUEN 2026</v>
      </c>
      <c r="C94" s="235" t="str">
        <f t="shared" si="9"/>
        <v/>
      </c>
      <c r="D94" s="236" t="str">
        <f>IF(AND(CONSOLIDADO!J98="HABILITADO",'88'!$L$16&gt;0),'88'!$L$16,"")</f>
        <v/>
      </c>
      <c r="E94" s="338" t="str">
        <f t="shared" si="10"/>
        <v/>
      </c>
      <c r="F94" s="338"/>
      <c r="G94" s="338" t="str">
        <f t="shared" si="8"/>
        <v/>
      </c>
      <c r="H94" s="338"/>
      <c r="I94" s="338" t="str">
        <f t="shared" si="7"/>
        <v/>
      </c>
      <c r="J94" s="338"/>
      <c r="M94" s="318"/>
    </row>
    <row r="95" spans="1:13" x14ac:dyDescent="0.2">
      <c r="A95" s="248">
        <v>89</v>
      </c>
      <c r="B95" s="249" t="str">
        <f>+PROPONENTES!B98</f>
        <v>CS USAQUEN JINT 3</v>
      </c>
      <c r="C95" s="235">
        <f t="shared" si="9"/>
        <v>16.444345980377875</v>
      </c>
      <c r="D95" s="236">
        <f>IF(AND(CONSOLIDADO!J99="HABILITADO",'89'!$L$16&gt;0),'89'!$L$16,"")</f>
        <v>2036.7225000000001</v>
      </c>
      <c r="E95" s="338">
        <f t="shared" si="10"/>
        <v>66.152869866340822</v>
      </c>
      <c r="F95" s="338"/>
      <c r="G95" s="338">
        <f t="shared" si="8"/>
        <v>66.950573995730721</v>
      </c>
      <c r="H95" s="338"/>
      <c r="I95" s="338">
        <f t="shared" si="7"/>
        <v>31.320317787061118</v>
      </c>
      <c r="J95" s="338"/>
      <c r="M95" s="318"/>
    </row>
    <row r="96" spans="1:13" x14ac:dyDescent="0.2">
      <c r="A96" s="248">
        <v>90</v>
      </c>
      <c r="B96" s="249" t="str">
        <f>+PROPONENTES!B99</f>
        <v>CONSORCIO MT USAQUEN 2025</v>
      </c>
      <c r="C96" s="235" t="str">
        <f t="shared" si="9"/>
        <v/>
      </c>
      <c r="D96" s="236" t="str">
        <f>IF(AND(CONSOLIDADO!J100="HABILITADO",'90'!$L$16&gt;0),'90'!$L$16,"")</f>
        <v/>
      </c>
      <c r="E96" s="338" t="str">
        <f t="shared" si="10"/>
        <v/>
      </c>
      <c r="F96" s="338"/>
      <c r="G96" s="338" t="str">
        <f t="shared" si="8"/>
        <v/>
      </c>
      <c r="H96" s="338"/>
      <c r="I96" s="338" t="str">
        <f t="shared" si="7"/>
        <v/>
      </c>
      <c r="J96" s="338"/>
      <c r="M96" s="318"/>
    </row>
    <row r="97" spans="1:13" x14ac:dyDescent="0.2">
      <c r="A97" s="248">
        <v>91</v>
      </c>
      <c r="B97" s="249" t="str">
        <f>+PROPONENTES!B100</f>
        <v>CONSORCIO MALLA VIAL USAQUEN</v>
      </c>
      <c r="C97" s="235">
        <f t="shared" si="9"/>
        <v>811.41965401962216</v>
      </c>
      <c r="D97" s="236">
        <f>IF(AND(CONSOLIDADO!J101="HABILITADO",'91'!$L$16&gt;0),'91'!$L$16,"")</f>
        <v>1208.8585</v>
      </c>
      <c r="E97" s="338">
        <f t="shared" si="10"/>
        <v>40.862924852394002</v>
      </c>
      <c r="F97" s="338"/>
      <c r="G97" s="338">
        <f t="shared" si="8"/>
        <v>40.389462504284189</v>
      </c>
      <c r="H97" s="338"/>
      <c r="I97" s="338">
        <f t="shared" si="7"/>
        <v>18.589588115018142</v>
      </c>
      <c r="J97" s="338"/>
      <c r="M97" s="318"/>
    </row>
    <row r="98" spans="1:13" x14ac:dyDescent="0.2">
      <c r="A98" s="248">
        <v>92</v>
      </c>
      <c r="B98" s="249" t="str">
        <f>+PROPONENTES!B101</f>
        <v>TERRA PROYECTOS CIVILES SAS</v>
      </c>
      <c r="C98" s="235" t="str">
        <f t="shared" si="9"/>
        <v/>
      </c>
      <c r="D98" s="236" t="str">
        <f>IF(AND(CONSOLIDADO!J102="HABILITADO",'92'!$L$16&gt;0),'92'!$L$16,"")</f>
        <v/>
      </c>
      <c r="E98" s="338" t="str">
        <f t="shared" si="10"/>
        <v/>
      </c>
      <c r="F98" s="338"/>
      <c r="G98" s="338" t="str">
        <f t="shared" si="8"/>
        <v/>
      </c>
      <c r="H98" s="338"/>
      <c r="I98" s="338" t="str">
        <f t="shared" si="7"/>
        <v/>
      </c>
      <c r="J98" s="338"/>
    </row>
    <row r="99" spans="1:13" x14ac:dyDescent="0.2">
      <c r="A99" s="248">
        <v>93</v>
      </c>
      <c r="B99" s="249" t="str">
        <f>+PROPONENTES!B102</f>
        <v>ONSORCIO FLU 003 GH 2025</v>
      </c>
      <c r="C99" s="235" t="str">
        <f t="shared" si="9"/>
        <v/>
      </c>
      <c r="D99" s="236" t="str">
        <f>IF(AND(CONSOLIDADO!J103="HABILITADO",'93'!$L$16&gt;0),'93'!$L$16,"")</f>
        <v/>
      </c>
      <c r="E99" s="338" t="str">
        <f t="shared" si="10"/>
        <v/>
      </c>
      <c r="F99" s="338"/>
      <c r="G99" s="338" t="str">
        <f t="shared" si="8"/>
        <v/>
      </c>
      <c r="H99" s="338"/>
      <c r="I99" s="338" t="str">
        <f t="shared" si="7"/>
        <v/>
      </c>
      <c r="J99" s="338"/>
    </row>
    <row r="100" spans="1:13" x14ac:dyDescent="0.2">
      <c r="A100" s="248">
        <v>94</v>
      </c>
      <c r="B100" s="249" t="str">
        <f>+PROPONENTES!B103</f>
        <v>INGEVAL SAS</v>
      </c>
      <c r="C100" s="235" t="str">
        <f t="shared" ref="C100" si="11">IF(D100="","",ABS(D100-$H$2))</f>
        <v/>
      </c>
      <c r="D100" s="236" t="str">
        <f>IF(AND(CONSOLIDADO!J104="HABILITADO",'94'!$L$16&gt;0),'94'!$L$16,"")</f>
        <v/>
      </c>
      <c r="E100" s="338" t="str">
        <f t="shared" ref="E100" si="12">IF(D100="","",IF($F$4="IMPAR",IF(D100=$F$2,$F$5,((1-ABS(($F$2-D100)/$F$2))*$F$5)),IF(D100=$F$3,$F$5,((1-ABS((($F$3-D100)/$F$3)))*$F$5))))</f>
        <v/>
      </c>
      <c r="F100" s="338"/>
      <c r="G100" s="338" t="str">
        <f t="shared" si="8"/>
        <v/>
      </c>
      <c r="H100" s="338"/>
      <c r="I100" s="338" t="str">
        <f t="shared" si="7"/>
        <v/>
      </c>
      <c r="J100" s="338"/>
    </row>
    <row r="101" spans="1:13" x14ac:dyDescent="0.2">
      <c r="C101"/>
      <c r="D101"/>
      <c r="E101"/>
      <c r="F101"/>
    </row>
    <row r="102" spans="1:13" x14ac:dyDescent="0.2">
      <c r="C102"/>
      <c r="D102"/>
      <c r="E102"/>
      <c r="F102"/>
    </row>
    <row r="103" spans="1:13" x14ac:dyDescent="0.2">
      <c r="C103"/>
      <c r="D103"/>
      <c r="E103"/>
      <c r="F103"/>
    </row>
    <row r="104" spans="1:13" x14ac:dyDescent="0.2">
      <c r="C104"/>
      <c r="D104"/>
      <c r="E104"/>
      <c r="F104"/>
    </row>
    <row r="105" spans="1:13" x14ac:dyDescent="0.2">
      <c r="C105"/>
      <c r="D105"/>
      <c r="E105"/>
      <c r="F105"/>
    </row>
    <row r="106" spans="1:13" x14ac:dyDescent="0.2">
      <c r="C106"/>
      <c r="D106"/>
      <c r="E106"/>
      <c r="F106"/>
    </row>
    <row r="107" spans="1:13" x14ac:dyDescent="0.2">
      <c r="C107"/>
      <c r="D107"/>
      <c r="E107"/>
      <c r="F107"/>
    </row>
    <row r="108" spans="1:13" x14ac:dyDescent="0.2">
      <c r="C108"/>
      <c r="D108"/>
      <c r="E108"/>
      <c r="F108"/>
    </row>
    <row r="109" spans="1:13" x14ac:dyDescent="0.2">
      <c r="C109"/>
      <c r="D109"/>
      <c r="E109"/>
      <c r="F109"/>
    </row>
    <row r="110" spans="1:13" x14ac:dyDescent="0.2">
      <c r="C110"/>
      <c r="D110"/>
      <c r="E110"/>
      <c r="F110"/>
    </row>
    <row r="111" spans="1:13" x14ac:dyDescent="0.2">
      <c r="C111"/>
      <c r="D111"/>
      <c r="E111"/>
      <c r="F111"/>
    </row>
    <row r="112" spans="1:13" x14ac:dyDescent="0.2">
      <c r="C112"/>
      <c r="D112"/>
      <c r="E112"/>
      <c r="F112"/>
    </row>
    <row r="113" customFormat="1" x14ac:dyDescent="0.2"/>
    <row r="114" customFormat="1" x14ac:dyDescent="0.2"/>
    <row r="115" customFormat="1" x14ac:dyDescent="0.2"/>
    <row r="116" customFormat="1" x14ac:dyDescent="0.2"/>
    <row r="117" customFormat="1" x14ac:dyDescent="0.2"/>
    <row r="118" customFormat="1" x14ac:dyDescent="0.2"/>
    <row r="119" customFormat="1" x14ac:dyDescent="0.2"/>
    <row r="120" customFormat="1" x14ac:dyDescent="0.2"/>
    <row r="121" customFormat="1" x14ac:dyDescent="0.2"/>
    <row r="122" customFormat="1" x14ac:dyDescent="0.2"/>
    <row r="123" customFormat="1" x14ac:dyDescent="0.2"/>
    <row r="124" customFormat="1" x14ac:dyDescent="0.2"/>
    <row r="125" customFormat="1" x14ac:dyDescent="0.2"/>
    <row r="126" customFormat="1" x14ac:dyDescent="0.2"/>
    <row r="127" customFormat="1" x14ac:dyDescent="0.2"/>
    <row r="128" customFormat="1" x14ac:dyDescent="0.2"/>
    <row r="129" customFormat="1" x14ac:dyDescent="0.2"/>
    <row r="130" customFormat="1" x14ac:dyDescent="0.2"/>
    <row r="131" customFormat="1" x14ac:dyDescent="0.2"/>
    <row r="132" customFormat="1" x14ac:dyDescent="0.2"/>
    <row r="133" customFormat="1" x14ac:dyDescent="0.2"/>
    <row r="134" customFormat="1" x14ac:dyDescent="0.2"/>
    <row r="135" customFormat="1" x14ac:dyDescent="0.2"/>
    <row r="136" customFormat="1" x14ac:dyDescent="0.2"/>
    <row r="137" customFormat="1" x14ac:dyDescent="0.2"/>
    <row r="138" customFormat="1" x14ac:dyDescent="0.2"/>
    <row r="139" customFormat="1" x14ac:dyDescent="0.2"/>
    <row r="140" customFormat="1" x14ac:dyDescent="0.2"/>
    <row r="141" customFormat="1" x14ac:dyDescent="0.2"/>
    <row r="142" customFormat="1" x14ac:dyDescent="0.2"/>
    <row r="143" customFormat="1" x14ac:dyDescent="0.2"/>
    <row r="144" customFormat="1" x14ac:dyDescent="0.2"/>
    <row r="145" spans="3:6" x14ac:dyDescent="0.2">
      <c r="C145"/>
      <c r="D145"/>
      <c r="E145"/>
      <c r="F145"/>
    </row>
    <row r="146" spans="3:6" x14ac:dyDescent="0.2">
      <c r="C146"/>
      <c r="D146"/>
      <c r="E146"/>
      <c r="F146"/>
    </row>
    <row r="147" spans="3:6" x14ac:dyDescent="0.2">
      <c r="C147"/>
      <c r="D147"/>
      <c r="E147"/>
      <c r="F147"/>
    </row>
    <row r="148" spans="3:6" x14ac:dyDescent="0.2">
      <c r="C148"/>
      <c r="D148"/>
      <c r="E148"/>
      <c r="F148"/>
    </row>
    <row r="149" spans="3:6" x14ac:dyDescent="0.2">
      <c r="C149"/>
      <c r="D149"/>
      <c r="E149"/>
      <c r="F149"/>
    </row>
    <row r="150" spans="3:6" x14ac:dyDescent="0.2">
      <c r="C150"/>
      <c r="D150"/>
      <c r="E150"/>
      <c r="F150"/>
    </row>
    <row r="151" spans="3:6" x14ac:dyDescent="0.2">
      <c r="C151"/>
      <c r="D151"/>
      <c r="E151"/>
      <c r="F151"/>
    </row>
    <row r="152" spans="3:6" x14ac:dyDescent="0.2">
      <c r="C152"/>
      <c r="D152"/>
      <c r="E152"/>
      <c r="F152"/>
    </row>
    <row r="153" spans="3:6" x14ac:dyDescent="0.2">
      <c r="E153" s="155"/>
      <c r="F153" s="155"/>
    </row>
    <row r="154" spans="3:6" x14ac:dyDescent="0.2">
      <c r="E154" s="155"/>
      <c r="F154" s="155"/>
    </row>
    <row r="155" spans="3:6" x14ac:dyDescent="0.2">
      <c r="E155" s="155"/>
      <c r="F155" s="155"/>
    </row>
    <row r="156" spans="3:6" x14ac:dyDescent="0.2">
      <c r="E156" s="155"/>
      <c r="F156" s="155"/>
    </row>
    <row r="157" spans="3:6" x14ac:dyDescent="0.2">
      <c r="E157" s="155"/>
      <c r="F157" s="155"/>
    </row>
    <row r="158" spans="3:6" x14ac:dyDescent="0.2">
      <c r="E158" s="155"/>
      <c r="F158" s="155"/>
    </row>
    <row r="159" spans="3:6" x14ac:dyDescent="0.2">
      <c r="E159" s="155"/>
      <c r="F159" s="155"/>
    </row>
    <row r="160" spans="3:6" x14ac:dyDescent="0.2">
      <c r="E160" s="155"/>
      <c r="F160" s="155"/>
    </row>
    <row r="161" spans="5:6" x14ac:dyDescent="0.2">
      <c r="E161" s="155"/>
      <c r="F161" s="155"/>
    </row>
    <row r="162" spans="5:6" x14ac:dyDescent="0.2">
      <c r="E162" s="155"/>
      <c r="F162" s="155"/>
    </row>
    <row r="163" spans="5:6" x14ac:dyDescent="0.2">
      <c r="E163" s="155"/>
      <c r="F163" s="155"/>
    </row>
    <row r="164" spans="5:6" x14ac:dyDescent="0.2">
      <c r="E164" s="155"/>
      <c r="F164" s="155"/>
    </row>
    <row r="165" spans="5:6" x14ac:dyDescent="0.2">
      <c r="E165" s="155"/>
      <c r="F165" s="155"/>
    </row>
    <row r="166" spans="5:6" x14ac:dyDescent="0.2">
      <c r="E166" s="155"/>
      <c r="F166" s="155"/>
    </row>
    <row r="167" spans="5:6" x14ac:dyDescent="0.2">
      <c r="E167" s="155"/>
      <c r="F167" s="155"/>
    </row>
    <row r="168" spans="5:6" x14ac:dyDescent="0.2">
      <c r="E168" s="155"/>
      <c r="F168" s="155"/>
    </row>
    <row r="169" spans="5:6" x14ac:dyDescent="0.2">
      <c r="E169" s="155"/>
      <c r="F169" s="155"/>
    </row>
    <row r="170" spans="5:6" x14ac:dyDescent="0.2">
      <c r="E170" s="155"/>
      <c r="F170" s="155"/>
    </row>
    <row r="171" spans="5:6" x14ac:dyDescent="0.2">
      <c r="E171" s="155"/>
      <c r="F171" s="155"/>
    </row>
    <row r="172" spans="5:6" x14ac:dyDescent="0.2">
      <c r="E172" s="155"/>
      <c r="F172" s="155"/>
    </row>
    <row r="173" spans="5:6" x14ac:dyDescent="0.2">
      <c r="E173" s="155"/>
      <c r="F173" s="155"/>
    </row>
    <row r="174" spans="5:6" x14ac:dyDescent="0.2">
      <c r="E174" s="155"/>
      <c r="F174" s="155"/>
    </row>
    <row r="175" spans="5:6" x14ac:dyDescent="0.2">
      <c r="E175" s="155"/>
      <c r="F175" s="155"/>
    </row>
    <row r="176" spans="5:6" x14ac:dyDescent="0.2">
      <c r="E176" s="155"/>
      <c r="F176" s="155"/>
    </row>
    <row r="177" spans="5:6" x14ac:dyDescent="0.2">
      <c r="E177" s="155"/>
      <c r="F177" s="155"/>
    </row>
    <row r="178" spans="5:6" x14ac:dyDescent="0.2">
      <c r="E178" s="155"/>
      <c r="F178" s="155"/>
    </row>
    <row r="179" spans="5:6" x14ac:dyDescent="0.2">
      <c r="E179" s="155"/>
      <c r="F179" s="155"/>
    </row>
    <row r="180" spans="5:6" x14ac:dyDescent="0.2">
      <c r="E180" s="155"/>
      <c r="F180" s="155"/>
    </row>
    <row r="181" spans="5:6" x14ac:dyDescent="0.2">
      <c r="E181" s="155"/>
      <c r="F181" s="155"/>
    </row>
    <row r="182" spans="5:6" x14ac:dyDescent="0.2">
      <c r="E182" s="155"/>
      <c r="F182" s="155"/>
    </row>
  </sheetData>
  <sheetProtection formatCells="0" formatColumns="0" formatRows="0"/>
  <mergeCells count="289">
    <mergeCell ref="I97:J97"/>
    <mergeCell ref="I98:J98"/>
    <mergeCell ref="G91:H91"/>
    <mergeCell ref="G92:H92"/>
    <mergeCell ref="G93:H93"/>
    <mergeCell ref="G94:H94"/>
    <mergeCell ref="G95:H95"/>
    <mergeCell ref="G96:H96"/>
    <mergeCell ref="G97:H97"/>
    <mergeCell ref="G98:H98"/>
    <mergeCell ref="E100:F100"/>
    <mergeCell ref="E91:F91"/>
    <mergeCell ref="E92:F92"/>
    <mergeCell ref="E93:F93"/>
    <mergeCell ref="E94:F94"/>
    <mergeCell ref="E95:F95"/>
    <mergeCell ref="E96:F96"/>
    <mergeCell ref="E97:F97"/>
    <mergeCell ref="E98:F98"/>
    <mergeCell ref="E99:F99"/>
    <mergeCell ref="E87:F87"/>
    <mergeCell ref="G87:H87"/>
    <mergeCell ref="I87:J87"/>
    <mergeCell ref="E88:F88"/>
    <mergeCell ref="G88:H88"/>
    <mergeCell ref="I88:J88"/>
    <mergeCell ref="E90:F90"/>
    <mergeCell ref="G90:H90"/>
    <mergeCell ref="I90:J90"/>
    <mergeCell ref="E89:F89"/>
    <mergeCell ref="I89:J89"/>
    <mergeCell ref="G89:H89"/>
    <mergeCell ref="E86:F86"/>
    <mergeCell ref="G86:H86"/>
    <mergeCell ref="I86:J86"/>
    <mergeCell ref="E84:F84"/>
    <mergeCell ref="G84:H84"/>
    <mergeCell ref="I84:J84"/>
    <mergeCell ref="E85:F85"/>
    <mergeCell ref="G85:H85"/>
    <mergeCell ref="I85:J85"/>
    <mergeCell ref="E82:F82"/>
    <mergeCell ref="G82:H82"/>
    <mergeCell ref="I82:J82"/>
    <mergeCell ref="E83:F83"/>
    <mergeCell ref="G83:H83"/>
    <mergeCell ref="I83:J83"/>
    <mergeCell ref="E79:F79"/>
    <mergeCell ref="G79:H79"/>
    <mergeCell ref="I79:J79"/>
    <mergeCell ref="E81:F81"/>
    <mergeCell ref="G81:H81"/>
    <mergeCell ref="I81:J81"/>
    <mergeCell ref="E80:F80"/>
    <mergeCell ref="E77:F77"/>
    <mergeCell ref="G77:H77"/>
    <mergeCell ref="I77:J77"/>
    <mergeCell ref="E78:F78"/>
    <mergeCell ref="G78:H78"/>
    <mergeCell ref="I78:J78"/>
    <mergeCell ref="E75:F75"/>
    <mergeCell ref="G75:H75"/>
    <mergeCell ref="I75:J75"/>
    <mergeCell ref="E76:F76"/>
    <mergeCell ref="G76:H76"/>
    <mergeCell ref="I76:J76"/>
    <mergeCell ref="E73:F73"/>
    <mergeCell ref="G73:H73"/>
    <mergeCell ref="I73:J73"/>
    <mergeCell ref="E74:F74"/>
    <mergeCell ref="G74:H74"/>
    <mergeCell ref="I74:J74"/>
    <mergeCell ref="E71:F71"/>
    <mergeCell ref="G71:H71"/>
    <mergeCell ref="I71:J71"/>
    <mergeCell ref="E72:F72"/>
    <mergeCell ref="G72:H72"/>
    <mergeCell ref="I72:J72"/>
    <mergeCell ref="E69:F69"/>
    <mergeCell ref="G69:H69"/>
    <mergeCell ref="I69:J69"/>
    <mergeCell ref="E70:F70"/>
    <mergeCell ref="G70:H70"/>
    <mergeCell ref="I70:J70"/>
    <mergeCell ref="E67:F67"/>
    <mergeCell ref="G67:H67"/>
    <mergeCell ref="I67:J67"/>
    <mergeCell ref="E68:F68"/>
    <mergeCell ref="G68:H68"/>
    <mergeCell ref="I68:J68"/>
    <mergeCell ref="E65:F65"/>
    <mergeCell ref="G65:H65"/>
    <mergeCell ref="I65:J65"/>
    <mergeCell ref="E66:F66"/>
    <mergeCell ref="G66:H66"/>
    <mergeCell ref="I66:J66"/>
    <mergeCell ref="E63:F63"/>
    <mergeCell ref="G63:H63"/>
    <mergeCell ref="I63:J63"/>
    <mergeCell ref="E64:F64"/>
    <mergeCell ref="G64:H64"/>
    <mergeCell ref="I64:J64"/>
    <mergeCell ref="E61:F61"/>
    <mergeCell ref="G61:H61"/>
    <mergeCell ref="I61:J61"/>
    <mergeCell ref="E62:F62"/>
    <mergeCell ref="G62:H62"/>
    <mergeCell ref="I62:J62"/>
    <mergeCell ref="E59:F59"/>
    <mergeCell ref="G59:H59"/>
    <mergeCell ref="I59:J59"/>
    <mergeCell ref="E60:F60"/>
    <mergeCell ref="G60:H60"/>
    <mergeCell ref="I60:J60"/>
    <mergeCell ref="E57:F57"/>
    <mergeCell ref="G57:H57"/>
    <mergeCell ref="I57:J57"/>
    <mergeCell ref="E58:F58"/>
    <mergeCell ref="G58:H58"/>
    <mergeCell ref="I58:J58"/>
    <mergeCell ref="E55:F55"/>
    <mergeCell ref="G55:H55"/>
    <mergeCell ref="I55:J55"/>
    <mergeCell ref="E56:F56"/>
    <mergeCell ref="G56:H56"/>
    <mergeCell ref="I56:J56"/>
    <mergeCell ref="E53:F53"/>
    <mergeCell ref="G53:H53"/>
    <mergeCell ref="I53:J53"/>
    <mergeCell ref="E54:F54"/>
    <mergeCell ref="G54:H54"/>
    <mergeCell ref="I54:J54"/>
    <mergeCell ref="E51:F51"/>
    <mergeCell ref="G51:H51"/>
    <mergeCell ref="I51:J51"/>
    <mergeCell ref="E52:F52"/>
    <mergeCell ref="G52:H52"/>
    <mergeCell ref="I52:J52"/>
    <mergeCell ref="E49:F49"/>
    <mergeCell ref="G49:H49"/>
    <mergeCell ref="I49:J49"/>
    <mergeCell ref="E50:F50"/>
    <mergeCell ref="G50:H50"/>
    <mergeCell ref="I50:J50"/>
    <mergeCell ref="E47:F47"/>
    <mergeCell ref="G47:H47"/>
    <mergeCell ref="I47:J47"/>
    <mergeCell ref="E48:F48"/>
    <mergeCell ref="G48:H48"/>
    <mergeCell ref="I48:J48"/>
    <mergeCell ref="E45:F45"/>
    <mergeCell ref="G45:H45"/>
    <mergeCell ref="I45:J45"/>
    <mergeCell ref="E46:F46"/>
    <mergeCell ref="G46:H46"/>
    <mergeCell ref="I46:J46"/>
    <mergeCell ref="E43:F43"/>
    <mergeCell ref="G43:H43"/>
    <mergeCell ref="I43:J43"/>
    <mergeCell ref="E44:F44"/>
    <mergeCell ref="G44:H44"/>
    <mergeCell ref="I44:J44"/>
    <mergeCell ref="E41:F41"/>
    <mergeCell ref="G41:H41"/>
    <mergeCell ref="I41:J41"/>
    <mergeCell ref="E42:F42"/>
    <mergeCell ref="G42:H42"/>
    <mergeCell ref="I42:J42"/>
    <mergeCell ref="E39:F39"/>
    <mergeCell ref="G39:H39"/>
    <mergeCell ref="I39:J39"/>
    <mergeCell ref="E40:F40"/>
    <mergeCell ref="G40:H40"/>
    <mergeCell ref="I40:J40"/>
    <mergeCell ref="E37:F37"/>
    <mergeCell ref="G37:H37"/>
    <mergeCell ref="I37:J37"/>
    <mergeCell ref="E38:F38"/>
    <mergeCell ref="G38:H38"/>
    <mergeCell ref="I38:J38"/>
    <mergeCell ref="E35:F35"/>
    <mergeCell ref="G35:H35"/>
    <mergeCell ref="I35:J35"/>
    <mergeCell ref="E36:F36"/>
    <mergeCell ref="G36:H36"/>
    <mergeCell ref="I36:J36"/>
    <mergeCell ref="E34:F34"/>
    <mergeCell ref="G34:H34"/>
    <mergeCell ref="I34:J34"/>
    <mergeCell ref="E22:F22"/>
    <mergeCell ref="G22:H22"/>
    <mergeCell ref="I22:J22"/>
    <mergeCell ref="E25:F25"/>
    <mergeCell ref="G25:H25"/>
    <mergeCell ref="I25:J25"/>
    <mergeCell ref="E23:F23"/>
    <mergeCell ref="G23:H23"/>
    <mergeCell ref="I23:J23"/>
    <mergeCell ref="E24:F24"/>
    <mergeCell ref="G24:H24"/>
    <mergeCell ref="I24:J24"/>
    <mergeCell ref="E28:F28"/>
    <mergeCell ref="I28:J28"/>
    <mergeCell ref="E29:F29"/>
    <mergeCell ref="E30:F30"/>
    <mergeCell ref="E31:F31"/>
    <mergeCell ref="E32:F32"/>
    <mergeCell ref="E33:F33"/>
    <mergeCell ref="G33:H33"/>
    <mergeCell ref="I33:J33"/>
    <mergeCell ref="E20:F20"/>
    <mergeCell ref="G20:H20"/>
    <mergeCell ref="I20:J20"/>
    <mergeCell ref="E21:F21"/>
    <mergeCell ref="I21:J21"/>
    <mergeCell ref="E18:F18"/>
    <mergeCell ref="G18:H18"/>
    <mergeCell ref="I18:J18"/>
    <mergeCell ref="E19:F19"/>
    <mergeCell ref="G19:H19"/>
    <mergeCell ref="I19:J19"/>
    <mergeCell ref="E17:F17"/>
    <mergeCell ref="G17:H17"/>
    <mergeCell ref="I17:J17"/>
    <mergeCell ref="E14:F14"/>
    <mergeCell ref="G14:H14"/>
    <mergeCell ref="I14:J14"/>
    <mergeCell ref="E15:F15"/>
    <mergeCell ref="G15:H15"/>
    <mergeCell ref="I15:J15"/>
    <mergeCell ref="I13:J13"/>
    <mergeCell ref="I9:J9"/>
    <mergeCell ref="E10:F10"/>
    <mergeCell ref="G10:H10"/>
    <mergeCell ref="I10:J10"/>
    <mergeCell ref="E11:F11"/>
    <mergeCell ref="G11:H11"/>
    <mergeCell ref="I11:J11"/>
    <mergeCell ref="E16:F16"/>
    <mergeCell ref="G16:H16"/>
    <mergeCell ref="I16:J16"/>
    <mergeCell ref="B1:D1"/>
    <mergeCell ref="B2:D5"/>
    <mergeCell ref="G4:H4"/>
    <mergeCell ref="E6:F6"/>
    <mergeCell ref="G6:H6"/>
    <mergeCell ref="I6:J6"/>
    <mergeCell ref="E1:J1"/>
    <mergeCell ref="E26:F26"/>
    <mergeCell ref="E27:F27"/>
    <mergeCell ref="I26:J26"/>
    <mergeCell ref="I27:J27"/>
    <mergeCell ref="E7:F7"/>
    <mergeCell ref="G7:H7"/>
    <mergeCell ref="I7:J7"/>
    <mergeCell ref="E8:F8"/>
    <mergeCell ref="G8:H8"/>
    <mergeCell ref="I8:J8"/>
    <mergeCell ref="E9:F9"/>
    <mergeCell ref="G9:H9"/>
    <mergeCell ref="E12:F12"/>
    <mergeCell ref="G12:H12"/>
    <mergeCell ref="I12:J12"/>
    <mergeCell ref="E13:F13"/>
    <mergeCell ref="G13:H13"/>
    <mergeCell ref="G99:H99"/>
    <mergeCell ref="G100:H100"/>
    <mergeCell ref="G21:H21"/>
    <mergeCell ref="I29:J29"/>
    <mergeCell ref="I30:J30"/>
    <mergeCell ref="I31:J31"/>
    <mergeCell ref="I32:J32"/>
    <mergeCell ref="I80:J80"/>
    <mergeCell ref="G26:H26"/>
    <mergeCell ref="G27:H27"/>
    <mergeCell ref="G28:H28"/>
    <mergeCell ref="G29:H29"/>
    <mergeCell ref="G30:H30"/>
    <mergeCell ref="G31:H31"/>
    <mergeCell ref="G32:H32"/>
    <mergeCell ref="G80:H80"/>
    <mergeCell ref="I99:J99"/>
    <mergeCell ref="I100:J100"/>
    <mergeCell ref="I91:J91"/>
    <mergeCell ref="I92:J92"/>
    <mergeCell ref="I93:J93"/>
    <mergeCell ref="I94:J94"/>
    <mergeCell ref="I95:J95"/>
    <mergeCell ref="I96:J96"/>
  </mergeCells>
  <conditionalFormatting sqref="E7:I20 E21:F21 I21">
    <cfRule type="cellIs" dxfId="5250" priority="6" operator="equal">
      <formula>69</formula>
    </cfRule>
    <cfRule type="cellIs" dxfId="5249" priority="7" operator="equal">
      <formula>70</formula>
    </cfRule>
  </conditionalFormatting>
  <conditionalFormatting sqref="E22:I100">
    <cfRule type="cellIs" dxfId="5248" priority="2" operator="equal">
      <formula>69</formula>
    </cfRule>
    <cfRule type="cellIs" dxfId="5247" priority="3" operator="equal">
      <formula>70</formula>
    </cfRule>
  </conditionalFormatting>
  <conditionalFormatting sqref="G7:H100">
    <cfRule type="top10" dxfId="5246" priority="1" rank="1"/>
  </conditionalFormatting>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104"/>
  <sheetViews>
    <sheetView topLeftCell="A45" zoomScale="55" zoomScaleNormal="55" workbookViewId="0">
      <selection activeCell="E48" sqref="E48"/>
    </sheetView>
  </sheetViews>
  <sheetFormatPr baseColWidth="10" defaultColWidth="11.5" defaultRowHeight="14" x14ac:dyDescent="0.2"/>
  <cols>
    <col min="1" max="1" width="10.1640625" style="22" customWidth="1"/>
    <col min="2" max="2" width="54.5" style="22" customWidth="1"/>
    <col min="3" max="3" width="53.5" style="22" customWidth="1"/>
    <col min="4" max="4" width="23.33203125" style="22" customWidth="1"/>
    <col min="5" max="5" width="66.1640625" style="22" customWidth="1"/>
    <col min="6" max="6" width="23.1640625" style="22" customWidth="1"/>
    <col min="7" max="7" width="61.1640625" style="22" customWidth="1"/>
    <col min="8" max="8" width="22.6640625" style="22" customWidth="1"/>
    <col min="9" max="9" width="28.5" style="22" customWidth="1"/>
    <col min="10" max="10" width="20.83203125" style="22" customWidth="1"/>
    <col min="11" max="11" width="23.1640625" style="22" customWidth="1"/>
    <col min="12" max="12" width="14.6640625" style="22" customWidth="1"/>
    <col min="13" max="13" width="20.33203125" style="22" customWidth="1"/>
    <col min="14" max="14" width="23.5" style="22" customWidth="1"/>
    <col min="15" max="15" width="21.1640625" style="22" customWidth="1"/>
    <col min="16" max="16" width="16.6640625" style="22" customWidth="1"/>
    <col min="17" max="16384" width="11.5" style="22"/>
  </cols>
  <sheetData>
    <row r="1" spans="1:16" ht="15" customHeight="1" x14ac:dyDescent="0.2">
      <c r="A1" s="359" t="s">
        <v>146</v>
      </c>
      <c r="B1" s="360"/>
      <c r="C1" s="360"/>
      <c r="D1" s="360"/>
      <c r="E1" s="360"/>
      <c r="F1" s="360"/>
      <c r="G1" s="360"/>
      <c r="H1" s="360"/>
      <c r="I1" s="360"/>
      <c r="J1" s="360"/>
      <c r="K1" s="360"/>
      <c r="L1" s="360"/>
      <c r="M1" s="360"/>
      <c r="N1" s="360"/>
      <c r="O1" s="360"/>
      <c r="P1" s="360"/>
    </row>
    <row r="2" spans="1:16" ht="75" customHeight="1" x14ac:dyDescent="0.2">
      <c r="A2" s="365"/>
      <c r="B2" s="365"/>
      <c r="C2" s="366" t="s">
        <v>0</v>
      </c>
      <c r="D2" s="366"/>
      <c r="E2" s="361"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F2" s="362"/>
      <c r="G2" s="362"/>
      <c r="H2" s="362"/>
      <c r="I2" s="362"/>
      <c r="J2" s="362"/>
      <c r="K2" s="362"/>
      <c r="L2" s="362"/>
      <c r="M2" s="362"/>
      <c r="N2" s="362"/>
      <c r="O2" s="362"/>
      <c r="P2" s="362"/>
    </row>
    <row r="3" spans="1:16" ht="19" x14ac:dyDescent="0.25">
      <c r="A3" s="365"/>
      <c r="B3" s="365"/>
      <c r="C3" s="367" t="s">
        <v>1</v>
      </c>
      <c r="D3" s="368"/>
      <c r="E3" s="368"/>
      <c r="F3" s="368"/>
      <c r="G3" s="368"/>
      <c r="H3" s="368"/>
      <c r="I3" s="368"/>
      <c r="J3" s="368"/>
      <c r="K3" s="368"/>
      <c r="L3" s="368"/>
      <c r="M3" s="368"/>
      <c r="N3" s="368"/>
      <c r="O3" s="368"/>
    </row>
    <row r="4" spans="1:16" ht="19" x14ac:dyDescent="0.25">
      <c r="A4" s="351" t="s">
        <v>2</v>
      </c>
      <c r="B4" s="351"/>
      <c r="C4" s="352" t="str">
        <f>+'DATOS INICIALES'!B4</f>
        <v>CONCURSO DE MERITOS ABIERTO</v>
      </c>
      <c r="D4" s="352"/>
      <c r="E4" s="352"/>
      <c r="F4" s="353" t="s">
        <v>4</v>
      </c>
      <c r="G4" s="353"/>
      <c r="H4" s="354" t="str">
        <f>+'DATOS INICIALES'!G4</f>
        <v xml:space="preserve"> FDLUSA-CMA-003-2025</v>
      </c>
      <c r="I4" s="355"/>
      <c r="J4" s="355"/>
      <c r="K4" s="355"/>
      <c r="L4" s="355"/>
      <c r="M4" s="355"/>
      <c r="N4" s="355"/>
      <c r="O4" s="355"/>
    </row>
    <row r="5" spans="1:16" ht="18.75" customHeight="1" x14ac:dyDescent="0.2">
      <c r="A5" s="346" t="s">
        <v>5</v>
      </c>
      <c r="B5" s="347"/>
      <c r="C5" s="141" t="str">
        <f>+'DATOS INICIALES'!B5</f>
        <v>PRESUPUESTO</v>
      </c>
      <c r="D5" s="350">
        <f>+'DATOS INICIALES'!C5</f>
        <v>1404008910</v>
      </c>
      <c r="E5" s="350"/>
      <c r="F5" s="358" t="s">
        <v>35</v>
      </c>
      <c r="G5" s="358"/>
      <c r="H5" s="358"/>
      <c r="I5" s="358"/>
      <c r="J5" s="358"/>
      <c r="K5" s="358"/>
      <c r="L5" s="358"/>
      <c r="M5" s="358"/>
      <c r="N5" s="363">
        <f>+'DATOS INICIALES'!G5</f>
        <v>11</v>
      </c>
      <c r="O5" s="356" t="str">
        <f>+'DATOS INICIALES'!I5</f>
        <v>MESES</v>
      </c>
    </row>
    <row r="6" spans="1:16" ht="18.75" customHeight="1" x14ac:dyDescent="0.2">
      <c r="A6" s="348"/>
      <c r="B6" s="349"/>
      <c r="C6" s="132"/>
      <c r="D6" s="350"/>
      <c r="E6" s="350"/>
      <c r="F6" s="358"/>
      <c r="G6" s="358"/>
      <c r="H6" s="358"/>
      <c r="I6" s="358"/>
      <c r="J6" s="358"/>
      <c r="K6" s="358"/>
      <c r="L6" s="358"/>
      <c r="M6" s="358"/>
      <c r="N6" s="364"/>
      <c r="O6" s="357"/>
    </row>
    <row r="7" spans="1:16" x14ac:dyDescent="0.2">
      <c r="D7" s="23"/>
    </row>
    <row r="8" spans="1:16" ht="21" x14ac:dyDescent="0.25">
      <c r="A8" s="345" t="s">
        <v>36</v>
      </c>
      <c r="B8" s="345"/>
      <c r="C8" s="345"/>
      <c r="D8" s="345"/>
      <c r="E8" s="345"/>
      <c r="F8" s="345"/>
      <c r="G8" s="345"/>
      <c r="H8" s="345"/>
      <c r="I8" s="345"/>
      <c r="J8" s="345"/>
      <c r="K8" s="345"/>
      <c r="L8" s="345"/>
      <c r="M8" s="345"/>
      <c r="N8" s="345"/>
    </row>
    <row r="9" spans="1:16" ht="66" x14ac:dyDescent="0.2">
      <c r="A9" s="172" t="s">
        <v>37</v>
      </c>
      <c r="B9" s="172" t="s">
        <v>38</v>
      </c>
      <c r="C9" s="172" t="s">
        <v>39</v>
      </c>
      <c r="D9" s="172" t="s">
        <v>40</v>
      </c>
      <c r="E9" s="172" t="s">
        <v>41</v>
      </c>
      <c r="F9" s="172" t="s">
        <v>40</v>
      </c>
      <c r="G9" s="172" t="s">
        <v>42</v>
      </c>
      <c r="H9" s="172" t="s">
        <v>40</v>
      </c>
      <c r="I9" s="172" t="s">
        <v>43</v>
      </c>
      <c r="J9" s="172" t="s">
        <v>40</v>
      </c>
      <c r="K9" s="172" t="s">
        <v>44</v>
      </c>
      <c r="L9" s="172" t="s">
        <v>40</v>
      </c>
      <c r="M9" s="172" t="s">
        <v>45</v>
      </c>
      <c r="N9" s="172" t="s">
        <v>46</v>
      </c>
    </row>
    <row r="10" spans="1:16" s="125" customFormat="1" ht="22" x14ac:dyDescent="0.2">
      <c r="A10" s="100">
        <v>1</v>
      </c>
      <c r="B10" s="254" t="s">
        <v>198</v>
      </c>
      <c r="C10" s="126" t="s">
        <v>198</v>
      </c>
      <c r="D10" s="119">
        <v>1</v>
      </c>
      <c r="E10" s="126"/>
      <c r="F10" s="120"/>
      <c r="G10" s="121"/>
      <c r="H10" s="122"/>
      <c r="I10" s="121"/>
      <c r="J10" s="122"/>
      <c r="K10" s="121"/>
      <c r="L10" s="122"/>
      <c r="M10" s="123">
        <f>+COUNTIF(C10:L10,"*")</f>
        <v>1</v>
      </c>
      <c r="N10" s="124">
        <f>+SUM(D10,F10,H10,J10,L10)</f>
        <v>1</v>
      </c>
    </row>
    <row r="11" spans="1:16" s="125" customFormat="1" ht="44" x14ac:dyDescent="0.2">
      <c r="A11" s="100">
        <v>2</v>
      </c>
      <c r="B11" s="254" t="s">
        <v>208</v>
      </c>
      <c r="C11" s="126" t="s">
        <v>300</v>
      </c>
      <c r="D11" s="119">
        <v>0.7</v>
      </c>
      <c r="E11" s="126" t="s">
        <v>301</v>
      </c>
      <c r="F11" s="120">
        <v>0.3</v>
      </c>
      <c r="G11" s="121"/>
      <c r="H11" s="122"/>
      <c r="I11" s="121"/>
      <c r="J11" s="122"/>
      <c r="K11" s="121"/>
      <c r="L11" s="122"/>
      <c r="M11" s="123">
        <f t="shared" ref="M11:M27" si="0">+COUNTIF(C11:L11,"*")</f>
        <v>2</v>
      </c>
      <c r="N11" s="124">
        <f t="shared" ref="N11:N27" si="1">+SUM(D11,F11,H11,J11,L11)</f>
        <v>1</v>
      </c>
    </row>
    <row r="12" spans="1:16" s="125" customFormat="1" ht="22" x14ac:dyDescent="0.2">
      <c r="A12" s="100">
        <v>3</v>
      </c>
      <c r="B12" s="254" t="s">
        <v>209</v>
      </c>
      <c r="C12" s="126" t="s">
        <v>302</v>
      </c>
      <c r="D12" s="119">
        <v>0.9</v>
      </c>
      <c r="E12" s="126" t="s">
        <v>303</v>
      </c>
      <c r="F12" s="120">
        <v>0.1</v>
      </c>
      <c r="G12" s="121"/>
      <c r="H12" s="122"/>
      <c r="I12" s="121"/>
      <c r="J12" s="122"/>
      <c r="K12" s="121"/>
      <c r="L12" s="122"/>
      <c r="M12" s="123">
        <f t="shared" si="0"/>
        <v>2</v>
      </c>
      <c r="N12" s="124">
        <f t="shared" si="1"/>
        <v>1</v>
      </c>
    </row>
    <row r="13" spans="1:16" s="125" customFormat="1" ht="22" x14ac:dyDescent="0.2">
      <c r="A13" s="100">
        <v>4</v>
      </c>
      <c r="B13" s="254" t="s">
        <v>210</v>
      </c>
      <c r="C13" s="126" t="s">
        <v>210</v>
      </c>
      <c r="D13" s="119">
        <v>1</v>
      </c>
      <c r="E13" s="126"/>
      <c r="F13" s="120"/>
      <c r="G13" s="121"/>
      <c r="H13" s="122"/>
      <c r="I13" s="121"/>
      <c r="J13" s="122"/>
      <c r="K13" s="121"/>
      <c r="L13" s="122"/>
      <c r="M13" s="123">
        <f t="shared" si="0"/>
        <v>1</v>
      </c>
      <c r="N13" s="124">
        <f t="shared" si="1"/>
        <v>1</v>
      </c>
    </row>
    <row r="14" spans="1:16" s="125" customFormat="1" ht="22" x14ac:dyDescent="0.2">
      <c r="A14" s="100">
        <v>5</v>
      </c>
      <c r="B14" s="254" t="s">
        <v>211</v>
      </c>
      <c r="C14" s="126" t="s">
        <v>336</v>
      </c>
      <c r="D14" s="119">
        <v>0.5</v>
      </c>
      <c r="E14" s="126" t="s">
        <v>337</v>
      </c>
      <c r="F14" s="120">
        <v>0.5</v>
      </c>
      <c r="G14" s="121"/>
      <c r="H14" s="122"/>
      <c r="I14" s="121"/>
      <c r="J14" s="122"/>
      <c r="K14" s="121"/>
      <c r="L14" s="122"/>
      <c r="M14" s="123">
        <f t="shared" si="0"/>
        <v>2</v>
      </c>
      <c r="N14" s="124">
        <f t="shared" si="1"/>
        <v>1</v>
      </c>
    </row>
    <row r="15" spans="1:16" s="125" customFormat="1" ht="22" x14ac:dyDescent="0.2">
      <c r="A15" s="100">
        <v>6</v>
      </c>
      <c r="B15" s="254" t="s">
        <v>212</v>
      </c>
      <c r="C15" s="126" t="s">
        <v>338</v>
      </c>
      <c r="D15" s="119">
        <v>0.5</v>
      </c>
      <c r="E15" s="126" t="s">
        <v>339</v>
      </c>
      <c r="F15" s="120">
        <v>0.5</v>
      </c>
      <c r="G15" s="167"/>
      <c r="H15" s="122"/>
      <c r="I15" s="121"/>
      <c r="J15" s="122"/>
      <c r="K15" s="121"/>
      <c r="L15" s="122"/>
      <c r="M15" s="123">
        <f t="shared" si="0"/>
        <v>2</v>
      </c>
      <c r="N15" s="124">
        <f t="shared" si="1"/>
        <v>1</v>
      </c>
    </row>
    <row r="16" spans="1:16" s="125" customFormat="1" ht="44" x14ac:dyDescent="0.2">
      <c r="A16" s="100">
        <v>7</v>
      </c>
      <c r="B16" s="254" t="s">
        <v>1418</v>
      </c>
      <c r="C16" s="126" t="s">
        <v>340</v>
      </c>
      <c r="D16" s="119">
        <v>0.5</v>
      </c>
      <c r="E16" s="126" t="s">
        <v>341</v>
      </c>
      <c r="F16" s="120">
        <v>0.5</v>
      </c>
      <c r="G16" s="167"/>
      <c r="H16" s="122"/>
      <c r="I16" s="121"/>
      <c r="J16" s="122"/>
      <c r="K16" s="121"/>
      <c r="L16" s="122"/>
      <c r="M16" s="123">
        <f t="shared" si="0"/>
        <v>2</v>
      </c>
      <c r="N16" s="124">
        <f t="shared" si="1"/>
        <v>1</v>
      </c>
    </row>
    <row r="17" spans="1:14" s="125" customFormat="1" ht="22" x14ac:dyDescent="0.2">
      <c r="A17" s="100">
        <v>8</v>
      </c>
      <c r="B17" s="254" t="s">
        <v>213</v>
      </c>
      <c r="C17" s="126" t="s">
        <v>342</v>
      </c>
      <c r="D17" s="119">
        <v>1</v>
      </c>
      <c r="E17" s="126"/>
      <c r="F17" s="120"/>
      <c r="G17" s="121"/>
      <c r="H17" s="122"/>
      <c r="I17" s="121"/>
      <c r="J17" s="122"/>
      <c r="K17" s="121"/>
      <c r="L17" s="122"/>
      <c r="M17" s="123">
        <f t="shared" si="0"/>
        <v>1</v>
      </c>
      <c r="N17" s="124">
        <f t="shared" si="1"/>
        <v>1</v>
      </c>
    </row>
    <row r="18" spans="1:14" s="125" customFormat="1" ht="66" x14ac:dyDescent="0.2">
      <c r="A18" s="100">
        <v>9</v>
      </c>
      <c r="B18" s="254" t="s">
        <v>214</v>
      </c>
      <c r="C18" s="126" t="s">
        <v>343</v>
      </c>
      <c r="D18" s="119">
        <v>0.7</v>
      </c>
      <c r="E18" s="126" t="s">
        <v>344</v>
      </c>
      <c r="F18" s="120">
        <v>0.3</v>
      </c>
      <c r="G18" s="121"/>
      <c r="H18" s="122"/>
      <c r="I18" s="121"/>
      <c r="J18" s="122"/>
      <c r="K18" s="121"/>
      <c r="L18" s="122"/>
      <c r="M18" s="123">
        <f t="shared" si="0"/>
        <v>2</v>
      </c>
      <c r="N18" s="124">
        <f t="shared" si="1"/>
        <v>1</v>
      </c>
    </row>
    <row r="19" spans="1:14" s="125" customFormat="1" ht="22" x14ac:dyDescent="0.2">
      <c r="A19" s="100">
        <v>10</v>
      </c>
      <c r="B19" s="254" t="s">
        <v>215</v>
      </c>
      <c r="C19" s="126" t="s">
        <v>345</v>
      </c>
      <c r="D19" s="119">
        <v>0.95</v>
      </c>
      <c r="E19" s="126" t="s">
        <v>346</v>
      </c>
      <c r="F19" s="120">
        <v>0.05</v>
      </c>
      <c r="G19" s="121"/>
      <c r="H19" s="122"/>
      <c r="I19" s="121"/>
      <c r="J19" s="122"/>
      <c r="K19" s="121"/>
      <c r="L19" s="122"/>
      <c r="M19" s="123">
        <f t="shared" si="0"/>
        <v>2</v>
      </c>
      <c r="N19" s="124">
        <f t="shared" si="1"/>
        <v>1</v>
      </c>
    </row>
    <row r="20" spans="1:14" s="125" customFormat="1" ht="44" x14ac:dyDescent="0.2">
      <c r="A20" s="100">
        <v>11</v>
      </c>
      <c r="B20" s="254" t="s">
        <v>216</v>
      </c>
      <c r="C20" s="126" t="s">
        <v>216</v>
      </c>
      <c r="D20" s="119">
        <v>1</v>
      </c>
      <c r="E20" s="126"/>
      <c r="F20" s="120"/>
      <c r="G20" s="121"/>
      <c r="H20" s="122"/>
      <c r="I20" s="121"/>
      <c r="J20" s="122"/>
      <c r="K20" s="121"/>
      <c r="L20" s="122"/>
      <c r="M20" s="123">
        <f t="shared" si="0"/>
        <v>1</v>
      </c>
      <c r="N20" s="124">
        <f t="shared" si="1"/>
        <v>1</v>
      </c>
    </row>
    <row r="21" spans="1:14" s="125" customFormat="1" ht="66" x14ac:dyDescent="0.2">
      <c r="A21" s="100">
        <v>12</v>
      </c>
      <c r="B21" s="254" t="s">
        <v>217</v>
      </c>
      <c r="C21" s="126" t="s">
        <v>347</v>
      </c>
      <c r="D21" s="119">
        <v>0.99</v>
      </c>
      <c r="E21" s="126" t="s">
        <v>348</v>
      </c>
      <c r="F21" s="120">
        <v>0.01</v>
      </c>
      <c r="G21" s="121"/>
      <c r="H21" s="122"/>
      <c r="I21" s="121"/>
      <c r="J21" s="122"/>
      <c r="K21" s="121"/>
      <c r="L21" s="122"/>
      <c r="M21" s="123">
        <f t="shared" si="0"/>
        <v>2</v>
      </c>
      <c r="N21" s="124">
        <f t="shared" si="1"/>
        <v>1</v>
      </c>
    </row>
    <row r="22" spans="1:14" s="125" customFormat="1" ht="66" x14ac:dyDescent="0.2">
      <c r="A22" s="100">
        <v>13</v>
      </c>
      <c r="B22" s="254" t="s">
        <v>218</v>
      </c>
      <c r="C22" s="126" t="s">
        <v>349</v>
      </c>
      <c r="D22" s="119">
        <v>0.9</v>
      </c>
      <c r="E22" s="126" t="s">
        <v>350</v>
      </c>
      <c r="F22" s="120">
        <v>0.1</v>
      </c>
      <c r="G22" s="121"/>
      <c r="H22" s="122"/>
      <c r="I22" s="121"/>
      <c r="J22" s="122"/>
      <c r="K22" s="121"/>
      <c r="L22" s="122"/>
      <c r="M22" s="123">
        <f t="shared" si="0"/>
        <v>2</v>
      </c>
      <c r="N22" s="124">
        <f t="shared" si="1"/>
        <v>1</v>
      </c>
    </row>
    <row r="23" spans="1:14" s="125" customFormat="1" ht="22" x14ac:dyDescent="0.2">
      <c r="A23" s="100">
        <v>14</v>
      </c>
      <c r="B23" s="254" t="s">
        <v>219</v>
      </c>
      <c r="C23" s="126" t="s">
        <v>351</v>
      </c>
      <c r="D23" s="119">
        <v>1</v>
      </c>
      <c r="E23" s="126"/>
      <c r="F23" s="120"/>
      <c r="G23" s="121"/>
      <c r="H23" s="122"/>
      <c r="I23" s="121"/>
      <c r="J23" s="122"/>
      <c r="K23" s="121"/>
      <c r="L23" s="122"/>
      <c r="M23" s="123">
        <f t="shared" si="0"/>
        <v>1</v>
      </c>
      <c r="N23" s="124">
        <f t="shared" si="1"/>
        <v>1</v>
      </c>
    </row>
    <row r="24" spans="1:14" s="125" customFormat="1" ht="22" x14ac:dyDescent="0.2">
      <c r="A24" s="100">
        <v>15</v>
      </c>
      <c r="B24" s="254" t="s">
        <v>220</v>
      </c>
      <c r="C24" s="126" t="s">
        <v>456</v>
      </c>
      <c r="D24" s="119">
        <v>0.9</v>
      </c>
      <c r="E24" s="126" t="s">
        <v>457</v>
      </c>
      <c r="F24" s="120">
        <v>0.1</v>
      </c>
      <c r="G24" s="121"/>
      <c r="H24" s="122"/>
      <c r="I24" s="121"/>
      <c r="J24" s="122"/>
      <c r="K24" s="121"/>
      <c r="L24" s="122"/>
      <c r="M24" s="123">
        <f t="shared" si="0"/>
        <v>2</v>
      </c>
      <c r="N24" s="124">
        <f t="shared" si="1"/>
        <v>1</v>
      </c>
    </row>
    <row r="25" spans="1:14" s="125" customFormat="1" ht="22" x14ac:dyDescent="0.2">
      <c r="A25" s="100">
        <v>16</v>
      </c>
      <c r="B25" s="254" t="s">
        <v>221</v>
      </c>
      <c r="C25" s="126" t="s">
        <v>458</v>
      </c>
      <c r="D25" s="119">
        <v>0.1</v>
      </c>
      <c r="E25" s="126" t="s">
        <v>459</v>
      </c>
      <c r="F25" s="120">
        <v>0.9</v>
      </c>
      <c r="G25" s="121"/>
      <c r="H25" s="122"/>
      <c r="I25" s="121"/>
      <c r="J25" s="122"/>
      <c r="K25" s="121"/>
      <c r="L25" s="122"/>
      <c r="M25" s="123">
        <f t="shared" si="0"/>
        <v>2</v>
      </c>
      <c r="N25" s="124">
        <f t="shared" si="1"/>
        <v>1</v>
      </c>
    </row>
    <row r="26" spans="1:14" s="125" customFormat="1" ht="22" x14ac:dyDescent="0.2">
      <c r="A26" s="100">
        <v>17</v>
      </c>
      <c r="B26" s="254" t="s">
        <v>222</v>
      </c>
      <c r="C26" s="126" t="s">
        <v>222</v>
      </c>
      <c r="D26" s="119">
        <v>1</v>
      </c>
      <c r="E26" s="126"/>
      <c r="F26" s="120"/>
      <c r="G26" s="121"/>
      <c r="H26" s="122"/>
      <c r="I26" s="121"/>
      <c r="J26" s="122"/>
      <c r="K26" s="121"/>
      <c r="L26" s="122"/>
      <c r="M26" s="123">
        <f t="shared" si="0"/>
        <v>1</v>
      </c>
      <c r="N26" s="124">
        <f t="shared" si="1"/>
        <v>1</v>
      </c>
    </row>
    <row r="27" spans="1:14" s="125" customFormat="1" ht="22" x14ac:dyDescent="0.2">
      <c r="A27" s="100">
        <v>18</v>
      </c>
      <c r="B27" s="254" t="s">
        <v>223</v>
      </c>
      <c r="C27" s="126" t="s">
        <v>223</v>
      </c>
      <c r="D27" s="119">
        <v>1</v>
      </c>
      <c r="E27" s="126"/>
      <c r="F27" s="120"/>
      <c r="G27" s="121"/>
      <c r="H27" s="122"/>
      <c r="I27" s="121"/>
      <c r="J27" s="122"/>
      <c r="K27" s="121"/>
      <c r="L27" s="122"/>
      <c r="M27" s="123">
        <f t="shared" si="0"/>
        <v>1</v>
      </c>
      <c r="N27" s="124">
        <f t="shared" si="1"/>
        <v>1</v>
      </c>
    </row>
    <row r="28" spans="1:14" s="125" customFormat="1" ht="22" x14ac:dyDescent="0.2">
      <c r="A28" s="100">
        <v>19</v>
      </c>
      <c r="B28" s="254" t="s">
        <v>224</v>
      </c>
      <c r="C28" s="126" t="s">
        <v>460</v>
      </c>
      <c r="D28" s="119">
        <v>0.65</v>
      </c>
      <c r="E28" s="126" t="s">
        <v>461</v>
      </c>
      <c r="F28" s="120">
        <v>0.25</v>
      </c>
      <c r="G28" s="167" t="s">
        <v>462</v>
      </c>
      <c r="H28" s="122">
        <v>0.1</v>
      </c>
      <c r="I28" s="121"/>
      <c r="J28" s="122"/>
      <c r="K28" s="121"/>
      <c r="L28" s="122"/>
      <c r="M28" s="123">
        <f t="shared" ref="M28:M35" si="2">+COUNTIF(C28:L28,"*")</f>
        <v>3</v>
      </c>
      <c r="N28" s="124">
        <f t="shared" ref="N28:N35" si="3">+SUM(D28,F28,H28,J28,L28)</f>
        <v>1</v>
      </c>
    </row>
    <row r="29" spans="1:14" s="125" customFormat="1" ht="22" x14ac:dyDescent="0.2">
      <c r="A29" s="100">
        <v>20</v>
      </c>
      <c r="B29" s="254" t="s">
        <v>225</v>
      </c>
      <c r="C29" s="126" t="s">
        <v>463</v>
      </c>
      <c r="D29" s="119">
        <v>0.9</v>
      </c>
      <c r="E29" s="126" t="s">
        <v>464</v>
      </c>
      <c r="F29" s="120">
        <v>0.1</v>
      </c>
      <c r="G29" s="121"/>
      <c r="H29" s="122"/>
      <c r="I29" s="121"/>
      <c r="J29" s="122"/>
      <c r="K29" s="121"/>
      <c r="L29" s="122"/>
      <c r="M29" s="123">
        <f t="shared" si="2"/>
        <v>2</v>
      </c>
      <c r="N29" s="124">
        <f t="shared" si="3"/>
        <v>1</v>
      </c>
    </row>
    <row r="30" spans="1:14" s="125" customFormat="1" ht="22" x14ac:dyDescent="0.2">
      <c r="A30" s="100">
        <v>21</v>
      </c>
      <c r="B30" s="254" t="s">
        <v>226</v>
      </c>
      <c r="C30" s="126" t="s">
        <v>465</v>
      </c>
      <c r="D30" s="119">
        <v>0.5</v>
      </c>
      <c r="E30" s="126" t="s">
        <v>466</v>
      </c>
      <c r="F30" s="120">
        <v>0.5</v>
      </c>
      <c r="G30" s="121"/>
      <c r="H30" s="122"/>
      <c r="I30" s="121"/>
      <c r="J30" s="122"/>
      <c r="K30" s="121"/>
      <c r="L30" s="122"/>
      <c r="M30" s="123">
        <f t="shared" si="2"/>
        <v>2</v>
      </c>
      <c r="N30" s="124">
        <f t="shared" si="3"/>
        <v>1</v>
      </c>
    </row>
    <row r="31" spans="1:14" s="125" customFormat="1" ht="22" x14ac:dyDescent="0.2">
      <c r="A31" s="100">
        <v>22</v>
      </c>
      <c r="B31" s="254" t="s">
        <v>227</v>
      </c>
      <c r="C31" s="126" t="s">
        <v>467</v>
      </c>
      <c r="D31" s="119">
        <v>0.9</v>
      </c>
      <c r="E31" s="126" t="s">
        <v>468</v>
      </c>
      <c r="F31" s="120">
        <v>0.1</v>
      </c>
      <c r="G31" s="121"/>
      <c r="H31" s="122"/>
      <c r="I31" s="121"/>
      <c r="J31" s="122"/>
      <c r="K31" s="121"/>
      <c r="L31" s="122"/>
      <c r="M31" s="123">
        <f t="shared" si="2"/>
        <v>2</v>
      </c>
      <c r="N31" s="124">
        <f t="shared" si="3"/>
        <v>1</v>
      </c>
    </row>
    <row r="32" spans="1:14" s="125" customFormat="1" ht="22" x14ac:dyDescent="0.2">
      <c r="A32" s="100">
        <v>23</v>
      </c>
      <c r="B32" s="254" t="s">
        <v>228</v>
      </c>
      <c r="C32" s="126" t="s">
        <v>228</v>
      </c>
      <c r="D32" s="119">
        <v>1</v>
      </c>
      <c r="E32" s="126"/>
      <c r="F32" s="120"/>
      <c r="G32" s="121"/>
      <c r="H32" s="122"/>
      <c r="I32" s="121"/>
      <c r="J32" s="122"/>
      <c r="K32" s="121"/>
      <c r="L32" s="122"/>
      <c r="M32" s="123">
        <f t="shared" si="2"/>
        <v>1</v>
      </c>
      <c r="N32" s="124">
        <f t="shared" si="3"/>
        <v>1</v>
      </c>
    </row>
    <row r="33" spans="1:14" s="125" customFormat="1" ht="22" x14ac:dyDescent="0.2">
      <c r="A33" s="100">
        <v>24</v>
      </c>
      <c r="B33" s="254" t="s">
        <v>229</v>
      </c>
      <c r="C33" s="126" t="s">
        <v>469</v>
      </c>
      <c r="D33" s="119">
        <v>0.5</v>
      </c>
      <c r="E33" s="126" t="s">
        <v>470</v>
      </c>
      <c r="F33" s="120">
        <v>0.3</v>
      </c>
      <c r="G33" s="121" t="s">
        <v>471</v>
      </c>
      <c r="H33" s="122">
        <v>0.2</v>
      </c>
      <c r="I33" s="121"/>
      <c r="J33" s="122"/>
      <c r="K33" s="121"/>
      <c r="L33" s="122"/>
      <c r="M33" s="123">
        <f t="shared" si="2"/>
        <v>3</v>
      </c>
      <c r="N33" s="124">
        <f t="shared" si="3"/>
        <v>1</v>
      </c>
    </row>
    <row r="34" spans="1:14" s="125" customFormat="1" ht="22" x14ac:dyDescent="0.2">
      <c r="A34" s="100">
        <v>25</v>
      </c>
      <c r="B34" s="254" t="s">
        <v>230</v>
      </c>
      <c r="C34" s="126" t="s">
        <v>230</v>
      </c>
      <c r="D34" s="119">
        <v>1</v>
      </c>
      <c r="E34" s="126"/>
      <c r="F34" s="120"/>
      <c r="G34" s="121"/>
      <c r="H34" s="122"/>
      <c r="I34" s="121"/>
      <c r="J34" s="122"/>
      <c r="K34" s="121"/>
      <c r="L34" s="122"/>
      <c r="M34" s="123">
        <f t="shared" si="2"/>
        <v>1</v>
      </c>
      <c r="N34" s="124">
        <f t="shared" si="3"/>
        <v>1</v>
      </c>
    </row>
    <row r="35" spans="1:14" s="125" customFormat="1" ht="44" x14ac:dyDescent="0.2">
      <c r="A35" s="100">
        <v>26</v>
      </c>
      <c r="B35" s="254" t="s">
        <v>231</v>
      </c>
      <c r="C35" s="126" t="s">
        <v>661</v>
      </c>
      <c r="D35" s="119">
        <v>0.4</v>
      </c>
      <c r="E35" s="126" t="s">
        <v>662</v>
      </c>
      <c r="F35" s="120">
        <v>0.6</v>
      </c>
      <c r="G35" s="121"/>
      <c r="H35" s="122"/>
      <c r="I35" s="121"/>
      <c r="J35" s="122"/>
      <c r="K35" s="121"/>
      <c r="L35" s="122"/>
      <c r="M35" s="123">
        <f t="shared" si="2"/>
        <v>2</v>
      </c>
      <c r="N35" s="124">
        <f t="shared" si="3"/>
        <v>1</v>
      </c>
    </row>
    <row r="36" spans="1:14" s="125" customFormat="1" ht="22" x14ac:dyDescent="0.2">
      <c r="A36" s="100">
        <v>27</v>
      </c>
      <c r="B36" s="254" t="s">
        <v>232</v>
      </c>
      <c r="C36" s="126" t="s">
        <v>663</v>
      </c>
      <c r="D36" s="119">
        <v>0.5</v>
      </c>
      <c r="E36" s="126" t="s">
        <v>664</v>
      </c>
      <c r="F36" s="120">
        <v>0.3</v>
      </c>
      <c r="G36" s="121" t="s">
        <v>665</v>
      </c>
      <c r="H36" s="122">
        <v>0.2</v>
      </c>
      <c r="I36" s="121"/>
      <c r="J36" s="122"/>
      <c r="K36" s="121"/>
      <c r="L36" s="122"/>
      <c r="M36" s="123">
        <f t="shared" ref="M36:M69" si="4">+COUNTIF(C36:L36,"*")</f>
        <v>3</v>
      </c>
      <c r="N36" s="124">
        <f t="shared" ref="N36:N69" si="5">+SUM(D36,F36,H36,J36,L36)</f>
        <v>1</v>
      </c>
    </row>
    <row r="37" spans="1:14" s="125" customFormat="1" ht="44" x14ac:dyDescent="0.2">
      <c r="A37" s="100">
        <v>28</v>
      </c>
      <c r="B37" s="254" t="s">
        <v>233</v>
      </c>
      <c r="C37" s="126" t="s">
        <v>666</v>
      </c>
      <c r="D37" s="119">
        <v>0.1</v>
      </c>
      <c r="E37" s="126" t="s">
        <v>667</v>
      </c>
      <c r="F37" s="120">
        <v>0.9</v>
      </c>
      <c r="G37" s="121"/>
      <c r="H37" s="122"/>
      <c r="I37" s="121"/>
      <c r="J37" s="122"/>
      <c r="K37" s="121"/>
      <c r="L37" s="122"/>
      <c r="M37" s="123">
        <f t="shared" si="4"/>
        <v>2</v>
      </c>
      <c r="N37" s="124">
        <f t="shared" si="5"/>
        <v>1</v>
      </c>
    </row>
    <row r="38" spans="1:14" s="125" customFormat="1" ht="44" x14ac:dyDescent="0.2">
      <c r="A38" s="100">
        <v>29</v>
      </c>
      <c r="B38" s="254" t="s">
        <v>234</v>
      </c>
      <c r="C38" s="126" t="s">
        <v>668</v>
      </c>
      <c r="D38" s="119">
        <v>0.5</v>
      </c>
      <c r="E38" s="126" t="s">
        <v>669</v>
      </c>
      <c r="F38" s="120">
        <v>0.4</v>
      </c>
      <c r="G38" s="121" t="s">
        <v>670</v>
      </c>
      <c r="H38" s="122">
        <v>0.1</v>
      </c>
      <c r="I38" s="121"/>
      <c r="J38" s="122"/>
      <c r="K38" s="121"/>
      <c r="L38" s="122"/>
      <c r="M38" s="123">
        <f t="shared" si="4"/>
        <v>3</v>
      </c>
      <c r="N38" s="124">
        <f t="shared" si="5"/>
        <v>1</v>
      </c>
    </row>
    <row r="39" spans="1:14" s="125" customFormat="1" ht="22" x14ac:dyDescent="0.2">
      <c r="A39" s="100">
        <v>30</v>
      </c>
      <c r="B39" s="254" t="s">
        <v>235</v>
      </c>
      <c r="C39" s="126" t="s">
        <v>671</v>
      </c>
      <c r="D39" s="119">
        <v>0.2</v>
      </c>
      <c r="E39" s="126" t="s">
        <v>672</v>
      </c>
      <c r="F39" s="120">
        <v>0.4</v>
      </c>
      <c r="G39" s="121" t="s">
        <v>673</v>
      </c>
      <c r="H39" s="122">
        <v>0.4</v>
      </c>
      <c r="I39" s="121"/>
      <c r="J39" s="122"/>
      <c r="K39" s="121"/>
      <c r="L39" s="122"/>
      <c r="M39" s="123">
        <f t="shared" si="4"/>
        <v>3</v>
      </c>
      <c r="N39" s="124">
        <f t="shared" si="5"/>
        <v>1</v>
      </c>
    </row>
    <row r="40" spans="1:14" s="125" customFormat="1" ht="22" x14ac:dyDescent="0.2">
      <c r="A40" s="100">
        <v>31</v>
      </c>
      <c r="B40" s="254" t="s">
        <v>236</v>
      </c>
      <c r="C40" s="126" t="s">
        <v>674</v>
      </c>
      <c r="D40" s="119">
        <v>0.5</v>
      </c>
      <c r="E40" s="126" t="s">
        <v>675</v>
      </c>
      <c r="F40" s="120">
        <v>0.5</v>
      </c>
      <c r="G40" s="121"/>
      <c r="H40" s="122"/>
      <c r="I40" s="121"/>
      <c r="J40" s="122"/>
      <c r="K40" s="121"/>
      <c r="L40" s="122"/>
      <c r="M40" s="123">
        <f t="shared" si="4"/>
        <v>2</v>
      </c>
      <c r="N40" s="124">
        <f t="shared" si="5"/>
        <v>1</v>
      </c>
    </row>
    <row r="41" spans="1:14" s="125" customFormat="1" ht="44" x14ac:dyDescent="0.2">
      <c r="A41" s="100">
        <v>32</v>
      </c>
      <c r="B41" s="254" t="s">
        <v>237</v>
      </c>
      <c r="C41" s="126" t="s">
        <v>676</v>
      </c>
      <c r="D41" s="119">
        <v>0.5</v>
      </c>
      <c r="E41" s="126" t="s">
        <v>677</v>
      </c>
      <c r="F41" s="120">
        <v>0.5</v>
      </c>
      <c r="G41" s="121"/>
      <c r="H41" s="122"/>
      <c r="I41" s="121"/>
      <c r="J41" s="122"/>
      <c r="K41" s="121"/>
      <c r="L41" s="122"/>
      <c r="M41" s="123">
        <f t="shared" si="4"/>
        <v>2</v>
      </c>
      <c r="N41" s="124">
        <f t="shared" si="5"/>
        <v>1</v>
      </c>
    </row>
    <row r="42" spans="1:14" s="125" customFormat="1" ht="22" x14ac:dyDescent="0.2">
      <c r="A42" s="100">
        <v>33</v>
      </c>
      <c r="B42" s="254" t="s">
        <v>238</v>
      </c>
      <c r="C42" s="126" t="s">
        <v>238</v>
      </c>
      <c r="D42" s="119">
        <v>1</v>
      </c>
      <c r="E42" s="126"/>
      <c r="F42" s="120"/>
      <c r="G42" s="121"/>
      <c r="H42" s="122"/>
      <c r="I42" s="121"/>
      <c r="J42" s="122"/>
      <c r="K42" s="121"/>
      <c r="L42" s="122"/>
      <c r="M42" s="123">
        <f t="shared" si="4"/>
        <v>1</v>
      </c>
      <c r="N42" s="124">
        <f t="shared" si="5"/>
        <v>1</v>
      </c>
    </row>
    <row r="43" spans="1:14" s="125" customFormat="1" ht="22" x14ac:dyDescent="0.2">
      <c r="A43" s="100">
        <v>34</v>
      </c>
      <c r="B43" s="254" t="s">
        <v>239</v>
      </c>
      <c r="C43" s="126" t="s">
        <v>678</v>
      </c>
      <c r="D43" s="119">
        <v>0.5</v>
      </c>
      <c r="E43" s="126" t="s">
        <v>679</v>
      </c>
      <c r="F43" s="120">
        <v>0.5</v>
      </c>
      <c r="G43" s="121"/>
      <c r="H43" s="122"/>
      <c r="I43" s="121"/>
      <c r="J43" s="122"/>
      <c r="K43" s="121"/>
      <c r="L43" s="122"/>
      <c r="M43" s="123">
        <f t="shared" si="4"/>
        <v>2</v>
      </c>
      <c r="N43" s="124">
        <f t="shared" si="5"/>
        <v>1</v>
      </c>
    </row>
    <row r="44" spans="1:14" s="125" customFormat="1" ht="22" x14ac:dyDescent="0.2">
      <c r="A44" s="100">
        <v>35</v>
      </c>
      <c r="B44" s="254" t="s">
        <v>240</v>
      </c>
      <c r="C44" s="126" t="s">
        <v>758</v>
      </c>
      <c r="D44" s="119">
        <v>0.7</v>
      </c>
      <c r="E44" s="126" t="s">
        <v>759</v>
      </c>
      <c r="F44" s="120">
        <v>0.3</v>
      </c>
      <c r="G44" s="121"/>
      <c r="H44" s="122"/>
      <c r="I44" s="121"/>
      <c r="J44" s="122"/>
      <c r="K44" s="121"/>
      <c r="L44" s="122"/>
      <c r="M44" s="123">
        <f t="shared" si="4"/>
        <v>2</v>
      </c>
      <c r="N44" s="124">
        <f t="shared" si="5"/>
        <v>1</v>
      </c>
    </row>
    <row r="45" spans="1:14" s="125" customFormat="1" ht="22" x14ac:dyDescent="0.2">
      <c r="A45" s="100">
        <v>36</v>
      </c>
      <c r="B45" s="254" t="s">
        <v>241</v>
      </c>
      <c r="C45" s="126" t="s">
        <v>760</v>
      </c>
      <c r="D45" s="119">
        <v>0.5</v>
      </c>
      <c r="E45" s="126" t="s">
        <v>761</v>
      </c>
      <c r="F45" s="120">
        <v>0.5</v>
      </c>
      <c r="G45" s="121"/>
      <c r="H45" s="122"/>
      <c r="I45" s="121"/>
      <c r="J45" s="122"/>
      <c r="K45" s="121"/>
      <c r="L45" s="122"/>
      <c r="M45" s="123">
        <f t="shared" si="4"/>
        <v>2</v>
      </c>
      <c r="N45" s="124">
        <f t="shared" si="5"/>
        <v>1</v>
      </c>
    </row>
    <row r="46" spans="1:14" s="125" customFormat="1" ht="22" x14ac:dyDescent="0.2">
      <c r="A46" s="100">
        <v>37</v>
      </c>
      <c r="B46" s="254" t="s">
        <v>242</v>
      </c>
      <c r="C46" s="126" t="s">
        <v>242</v>
      </c>
      <c r="D46" s="119">
        <v>1</v>
      </c>
      <c r="E46" s="126"/>
      <c r="F46" s="120"/>
      <c r="G46" s="121"/>
      <c r="H46" s="122"/>
      <c r="I46" s="121"/>
      <c r="J46" s="122"/>
      <c r="K46" s="121"/>
      <c r="L46" s="122"/>
      <c r="M46" s="123">
        <f t="shared" si="4"/>
        <v>1</v>
      </c>
      <c r="N46" s="124">
        <f t="shared" si="5"/>
        <v>1</v>
      </c>
    </row>
    <row r="47" spans="1:14" s="125" customFormat="1" ht="22" x14ac:dyDescent="0.2">
      <c r="A47" s="100">
        <v>38</v>
      </c>
      <c r="B47" s="254" t="s">
        <v>243</v>
      </c>
      <c r="C47" s="126" t="s">
        <v>243</v>
      </c>
      <c r="D47" s="119">
        <v>1</v>
      </c>
      <c r="E47" s="126"/>
      <c r="F47" s="120"/>
      <c r="G47" s="121"/>
      <c r="H47" s="122"/>
      <c r="I47" s="121"/>
      <c r="J47" s="122"/>
      <c r="K47" s="121"/>
      <c r="L47" s="122"/>
      <c r="M47" s="123">
        <f t="shared" si="4"/>
        <v>1</v>
      </c>
      <c r="N47" s="124">
        <f t="shared" si="5"/>
        <v>1</v>
      </c>
    </row>
    <row r="48" spans="1:14" s="125" customFormat="1" ht="66" x14ac:dyDescent="0.2">
      <c r="A48" s="100">
        <v>39</v>
      </c>
      <c r="B48" s="254" t="s">
        <v>244</v>
      </c>
      <c r="C48" s="126" t="s">
        <v>762</v>
      </c>
      <c r="D48" s="119">
        <v>0.9</v>
      </c>
      <c r="E48" s="126" t="s">
        <v>763</v>
      </c>
      <c r="F48" s="120">
        <v>0.1</v>
      </c>
      <c r="G48" s="121"/>
      <c r="H48" s="122"/>
      <c r="I48" s="121"/>
      <c r="J48" s="122"/>
      <c r="K48" s="121"/>
      <c r="L48" s="122"/>
      <c r="M48" s="123">
        <f t="shared" si="4"/>
        <v>2</v>
      </c>
      <c r="N48" s="124">
        <f t="shared" si="5"/>
        <v>1</v>
      </c>
    </row>
    <row r="49" spans="1:14" s="125" customFormat="1" ht="22" x14ac:dyDescent="0.2">
      <c r="A49" s="100">
        <v>40</v>
      </c>
      <c r="B49" s="254" t="s">
        <v>245</v>
      </c>
      <c r="C49" s="126" t="s">
        <v>764</v>
      </c>
      <c r="D49" s="119">
        <v>0.5</v>
      </c>
      <c r="E49" s="126" t="s">
        <v>765</v>
      </c>
      <c r="F49" s="120">
        <v>0.5</v>
      </c>
      <c r="G49" s="121"/>
      <c r="H49" s="122"/>
      <c r="I49" s="121"/>
      <c r="J49" s="122"/>
      <c r="K49" s="121"/>
      <c r="L49" s="122"/>
      <c r="M49" s="123">
        <f t="shared" si="4"/>
        <v>2</v>
      </c>
      <c r="N49" s="124">
        <f t="shared" si="5"/>
        <v>1</v>
      </c>
    </row>
    <row r="50" spans="1:14" s="125" customFormat="1" ht="44" x14ac:dyDescent="0.2">
      <c r="A50" s="100">
        <v>41</v>
      </c>
      <c r="B50" s="254" t="s">
        <v>246</v>
      </c>
      <c r="C50" s="126" t="s">
        <v>766</v>
      </c>
      <c r="D50" s="119">
        <v>0.5</v>
      </c>
      <c r="E50" s="126" t="s">
        <v>767</v>
      </c>
      <c r="F50" s="120">
        <v>0.5</v>
      </c>
      <c r="G50" s="121"/>
      <c r="H50" s="122"/>
      <c r="I50" s="121"/>
      <c r="J50" s="122"/>
      <c r="K50" s="121"/>
      <c r="L50" s="122"/>
      <c r="M50" s="123">
        <f t="shared" si="4"/>
        <v>2</v>
      </c>
      <c r="N50" s="124">
        <f t="shared" si="5"/>
        <v>1</v>
      </c>
    </row>
    <row r="51" spans="1:14" s="125" customFormat="1" ht="22" x14ac:dyDescent="0.2">
      <c r="A51" s="100">
        <v>42</v>
      </c>
      <c r="B51" s="254" t="s">
        <v>247</v>
      </c>
      <c r="C51" s="126" t="s">
        <v>768</v>
      </c>
      <c r="D51" s="119">
        <v>0.9</v>
      </c>
      <c r="E51" s="126" t="s">
        <v>769</v>
      </c>
      <c r="F51" s="120">
        <v>0.1</v>
      </c>
      <c r="G51" s="121"/>
      <c r="H51" s="122"/>
      <c r="I51" s="121"/>
      <c r="J51" s="122"/>
      <c r="K51" s="121"/>
      <c r="L51" s="122"/>
      <c r="M51" s="123">
        <f t="shared" si="4"/>
        <v>2</v>
      </c>
      <c r="N51" s="124">
        <f t="shared" si="5"/>
        <v>1</v>
      </c>
    </row>
    <row r="52" spans="1:14" s="125" customFormat="1" ht="22" x14ac:dyDescent="0.2">
      <c r="A52" s="100">
        <v>43</v>
      </c>
      <c r="B52" s="254" t="s">
        <v>248</v>
      </c>
      <c r="C52" s="126" t="s">
        <v>770</v>
      </c>
      <c r="D52" s="119">
        <v>0.95</v>
      </c>
      <c r="E52" s="126" t="s">
        <v>771</v>
      </c>
      <c r="F52" s="120">
        <v>0.05</v>
      </c>
      <c r="G52" s="121"/>
      <c r="H52" s="122"/>
      <c r="I52" s="121"/>
      <c r="J52" s="122"/>
      <c r="K52" s="121"/>
      <c r="L52" s="122"/>
      <c r="M52" s="123">
        <f t="shared" si="4"/>
        <v>2</v>
      </c>
      <c r="N52" s="124">
        <f t="shared" si="5"/>
        <v>1</v>
      </c>
    </row>
    <row r="53" spans="1:14" s="125" customFormat="1" ht="22" x14ac:dyDescent="0.2">
      <c r="A53" s="100">
        <v>44</v>
      </c>
      <c r="B53" s="254" t="s">
        <v>196</v>
      </c>
      <c r="C53" s="126" t="s">
        <v>196</v>
      </c>
      <c r="D53" s="119">
        <v>1</v>
      </c>
      <c r="E53" s="126"/>
      <c r="F53" s="120"/>
      <c r="G53" s="121"/>
      <c r="H53" s="122"/>
      <c r="I53" s="121"/>
      <c r="J53" s="122"/>
      <c r="K53" s="121"/>
      <c r="L53" s="122"/>
      <c r="M53" s="123">
        <f t="shared" si="4"/>
        <v>1</v>
      </c>
      <c r="N53" s="124">
        <f t="shared" si="5"/>
        <v>1</v>
      </c>
    </row>
    <row r="54" spans="1:14" s="125" customFormat="1" ht="22" x14ac:dyDescent="0.2">
      <c r="A54" s="100">
        <v>45</v>
      </c>
      <c r="B54" s="254" t="s">
        <v>192</v>
      </c>
      <c r="C54" s="100" t="s">
        <v>860</v>
      </c>
      <c r="D54" s="119">
        <v>1</v>
      </c>
      <c r="E54" s="126"/>
      <c r="F54" s="120"/>
      <c r="G54" s="121"/>
      <c r="H54" s="122"/>
      <c r="I54" s="121"/>
      <c r="J54" s="122"/>
      <c r="K54" s="121"/>
      <c r="L54" s="122"/>
      <c r="M54" s="123">
        <f t="shared" si="4"/>
        <v>1</v>
      </c>
      <c r="N54" s="124">
        <f t="shared" si="5"/>
        <v>1</v>
      </c>
    </row>
    <row r="55" spans="1:14" s="125" customFormat="1" ht="22" x14ac:dyDescent="0.2">
      <c r="A55" s="100">
        <v>46</v>
      </c>
      <c r="B55" s="254" t="s">
        <v>249</v>
      </c>
      <c r="C55" s="126" t="s">
        <v>861</v>
      </c>
      <c r="D55" s="119">
        <v>0.5</v>
      </c>
      <c r="E55" s="126" t="s">
        <v>862</v>
      </c>
      <c r="F55" s="120">
        <v>0.4</v>
      </c>
      <c r="G55" s="121" t="s">
        <v>863</v>
      </c>
      <c r="H55" s="122">
        <v>0.1</v>
      </c>
      <c r="I55" s="121"/>
      <c r="J55" s="122"/>
      <c r="K55" s="121"/>
      <c r="L55" s="122"/>
      <c r="M55" s="123">
        <f t="shared" si="4"/>
        <v>3</v>
      </c>
      <c r="N55" s="124">
        <f t="shared" si="5"/>
        <v>1</v>
      </c>
    </row>
    <row r="56" spans="1:14" s="125" customFormat="1" ht="22" x14ac:dyDescent="0.2">
      <c r="A56" s="100">
        <v>47</v>
      </c>
      <c r="B56" s="254" t="s">
        <v>250</v>
      </c>
      <c r="C56" s="126" t="s">
        <v>864</v>
      </c>
      <c r="D56" s="119">
        <v>0.91</v>
      </c>
      <c r="E56" s="126" t="s">
        <v>865</v>
      </c>
      <c r="F56" s="120">
        <v>0.09</v>
      </c>
      <c r="G56" s="121"/>
      <c r="H56" s="122"/>
      <c r="I56" s="121"/>
      <c r="J56" s="122"/>
      <c r="K56" s="121"/>
      <c r="L56" s="122"/>
      <c r="M56" s="123">
        <f t="shared" si="4"/>
        <v>2</v>
      </c>
      <c r="N56" s="124">
        <f t="shared" si="5"/>
        <v>1</v>
      </c>
    </row>
    <row r="57" spans="1:14" s="125" customFormat="1" ht="22" x14ac:dyDescent="0.2">
      <c r="A57" s="100">
        <v>48</v>
      </c>
      <c r="B57" s="254" t="s">
        <v>251</v>
      </c>
      <c r="C57" s="126" t="s">
        <v>866</v>
      </c>
      <c r="D57" s="119">
        <v>0.51</v>
      </c>
      <c r="E57" s="126" t="s">
        <v>867</v>
      </c>
      <c r="F57" s="120">
        <v>0.49</v>
      </c>
      <c r="G57" s="121"/>
      <c r="H57" s="122"/>
      <c r="I57" s="121"/>
      <c r="J57" s="122"/>
      <c r="K57" s="121"/>
      <c r="L57" s="122"/>
      <c r="M57" s="123">
        <f t="shared" si="4"/>
        <v>2</v>
      </c>
      <c r="N57" s="124">
        <f t="shared" si="5"/>
        <v>1</v>
      </c>
    </row>
    <row r="58" spans="1:14" s="125" customFormat="1" ht="22" x14ac:dyDescent="0.2">
      <c r="A58" s="100">
        <v>49</v>
      </c>
      <c r="B58" s="254" t="s">
        <v>252</v>
      </c>
      <c r="C58" s="126" t="s">
        <v>868</v>
      </c>
      <c r="D58" s="119">
        <v>0.9</v>
      </c>
      <c r="E58" s="126" t="s">
        <v>869</v>
      </c>
      <c r="F58" s="120">
        <v>0.1</v>
      </c>
      <c r="G58" s="121"/>
      <c r="H58" s="122"/>
      <c r="I58" s="121"/>
      <c r="J58" s="122"/>
      <c r="K58" s="121"/>
      <c r="L58" s="122"/>
      <c r="M58" s="123">
        <f t="shared" si="4"/>
        <v>2</v>
      </c>
      <c r="N58" s="124">
        <f t="shared" si="5"/>
        <v>1</v>
      </c>
    </row>
    <row r="59" spans="1:14" s="125" customFormat="1" ht="22" x14ac:dyDescent="0.2">
      <c r="A59" s="100">
        <v>50</v>
      </c>
      <c r="B59" s="254" t="s">
        <v>253</v>
      </c>
      <c r="C59" s="126" t="s">
        <v>870</v>
      </c>
      <c r="D59" s="119">
        <v>1</v>
      </c>
      <c r="E59" s="126"/>
      <c r="F59" s="120"/>
      <c r="G59" s="121"/>
      <c r="H59" s="122"/>
      <c r="I59" s="121"/>
      <c r="J59" s="122"/>
      <c r="K59" s="121"/>
      <c r="L59" s="122"/>
      <c r="M59" s="123">
        <f t="shared" si="4"/>
        <v>1</v>
      </c>
      <c r="N59" s="124">
        <f t="shared" si="5"/>
        <v>1</v>
      </c>
    </row>
    <row r="60" spans="1:14" s="125" customFormat="1" ht="44" x14ac:dyDescent="0.2">
      <c r="A60" s="100">
        <v>51</v>
      </c>
      <c r="B60" s="254" t="s">
        <v>254</v>
      </c>
      <c r="C60" s="126" t="s">
        <v>871</v>
      </c>
      <c r="D60" s="119">
        <v>1</v>
      </c>
      <c r="E60" s="126"/>
      <c r="F60" s="120"/>
      <c r="G60" s="121"/>
      <c r="H60" s="122"/>
      <c r="I60" s="121"/>
      <c r="J60" s="122"/>
      <c r="K60" s="121"/>
      <c r="L60" s="122"/>
      <c r="M60" s="123">
        <f t="shared" si="4"/>
        <v>1</v>
      </c>
      <c r="N60" s="124">
        <f t="shared" si="5"/>
        <v>1</v>
      </c>
    </row>
    <row r="61" spans="1:14" s="125" customFormat="1" ht="22" x14ac:dyDescent="0.2">
      <c r="A61" s="100">
        <v>52</v>
      </c>
      <c r="B61" s="254" t="s">
        <v>255</v>
      </c>
      <c r="C61" s="126" t="s">
        <v>872</v>
      </c>
      <c r="D61" s="119">
        <v>1</v>
      </c>
      <c r="E61" s="126"/>
      <c r="F61" s="120"/>
      <c r="G61" s="121"/>
      <c r="H61" s="122"/>
      <c r="I61" s="121"/>
      <c r="J61" s="122"/>
      <c r="K61" s="121"/>
      <c r="L61" s="122"/>
      <c r="M61" s="123">
        <f t="shared" si="4"/>
        <v>1</v>
      </c>
      <c r="N61" s="124">
        <f t="shared" si="5"/>
        <v>1</v>
      </c>
    </row>
    <row r="62" spans="1:14" s="125" customFormat="1" ht="22" x14ac:dyDescent="0.2">
      <c r="A62" s="100">
        <v>53</v>
      </c>
      <c r="B62" s="254" t="s">
        <v>256</v>
      </c>
      <c r="C62" s="126" t="s">
        <v>873</v>
      </c>
      <c r="D62" s="119">
        <v>1</v>
      </c>
      <c r="E62" s="126"/>
      <c r="F62" s="120"/>
      <c r="G62" s="121"/>
      <c r="H62" s="122"/>
      <c r="I62" s="121"/>
      <c r="J62" s="122"/>
      <c r="K62" s="121"/>
      <c r="L62" s="122"/>
      <c r="M62" s="123">
        <f t="shared" si="4"/>
        <v>1</v>
      </c>
      <c r="N62" s="124">
        <f t="shared" si="5"/>
        <v>1</v>
      </c>
    </row>
    <row r="63" spans="1:14" s="125" customFormat="1" ht="22" x14ac:dyDescent="0.2">
      <c r="A63" s="100">
        <v>54</v>
      </c>
      <c r="B63" s="254" t="s">
        <v>257</v>
      </c>
      <c r="C63" s="126" t="s">
        <v>257</v>
      </c>
      <c r="D63" s="119">
        <v>1</v>
      </c>
      <c r="E63" s="126"/>
      <c r="F63" s="120"/>
      <c r="G63" s="121"/>
      <c r="H63" s="122"/>
      <c r="I63" s="121"/>
      <c r="J63" s="122"/>
      <c r="K63" s="121"/>
      <c r="L63" s="122"/>
      <c r="M63" s="123">
        <f t="shared" si="4"/>
        <v>1</v>
      </c>
      <c r="N63" s="124">
        <f t="shared" si="5"/>
        <v>1</v>
      </c>
    </row>
    <row r="64" spans="1:14" s="125" customFormat="1" ht="44" x14ac:dyDescent="0.2">
      <c r="A64" s="100">
        <v>55</v>
      </c>
      <c r="B64" s="254" t="s">
        <v>258</v>
      </c>
      <c r="C64" s="126" t="s">
        <v>944</v>
      </c>
      <c r="D64" s="119">
        <v>0.9</v>
      </c>
      <c r="E64" s="126" t="s">
        <v>945</v>
      </c>
      <c r="F64" s="120">
        <v>0.1</v>
      </c>
      <c r="G64" s="121"/>
      <c r="H64" s="122"/>
      <c r="I64" s="121"/>
      <c r="J64" s="122"/>
      <c r="K64" s="121"/>
      <c r="L64" s="122"/>
      <c r="M64" s="123">
        <f t="shared" si="4"/>
        <v>2</v>
      </c>
      <c r="N64" s="124">
        <f t="shared" si="5"/>
        <v>1</v>
      </c>
    </row>
    <row r="65" spans="1:14" s="125" customFormat="1" ht="22" x14ac:dyDescent="0.2">
      <c r="A65" s="100">
        <v>56</v>
      </c>
      <c r="B65" s="254" t="s">
        <v>259</v>
      </c>
      <c r="C65" s="126" t="s">
        <v>259</v>
      </c>
      <c r="D65" s="119">
        <v>1</v>
      </c>
      <c r="E65" s="126"/>
      <c r="F65" s="120"/>
      <c r="G65" s="121"/>
      <c r="H65" s="122"/>
      <c r="I65" s="121"/>
      <c r="J65" s="122"/>
      <c r="K65" s="121"/>
      <c r="L65" s="122"/>
      <c r="M65" s="123">
        <f t="shared" si="4"/>
        <v>1</v>
      </c>
      <c r="N65" s="124">
        <f t="shared" si="5"/>
        <v>1</v>
      </c>
    </row>
    <row r="66" spans="1:14" s="125" customFormat="1" ht="44" x14ac:dyDescent="0.2">
      <c r="A66" s="100">
        <v>57</v>
      </c>
      <c r="B66" s="254" t="s">
        <v>47</v>
      </c>
      <c r="C66" s="126" t="s">
        <v>47</v>
      </c>
      <c r="D66" s="119">
        <v>1</v>
      </c>
      <c r="E66" s="126"/>
      <c r="F66" s="120"/>
      <c r="G66" s="121"/>
      <c r="H66" s="122"/>
      <c r="I66" s="121"/>
      <c r="J66" s="122"/>
      <c r="K66" s="121"/>
      <c r="L66" s="122"/>
      <c r="M66" s="123">
        <f t="shared" si="4"/>
        <v>1</v>
      </c>
      <c r="N66" s="124">
        <f t="shared" si="5"/>
        <v>1</v>
      </c>
    </row>
    <row r="67" spans="1:14" s="125" customFormat="1" ht="44" x14ac:dyDescent="0.2">
      <c r="A67" s="100">
        <v>58</v>
      </c>
      <c r="B67" s="254" t="s">
        <v>260</v>
      </c>
      <c r="C67" s="126" t="s">
        <v>946</v>
      </c>
      <c r="D67" s="119">
        <v>0.9</v>
      </c>
      <c r="E67" s="126" t="s">
        <v>947</v>
      </c>
      <c r="F67" s="120">
        <v>0.1</v>
      </c>
      <c r="G67" s="121"/>
      <c r="H67" s="122"/>
      <c r="I67" s="121"/>
      <c r="J67" s="122"/>
      <c r="K67" s="121"/>
      <c r="L67" s="122"/>
      <c r="M67" s="123">
        <f t="shared" si="4"/>
        <v>2</v>
      </c>
      <c r="N67" s="124">
        <f t="shared" si="5"/>
        <v>1</v>
      </c>
    </row>
    <row r="68" spans="1:14" s="125" customFormat="1" ht="22" x14ac:dyDescent="0.2">
      <c r="A68" s="100">
        <v>59</v>
      </c>
      <c r="B68" s="254" t="s">
        <v>261</v>
      </c>
      <c r="C68" s="126" t="s">
        <v>261</v>
      </c>
      <c r="D68" s="119">
        <v>1</v>
      </c>
      <c r="E68" s="126"/>
      <c r="F68" s="120"/>
      <c r="G68" s="121"/>
      <c r="H68" s="122"/>
      <c r="I68" s="121"/>
      <c r="J68" s="122"/>
      <c r="K68" s="121"/>
      <c r="L68" s="122"/>
      <c r="M68" s="123">
        <f t="shared" si="4"/>
        <v>1</v>
      </c>
      <c r="N68" s="124">
        <f t="shared" si="5"/>
        <v>1</v>
      </c>
    </row>
    <row r="69" spans="1:14" s="125" customFormat="1" ht="22" x14ac:dyDescent="0.2">
      <c r="A69" s="100">
        <v>60</v>
      </c>
      <c r="B69" s="254" t="s">
        <v>193</v>
      </c>
      <c r="C69" s="126" t="s">
        <v>193</v>
      </c>
      <c r="D69" s="119">
        <v>1</v>
      </c>
      <c r="E69" s="126"/>
      <c r="F69" s="120"/>
      <c r="G69" s="167"/>
      <c r="H69" s="122"/>
      <c r="I69" s="121"/>
      <c r="J69" s="122"/>
      <c r="K69" s="121"/>
      <c r="L69" s="122"/>
      <c r="M69" s="123">
        <f t="shared" si="4"/>
        <v>1</v>
      </c>
      <c r="N69" s="124">
        <f t="shared" si="5"/>
        <v>1</v>
      </c>
    </row>
    <row r="70" spans="1:14" s="125" customFormat="1" ht="66" x14ac:dyDescent="0.2">
      <c r="A70" s="100">
        <v>61</v>
      </c>
      <c r="B70" s="254" t="s">
        <v>262</v>
      </c>
      <c r="C70" s="126" t="s">
        <v>948</v>
      </c>
      <c r="D70" s="119"/>
      <c r="E70" s="126" t="s">
        <v>949</v>
      </c>
      <c r="F70" s="120"/>
      <c r="G70" s="121"/>
      <c r="H70" s="122"/>
      <c r="I70" s="121"/>
      <c r="J70" s="122"/>
      <c r="K70" s="121"/>
      <c r="L70" s="122"/>
      <c r="M70" s="123">
        <f t="shared" ref="M70" si="6">+COUNTIF(C70:L70,"*")</f>
        <v>2</v>
      </c>
      <c r="N70" s="124">
        <f t="shared" ref="N70" si="7">+SUM(D70,F70,H70,J70,L70)</f>
        <v>0</v>
      </c>
    </row>
    <row r="71" spans="1:14" s="125" customFormat="1" ht="66" x14ac:dyDescent="0.2">
      <c r="A71" s="100">
        <v>62</v>
      </c>
      <c r="B71" s="254" t="s">
        <v>263</v>
      </c>
      <c r="C71" s="126" t="s">
        <v>950</v>
      </c>
      <c r="D71" s="119">
        <v>0.1</v>
      </c>
      <c r="E71" s="126" t="s">
        <v>951</v>
      </c>
      <c r="F71" s="120">
        <v>0.9</v>
      </c>
      <c r="G71" s="121"/>
      <c r="H71" s="122"/>
      <c r="I71" s="121"/>
      <c r="J71" s="122"/>
      <c r="K71" s="121"/>
      <c r="L71" s="122"/>
      <c r="M71" s="123">
        <f t="shared" ref="M71:M93" si="8">+COUNTIF(C71:L71,"*")</f>
        <v>2</v>
      </c>
      <c r="N71" s="124">
        <f t="shared" ref="N71:N93" si="9">+SUM(D71,F71,H71,J71,L71)</f>
        <v>1</v>
      </c>
    </row>
    <row r="72" spans="1:14" s="125" customFormat="1" ht="22" x14ac:dyDescent="0.2">
      <c r="A72" s="100">
        <v>63</v>
      </c>
      <c r="B72" s="317" t="s">
        <v>264</v>
      </c>
      <c r="C72" s="126" t="s">
        <v>264</v>
      </c>
      <c r="D72" s="119">
        <v>1</v>
      </c>
      <c r="E72" s="126"/>
      <c r="F72" s="120"/>
      <c r="G72" s="121"/>
      <c r="H72" s="122"/>
      <c r="I72" s="121"/>
      <c r="J72" s="122"/>
      <c r="K72" s="121"/>
      <c r="L72" s="122"/>
      <c r="M72" s="123">
        <f t="shared" si="8"/>
        <v>1</v>
      </c>
      <c r="N72" s="124">
        <f t="shared" si="9"/>
        <v>1</v>
      </c>
    </row>
    <row r="73" spans="1:14" s="125" customFormat="1" ht="44" x14ac:dyDescent="0.2">
      <c r="A73" s="100">
        <v>64</v>
      </c>
      <c r="B73" s="254" t="s">
        <v>265</v>
      </c>
      <c r="C73" s="126" t="s">
        <v>952</v>
      </c>
      <c r="D73" s="119">
        <v>1</v>
      </c>
      <c r="E73" s="126"/>
      <c r="F73" s="120"/>
      <c r="G73" s="121"/>
      <c r="H73" s="122"/>
      <c r="I73" s="121"/>
      <c r="J73" s="122"/>
      <c r="K73" s="121"/>
      <c r="L73" s="122"/>
      <c r="M73" s="123">
        <f t="shared" si="8"/>
        <v>1</v>
      </c>
      <c r="N73" s="124">
        <f t="shared" si="9"/>
        <v>1</v>
      </c>
    </row>
    <row r="74" spans="1:14" s="125" customFormat="1" ht="44" x14ac:dyDescent="0.2">
      <c r="A74" s="100">
        <v>65</v>
      </c>
      <c r="B74" s="254" t="s">
        <v>266</v>
      </c>
      <c r="C74" s="126" t="s">
        <v>1028</v>
      </c>
      <c r="D74" s="119">
        <v>0.5</v>
      </c>
      <c r="E74" s="126" t="s">
        <v>1029</v>
      </c>
      <c r="F74" s="120">
        <v>0.5</v>
      </c>
      <c r="G74" s="121"/>
      <c r="H74" s="122"/>
      <c r="I74" s="121"/>
      <c r="J74" s="122"/>
      <c r="K74" s="121"/>
      <c r="L74" s="122"/>
      <c r="M74" s="123">
        <f t="shared" si="8"/>
        <v>2</v>
      </c>
      <c r="N74" s="124">
        <f t="shared" si="9"/>
        <v>1</v>
      </c>
    </row>
    <row r="75" spans="1:14" s="125" customFormat="1" ht="22" x14ac:dyDescent="0.2">
      <c r="A75" s="100">
        <v>66</v>
      </c>
      <c r="B75" s="254" t="s">
        <v>267</v>
      </c>
      <c r="C75" s="126" t="s">
        <v>267</v>
      </c>
      <c r="D75" s="119">
        <v>1</v>
      </c>
      <c r="E75" s="126"/>
      <c r="F75" s="120"/>
      <c r="G75" s="121"/>
      <c r="H75" s="122"/>
      <c r="I75" s="121"/>
      <c r="J75" s="122"/>
      <c r="K75" s="121"/>
      <c r="L75" s="122"/>
      <c r="M75" s="123">
        <f t="shared" si="8"/>
        <v>1</v>
      </c>
      <c r="N75" s="124">
        <f t="shared" si="9"/>
        <v>1</v>
      </c>
    </row>
    <row r="76" spans="1:14" s="125" customFormat="1" ht="22" x14ac:dyDescent="0.2">
      <c r="A76" s="100">
        <v>67</v>
      </c>
      <c r="B76" s="254" t="s">
        <v>268</v>
      </c>
      <c r="C76" s="126" t="s">
        <v>1052</v>
      </c>
      <c r="D76" s="119">
        <v>1</v>
      </c>
      <c r="E76" s="126"/>
      <c r="F76" s="120"/>
      <c r="G76" s="121"/>
      <c r="H76" s="122"/>
      <c r="I76" s="121"/>
      <c r="J76" s="122"/>
      <c r="K76" s="121"/>
      <c r="L76" s="122"/>
      <c r="M76" s="123">
        <f t="shared" si="8"/>
        <v>1</v>
      </c>
      <c r="N76" s="124">
        <f t="shared" si="9"/>
        <v>1</v>
      </c>
    </row>
    <row r="77" spans="1:14" s="125" customFormat="1" ht="22" x14ac:dyDescent="0.2">
      <c r="A77" s="100">
        <v>68</v>
      </c>
      <c r="B77" s="254" t="s">
        <v>197</v>
      </c>
      <c r="C77" s="254" t="s">
        <v>197</v>
      </c>
      <c r="D77" s="119">
        <v>1</v>
      </c>
      <c r="E77" s="126"/>
      <c r="F77" s="120"/>
      <c r="G77" s="121"/>
      <c r="H77" s="122"/>
      <c r="I77" s="121"/>
      <c r="J77" s="122"/>
      <c r="K77" s="121"/>
      <c r="L77" s="122"/>
      <c r="M77" s="123">
        <f t="shared" si="8"/>
        <v>1</v>
      </c>
      <c r="N77" s="124">
        <f t="shared" si="9"/>
        <v>1</v>
      </c>
    </row>
    <row r="78" spans="1:14" s="125" customFormat="1" ht="44" x14ac:dyDescent="0.2">
      <c r="A78" s="100">
        <v>69</v>
      </c>
      <c r="B78" s="254" t="s">
        <v>269</v>
      </c>
      <c r="C78" s="126" t="s">
        <v>1053</v>
      </c>
      <c r="D78" s="119">
        <v>0.9</v>
      </c>
      <c r="E78" s="126" t="s">
        <v>1054</v>
      </c>
      <c r="F78" s="120">
        <v>0.1</v>
      </c>
      <c r="G78" s="121"/>
      <c r="H78" s="122"/>
      <c r="I78" s="121"/>
      <c r="J78" s="122"/>
      <c r="K78" s="121"/>
      <c r="L78" s="122"/>
      <c r="M78" s="123">
        <f t="shared" si="8"/>
        <v>2</v>
      </c>
      <c r="N78" s="124">
        <f t="shared" si="9"/>
        <v>1</v>
      </c>
    </row>
    <row r="79" spans="1:14" s="125" customFormat="1" ht="49.25" customHeight="1" x14ac:dyDescent="0.2">
      <c r="A79" s="100">
        <v>70</v>
      </c>
      <c r="B79" s="254" t="s">
        <v>270</v>
      </c>
      <c r="C79" s="126" t="s">
        <v>1055</v>
      </c>
      <c r="D79" s="119">
        <v>0.9</v>
      </c>
      <c r="E79" s="126" t="s">
        <v>1056</v>
      </c>
      <c r="F79" s="120">
        <v>0.1</v>
      </c>
      <c r="G79" s="121"/>
      <c r="H79" s="122"/>
      <c r="I79" s="121"/>
      <c r="J79" s="122"/>
      <c r="K79" s="121"/>
      <c r="L79" s="122"/>
      <c r="M79" s="123">
        <f t="shared" si="8"/>
        <v>2</v>
      </c>
      <c r="N79" s="124">
        <f t="shared" si="9"/>
        <v>1</v>
      </c>
    </row>
    <row r="80" spans="1:14" s="125" customFormat="1" ht="22" x14ac:dyDescent="0.2">
      <c r="A80" s="100">
        <v>71</v>
      </c>
      <c r="B80" s="254" t="s">
        <v>271</v>
      </c>
      <c r="C80" s="126" t="s">
        <v>271</v>
      </c>
      <c r="D80" s="119">
        <v>1</v>
      </c>
      <c r="E80" s="126"/>
      <c r="F80" s="120"/>
      <c r="G80" s="121"/>
      <c r="H80" s="122"/>
      <c r="I80" s="121"/>
      <c r="J80" s="122"/>
      <c r="K80" s="121"/>
      <c r="L80" s="122"/>
      <c r="M80" s="123">
        <f t="shared" si="8"/>
        <v>1</v>
      </c>
      <c r="N80" s="124">
        <f t="shared" si="9"/>
        <v>1</v>
      </c>
    </row>
    <row r="81" spans="1:14" s="125" customFormat="1" ht="22" x14ac:dyDescent="0.2">
      <c r="A81" s="100">
        <v>72</v>
      </c>
      <c r="B81" s="254" t="s">
        <v>272</v>
      </c>
      <c r="C81" s="126" t="s">
        <v>272</v>
      </c>
      <c r="D81" s="119">
        <v>1</v>
      </c>
      <c r="E81" s="126"/>
      <c r="F81" s="120"/>
      <c r="G81" s="121"/>
      <c r="H81" s="122"/>
      <c r="I81" s="121"/>
      <c r="J81" s="122"/>
      <c r="K81" s="121"/>
      <c r="L81" s="122"/>
      <c r="M81" s="123">
        <f t="shared" si="8"/>
        <v>1</v>
      </c>
      <c r="N81" s="124">
        <f t="shared" si="9"/>
        <v>1</v>
      </c>
    </row>
    <row r="82" spans="1:14" s="125" customFormat="1" ht="22" x14ac:dyDescent="0.2">
      <c r="A82" s="187">
        <v>73</v>
      </c>
      <c r="B82" s="255" t="s">
        <v>195</v>
      </c>
      <c r="C82" s="188" t="s">
        <v>195</v>
      </c>
      <c r="D82" s="189">
        <v>1</v>
      </c>
      <c r="E82" s="188"/>
      <c r="F82" s="190"/>
      <c r="G82" s="191"/>
      <c r="H82" s="192"/>
      <c r="I82" s="191"/>
      <c r="J82" s="192"/>
      <c r="K82" s="191"/>
      <c r="L82" s="192"/>
      <c r="M82" s="193">
        <f t="shared" si="8"/>
        <v>1</v>
      </c>
      <c r="N82" s="168">
        <f t="shared" si="9"/>
        <v>1</v>
      </c>
    </row>
    <row r="83" spans="1:14" s="125" customFormat="1" ht="22" x14ac:dyDescent="0.2">
      <c r="A83" s="100">
        <v>74</v>
      </c>
      <c r="B83" s="254" t="s">
        <v>273</v>
      </c>
      <c r="C83" s="126" t="s">
        <v>1057</v>
      </c>
      <c r="D83" s="119">
        <v>0.2</v>
      </c>
      <c r="E83" s="126" t="s">
        <v>1058</v>
      </c>
      <c r="F83" s="120">
        <v>0.8</v>
      </c>
      <c r="G83" s="121"/>
      <c r="H83" s="122"/>
      <c r="I83" s="121"/>
      <c r="J83" s="122"/>
      <c r="K83" s="121"/>
      <c r="L83" s="122"/>
      <c r="M83" s="123">
        <f t="shared" si="8"/>
        <v>2</v>
      </c>
      <c r="N83" s="124">
        <f t="shared" si="9"/>
        <v>1</v>
      </c>
    </row>
    <row r="84" spans="1:14" s="125" customFormat="1" ht="22" x14ac:dyDescent="0.2">
      <c r="A84" s="100">
        <v>75</v>
      </c>
      <c r="B84" s="254" t="s">
        <v>274</v>
      </c>
      <c r="C84" s="126" t="s">
        <v>1144</v>
      </c>
      <c r="D84" s="119">
        <v>1</v>
      </c>
      <c r="E84" s="126"/>
      <c r="F84" s="120"/>
      <c r="G84" s="121"/>
      <c r="H84" s="122"/>
      <c r="I84" s="121"/>
      <c r="J84" s="122"/>
      <c r="K84" s="121"/>
      <c r="L84" s="122"/>
      <c r="M84" s="123">
        <f t="shared" si="8"/>
        <v>1</v>
      </c>
      <c r="N84" s="124">
        <f t="shared" si="9"/>
        <v>1</v>
      </c>
    </row>
    <row r="85" spans="1:14" s="125" customFormat="1" ht="44" x14ac:dyDescent="0.2">
      <c r="A85" s="100">
        <v>76</v>
      </c>
      <c r="B85" s="254" t="s">
        <v>275</v>
      </c>
      <c r="C85" s="126" t="s">
        <v>1145</v>
      </c>
      <c r="D85" s="119">
        <v>0.99</v>
      </c>
      <c r="E85" s="126" t="s">
        <v>1146</v>
      </c>
      <c r="F85" s="120">
        <v>0.01</v>
      </c>
      <c r="G85" s="167"/>
      <c r="H85" s="122"/>
      <c r="I85" s="121"/>
      <c r="J85" s="122"/>
      <c r="K85" s="121"/>
      <c r="L85" s="122"/>
      <c r="M85" s="123">
        <f t="shared" si="8"/>
        <v>2</v>
      </c>
      <c r="N85" s="124">
        <f t="shared" si="9"/>
        <v>1</v>
      </c>
    </row>
    <row r="86" spans="1:14" s="125" customFormat="1" ht="44" x14ac:dyDescent="0.2">
      <c r="A86" s="100">
        <v>77</v>
      </c>
      <c r="B86" s="254" t="s">
        <v>276</v>
      </c>
      <c r="C86" s="254" t="s">
        <v>276</v>
      </c>
      <c r="D86" s="119">
        <v>1</v>
      </c>
      <c r="E86" s="126"/>
      <c r="F86" s="120"/>
      <c r="G86" s="121"/>
      <c r="H86" s="122"/>
      <c r="I86" s="121"/>
      <c r="J86" s="122"/>
      <c r="K86" s="121"/>
      <c r="L86" s="122"/>
      <c r="M86" s="123">
        <f t="shared" si="8"/>
        <v>1</v>
      </c>
      <c r="N86" s="124">
        <f t="shared" si="9"/>
        <v>1</v>
      </c>
    </row>
    <row r="87" spans="1:14" s="125" customFormat="1" ht="44" x14ac:dyDescent="0.2">
      <c r="A87" s="100">
        <v>78</v>
      </c>
      <c r="B87" s="254" t="s">
        <v>277</v>
      </c>
      <c r="C87" s="126" t="s">
        <v>1147</v>
      </c>
      <c r="D87" s="119">
        <v>0.5</v>
      </c>
      <c r="E87" s="126" t="s">
        <v>1148</v>
      </c>
      <c r="F87" s="120">
        <v>0.5</v>
      </c>
      <c r="G87" s="121"/>
      <c r="H87" s="122"/>
      <c r="I87" s="121"/>
      <c r="J87" s="122"/>
      <c r="K87" s="121"/>
      <c r="L87" s="122"/>
      <c r="M87" s="123">
        <f t="shared" si="8"/>
        <v>2</v>
      </c>
      <c r="N87" s="124">
        <f t="shared" si="9"/>
        <v>1</v>
      </c>
    </row>
    <row r="88" spans="1:14" s="125" customFormat="1" ht="22" x14ac:dyDescent="0.2">
      <c r="A88" s="100">
        <v>79</v>
      </c>
      <c r="B88" s="254" t="s">
        <v>278</v>
      </c>
      <c r="C88" s="126" t="s">
        <v>1149</v>
      </c>
      <c r="D88" s="119">
        <v>0.5</v>
      </c>
      <c r="E88" s="126" t="s">
        <v>1150</v>
      </c>
      <c r="F88" s="120">
        <v>0.5</v>
      </c>
      <c r="G88" s="121"/>
      <c r="H88" s="122"/>
      <c r="I88" s="121"/>
      <c r="J88" s="122"/>
      <c r="K88" s="121"/>
      <c r="L88" s="122"/>
      <c r="M88" s="123">
        <f t="shared" si="8"/>
        <v>2</v>
      </c>
      <c r="N88" s="124">
        <f t="shared" si="9"/>
        <v>1</v>
      </c>
    </row>
    <row r="89" spans="1:14" s="125" customFormat="1" ht="22" x14ac:dyDescent="0.2">
      <c r="A89" s="100">
        <v>80</v>
      </c>
      <c r="B89" s="317" t="s">
        <v>199</v>
      </c>
      <c r="C89" s="295" t="s">
        <v>199</v>
      </c>
      <c r="D89" s="119">
        <v>1</v>
      </c>
      <c r="E89" s="126"/>
      <c r="F89" s="120"/>
      <c r="G89" s="121"/>
      <c r="H89" s="122"/>
      <c r="I89" s="121"/>
      <c r="J89" s="122"/>
      <c r="K89" s="121"/>
      <c r="L89" s="122"/>
      <c r="M89" s="123">
        <f t="shared" si="8"/>
        <v>1</v>
      </c>
      <c r="N89" s="124">
        <f t="shared" si="9"/>
        <v>1</v>
      </c>
    </row>
    <row r="90" spans="1:14" s="125" customFormat="1" ht="22" x14ac:dyDescent="0.2">
      <c r="A90" s="100">
        <v>81</v>
      </c>
      <c r="B90" s="255" t="s">
        <v>279</v>
      </c>
      <c r="C90" s="255" t="s">
        <v>279</v>
      </c>
      <c r="D90" s="119">
        <v>1</v>
      </c>
      <c r="E90" s="126"/>
      <c r="F90" s="120"/>
      <c r="G90" s="121"/>
      <c r="H90" s="122"/>
      <c r="I90" s="121"/>
      <c r="J90" s="122"/>
      <c r="K90" s="121"/>
      <c r="L90" s="122"/>
      <c r="M90" s="123">
        <f t="shared" ref="M90:M92" si="10">+COUNTIF(C90:L90,"*")</f>
        <v>1</v>
      </c>
      <c r="N90" s="124">
        <f t="shared" ref="N90:N92" si="11">+SUM(D90,F90,H90,J90,L90)</f>
        <v>1</v>
      </c>
    </row>
    <row r="91" spans="1:14" s="125" customFormat="1" ht="22" x14ac:dyDescent="0.2">
      <c r="A91" s="100">
        <v>82</v>
      </c>
      <c r="B91" s="254" t="s">
        <v>280</v>
      </c>
      <c r="C91" s="126" t="s">
        <v>1151</v>
      </c>
      <c r="D91" s="119">
        <v>0.9</v>
      </c>
      <c r="E91" s="126" t="s">
        <v>1152</v>
      </c>
      <c r="F91" s="120">
        <v>0.1</v>
      </c>
      <c r="G91" s="121"/>
      <c r="H91" s="122"/>
      <c r="I91" s="121"/>
      <c r="J91" s="122"/>
      <c r="K91" s="121"/>
      <c r="L91" s="122"/>
      <c r="M91" s="123">
        <f t="shared" si="10"/>
        <v>2</v>
      </c>
      <c r="N91" s="124">
        <f t="shared" si="11"/>
        <v>1</v>
      </c>
    </row>
    <row r="92" spans="1:14" s="125" customFormat="1" ht="22" x14ac:dyDescent="0.2">
      <c r="A92" s="100">
        <v>83</v>
      </c>
      <c r="B92" s="254" t="s">
        <v>281</v>
      </c>
      <c r="C92" s="126" t="s">
        <v>1153</v>
      </c>
      <c r="D92" s="119">
        <v>0.1</v>
      </c>
      <c r="E92" s="126" t="s">
        <v>1154</v>
      </c>
      <c r="F92" s="120">
        <v>0.45</v>
      </c>
      <c r="G92" s="121" t="s">
        <v>1155</v>
      </c>
      <c r="H92" s="122">
        <v>0.45</v>
      </c>
      <c r="I92" s="121"/>
      <c r="J92" s="122"/>
      <c r="K92" s="121"/>
      <c r="L92" s="122"/>
      <c r="M92" s="123">
        <f t="shared" si="10"/>
        <v>3</v>
      </c>
      <c r="N92" s="124">
        <f t="shared" si="11"/>
        <v>1</v>
      </c>
    </row>
    <row r="93" spans="1:14" s="125" customFormat="1" ht="22" x14ac:dyDescent="0.2">
      <c r="A93" s="100">
        <v>84</v>
      </c>
      <c r="B93" s="254" t="s">
        <v>282</v>
      </c>
      <c r="C93" s="254" t="s">
        <v>282</v>
      </c>
      <c r="D93" s="119">
        <v>1</v>
      </c>
      <c r="E93" s="126"/>
      <c r="F93" s="120"/>
      <c r="G93" s="121"/>
      <c r="H93" s="122"/>
      <c r="I93" s="121"/>
      <c r="J93" s="122"/>
      <c r="K93" s="121"/>
      <c r="L93" s="122"/>
      <c r="M93" s="123">
        <f t="shared" si="8"/>
        <v>1</v>
      </c>
      <c r="N93" s="124">
        <f t="shared" si="9"/>
        <v>1</v>
      </c>
    </row>
    <row r="94" spans="1:14" s="125" customFormat="1" ht="22" x14ac:dyDescent="0.2">
      <c r="A94" s="100">
        <v>85</v>
      </c>
      <c r="B94" s="254" t="s">
        <v>283</v>
      </c>
      <c r="C94" s="126" t="s">
        <v>1274</v>
      </c>
      <c r="D94" s="119">
        <v>1</v>
      </c>
      <c r="E94" s="126"/>
      <c r="F94" s="120"/>
      <c r="G94" s="121"/>
      <c r="H94" s="122"/>
      <c r="I94" s="121"/>
      <c r="J94" s="122"/>
      <c r="K94" s="121"/>
      <c r="L94" s="122"/>
      <c r="M94" s="123">
        <f t="shared" ref="M94:M98" si="12">+COUNTIF(C94:L94,"*")</f>
        <v>1</v>
      </c>
      <c r="N94" s="124">
        <f t="shared" ref="N94:N98" si="13">+SUM(D94,F94,H94,J94,L94)</f>
        <v>1</v>
      </c>
    </row>
    <row r="95" spans="1:14" s="125" customFormat="1" ht="22" x14ac:dyDescent="0.2">
      <c r="A95" s="100">
        <v>86</v>
      </c>
      <c r="B95" s="254" t="s">
        <v>284</v>
      </c>
      <c r="C95" s="126" t="s">
        <v>1273</v>
      </c>
      <c r="D95" s="119">
        <v>0.5</v>
      </c>
      <c r="E95" s="126" t="s">
        <v>1275</v>
      </c>
      <c r="F95" s="120">
        <v>0.5</v>
      </c>
      <c r="G95" s="167"/>
      <c r="H95" s="122"/>
      <c r="I95" s="121"/>
      <c r="J95" s="122"/>
      <c r="K95" s="121"/>
      <c r="L95" s="122"/>
      <c r="M95" s="123">
        <f t="shared" si="12"/>
        <v>2</v>
      </c>
      <c r="N95" s="124">
        <f t="shared" si="13"/>
        <v>1</v>
      </c>
    </row>
    <row r="96" spans="1:14" s="125" customFormat="1" ht="22" x14ac:dyDescent="0.2">
      <c r="A96" s="100">
        <v>87</v>
      </c>
      <c r="B96" s="254" t="s">
        <v>285</v>
      </c>
      <c r="C96" s="126" t="s">
        <v>285</v>
      </c>
      <c r="D96" s="119">
        <v>1</v>
      </c>
      <c r="E96" s="126"/>
      <c r="F96" s="120"/>
      <c r="G96" s="121"/>
      <c r="H96" s="122"/>
      <c r="I96" s="121"/>
      <c r="J96" s="122"/>
      <c r="K96" s="121"/>
      <c r="L96" s="122"/>
      <c r="M96" s="123">
        <f t="shared" si="12"/>
        <v>1</v>
      </c>
      <c r="N96" s="124">
        <f t="shared" si="13"/>
        <v>1</v>
      </c>
    </row>
    <row r="97" spans="1:14" s="125" customFormat="1" ht="22" x14ac:dyDescent="0.2">
      <c r="A97" s="100">
        <v>88</v>
      </c>
      <c r="B97" s="254" t="s">
        <v>286</v>
      </c>
      <c r="C97" s="126" t="s">
        <v>1276</v>
      </c>
      <c r="D97" s="119">
        <v>0.33</v>
      </c>
      <c r="E97" s="126" t="s">
        <v>1286</v>
      </c>
      <c r="F97" s="120">
        <v>0.34</v>
      </c>
      <c r="G97" s="167" t="s">
        <v>1287</v>
      </c>
      <c r="H97" s="122">
        <v>0.33</v>
      </c>
      <c r="I97" s="121"/>
      <c r="J97" s="122"/>
      <c r="K97" s="121"/>
      <c r="L97" s="122"/>
      <c r="M97" s="123">
        <f t="shared" si="12"/>
        <v>3</v>
      </c>
      <c r="N97" s="124">
        <f t="shared" si="13"/>
        <v>1</v>
      </c>
    </row>
    <row r="98" spans="1:14" s="125" customFormat="1" ht="22" x14ac:dyDescent="0.2">
      <c r="A98" s="100">
        <v>89</v>
      </c>
      <c r="B98" s="254" t="s">
        <v>287</v>
      </c>
      <c r="C98" s="126" t="s">
        <v>1277</v>
      </c>
      <c r="D98" s="119">
        <v>0.9</v>
      </c>
      <c r="E98" s="126" t="s">
        <v>1285</v>
      </c>
      <c r="F98" s="120">
        <v>0.1</v>
      </c>
      <c r="G98" s="121"/>
      <c r="H98" s="122"/>
      <c r="I98" s="121"/>
      <c r="J98" s="122"/>
      <c r="K98" s="121"/>
      <c r="L98" s="122"/>
      <c r="M98" s="123">
        <f t="shared" si="12"/>
        <v>2</v>
      </c>
      <c r="N98" s="124">
        <f t="shared" si="13"/>
        <v>1</v>
      </c>
    </row>
    <row r="99" spans="1:14" s="125" customFormat="1" ht="22" x14ac:dyDescent="0.2">
      <c r="A99" s="100">
        <v>90</v>
      </c>
      <c r="B99" s="254" t="s">
        <v>288</v>
      </c>
      <c r="C99" s="126" t="s">
        <v>1278</v>
      </c>
      <c r="D99" s="119">
        <v>0.9</v>
      </c>
      <c r="E99" s="126" t="s">
        <v>1284</v>
      </c>
      <c r="F99" s="120">
        <v>0.1</v>
      </c>
      <c r="G99" s="121"/>
      <c r="H99" s="122"/>
      <c r="I99" s="121"/>
      <c r="J99" s="122"/>
      <c r="K99" s="121"/>
      <c r="L99" s="122"/>
      <c r="M99" s="123">
        <f t="shared" ref="M99" si="14">+COUNTIF(C99:L99,"*")</f>
        <v>2</v>
      </c>
      <c r="N99" s="124">
        <f t="shared" ref="N99" si="15">+SUM(D99,F99,H99,J99,L99)</f>
        <v>1</v>
      </c>
    </row>
    <row r="100" spans="1:14" ht="22" x14ac:dyDescent="0.2">
      <c r="A100" s="100">
        <v>91</v>
      </c>
      <c r="B100" s="254" t="s">
        <v>194</v>
      </c>
      <c r="C100" s="126" t="s">
        <v>1279</v>
      </c>
      <c r="D100" s="119">
        <v>0.9</v>
      </c>
      <c r="E100" s="126" t="s">
        <v>1283</v>
      </c>
      <c r="F100" s="120">
        <v>0.1</v>
      </c>
      <c r="G100" s="121"/>
      <c r="H100" s="122"/>
      <c r="I100" s="121"/>
      <c r="J100" s="122"/>
      <c r="K100" s="121"/>
      <c r="L100" s="122"/>
      <c r="M100" s="123">
        <f t="shared" ref="M100:M103" si="16">+COUNTIF(C100:L100,"*")</f>
        <v>2</v>
      </c>
      <c r="N100" s="124">
        <f t="shared" ref="N100:N103" si="17">+SUM(D100,F100,H100,J100,L100)</f>
        <v>1</v>
      </c>
    </row>
    <row r="101" spans="1:14" ht="22" x14ac:dyDescent="0.2">
      <c r="A101" s="100">
        <v>92</v>
      </c>
      <c r="B101" s="254" t="s">
        <v>289</v>
      </c>
      <c r="C101" s="126" t="s">
        <v>1280</v>
      </c>
      <c r="D101" s="119">
        <v>1</v>
      </c>
      <c r="E101" s="126"/>
      <c r="F101" s="120"/>
      <c r="G101" s="121"/>
      <c r="H101" s="122"/>
      <c r="I101" s="121"/>
      <c r="J101" s="122"/>
      <c r="K101" s="121"/>
      <c r="L101" s="122"/>
      <c r="M101" s="123">
        <f t="shared" si="16"/>
        <v>1</v>
      </c>
      <c r="N101" s="124">
        <f t="shared" si="17"/>
        <v>1</v>
      </c>
    </row>
    <row r="102" spans="1:14" ht="22" x14ac:dyDescent="0.2">
      <c r="A102" s="100">
        <v>93</v>
      </c>
      <c r="B102" s="254" t="s">
        <v>290</v>
      </c>
      <c r="C102" s="126" t="s">
        <v>1281</v>
      </c>
      <c r="D102" s="119">
        <v>0.9</v>
      </c>
      <c r="E102" s="126" t="s">
        <v>1282</v>
      </c>
      <c r="F102" s="120">
        <v>0.1</v>
      </c>
      <c r="G102" s="121"/>
      <c r="H102" s="122"/>
      <c r="I102" s="121"/>
      <c r="J102" s="122"/>
      <c r="K102" s="121"/>
      <c r="L102" s="122"/>
      <c r="M102" s="123">
        <f t="shared" si="16"/>
        <v>2</v>
      </c>
      <c r="N102" s="124">
        <f t="shared" si="17"/>
        <v>1</v>
      </c>
    </row>
    <row r="103" spans="1:14" ht="22" x14ac:dyDescent="0.2">
      <c r="A103" s="100">
        <v>94</v>
      </c>
      <c r="B103" s="254" t="s">
        <v>291</v>
      </c>
      <c r="C103" s="126" t="s">
        <v>291</v>
      </c>
      <c r="D103" s="119">
        <v>1</v>
      </c>
      <c r="E103" s="126"/>
      <c r="F103" s="120"/>
      <c r="G103" s="121"/>
      <c r="H103" s="122"/>
      <c r="I103" s="121"/>
      <c r="J103" s="122"/>
      <c r="K103" s="121"/>
      <c r="L103" s="122"/>
      <c r="M103" s="123">
        <f t="shared" si="16"/>
        <v>1</v>
      </c>
      <c r="N103" s="124">
        <f t="shared" si="17"/>
        <v>1</v>
      </c>
    </row>
    <row r="104" spans="1:14" x14ac:dyDescent="0.2">
      <c r="B104" s="256"/>
    </row>
  </sheetData>
  <mergeCells count="16">
    <mergeCell ref="A1:P1"/>
    <mergeCell ref="E2:P2"/>
    <mergeCell ref="N5:N6"/>
    <mergeCell ref="A2:B3"/>
    <mergeCell ref="C2:D2"/>
    <mergeCell ref="C3:O3"/>
    <mergeCell ref="A8:N8"/>
    <mergeCell ref="A5:B6"/>
    <mergeCell ref="D5:E5"/>
    <mergeCell ref="D6:E6"/>
    <mergeCell ref="A4:B4"/>
    <mergeCell ref="C4:E4"/>
    <mergeCell ref="F4:G4"/>
    <mergeCell ref="H4:O4"/>
    <mergeCell ref="O5:O6"/>
    <mergeCell ref="F5:M6"/>
  </mergeCells>
  <phoneticPr fontId="13" type="noConversion"/>
  <conditionalFormatting sqref="N10:N103">
    <cfRule type="cellIs" dxfId="5245" priority="13" operator="equal">
      <formula>0</formula>
    </cfRule>
    <cfRule type="cellIs" dxfId="5244" priority="14" operator="lessThan">
      <formula>1</formula>
    </cfRule>
    <cfRule type="cellIs" dxfId="5243" priority="15" operator="greaterThan">
      <formula>1</formula>
    </cfRule>
    <cfRule type="cellIs" dxfId="5242" priority="16" operator="equal">
      <formula>1</formula>
    </cfRule>
  </conditionalFormatting>
  <pageMargins left="0.7" right="0.7" top="0.75" bottom="0.75" header="0.3" footer="0.3"/>
  <pageSetup scale="26"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N72"/>
  <sheetViews>
    <sheetView view="pageBreakPreview" topLeftCell="B65" zoomScale="55" zoomScaleNormal="25" zoomScaleSheetLayoutView="55" workbookViewId="0">
      <selection activeCell="D41" sqref="D41:F41"/>
    </sheetView>
  </sheetViews>
  <sheetFormatPr baseColWidth="10" defaultColWidth="11.5" defaultRowHeight="15" x14ac:dyDescent="0.2"/>
  <cols>
    <col min="1" max="1" width="5.5" customWidth="1"/>
    <col min="2" max="2" width="30.83203125" customWidth="1"/>
    <col min="3" max="3" width="63.1640625" customWidth="1"/>
    <col min="4" max="4" width="41.33203125" customWidth="1"/>
    <col min="5" max="5" width="41.1640625" customWidth="1"/>
    <col min="6" max="6" width="43.33203125" customWidth="1"/>
    <col min="7"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1</v>
      </c>
      <c r="B11" s="2" t="s">
        <v>58</v>
      </c>
      <c r="C11" s="413" t="str">
        <f>VLOOKUP(A11,PROPONENTES!A10:B94,2,FALSE)</f>
        <v>GRUPO METRO COLOMBIA SAS</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3</v>
      </c>
      <c r="J14" s="147">
        <f>+L8</f>
        <v>986.3076290832455</v>
      </c>
      <c r="K14" s="147">
        <f>+E22</f>
        <v>5703.7884354097678</v>
      </c>
      <c r="L14" s="18" t="str">
        <f>IF(K14&gt;=J14,"CUMPLE","NO CUMPLE")</f>
        <v>CUMPLE</v>
      </c>
    </row>
    <row r="15" spans="1:12" ht="33.75" customHeight="1" x14ac:dyDescent="0.2">
      <c r="B15" s="382"/>
      <c r="C15" s="92" t="str">
        <f>IF(VLOOKUP(C11,PROPONENTES!B10:N94,2,FALSE)=0,"",VLOOKUP(C11,PROPONENTES!B10:N94,2,FALSE))</f>
        <v>GRUPO METRO COLOMBIA SAS</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5703.7884354097678</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1901.262811803256</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3</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3</v>
      </c>
      <c r="J19" s="128">
        <v>1</v>
      </c>
      <c r="K19" s="387"/>
      <c r="L19" s="388"/>
    </row>
    <row r="20" spans="2:14" ht="50.25" customHeight="1" x14ac:dyDescent="0.2">
      <c r="B20" s="382"/>
      <c r="C20" s="92"/>
      <c r="D20" s="93"/>
      <c r="E20" s="94"/>
      <c r="F20" s="95"/>
      <c r="G20" s="96"/>
      <c r="H20" s="96"/>
      <c r="I20" s="128">
        <f>COUNTIFS(D60:J60,"CUMPLE",D67:J67,"CUMPLE")</f>
        <v>3</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3</v>
      </c>
      <c r="J21" s="128">
        <v>1</v>
      </c>
      <c r="K21" s="389"/>
      <c r="L21" s="390"/>
    </row>
    <row r="22" spans="2:14" ht="84.75" customHeight="1" x14ac:dyDescent="0.2">
      <c r="B22" s="29" t="s">
        <v>75</v>
      </c>
      <c r="C22" s="24">
        <f>+VLOOKUP(C11,PROPONENTES!B10:N94,12,FALSE)</f>
        <v>1</v>
      </c>
      <c r="D22" s="93">
        <f>+VLOOKUP(C11,PROPONENTES!B10:N94,13,FALSE)</f>
        <v>1</v>
      </c>
      <c r="E22" s="32">
        <f>SUM(E15:E21)</f>
        <v>5703.7884354097678</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198</v>
      </c>
      <c r="E26" s="84" t="s">
        <v>198</v>
      </c>
      <c r="F26" s="84" t="s">
        <v>198</v>
      </c>
      <c r="G26" s="84"/>
      <c r="H26" s="84"/>
      <c r="I26" s="84"/>
      <c r="J26" s="84"/>
      <c r="K26" s="391"/>
      <c r="L26" s="392"/>
    </row>
    <row r="27" spans="2:14" ht="39.75" customHeight="1" x14ac:dyDescent="0.2">
      <c r="B27" s="371" t="s">
        <v>80</v>
      </c>
      <c r="C27" s="372"/>
      <c r="D27" s="84"/>
      <c r="E27" s="84"/>
      <c r="F27" s="84"/>
      <c r="G27" s="84"/>
      <c r="H27" s="84"/>
      <c r="I27" s="84"/>
      <c r="J27" s="84"/>
      <c r="K27" s="391"/>
      <c r="L27" s="392"/>
    </row>
    <row r="28" spans="2:14" ht="39.75" customHeight="1" x14ac:dyDescent="0.2">
      <c r="B28" s="371" t="s">
        <v>81</v>
      </c>
      <c r="C28" s="372"/>
      <c r="D28" s="84"/>
      <c r="E28" s="84"/>
      <c r="F28" s="84"/>
      <c r="G28" s="84"/>
      <c r="H28" s="84"/>
      <c r="I28" s="84"/>
      <c r="J28" s="84"/>
      <c r="K28" s="391"/>
      <c r="L28" s="392"/>
    </row>
    <row r="29" spans="2:14" ht="45.75" customHeight="1" x14ac:dyDescent="0.2">
      <c r="B29" s="373" t="s">
        <v>82</v>
      </c>
      <c r="C29" s="25" t="s">
        <v>83</v>
      </c>
      <c r="D29" s="85" t="s">
        <v>295</v>
      </c>
      <c r="E29" s="85" t="s">
        <v>296</v>
      </c>
      <c r="F29" s="85" t="s">
        <v>297</v>
      </c>
      <c r="G29" s="85"/>
      <c r="H29" s="85"/>
      <c r="I29" s="85"/>
      <c r="J29" s="85"/>
      <c r="K29" s="391"/>
      <c r="L29" s="392"/>
    </row>
    <row r="30" spans="2:14" ht="156.75" customHeight="1" x14ac:dyDescent="0.2">
      <c r="B30" s="374"/>
      <c r="C30" s="25" t="s">
        <v>84</v>
      </c>
      <c r="D30" s="85" t="s">
        <v>292</v>
      </c>
      <c r="E30" s="85" t="s">
        <v>293</v>
      </c>
      <c r="F30" s="85" t="s">
        <v>294</v>
      </c>
      <c r="G30" s="85"/>
      <c r="H30" s="85"/>
      <c r="I30" s="85"/>
      <c r="J30" s="85"/>
      <c r="K30" s="391"/>
      <c r="L30" s="392"/>
    </row>
    <row r="31" spans="2:14" ht="52.5" customHeight="1" x14ac:dyDescent="0.2">
      <c r="B31" s="374"/>
      <c r="C31" s="25" t="s">
        <v>85</v>
      </c>
      <c r="D31" s="89">
        <v>38917</v>
      </c>
      <c r="E31" s="89">
        <v>41354</v>
      </c>
      <c r="F31" s="89">
        <v>43511</v>
      </c>
      <c r="G31" s="89"/>
      <c r="H31" s="89"/>
      <c r="I31" s="89"/>
      <c r="J31" s="89"/>
      <c r="K31" s="391"/>
      <c r="L31" s="392"/>
    </row>
    <row r="32" spans="2:14" ht="54.75" customHeight="1" x14ac:dyDescent="0.2">
      <c r="B32" s="374"/>
      <c r="C32" s="25" t="s">
        <v>86</v>
      </c>
      <c r="D32" s="89">
        <v>39286</v>
      </c>
      <c r="E32" s="89">
        <v>41702</v>
      </c>
      <c r="F32" s="89">
        <v>43875</v>
      </c>
      <c r="G32" s="89"/>
      <c r="H32" s="89"/>
      <c r="I32" s="89"/>
      <c r="J32" s="89"/>
      <c r="K32" s="391"/>
      <c r="L32" s="392"/>
    </row>
    <row r="33" spans="2:12" ht="41.25" customHeight="1" x14ac:dyDescent="0.2">
      <c r="B33" s="374"/>
      <c r="C33" s="25" t="s">
        <v>87</v>
      </c>
      <c r="D33" s="86">
        <v>2007</v>
      </c>
      <c r="E33" s="86">
        <v>2014</v>
      </c>
      <c r="F33" s="86">
        <v>2020</v>
      </c>
      <c r="G33" s="86"/>
      <c r="H33" s="86"/>
      <c r="I33" s="86"/>
      <c r="J33" s="86"/>
      <c r="K33" s="391"/>
      <c r="L33" s="392"/>
    </row>
    <row r="34" spans="2:12" ht="63" customHeight="1" x14ac:dyDescent="0.2">
      <c r="B34" s="374"/>
      <c r="C34" s="25" t="s">
        <v>88</v>
      </c>
      <c r="D34" s="85" t="s">
        <v>298</v>
      </c>
      <c r="E34" s="85" t="s">
        <v>298</v>
      </c>
      <c r="F34" s="85" t="s">
        <v>299</v>
      </c>
      <c r="G34" s="85"/>
      <c r="H34" s="85"/>
      <c r="I34" s="85"/>
      <c r="J34" s="85"/>
      <c r="K34" s="391"/>
      <c r="L34" s="392"/>
    </row>
    <row r="35" spans="2:12" ht="46.5" customHeight="1" x14ac:dyDescent="0.2">
      <c r="B35" s="374"/>
      <c r="C35" s="25" t="s">
        <v>89</v>
      </c>
      <c r="D35" s="85" t="s">
        <v>198</v>
      </c>
      <c r="E35" s="85" t="s">
        <v>198</v>
      </c>
      <c r="F35" s="85" t="s">
        <v>198</v>
      </c>
      <c r="G35" s="85"/>
      <c r="H35" s="85"/>
      <c r="I35" s="85"/>
      <c r="J35" s="85"/>
      <c r="K35" s="391"/>
      <c r="L35" s="392"/>
    </row>
    <row r="36" spans="2:12" ht="27.75" customHeight="1" x14ac:dyDescent="0.2">
      <c r="B36" s="374"/>
      <c r="C36" s="26" t="s">
        <v>90</v>
      </c>
      <c r="D36" s="90">
        <v>45</v>
      </c>
      <c r="E36" s="90">
        <v>57</v>
      </c>
      <c r="F36" s="90">
        <v>102</v>
      </c>
      <c r="G36" s="91"/>
      <c r="H36" s="91"/>
      <c r="I36" s="91"/>
      <c r="J36" s="91"/>
      <c r="K36" s="391"/>
      <c r="L36" s="392"/>
    </row>
    <row r="37" spans="2:12" ht="102.75" customHeight="1" x14ac:dyDescent="0.2">
      <c r="B37" s="374"/>
      <c r="C37" s="25" t="s">
        <v>91</v>
      </c>
      <c r="D37" s="87">
        <v>1370.47</v>
      </c>
      <c r="E37" s="158">
        <v>2789.54</v>
      </c>
      <c r="F37" s="87">
        <v>1822.7324354097673</v>
      </c>
      <c r="G37" s="87"/>
      <c r="H37" s="87"/>
      <c r="I37" s="87"/>
      <c r="J37" s="87"/>
      <c r="K37" s="426"/>
      <c r="L37" s="427"/>
    </row>
    <row r="38" spans="2:12" ht="48" customHeight="1" x14ac:dyDescent="0.2">
      <c r="B38" s="374"/>
      <c r="C38" s="25" t="s">
        <v>92</v>
      </c>
      <c r="D38" s="97">
        <f>IFERROR(D37*VLOOKUP(D33,'DATOS INICIALES'!$A$12:$B$50,2,0),"0")</f>
        <v>594372839</v>
      </c>
      <c r="E38" s="97">
        <f>IFERROR(E37*VLOOKUP(E33,'DATOS INICIALES'!$A$12:$B$50,2,0),"0")</f>
        <v>1718356640</v>
      </c>
      <c r="F38" s="97">
        <f>IFERROR(F37*VLOOKUP(F33,'DATOS INICIALES'!$A$12:$B$50,2,0),"0")</f>
        <v>1600000000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391"/>
      <c r="L38" s="392"/>
    </row>
    <row r="39" spans="2:12" ht="33.75" customHeight="1" x14ac:dyDescent="0.2">
      <c r="B39" s="374"/>
      <c r="C39" s="25" t="s">
        <v>93</v>
      </c>
      <c r="D39" s="88">
        <v>1</v>
      </c>
      <c r="E39" s="88">
        <v>0.9</v>
      </c>
      <c r="F39" s="88">
        <v>1</v>
      </c>
      <c r="G39" s="88"/>
      <c r="H39" s="88"/>
      <c r="I39" s="88"/>
      <c r="J39" s="88"/>
      <c r="K39" s="391"/>
      <c r="L39" s="392"/>
    </row>
    <row r="40" spans="2:12" ht="48.75" customHeight="1" x14ac:dyDescent="0.2">
      <c r="B40" s="374"/>
      <c r="C40" s="25" t="s">
        <v>94</v>
      </c>
      <c r="D40" s="97">
        <f t="shared" ref="D40:J40" si="0">IF(D26="","0",D39*D38)</f>
        <v>594372839</v>
      </c>
      <c r="E40" s="97">
        <f t="shared" si="0"/>
        <v>1546520976</v>
      </c>
      <c r="F40" s="97">
        <f t="shared" si="0"/>
        <v>1600000000</v>
      </c>
      <c r="G40" s="97" t="str">
        <f t="shared" si="0"/>
        <v>0</v>
      </c>
      <c r="H40" s="97" t="str">
        <f t="shared" si="0"/>
        <v>0</v>
      </c>
      <c r="I40" s="97" t="str">
        <f t="shared" si="0"/>
        <v>0</v>
      </c>
      <c r="J40" s="97" t="str">
        <f t="shared" si="0"/>
        <v>0</v>
      </c>
      <c r="K40" s="391"/>
      <c r="L40" s="392"/>
    </row>
    <row r="41" spans="2:12" ht="65.25" customHeight="1" x14ac:dyDescent="0.2">
      <c r="B41" s="374"/>
      <c r="C41" s="25" t="s">
        <v>95</v>
      </c>
      <c r="D41" s="98">
        <f t="shared" ref="D41:J41" si="1">IFERROR(D37*D39,"0")</f>
        <v>1370.47</v>
      </c>
      <c r="E41" s="98">
        <f t="shared" si="1"/>
        <v>2510.5860000000002</v>
      </c>
      <c r="F41" s="98">
        <f t="shared" si="1"/>
        <v>1822.7324354097673</v>
      </c>
      <c r="G41" s="98">
        <f t="shared" si="1"/>
        <v>0</v>
      </c>
      <c r="H41" s="98">
        <f t="shared" si="1"/>
        <v>0</v>
      </c>
      <c r="I41" s="98">
        <f t="shared" si="1"/>
        <v>0</v>
      </c>
      <c r="J41" s="98">
        <f t="shared" si="1"/>
        <v>0</v>
      </c>
      <c r="K41" s="391"/>
      <c r="L41" s="392"/>
    </row>
    <row r="42" spans="2:12" ht="65.25" customHeight="1" x14ac:dyDescent="0.2">
      <c r="B42" s="374"/>
      <c r="C42" s="25" t="s">
        <v>96</v>
      </c>
      <c r="D42" s="88"/>
      <c r="E42" s="88"/>
      <c r="F42" s="88"/>
      <c r="G42" s="88"/>
      <c r="H42" s="88"/>
      <c r="I42" s="88"/>
      <c r="J42" s="88"/>
      <c r="K42" s="391"/>
      <c r="L42" s="392"/>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391"/>
      <c r="L43" s="392"/>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391"/>
      <c r="L44" s="392"/>
    </row>
    <row r="45" spans="2:12" ht="65.25" customHeight="1" x14ac:dyDescent="0.2">
      <c r="B45" s="374"/>
      <c r="C45" s="25" t="s">
        <v>99</v>
      </c>
      <c r="D45" s="88"/>
      <c r="E45" s="88"/>
      <c r="F45" s="88"/>
      <c r="G45" s="88"/>
      <c r="H45" s="88"/>
      <c r="I45" s="88"/>
      <c r="J45" s="88"/>
      <c r="K45" s="391"/>
      <c r="L45" s="392"/>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391"/>
      <c r="L46" s="392"/>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391"/>
      <c r="L47" s="392"/>
    </row>
    <row r="48" spans="2:12" ht="65.25" customHeight="1" x14ac:dyDescent="0.2">
      <c r="B48" s="177"/>
      <c r="C48" s="26" t="s">
        <v>102</v>
      </c>
      <c r="D48" s="98">
        <f>+D41+D44+D47</f>
        <v>1370.47</v>
      </c>
      <c r="E48" s="98">
        <f t="shared" ref="E48:G48" si="6">+E41+E44+E47</f>
        <v>2510.5860000000002</v>
      </c>
      <c r="F48" s="98">
        <f t="shared" si="6"/>
        <v>1822.7324354097673</v>
      </c>
      <c r="G48" s="98">
        <f t="shared" si="6"/>
        <v>0</v>
      </c>
      <c r="H48" s="98">
        <f>+H41+H44+H47</f>
        <v>0</v>
      </c>
      <c r="I48" s="98">
        <f t="shared" ref="I48" si="7">+I41+I44+I47</f>
        <v>0</v>
      </c>
      <c r="J48" s="98">
        <f t="shared" ref="J48" si="8">+J41+J44+J47</f>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9">IF(E26="","N/A",IF(E50="SI","CUMPLE",IF(E51="SI","CUMPLE",IF(E52="SI","CUMPLE",IF(E53="SI","CUMPLE",IF(E54="SI","CUMPLE","NO CUMPLE"))))))</f>
        <v>CUMPLE</v>
      </c>
      <c r="F55" s="18" t="str">
        <f t="shared" si="9"/>
        <v>CUMPLE</v>
      </c>
      <c r="G55" s="18" t="str">
        <f t="shared" si="9"/>
        <v>N/A</v>
      </c>
      <c r="H55" s="18" t="str">
        <f t="shared" si="9"/>
        <v>N/A</v>
      </c>
      <c r="I55" s="18" t="str">
        <f t="shared" si="9"/>
        <v>N/A</v>
      </c>
      <c r="J55" s="18" t="str">
        <f t="shared" si="9"/>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N/A</v>
      </c>
      <c r="H67" s="18" t="str">
        <f t="shared" ref="H67:J67" si="10">IF(H26="","N/A",IF(AND(H49="CUMPLE",H55="CUMPLE",OR(H56="CUMPLE",H56="N/A"),OR(H59="CUMPLE",H59="N/A"),H62="CUMPLE",H63="CUMPLE",OR(H64="CUMPLE",H64="N/A"),H65="CUMPLE",OR(H66="CUMPLE",H66="N/A")),"CUMPLE","NO CUMPLE"))</f>
        <v>N/A</v>
      </c>
      <c r="I67" s="18" t="str">
        <f t="shared" si="10"/>
        <v>N/A</v>
      </c>
      <c r="J67" s="18" t="str">
        <f t="shared" si="10"/>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63">
    <mergeCell ref="B71:C71"/>
    <mergeCell ref="B72:C72"/>
    <mergeCell ref="B69:E69"/>
    <mergeCell ref="B70:C70"/>
    <mergeCell ref="B67:C67"/>
    <mergeCell ref="B66:C66"/>
    <mergeCell ref="B50:B55"/>
    <mergeCell ref="B56:C56"/>
    <mergeCell ref="B62:C62"/>
    <mergeCell ref="B61:C61"/>
    <mergeCell ref="B58:C58"/>
    <mergeCell ref="B60:C60"/>
    <mergeCell ref="B57:C57"/>
    <mergeCell ref="B59:C59"/>
    <mergeCell ref="K29:L29"/>
    <mergeCell ref="K33:L33"/>
    <mergeCell ref="B64:C64"/>
    <mergeCell ref="B63:C63"/>
    <mergeCell ref="B65:C65"/>
    <mergeCell ref="K36:L36"/>
    <mergeCell ref="K46:L46"/>
    <mergeCell ref="K37:L37"/>
    <mergeCell ref="K38:L38"/>
    <mergeCell ref="K39:L39"/>
    <mergeCell ref="K40:L40"/>
    <mergeCell ref="K41:L41"/>
    <mergeCell ref="K47:L47"/>
    <mergeCell ref="K43:L43"/>
    <mergeCell ref="K44:L44"/>
    <mergeCell ref="K45:L45"/>
    <mergeCell ref="I22:L22"/>
    <mergeCell ref="K25:L25"/>
    <mergeCell ref="K26:L26"/>
    <mergeCell ref="K27:L27"/>
    <mergeCell ref="K28:L28"/>
    <mergeCell ref="C8:I8"/>
    <mergeCell ref="C9:I9"/>
    <mergeCell ref="C10:I10"/>
    <mergeCell ref="C11:G11"/>
    <mergeCell ref="B12:L12"/>
    <mergeCell ref="I11:L11"/>
    <mergeCell ref="B2:L2"/>
    <mergeCell ref="B3:L3"/>
    <mergeCell ref="B4:L4"/>
    <mergeCell ref="B5:L5"/>
    <mergeCell ref="B7:I7"/>
    <mergeCell ref="J7:L7"/>
    <mergeCell ref="B13:H13"/>
    <mergeCell ref="B27:C27"/>
    <mergeCell ref="B26:C26"/>
    <mergeCell ref="B28:C28"/>
    <mergeCell ref="B29:B47"/>
    <mergeCell ref="B23:L23"/>
    <mergeCell ref="B24:L24"/>
    <mergeCell ref="B14:B21"/>
    <mergeCell ref="K17:L17"/>
    <mergeCell ref="K18:L21"/>
    <mergeCell ref="K31:L31"/>
    <mergeCell ref="K32:L32"/>
    <mergeCell ref="K30:L30"/>
    <mergeCell ref="K42:L42"/>
    <mergeCell ref="K34:L34"/>
    <mergeCell ref="K35:L35"/>
  </mergeCells>
  <conditionalFormatting sqref="D71">
    <cfRule type="cellIs" dxfId="5241" priority="61" operator="equal">
      <formula>"CUMPLE"</formula>
    </cfRule>
    <cfRule type="cellIs" dxfId="5240" priority="60" operator="equal">
      <formula>"NO CUMPLE"</formula>
    </cfRule>
    <cfRule type="notContainsErrors" dxfId="5239" priority="59">
      <formula>NOT(ISERROR(D71))</formula>
    </cfRule>
    <cfRule type="containsBlanks" dxfId="5238" priority="58">
      <formula>LEN(TRIM(D71))=0</formula>
    </cfRule>
  </conditionalFormatting>
  <conditionalFormatting sqref="D72">
    <cfRule type="cellIs" dxfId="5237" priority="62" operator="equal">
      <formula>"N/A"</formula>
    </cfRule>
    <cfRule type="cellIs" dxfId="5236" priority="63" operator="equal">
      <formula>"CUMPLE"</formula>
    </cfRule>
    <cfRule type="cellIs" dxfId="5235" priority="64" operator="equal">
      <formula>"NO CUMPLE"</formula>
    </cfRule>
    <cfRule type="cellIs" dxfId="5234" priority="65" operator="equal">
      <formula>"""CUMPLE"""</formula>
    </cfRule>
  </conditionalFormatting>
  <conditionalFormatting sqref="D27:J37">
    <cfRule type="notContainsErrors" dxfId="5233" priority="50">
      <formula>NOT(ISERROR(D27))</formula>
    </cfRule>
    <cfRule type="containsBlanks" dxfId="5232" priority="49">
      <formula>LEN(TRIM(D27))=0</formula>
    </cfRule>
  </conditionalFormatting>
  <conditionalFormatting sqref="D36:J36 D26:K26">
    <cfRule type="containsBlanks" dxfId="5231" priority="51">
      <formula>LEN(TRIM(D26))=0</formula>
    </cfRule>
  </conditionalFormatting>
  <conditionalFormatting sqref="D39:J39">
    <cfRule type="containsBlanks" dxfId="5230" priority="47">
      <formula>LEN(TRIM(D39))=0</formula>
    </cfRule>
    <cfRule type="notContainsErrors" dxfId="5229" priority="48">
      <formula>NOT(ISERROR(D39))</formula>
    </cfRule>
  </conditionalFormatting>
  <conditionalFormatting sqref="D42:J42 D45:J45">
    <cfRule type="containsBlanks" dxfId="5228" priority="132">
      <formula>LEN(TRIM(D42))=0</formula>
    </cfRule>
    <cfRule type="notContainsErrors" dxfId="5227" priority="133">
      <formula>NOT(ISERROR(D42))</formula>
    </cfRule>
  </conditionalFormatting>
  <conditionalFormatting sqref="D49:J54">
    <cfRule type="notContainsErrors" dxfId="5226" priority="14">
      <formula>NOT(ISERROR(D49))</formula>
    </cfRule>
    <cfRule type="cellIs" dxfId="5225" priority="11" operator="equal">
      <formula>"NO CUMPLE"</formula>
    </cfRule>
    <cfRule type="containsBlanks" dxfId="5224" priority="13">
      <formula>LEN(TRIM(D49))=0</formula>
    </cfRule>
    <cfRule type="cellIs" dxfId="5223" priority="12" operator="equal">
      <formula>"CUMPLE"</formula>
    </cfRule>
  </conditionalFormatting>
  <conditionalFormatting sqref="D55:J55">
    <cfRule type="cellIs" dxfId="5222" priority="22" operator="equal">
      <formula>"CUMPLE"</formula>
    </cfRule>
    <cfRule type="cellIs" dxfId="5221" priority="21" operator="equal">
      <formula>"N/A"</formula>
    </cfRule>
    <cfRule type="cellIs" dxfId="5220" priority="24" operator="equal">
      <formula>"""CUMPLE"""</formula>
    </cfRule>
    <cfRule type="cellIs" dxfId="5219" priority="23" operator="equal">
      <formula>"NO CUMPLE"</formula>
    </cfRule>
  </conditionalFormatting>
  <conditionalFormatting sqref="D56:J66">
    <cfRule type="cellIs" dxfId="5218" priority="5" operator="equal">
      <formula>"NO CUMPLE"</formula>
    </cfRule>
    <cfRule type="notContainsErrors" dxfId="5217" priority="8">
      <formula>NOT(ISERROR(D56))</formula>
    </cfRule>
    <cfRule type="cellIs" dxfId="5216" priority="6" operator="equal">
      <formula>"CUMPLE"</formula>
    </cfRule>
    <cfRule type="containsBlanks" dxfId="5215" priority="7">
      <formula>LEN(TRIM(D56))=0</formula>
    </cfRule>
  </conditionalFormatting>
  <conditionalFormatting sqref="D67:J67">
    <cfRule type="cellIs" dxfId="5214" priority="20" operator="equal">
      <formula>"""CUMPLE"""</formula>
    </cfRule>
    <cfRule type="cellIs" dxfId="5213" priority="17" operator="equal">
      <formula>"N/A"</formula>
    </cfRule>
    <cfRule type="cellIs" dxfId="5212" priority="19" operator="equal">
      <formula>"NO CUMPLE"</formula>
    </cfRule>
    <cfRule type="cellIs" dxfId="5211" priority="18" operator="equal">
      <formula>"CUMPLE"</formula>
    </cfRule>
  </conditionalFormatting>
  <conditionalFormatting sqref="D26:K26 D36:J36">
    <cfRule type="notContainsErrors" dxfId="5210" priority="52">
      <formula>NOT(ISERROR(D26))</formula>
    </cfRule>
  </conditionalFormatting>
  <conditionalFormatting sqref="D62:K66">
    <cfRule type="containsBlanks" dxfId="5209" priority="9">
      <formula>LEN(TRIM(D62))=0</formula>
    </cfRule>
    <cfRule type="notContainsErrors" dxfId="5208" priority="10">
      <formula>NOT(ISERROR(D62))</formula>
    </cfRule>
  </conditionalFormatting>
  <conditionalFormatting sqref="E71:E72">
    <cfRule type="notContainsErrors" dxfId="5207" priority="57">
      <formula>NOT(ISERROR(E71))</formula>
    </cfRule>
    <cfRule type="containsBlanks" dxfId="5206" priority="56">
      <formula>LEN(TRIM(E71))=0</formula>
    </cfRule>
  </conditionalFormatting>
  <conditionalFormatting sqref="F22:H22">
    <cfRule type="cellIs" dxfId="5205" priority="187" operator="equal">
      <formula>"CUMPLE"</formula>
    </cfRule>
    <cfRule type="cellIs" dxfId="5204" priority="188" operator="equal">
      <formula>"NO CUMPLE"</formula>
    </cfRule>
    <cfRule type="cellIs" dxfId="5203" priority="189" operator="equal">
      <formula>"""CUMPLE"""</formula>
    </cfRule>
  </conditionalFormatting>
  <conditionalFormatting sqref="G63:J63">
    <cfRule type="containsBlanks" dxfId="5202" priority="1">
      <formula>LEN(TRIM(G63))=0</formula>
    </cfRule>
    <cfRule type="notContainsErrors" dxfId="5201" priority="2">
      <formula>NOT(ISERROR(G63))</formula>
    </cfRule>
  </conditionalFormatting>
  <conditionalFormatting sqref="I11">
    <cfRule type="containsText" dxfId="5200" priority="227" operator="containsText" text="NO CUMPLE">
      <formula>NOT(ISERROR(SEARCH("NO CUMPLE",I11)))</formula>
    </cfRule>
    <cfRule type="containsText" dxfId="5199" priority="214" operator="containsText" text="HABILITADO">
      <formula>NOT(ISERROR(SEARCH("HABILITADO",I11)))</formula>
    </cfRule>
    <cfRule type="containsText" dxfId="5198" priority="213" operator="containsText" text="HABILITADO">
      <formula>NOT(ISERROR(SEARCH("HABILITADO",I11)))</formula>
    </cfRule>
    <cfRule type="containsText" dxfId="5197" priority="212" operator="containsText" text="INHABILITADO">
      <formula>NOT(ISERROR(SEARCH("INHABILITADO",I11)))</formula>
    </cfRule>
  </conditionalFormatting>
  <conditionalFormatting sqref="K18:K20">
    <cfRule type="cellIs" dxfId="5196" priority="54" operator="equal">
      <formula>"NO CUMPLE"</formula>
    </cfRule>
    <cfRule type="cellIs" dxfId="5195" priority="53" operator="equal">
      <formula>"CUMPLE"</formula>
    </cfRule>
    <cfRule type="cellIs" dxfId="5194" priority="55" operator="equal">
      <formula>"""CUMPLE"""</formula>
    </cfRule>
  </conditionalFormatting>
  <conditionalFormatting sqref="K27:K61 D62:J62">
    <cfRule type="notContainsErrors" dxfId="5193" priority="4">
      <formula>NOT(ISERROR(D27))</formula>
    </cfRule>
    <cfRule type="containsBlanks" dxfId="5192" priority="3">
      <formula>LEN(TRIM(D27))=0</formula>
    </cfRule>
  </conditionalFormatting>
  <conditionalFormatting sqref="K67:L67">
    <cfRule type="containsBlanks" dxfId="5191" priority="15">
      <formula>LEN(TRIM(K67))=0</formula>
    </cfRule>
    <cfRule type="notContainsErrors" dxfId="5190" priority="16">
      <formula>NOT(ISERROR(K67))</formula>
    </cfRule>
  </conditionalFormatting>
  <conditionalFormatting sqref="L14">
    <cfRule type="cellIs" dxfId="5189" priority="185" operator="equal">
      <formula>"NO CUMPLE"</formula>
    </cfRule>
    <cfRule type="cellIs" dxfId="5188" priority="184" operator="equal">
      <formula>"CUMPLE"</formula>
    </cfRule>
    <cfRule type="cellIs" dxfId="5187" priority="186" operator="equal">
      <formula>"""CUMPLE"""</formula>
    </cfRule>
  </conditionalFormatting>
  <dataValidations count="2">
    <dataValidation type="list" allowBlank="1" showInputMessage="1" showErrorMessage="1" sqref="D26:J28" xr:uid="{00000000-0002-0000-0400-000000000000}">
      <formula1>$C$15:$C$21</formula1>
    </dataValidation>
    <dataValidation type="list" allowBlank="1" showInputMessage="1" showErrorMessage="1" sqref="L62:L67" xr:uid="{00000000-0002-0000-04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0400-000002000000}">
          <x14:formula1>
            <xm:f>'DATOS INICIALES'!$A$13:$A$50</xm:f>
          </x14:formula1>
          <xm:sqref>G33:I33</xm:sqref>
        </x14:dataValidation>
        <x14:dataValidation type="list" allowBlank="1" showInputMessage="1" showErrorMessage="1" xr:uid="{00000000-0002-0000-0400-000003000000}">
          <x14:formula1>
            <xm:f>'DATOS INICIALES'!$A$61:$A$66</xm:f>
          </x14:formula1>
          <xm:sqref>D25:I25</xm:sqref>
        </x14:dataValidation>
        <x14:dataValidation type="list" allowBlank="1" showInputMessage="1" showErrorMessage="1" xr:uid="{00000000-0002-0000-0400-000004000000}">
          <x14:formula1>
            <xm:f>'DATOS INICIALES'!$A$57:$A$59</xm:f>
          </x14:formula1>
          <xm:sqref>D71 D56:J66</xm:sqref>
        </x14:dataValidation>
        <x14:dataValidation type="list" allowBlank="1" showInputMessage="1" showErrorMessage="1" xr:uid="{00000000-0002-0000-0400-000005000000}">
          <x14:formula1>
            <xm:f>'DATOS INICIALES'!$C$52:$C$53</xm:f>
          </x14:formula1>
          <xm:sqref>D53:J54</xm:sqref>
        </x14:dataValidation>
        <x14:dataValidation type="list" allowBlank="1" showInputMessage="1" showErrorMessage="1" xr:uid="{00000000-0002-0000-0400-000006000000}">
          <x14:formula1>
            <xm:f>'DATOS INICIALES'!$A$61:$A$67</xm:f>
          </x14:formula1>
          <xm:sqref>J25</xm:sqref>
        </x14:dataValidation>
        <x14:dataValidation type="list" allowBlank="1" showInputMessage="1" showErrorMessage="1" xr:uid="{00000000-0002-0000-0400-000007000000}">
          <x14:formula1>
            <xm:f>'DATOS INICIALES'!$A$57:$A$58</xm:f>
          </x14:formula1>
          <xm:sqref>D49:J49</xm:sqref>
        </x14:dataValidation>
        <x14:dataValidation type="list" allowBlank="1" showInputMessage="1" showErrorMessage="1" xr:uid="{00000000-0002-0000-0400-000008000000}">
          <x14:formula1>
            <xm:f>'DATOS INICIALES'!$D$27:$D$29</xm:f>
          </x14:formula1>
          <xm:sqref>M50:M55</xm:sqref>
        </x14:dataValidation>
        <x14:dataValidation type="list" allowBlank="1" showInputMessage="1" showErrorMessage="1" xr:uid="{00000000-0002-0000-0400-000009000000}">
          <x14:formula1>
            <xm:f>'DATOS INICIALES'!$C$52:$C$54</xm:f>
          </x14:formula1>
          <xm:sqref>D50:J52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R47"/>
  <sheetViews>
    <sheetView workbookViewId="0"/>
  </sheetViews>
  <sheetFormatPr baseColWidth="10" defaultColWidth="11.5" defaultRowHeight="15" x14ac:dyDescent="0.2"/>
  <cols>
    <col min="1" max="1" width="4.1640625" style="16" customWidth="1"/>
    <col min="2" max="2" width="26.83203125" style="16" customWidth="1"/>
    <col min="3" max="3" width="26.6640625" style="16" customWidth="1"/>
    <col min="4" max="4" width="7.83203125" style="34" customWidth="1"/>
    <col min="5" max="5" width="12" style="62" customWidth="1"/>
    <col min="6" max="6" width="29.83203125" style="16" customWidth="1"/>
    <col min="7" max="7" width="26.33203125" style="16" customWidth="1"/>
    <col min="8" max="8" width="26.5" style="16" customWidth="1"/>
    <col min="9" max="9" width="23.5" style="16" customWidth="1"/>
    <col min="10" max="10" width="24.6640625" style="16" customWidth="1"/>
    <col min="11" max="11" width="20.33203125" style="16" customWidth="1"/>
    <col min="12" max="12" width="16.5" style="16" customWidth="1"/>
    <col min="13" max="13" width="16.5" style="16" bestFit="1" customWidth="1"/>
    <col min="14" max="14" width="16.5" style="16" customWidth="1"/>
    <col min="15" max="15" width="18.6640625" style="16" customWidth="1"/>
    <col min="16" max="16" width="16.33203125" style="16" customWidth="1"/>
    <col min="17" max="17" width="16.5" style="16" customWidth="1"/>
    <col min="18" max="18" width="48.5" style="16" customWidth="1"/>
    <col min="19" max="16384" width="11.5" style="16"/>
  </cols>
  <sheetData>
    <row r="1" spans="1:18" x14ac:dyDescent="0.2">
      <c r="A1" s="24"/>
      <c r="B1" s="82"/>
      <c r="C1" s="82"/>
      <c r="D1" s="82"/>
      <c r="E1" s="82"/>
      <c r="F1" s="82"/>
      <c r="G1" s="82"/>
      <c r="H1" s="82"/>
      <c r="I1" s="82"/>
      <c r="J1" s="82"/>
      <c r="K1" s="82"/>
      <c r="L1" s="82"/>
      <c r="M1" s="82"/>
      <c r="N1" s="82"/>
      <c r="O1" s="82"/>
      <c r="P1" s="82"/>
      <c r="Q1" s="24"/>
      <c r="R1" s="24"/>
    </row>
    <row r="2" spans="1:18" ht="19" x14ac:dyDescent="0.25">
      <c r="A2" s="463" t="s">
        <v>112</v>
      </c>
      <c r="B2" s="463"/>
      <c r="C2" s="463"/>
      <c r="D2" s="463"/>
      <c r="E2" s="463"/>
      <c r="F2" s="463"/>
      <c r="G2" s="463"/>
      <c r="H2" s="463"/>
      <c r="I2" s="463"/>
      <c r="J2" s="463"/>
      <c r="K2" s="463"/>
      <c r="L2" s="463"/>
      <c r="M2" s="463"/>
      <c r="N2" s="463"/>
      <c r="O2" s="463"/>
      <c r="P2" s="463"/>
      <c r="Q2" s="463"/>
      <c r="R2" s="463"/>
    </row>
    <row r="3" spans="1:18" x14ac:dyDescent="0.2">
      <c r="A3" s="451"/>
      <c r="B3" s="451"/>
      <c r="C3" s="451"/>
      <c r="D3" s="451"/>
      <c r="E3" s="451"/>
      <c r="F3" s="451"/>
      <c r="G3" s="451"/>
      <c r="H3" s="451"/>
      <c r="I3" s="451"/>
      <c r="J3" s="451"/>
      <c r="K3" s="451"/>
      <c r="L3" s="451"/>
      <c r="M3" s="451"/>
      <c r="N3" s="451"/>
      <c r="O3" s="451"/>
      <c r="P3" s="451"/>
      <c r="Q3" s="451"/>
      <c r="R3" s="451"/>
    </row>
    <row r="4" spans="1:18" ht="19" x14ac:dyDescent="0.25">
      <c r="A4" s="463" t="str">
        <f>'DATOS INICIALES'!G4</f>
        <v xml:space="preserve"> FDLUSA-CMA-003-2025</v>
      </c>
      <c r="B4" s="463"/>
      <c r="C4" s="463"/>
      <c r="D4" s="463"/>
      <c r="E4" s="463"/>
      <c r="F4" s="463"/>
      <c r="G4" s="463"/>
      <c r="H4" s="463"/>
      <c r="I4" s="463"/>
      <c r="J4" s="463"/>
      <c r="K4" s="463"/>
      <c r="L4" s="463"/>
      <c r="M4" s="463"/>
      <c r="N4" s="463"/>
      <c r="O4" s="463"/>
      <c r="P4" s="463"/>
      <c r="Q4" s="463"/>
      <c r="R4" s="463"/>
    </row>
    <row r="5" spans="1:18" x14ac:dyDescent="0.2">
      <c r="A5" s="451"/>
      <c r="B5" s="451"/>
      <c r="C5" s="451"/>
      <c r="D5" s="451"/>
      <c r="E5" s="451"/>
      <c r="F5" s="451"/>
      <c r="G5" s="451"/>
      <c r="H5" s="451"/>
      <c r="I5" s="451"/>
      <c r="J5" s="451"/>
      <c r="K5" s="451"/>
      <c r="L5" s="451"/>
      <c r="M5" s="451"/>
      <c r="N5" s="451"/>
      <c r="O5" s="451"/>
      <c r="P5" s="451"/>
      <c r="Q5" s="451"/>
      <c r="R5" s="451"/>
    </row>
    <row r="6" spans="1:18" x14ac:dyDescent="0.2">
      <c r="A6" s="459" t="s">
        <v>48</v>
      </c>
      <c r="B6" s="459"/>
      <c r="C6" s="60" t="s">
        <v>49</v>
      </c>
      <c r="D6" s="460" t="s">
        <v>50</v>
      </c>
      <c r="E6" s="460"/>
      <c r="F6" s="460"/>
      <c r="G6" s="81">
        <v>44498</v>
      </c>
      <c r="H6" s="464"/>
      <c r="I6" s="464"/>
      <c r="J6" s="464"/>
      <c r="K6" s="464"/>
      <c r="L6" s="464"/>
      <c r="M6" s="464"/>
      <c r="N6" s="464"/>
      <c r="O6" s="464"/>
      <c r="P6" s="464"/>
      <c r="Q6" s="464"/>
      <c r="R6" s="464"/>
    </row>
    <row r="7" spans="1:18" x14ac:dyDescent="0.2">
      <c r="A7" s="466" t="s">
        <v>52</v>
      </c>
      <c r="B7" s="466"/>
      <c r="C7" s="466"/>
      <c r="D7" s="466"/>
      <c r="E7" s="466"/>
      <c r="F7" s="466"/>
      <c r="G7" s="466"/>
      <c r="H7" s="466"/>
      <c r="I7" s="466"/>
      <c r="J7" s="466"/>
      <c r="K7" s="466"/>
      <c r="L7" s="466"/>
      <c r="M7" s="466"/>
      <c r="N7" s="466"/>
      <c r="O7" s="466"/>
      <c r="P7" s="466"/>
      <c r="Q7" s="466"/>
      <c r="R7" s="466"/>
    </row>
    <row r="8" spans="1:18" ht="36" customHeight="1" x14ac:dyDescent="0.2">
      <c r="A8" s="461" t="s">
        <v>54</v>
      </c>
      <c r="B8" s="461"/>
      <c r="C8" s="46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67"/>
      <c r="E8" s="467"/>
      <c r="F8" s="467"/>
      <c r="G8" s="467"/>
      <c r="H8" s="467"/>
      <c r="I8" s="467"/>
      <c r="J8" s="467"/>
      <c r="K8" s="467"/>
      <c r="L8" s="467"/>
      <c r="M8" s="467"/>
      <c r="N8" s="467"/>
      <c r="O8" s="467"/>
      <c r="P8" s="467"/>
      <c r="Q8" s="467"/>
      <c r="R8" s="467"/>
    </row>
    <row r="9" spans="1:18" x14ac:dyDescent="0.2">
      <c r="A9" s="461" t="s">
        <v>56</v>
      </c>
      <c r="B9" s="461"/>
      <c r="C9" s="465">
        <f>+'DATOS INICIALES'!C6</f>
        <v>0</v>
      </c>
      <c r="D9" s="465"/>
      <c r="E9" s="465"/>
      <c r="F9" s="56" t="s">
        <v>113</v>
      </c>
      <c r="G9" s="58">
        <v>4</v>
      </c>
      <c r="H9" s="465"/>
      <c r="I9" s="465"/>
      <c r="J9" s="465"/>
      <c r="K9" s="465"/>
      <c r="L9" s="465"/>
      <c r="M9" s="465"/>
      <c r="N9" s="465"/>
      <c r="O9" s="465"/>
      <c r="P9" s="465"/>
      <c r="Q9" s="465"/>
      <c r="R9" s="465"/>
    </row>
    <row r="10" spans="1:18" x14ac:dyDescent="0.2">
      <c r="A10" s="461" t="s">
        <v>57</v>
      </c>
      <c r="B10" s="461"/>
      <c r="C10" s="462">
        <f>C9/'DATOS INICIALES'!B50</f>
        <v>0</v>
      </c>
      <c r="D10" s="462"/>
      <c r="E10" s="462"/>
      <c r="F10" s="57" t="s">
        <v>114</v>
      </c>
      <c r="G10" s="59">
        <v>0</v>
      </c>
      <c r="H10" s="462"/>
      <c r="I10" s="462"/>
      <c r="J10" s="462"/>
      <c r="K10" s="462"/>
      <c r="L10" s="462"/>
      <c r="M10" s="462"/>
      <c r="N10" s="462"/>
      <c r="O10" s="462"/>
      <c r="P10" s="462"/>
      <c r="Q10" s="462"/>
      <c r="R10" s="462"/>
    </row>
    <row r="11" spans="1:18" ht="9" customHeight="1" x14ac:dyDescent="0.2">
      <c r="E11" s="34"/>
    </row>
    <row r="12" spans="1:18" ht="81" thickBot="1" x14ac:dyDescent="0.25">
      <c r="A12" s="39" t="s">
        <v>37</v>
      </c>
      <c r="B12" s="39" t="s">
        <v>58</v>
      </c>
      <c r="C12" s="39" t="s">
        <v>66</v>
      </c>
      <c r="D12" s="39" t="s">
        <v>115</v>
      </c>
      <c r="E12" s="39" t="s">
        <v>116</v>
      </c>
      <c r="F12" s="39" t="s">
        <v>117</v>
      </c>
      <c r="G12" s="39" t="s">
        <v>118</v>
      </c>
      <c r="H12" s="39" t="s">
        <v>119</v>
      </c>
      <c r="I12" s="39" t="s">
        <v>120</v>
      </c>
      <c r="J12" s="39" t="s">
        <v>121</v>
      </c>
      <c r="K12" s="39" t="s">
        <v>122</v>
      </c>
      <c r="L12" s="39" t="s">
        <v>123</v>
      </c>
      <c r="M12" s="39" t="s">
        <v>124</v>
      </c>
      <c r="N12" s="39" t="s">
        <v>125</v>
      </c>
      <c r="O12" s="39" t="s">
        <v>126</v>
      </c>
      <c r="P12" s="39" t="s">
        <v>127</v>
      </c>
      <c r="Q12" s="39" t="s">
        <v>128</v>
      </c>
      <c r="R12" s="39" t="s">
        <v>78</v>
      </c>
    </row>
    <row r="13" spans="1:18" ht="16" x14ac:dyDescent="0.2">
      <c r="A13" s="447">
        <v>1</v>
      </c>
      <c r="B13" s="450" t="str">
        <f>+PROPONENTES!B10</f>
        <v>GRUPO METRO COLOMBIA SAS</v>
      </c>
      <c r="C13" s="40" t="str">
        <f>IF(VLOOKUP(B13,PROPONENTES!$B$10:$N$16,2,FALSE)="","",VLOOKUP(B13,PROPONENTES!$B$10:$N$16,2,FALSE))</f>
        <v>GRUPO METRO COLOMBIA SAS</v>
      </c>
      <c r="D13" s="41">
        <f>VLOOKUP(B13,PROPONENTES!$B$10:$N$16,3,FALSE)</f>
        <v>1</v>
      </c>
      <c r="E13" s="101" t="s">
        <v>24</v>
      </c>
      <c r="F13" s="102" t="s">
        <v>26</v>
      </c>
      <c r="G13" s="102" t="s">
        <v>24</v>
      </c>
      <c r="H13" s="103" t="s">
        <v>24</v>
      </c>
      <c r="I13" s="102" t="s">
        <v>24</v>
      </c>
      <c r="J13" s="104" t="s">
        <v>23</v>
      </c>
      <c r="K13" s="104" t="s">
        <v>24</v>
      </c>
      <c r="L13" s="104" t="s">
        <v>24</v>
      </c>
      <c r="M13" s="105" t="s">
        <v>24</v>
      </c>
      <c r="N13" s="40" t="str">
        <f t="shared" ref="N13:N47" si="0">IF(C13="","N/A",IF(AND(OR(E13="CUMPLE",E13="N/A"),OR(F13="CUMPLE",F13="N/A"),OR(G13="CUMPLE",G13="N/A"),OR(H13="CUMPLE",H13="N/A"),OR(I13="CUMPLE",I13="N/A"),OR(J13="CUMPLE",J13="N/A"),OR(K13="CUMPLE",K13="N/A"),OR(L13="CUMPLE",L13="N/A"),OR(M13="CUMPLE",M13="N/A")),"CUMPLE","NO CUMPLE"))</f>
        <v>NO CUMPLE</v>
      </c>
      <c r="O13" s="453" t="e">
        <f>+'K RESIDUAL CALCULO'!N13</f>
        <v>#DIV/0!</v>
      </c>
      <c r="P13" s="454">
        <f>IF($G$9&lt;=12,$C$9-$G$10*$C$9,(($C$9-$G$10)/$G$9)*12)</f>
        <v>0</v>
      </c>
      <c r="Q13" s="457" t="e">
        <f>IF(AND(O13&gt;=P13,OR(N13="CUMPLE",N13="N/A"),OR(N14="CUMPLE",N14="N/A"),OR(N15="CUMPLE",N15="N/A"),OR(N16="CUMPLE",N16="N/A")*OR(N17="CUMPLE",N17="N/A")),"CUMPLE","NO CUMPLE")</f>
        <v>#DIV/0!</v>
      </c>
      <c r="R13" s="446"/>
    </row>
    <row r="14" spans="1:18" ht="16" x14ac:dyDescent="0.2">
      <c r="A14" s="448"/>
      <c r="B14" s="451"/>
      <c r="C14" s="24" t="str">
        <f>IF(VLOOKUP(B13,PROPONENTES!$B$10:$N$16,4,FALSE)="","",VLOOKUP(B13,PROPONENTES!$B$10:$N$16,4,FALSE))</f>
        <v/>
      </c>
      <c r="D14" s="33">
        <f>VLOOKUP(B13,PROPONENTES!$B$10:$N$16,5,FALSE)</f>
        <v>0</v>
      </c>
      <c r="E14" s="106" t="s">
        <v>24</v>
      </c>
      <c r="F14" s="107" t="s">
        <v>26</v>
      </c>
      <c r="G14" s="107" t="s">
        <v>24</v>
      </c>
      <c r="H14" s="108" t="s">
        <v>24</v>
      </c>
      <c r="I14" s="107" t="s">
        <v>24</v>
      </c>
      <c r="J14" s="109" t="s">
        <v>23</v>
      </c>
      <c r="K14" s="109" t="s">
        <v>24</v>
      </c>
      <c r="L14" s="109" t="s">
        <v>24</v>
      </c>
      <c r="M14" s="107" t="s">
        <v>24</v>
      </c>
      <c r="N14" s="24" t="str">
        <f t="shared" si="0"/>
        <v>N/A</v>
      </c>
      <c r="O14" s="451"/>
      <c r="P14" s="455"/>
      <c r="Q14" s="327"/>
      <c r="R14" s="444"/>
    </row>
    <row r="15" spans="1:18" ht="16" x14ac:dyDescent="0.2">
      <c r="A15" s="448"/>
      <c r="B15" s="451"/>
      <c r="C15" s="24" t="str">
        <f>IF(VLOOKUP(B13,PROPONENTES!$B$10:$N$16,6,FALSE)="","",VLOOKUP(B13,PROPONENTES!$B$10:$N$16,6,FALSE))</f>
        <v/>
      </c>
      <c r="D15" s="33">
        <f>VLOOKUP(B13,PROPONENTES!$B$10:$N$16,7,FALSE)</f>
        <v>0</v>
      </c>
      <c r="E15" s="106"/>
      <c r="F15" s="107"/>
      <c r="G15" s="107"/>
      <c r="H15" s="108"/>
      <c r="I15" s="107"/>
      <c r="J15" s="109"/>
      <c r="K15" s="109"/>
      <c r="L15" s="109"/>
      <c r="M15" s="107"/>
      <c r="N15" s="24" t="str">
        <f t="shared" si="0"/>
        <v>N/A</v>
      </c>
      <c r="O15" s="451"/>
      <c r="P15" s="455"/>
      <c r="Q15" s="327"/>
      <c r="R15" s="444"/>
    </row>
    <row r="16" spans="1:18" ht="16" x14ac:dyDescent="0.2">
      <c r="A16" s="448"/>
      <c r="B16" s="451"/>
      <c r="C16" s="24" t="str">
        <f>IF(VLOOKUP(B13,PROPONENTES!$B$10:$N$16,8,FALSE)="","",VLOOKUP(B13,PROPONENTES!$B$10:$N$16,8,FALSE))</f>
        <v/>
      </c>
      <c r="D16" s="33">
        <f>VLOOKUP(B13,PROPONENTES!$B$10:$N$16,9,FALSE)</f>
        <v>0</v>
      </c>
      <c r="E16" s="106"/>
      <c r="F16" s="106"/>
      <c r="G16" s="106"/>
      <c r="H16" s="106"/>
      <c r="I16" s="106"/>
      <c r="J16" s="106"/>
      <c r="K16" s="106"/>
      <c r="L16" s="106"/>
      <c r="M16" s="106"/>
      <c r="N16" s="24" t="str">
        <f t="shared" si="0"/>
        <v>N/A</v>
      </c>
      <c r="O16" s="451"/>
      <c r="P16" s="455"/>
      <c r="Q16" s="327"/>
      <c r="R16" s="444"/>
    </row>
    <row r="17" spans="1:18" ht="17" thickBot="1" x14ac:dyDescent="0.25">
      <c r="A17" s="449"/>
      <c r="B17" s="452"/>
      <c r="C17" s="45" t="str">
        <f>IF(VLOOKUP(B13,PROPONENTES!$B$10:$N$16,8,FALSE)="","",VLOOKUP(B13,PROPONENTES!$B$10:$N$16,10,FALSE))</f>
        <v/>
      </c>
      <c r="D17" s="46">
        <f>VLOOKUP(B13,PROPONENTES!$B$10:$N$16,11,FALSE)</f>
        <v>0</v>
      </c>
      <c r="E17" s="110"/>
      <c r="F17" s="110"/>
      <c r="G17" s="110"/>
      <c r="H17" s="110"/>
      <c r="I17" s="110"/>
      <c r="J17" s="110"/>
      <c r="K17" s="110"/>
      <c r="L17" s="110"/>
      <c r="M17" s="110"/>
      <c r="N17" s="45" t="str">
        <f t="shared" si="0"/>
        <v>N/A</v>
      </c>
      <c r="O17" s="452"/>
      <c r="P17" s="456"/>
      <c r="Q17" s="458"/>
      <c r="R17" s="445"/>
    </row>
    <row r="18" spans="1:18" ht="66" customHeight="1" x14ac:dyDescent="0.2">
      <c r="A18" s="447">
        <v>2</v>
      </c>
      <c r="B18" s="450" t="str">
        <f>+PROPONENTES!B11</f>
        <v>CONSORCIO INTERVIAS USAQUEN AI</v>
      </c>
      <c r="C18" s="40" t="str">
        <f>IF(VLOOKUP(B18,PROPONENTES!$B$10:$N$16,2,FALSE)="","",VLOOKUP(B18,PROPONENTES!$B$10:$N$16,2,FALSE))</f>
        <v>AIRTIFICIAL   CW INFRASTRUCTURES
COLOMBIA S.A.S.</v>
      </c>
      <c r="D18" s="41">
        <f>VLOOKUP(B18,PROPONENTES!$B$10:$N$16,3,FALSE)</f>
        <v>0.7</v>
      </c>
      <c r="E18" s="101" t="s">
        <v>24</v>
      </c>
      <c r="F18" s="102" t="s">
        <v>23</v>
      </c>
      <c r="G18" s="102" t="s">
        <v>26</v>
      </c>
      <c r="H18" s="103" t="s">
        <v>26</v>
      </c>
      <c r="I18" s="102" t="s">
        <v>26</v>
      </c>
      <c r="J18" s="104" t="s">
        <v>23</v>
      </c>
      <c r="K18" s="104" t="s">
        <v>24</v>
      </c>
      <c r="L18" s="104" t="s">
        <v>24</v>
      </c>
      <c r="M18" s="105" t="s">
        <v>26</v>
      </c>
      <c r="N18" s="40" t="str">
        <f t="shared" si="0"/>
        <v>NO CUMPLE</v>
      </c>
      <c r="O18" s="453" t="e">
        <f>+'K RESIDUAL CALCULO'!N18</f>
        <v>#DIV/0!</v>
      </c>
      <c r="P18" s="454">
        <f t="shared" ref="P18" si="1">IF($G$9&lt;=12,$C$9-$G$10*$C$9,(($C$9-$G$10)/$G$9)*12)</f>
        <v>0</v>
      </c>
      <c r="Q18" s="457" t="e">
        <f t="shared" ref="Q18" si="2">IF(AND(O18&gt;=P18,OR(N18="CUMPLE",N18="N/A"),OR(N19="CUMPLE",N19="N/A"),OR(N20="CUMPLE",N20="N/A"),OR(N21="CUMPLE",N21="N/A")*OR(N22="CUMPLE",N22="N/A")),"CUMPLE","NO CUMPLE")</f>
        <v>#DIV/0!</v>
      </c>
      <c r="R18" s="443" t="s">
        <v>129</v>
      </c>
    </row>
    <row r="19" spans="1:18" ht="66" customHeight="1" x14ac:dyDescent="0.2">
      <c r="A19" s="448"/>
      <c r="B19" s="451"/>
      <c r="C19" s="24" t="str">
        <f>IF(VLOOKUP(B18,PROPONENTES!$B$10:$N$16,4,FALSE)="","",VLOOKUP(B18,PROPONENTES!$B$10:$N$16,4,FALSE))</f>
        <v xml:space="preserve">INNOBRAS LTDA </v>
      </c>
      <c r="D19" s="33">
        <f>VLOOKUP(B18,PROPONENTES!$B$10:$N$16,5,FALSE)</f>
        <v>0.3</v>
      </c>
      <c r="E19" s="106"/>
      <c r="F19" s="107"/>
      <c r="G19" s="107"/>
      <c r="H19" s="108"/>
      <c r="I19" s="107"/>
      <c r="J19" s="109"/>
      <c r="K19" s="109"/>
      <c r="L19" s="109"/>
      <c r="M19" s="107"/>
      <c r="N19" s="24" t="str">
        <f t="shared" si="0"/>
        <v>NO CUMPLE</v>
      </c>
      <c r="O19" s="451"/>
      <c r="P19" s="455"/>
      <c r="Q19" s="327"/>
      <c r="R19" s="444"/>
    </row>
    <row r="20" spans="1:18" ht="66" customHeight="1" x14ac:dyDescent="0.2">
      <c r="A20" s="448"/>
      <c r="B20" s="451"/>
      <c r="C20" s="24" t="str">
        <f>IF(VLOOKUP(B18,PROPONENTES!$B$10:$N$16,6,FALSE)="","",VLOOKUP(B18,PROPONENTES!$B$10:$N$16,6,FALSE))</f>
        <v/>
      </c>
      <c r="D20" s="33">
        <f>VLOOKUP(B18,PROPONENTES!$B$10:$N$16,7,FALSE)</f>
        <v>0</v>
      </c>
      <c r="E20" s="106"/>
      <c r="F20" s="107"/>
      <c r="G20" s="107"/>
      <c r="H20" s="108"/>
      <c r="I20" s="107"/>
      <c r="J20" s="109"/>
      <c r="K20" s="109"/>
      <c r="L20" s="109"/>
      <c r="M20" s="107"/>
      <c r="N20" s="24" t="str">
        <f t="shared" si="0"/>
        <v>N/A</v>
      </c>
      <c r="O20" s="451"/>
      <c r="P20" s="455"/>
      <c r="Q20" s="327"/>
      <c r="R20" s="444"/>
    </row>
    <row r="21" spans="1:18" ht="66" customHeight="1" x14ac:dyDescent="0.2">
      <c r="A21" s="448"/>
      <c r="B21" s="451"/>
      <c r="C21" s="24" t="str">
        <f>IF(VLOOKUP(B18,PROPONENTES!$B$10:$N$16,8,FALSE)="","",VLOOKUP(B18,PROPONENTES!$B$10:$N$16,8,FALSE))</f>
        <v/>
      </c>
      <c r="D21" s="33">
        <f>VLOOKUP(B18,PROPONENTES!$B$10:$N$16,9,FALSE)</f>
        <v>0</v>
      </c>
      <c r="E21" s="106"/>
      <c r="F21" s="106"/>
      <c r="G21" s="106"/>
      <c r="H21" s="106"/>
      <c r="I21" s="106"/>
      <c r="J21" s="106"/>
      <c r="K21" s="106"/>
      <c r="L21" s="106"/>
      <c r="M21" s="106"/>
      <c r="N21" s="24" t="str">
        <f t="shared" si="0"/>
        <v>N/A</v>
      </c>
      <c r="O21" s="451"/>
      <c r="P21" s="455"/>
      <c r="Q21" s="327"/>
      <c r="R21" s="444"/>
    </row>
    <row r="22" spans="1:18" ht="66" customHeight="1" thickBot="1" x14ac:dyDescent="0.25">
      <c r="A22" s="449"/>
      <c r="B22" s="452"/>
      <c r="C22" s="45" t="str">
        <f>IF(VLOOKUP(B18,PROPONENTES!$B$10:$N$16,8,FALSE)="","",VLOOKUP(B18,PROPONENTES!$B$10:$N$16,10,FALSE))</f>
        <v/>
      </c>
      <c r="D22" s="46">
        <f>VLOOKUP(B18,PROPONENTES!$B$10:$N$16,11,FALSE)</f>
        <v>0</v>
      </c>
      <c r="E22" s="110"/>
      <c r="F22" s="110"/>
      <c r="G22" s="110"/>
      <c r="H22" s="110"/>
      <c r="I22" s="110"/>
      <c r="J22" s="110"/>
      <c r="K22" s="110"/>
      <c r="L22" s="110"/>
      <c r="M22" s="110"/>
      <c r="N22" s="45" t="str">
        <f t="shared" si="0"/>
        <v>N/A</v>
      </c>
      <c r="O22" s="452"/>
      <c r="P22" s="456"/>
      <c r="Q22" s="458"/>
      <c r="R22" s="445"/>
    </row>
    <row r="23" spans="1:18" ht="56.25" customHeight="1" x14ac:dyDescent="0.2">
      <c r="A23" s="447">
        <v>3</v>
      </c>
      <c r="B23" s="450" t="str">
        <f>+PROPONENTES!B12</f>
        <v>CONSORCIO PROYECTA VIAL</v>
      </c>
      <c r="C23" s="40" t="str">
        <f>IF(VLOOKUP(B23,PROPONENTES!$B$10:$N$16,2,FALSE)="","",VLOOKUP(B23,PROPONENTES!$B$10:$N$16,2,FALSE))</f>
        <v>GRUPO POSSO S.A.S.</v>
      </c>
      <c r="D23" s="41">
        <f>VLOOKUP(B23,PROPONENTES!$B$10:$N$16,3,FALSE)</f>
        <v>0.9</v>
      </c>
      <c r="E23" s="101" t="s">
        <v>24</v>
      </c>
      <c r="F23" s="102" t="s">
        <v>23</v>
      </c>
      <c r="G23" s="102" t="s">
        <v>26</v>
      </c>
      <c r="H23" s="103" t="s">
        <v>26</v>
      </c>
      <c r="I23" s="102" t="s">
        <v>26</v>
      </c>
      <c r="J23" s="104" t="s">
        <v>23</v>
      </c>
      <c r="K23" s="104" t="s">
        <v>24</v>
      </c>
      <c r="L23" s="104" t="s">
        <v>24</v>
      </c>
      <c r="M23" s="105" t="s">
        <v>24</v>
      </c>
      <c r="N23" s="40" t="str">
        <f t="shared" si="0"/>
        <v>NO CUMPLE</v>
      </c>
      <c r="O23" s="453" t="e">
        <f>+'K RESIDUAL CALCULO'!N23</f>
        <v>#DIV/0!</v>
      </c>
      <c r="P23" s="454">
        <f t="shared" ref="P23" si="3">IF($G$9&lt;=12,$C$9-$G$10*$C$9,(($C$9-$G$10)/$G$9)*12)</f>
        <v>0</v>
      </c>
      <c r="Q23" s="457" t="e">
        <f t="shared" ref="Q23" si="4">IF(AND(O23&gt;=P23,OR(N23="CUMPLE",N23="N/A"),OR(N24="CUMPLE",N24="N/A"),OR(N25="CUMPLE",N25="N/A"),OR(N26="CUMPLE",N26="N/A")*OR(N27="CUMPLE",N27="N/A")),"CUMPLE","NO CUMPLE")</f>
        <v>#DIV/0!</v>
      </c>
      <c r="R23" s="443" t="s">
        <v>130</v>
      </c>
    </row>
    <row r="24" spans="1:18" ht="56.25" customHeight="1" x14ac:dyDescent="0.2">
      <c r="A24" s="448"/>
      <c r="B24" s="451"/>
      <c r="C24" s="24" t="str">
        <f>IF(VLOOKUP(B23,PROPONENTES!$B$10:$N$16,4,FALSE)="","",VLOOKUP(B23,PROPONENTES!$B$10:$N$16,4,FALSE))</f>
        <v xml:space="preserve">INGENIERÍA MONCADA GONZÁLEZ Y ASOCIADOS S.A.S. </v>
      </c>
      <c r="D24" s="33">
        <f>VLOOKUP(B23,PROPONENTES!$B$10:$N$16,5,FALSE)</f>
        <v>0.1</v>
      </c>
      <c r="E24" s="106"/>
      <c r="F24" s="107"/>
      <c r="G24" s="107"/>
      <c r="H24" s="108"/>
      <c r="I24" s="107"/>
      <c r="J24" s="109"/>
      <c r="K24" s="109"/>
      <c r="L24" s="109"/>
      <c r="M24" s="107"/>
      <c r="N24" s="24" t="str">
        <f t="shared" si="0"/>
        <v>NO CUMPLE</v>
      </c>
      <c r="O24" s="451"/>
      <c r="P24" s="455"/>
      <c r="Q24" s="327"/>
      <c r="R24" s="444"/>
    </row>
    <row r="25" spans="1:18" ht="56.25" customHeight="1" x14ac:dyDescent="0.2">
      <c r="A25" s="448"/>
      <c r="B25" s="451"/>
      <c r="C25" s="24" t="str">
        <f>IF(VLOOKUP(B23,PROPONENTES!$B$10:$N$16,6,FALSE)="","",VLOOKUP(B23,PROPONENTES!$B$10:$N$16,6,FALSE))</f>
        <v/>
      </c>
      <c r="D25" s="33">
        <f>VLOOKUP(B23,PROPONENTES!$B$10:$N$16,7,FALSE)</f>
        <v>0</v>
      </c>
      <c r="E25" s="106"/>
      <c r="F25" s="107"/>
      <c r="G25" s="107"/>
      <c r="H25" s="108"/>
      <c r="I25" s="107"/>
      <c r="J25" s="109"/>
      <c r="K25" s="109"/>
      <c r="L25" s="109"/>
      <c r="M25" s="107"/>
      <c r="N25" s="24" t="str">
        <f t="shared" si="0"/>
        <v>N/A</v>
      </c>
      <c r="O25" s="451"/>
      <c r="P25" s="455"/>
      <c r="Q25" s="327"/>
      <c r="R25" s="444"/>
    </row>
    <row r="26" spans="1:18" ht="56.25" customHeight="1" x14ac:dyDescent="0.2">
      <c r="A26" s="448"/>
      <c r="B26" s="451"/>
      <c r="C26" s="24" t="str">
        <f>IF(VLOOKUP(B23,PROPONENTES!$B$10:$N$16,8,FALSE)="","",VLOOKUP(B23,PROPONENTES!$B$10:$N$16,8,FALSE))</f>
        <v/>
      </c>
      <c r="D26" s="33">
        <f>VLOOKUP(B23,PROPONENTES!$B$10:$N$16,9,FALSE)</f>
        <v>0</v>
      </c>
      <c r="E26" s="106"/>
      <c r="F26" s="106"/>
      <c r="G26" s="106"/>
      <c r="H26" s="106"/>
      <c r="I26" s="106"/>
      <c r="J26" s="106"/>
      <c r="K26" s="106"/>
      <c r="L26" s="106"/>
      <c r="M26" s="106"/>
      <c r="N26" s="24" t="str">
        <f t="shared" si="0"/>
        <v>N/A</v>
      </c>
      <c r="O26" s="451"/>
      <c r="P26" s="455"/>
      <c r="Q26" s="327"/>
      <c r="R26" s="444"/>
    </row>
    <row r="27" spans="1:18" ht="56.25" customHeight="1" thickBot="1" x14ac:dyDescent="0.25">
      <c r="A27" s="449"/>
      <c r="B27" s="452"/>
      <c r="C27" s="45" t="str">
        <f>IF(VLOOKUP(B23,PROPONENTES!$B$10:$N$16,8,FALSE)="","",VLOOKUP(B23,PROPONENTES!$B$10:$N$16,10,FALSE))</f>
        <v/>
      </c>
      <c r="D27" s="46">
        <f>VLOOKUP(B23,PROPONENTES!$B$10:$N$16,11,FALSE)</f>
        <v>0</v>
      </c>
      <c r="E27" s="110"/>
      <c r="F27" s="110"/>
      <c r="G27" s="110"/>
      <c r="H27" s="110"/>
      <c r="I27" s="110"/>
      <c r="J27" s="110"/>
      <c r="K27" s="110"/>
      <c r="L27" s="110"/>
      <c r="M27" s="110"/>
      <c r="N27" s="45" t="str">
        <f t="shared" si="0"/>
        <v>N/A</v>
      </c>
      <c r="O27" s="452"/>
      <c r="P27" s="456"/>
      <c r="Q27" s="458"/>
      <c r="R27" s="445"/>
    </row>
    <row r="28" spans="1:18" ht="57" customHeight="1" x14ac:dyDescent="0.2">
      <c r="A28" s="447">
        <v>4</v>
      </c>
      <c r="B28" s="450" t="str">
        <f>+PROPONENTES!B13</f>
        <v>PROYECTOS E INTERVENTORIAS S.A.S.</v>
      </c>
      <c r="C28" s="40" t="str">
        <f>IF(VLOOKUP(B28,PROPONENTES!$B$10:$N$16,2,FALSE)="","",VLOOKUP(B28,PROPONENTES!$B$10:$N$16,2,FALSE))</f>
        <v>PROYECTOS E INTERVENTORIAS S.A.S.</v>
      </c>
      <c r="D28" s="41">
        <f>VLOOKUP(B28,PROPONENTES!$B$10:$N$16,3,FALSE)</f>
        <v>1</v>
      </c>
      <c r="E28" s="101" t="s">
        <v>24</v>
      </c>
      <c r="F28" s="102" t="s">
        <v>24</v>
      </c>
      <c r="G28" s="102" t="s">
        <v>24</v>
      </c>
      <c r="H28" s="103" t="s">
        <v>24</v>
      </c>
      <c r="I28" s="102" t="s">
        <v>24</v>
      </c>
      <c r="J28" s="104" t="s">
        <v>23</v>
      </c>
      <c r="K28" s="104" t="s">
        <v>24</v>
      </c>
      <c r="L28" s="104" t="s">
        <v>24</v>
      </c>
      <c r="M28" s="105" t="s">
        <v>24</v>
      </c>
      <c r="N28" s="40" t="str">
        <f t="shared" si="0"/>
        <v>CUMPLE</v>
      </c>
      <c r="O28" s="453" t="e">
        <f>+'K RESIDUAL CALCULO'!N28</f>
        <v>#DIV/0!</v>
      </c>
      <c r="P28" s="454">
        <f t="shared" ref="P28" si="5">IF($G$9&lt;=12,$C$9-$G$10*$C$9,(($C$9-$G$10)/$G$9)*12)</f>
        <v>0</v>
      </c>
      <c r="Q28" s="457" t="e">
        <f t="shared" ref="Q28" si="6">IF(AND(O28&gt;=P28,OR(N28="CUMPLE",N28="N/A"),OR(N29="CUMPLE",N29="N/A"),OR(N30="CUMPLE",N30="N/A"),OR(N31="CUMPLE",N31="N/A")*OR(N32="CUMPLE",N32="N/A")),"CUMPLE","NO CUMPLE")</f>
        <v>#DIV/0!</v>
      </c>
      <c r="R28" s="446" t="s">
        <v>131</v>
      </c>
    </row>
    <row r="29" spans="1:18" ht="35.25" customHeight="1" x14ac:dyDescent="0.2">
      <c r="A29" s="448"/>
      <c r="B29" s="451"/>
      <c r="C29" s="24" t="str">
        <f>IF(VLOOKUP(B28,PROPONENTES!$B$10:$N$16,4,FALSE)="","",VLOOKUP(B28,PROPONENTES!$B$10:$N$16,4,FALSE))</f>
        <v/>
      </c>
      <c r="D29" s="33">
        <f>VLOOKUP(B28,PROPONENTES!$B$10:$N$16,5,FALSE)</f>
        <v>0</v>
      </c>
      <c r="E29" s="106" t="s">
        <v>24</v>
      </c>
      <c r="F29" s="107" t="s">
        <v>24</v>
      </c>
      <c r="G29" s="107" t="s">
        <v>24</v>
      </c>
      <c r="H29" s="108" t="s">
        <v>26</v>
      </c>
      <c r="I29" s="107" t="s">
        <v>24</v>
      </c>
      <c r="J29" s="109" t="s">
        <v>23</v>
      </c>
      <c r="K29" s="109" t="s">
        <v>24</v>
      </c>
      <c r="L29" s="109" t="s">
        <v>24</v>
      </c>
      <c r="M29" s="107" t="s">
        <v>24</v>
      </c>
      <c r="N29" s="24" t="str">
        <f t="shared" si="0"/>
        <v>N/A</v>
      </c>
      <c r="O29" s="451"/>
      <c r="P29" s="455"/>
      <c r="Q29" s="327"/>
      <c r="R29" s="444"/>
    </row>
    <row r="30" spans="1:18" ht="16" x14ac:dyDescent="0.2">
      <c r="A30" s="448"/>
      <c r="B30" s="451"/>
      <c r="C30" s="24" t="str">
        <f>IF(VLOOKUP(B28,PROPONENTES!$B$10:$N$16,6,FALSE)="","",VLOOKUP(B28,PROPONENTES!$B$10:$N$16,6,FALSE))</f>
        <v/>
      </c>
      <c r="D30" s="33">
        <f>VLOOKUP(B28,PROPONENTES!$B$10:$N$16,7,FALSE)</f>
        <v>0</v>
      </c>
      <c r="E30" s="106"/>
      <c r="F30" s="107"/>
      <c r="G30" s="107"/>
      <c r="H30" s="108"/>
      <c r="I30" s="107"/>
      <c r="J30" s="109"/>
      <c r="K30" s="109"/>
      <c r="L30" s="109"/>
      <c r="M30" s="107"/>
      <c r="N30" s="24" t="str">
        <f t="shared" si="0"/>
        <v>N/A</v>
      </c>
      <c r="O30" s="451"/>
      <c r="P30" s="455"/>
      <c r="Q30" s="327"/>
      <c r="R30" s="444"/>
    </row>
    <row r="31" spans="1:18" ht="16" x14ac:dyDescent="0.2">
      <c r="A31" s="448"/>
      <c r="B31" s="451"/>
      <c r="C31" s="24" t="str">
        <f>IF(VLOOKUP(B28,PROPONENTES!$B$10:$N$16,8,FALSE)="","",VLOOKUP(B28,PROPONENTES!$B$10:$N$16,8,FALSE))</f>
        <v/>
      </c>
      <c r="D31" s="33">
        <f>VLOOKUP(B28,PROPONENTES!$B$10:$N$16,9,FALSE)</f>
        <v>0</v>
      </c>
      <c r="E31" s="106"/>
      <c r="F31" s="106"/>
      <c r="G31" s="106"/>
      <c r="H31" s="106"/>
      <c r="I31" s="106"/>
      <c r="J31" s="106"/>
      <c r="K31" s="106"/>
      <c r="L31" s="106"/>
      <c r="M31" s="106"/>
      <c r="N31" s="24" t="str">
        <f t="shared" si="0"/>
        <v>N/A</v>
      </c>
      <c r="O31" s="451"/>
      <c r="P31" s="455"/>
      <c r="Q31" s="327"/>
      <c r="R31" s="444"/>
    </row>
    <row r="32" spans="1:18" ht="17" thickBot="1" x14ac:dyDescent="0.25">
      <c r="A32" s="449"/>
      <c r="B32" s="452"/>
      <c r="C32" s="45" t="str">
        <f>IF(VLOOKUP(B28,PROPONENTES!$B$10:$N$16,8,FALSE)="","",VLOOKUP(B28,PROPONENTES!$B$10:$N$16,10,FALSE))</f>
        <v/>
      </c>
      <c r="D32" s="46">
        <f>VLOOKUP(B28,PROPONENTES!$B$10:$N$16,11,FALSE)</f>
        <v>0</v>
      </c>
      <c r="E32" s="110"/>
      <c r="F32" s="110"/>
      <c r="G32" s="110"/>
      <c r="H32" s="110"/>
      <c r="I32" s="110"/>
      <c r="J32" s="110"/>
      <c r="K32" s="110"/>
      <c r="L32" s="110"/>
      <c r="M32" s="110"/>
      <c r="N32" s="45" t="str">
        <f t="shared" si="0"/>
        <v>N/A</v>
      </c>
      <c r="O32" s="452"/>
      <c r="P32" s="456"/>
      <c r="Q32" s="458"/>
      <c r="R32" s="445"/>
    </row>
    <row r="33" spans="1:18" ht="48" customHeight="1" x14ac:dyDescent="0.2">
      <c r="A33" s="447">
        <v>5</v>
      </c>
      <c r="B33" s="450" t="str">
        <f>+PROPONENTES!B14</f>
        <v>CONSORCIO GAB VIAL USAQUEN 2025</v>
      </c>
      <c r="C33" s="40" t="str">
        <f>IF(VLOOKUP(B33,PROPONENTES!$B$10:$N$16,2,FALSE)="","",VLOOKUP(B33,PROPONENTES!$B$10:$N$16,2,FALSE))</f>
        <v>GAB INGENIERIA SAS</v>
      </c>
      <c r="D33" s="41">
        <f>VLOOKUP(B33,PROPONENTES!$B$10:$N$16,3,FALSE)</f>
        <v>0.5</v>
      </c>
      <c r="E33" s="101" t="s">
        <v>24</v>
      </c>
      <c r="F33" s="102" t="s">
        <v>26</v>
      </c>
      <c r="G33" s="102" t="s">
        <v>26</v>
      </c>
      <c r="H33" s="102" t="s">
        <v>26</v>
      </c>
      <c r="I33" s="102" t="s">
        <v>26</v>
      </c>
      <c r="J33" s="104" t="s">
        <v>23</v>
      </c>
      <c r="K33" s="104" t="s">
        <v>26</v>
      </c>
      <c r="L33" s="104" t="s">
        <v>26</v>
      </c>
      <c r="M33" s="105" t="s">
        <v>26</v>
      </c>
      <c r="N33" s="40" t="str">
        <f t="shared" si="0"/>
        <v>NO CUMPLE</v>
      </c>
      <c r="O33" s="453" t="e">
        <f>+'K RESIDUAL CALCULO'!N33</f>
        <v>#DIV/0!</v>
      </c>
      <c r="P33" s="454">
        <f t="shared" ref="P33" si="7">IF($G$9&lt;=12,$C$9-$G$10*$C$9,(($C$9-$G$10)/$G$9)*12)</f>
        <v>0</v>
      </c>
      <c r="Q33" s="457" t="e">
        <f t="shared" ref="Q33" si="8">IF(AND(O33&gt;=P33,OR(N33="CUMPLE",N33="N/A"),OR(N34="CUMPLE",N34="N/A"),OR(N35="CUMPLE",N35="N/A"),OR(N36="CUMPLE",N36="N/A")*OR(N37="CUMPLE",N37="N/A")),"CUMPLE","NO CUMPLE")</f>
        <v>#DIV/0!</v>
      </c>
      <c r="R33" s="446" t="s">
        <v>132</v>
      </c>
    </row>
    <row r="34" spans="1:18" ht="36.75" customHeight="1" x14ac:dyDescent="0.2">
      <c r="A34" s="448"/>
      <c r="B34" s="451"/>
      <c r="C34" s="24" t="str">
        <f>IF(VLOOKUP(B33,PROPONENTES!$B$10:$N$16,4,FALSE)="","",VLOOKUP(B33,PROPONENTES!$B$10:$N$16,4,FALSE))</f>
        <v>BIA INGENIERIA SAS</v>
      </c>
      <c r="D34" s="33">
        <f>VLOOKUP(B33,PROPONENTES!$B$10:$N$16,5,FALSE)</f>
        <v>0.5</v>
      </c>
      <c r="E34" s="106" t="s">
        <v>24</v>
      </c>
      <c r="F34" s="107" t="s">
        <v>26</v>
      </c>
      <c r="G34" s="107" t="s">
        <v>26</v>
      </c>
      <c r="H34" s="108" t="s">
        <v>26</v>
      </c>
      <c r="I34" s="107" t="s">
        <v>26</v>
      </c>
      <c r="J34" s="109" t="s">
        <v>23</v>
      </c>
      <c r="K34" s="109" t="s">
        <v>26</v>
      </c>
      <c r="L34" s="109" t="s">
        <v>26</v>
      </c>
      <c r="M34" s="107" t="s">
        <v>24</v>
      </c>
      <c r="N34" s="24" t="str">
        <f t="shared" si="0"/>
        <v>NO CUMPLE</v>
      </c>
      <c r="O34" s="451"/>
      <c r="P34" s="455"/>
      <c r="Q34" s="327"/>
      <c r="R34" s="444"/>
    </row>
    <row r="35" spans="1:18" ht="16" x14ac:dyDescent="0.2">
      <c r="A35" s="448"/>
      <c r="B35" s="451"/>
      <c r="C35" s="24" t="str">
        <f>IF(VLOOKUP(B33,PROPONENTES!$B$10:$N$16,6,FALSE)="","",VLOOKUP(B33,PROPONENTES!$B$10:$N$16,6,FALSE))</f>
        <v/>
      </c>
      <c r="D35" s="33">
        <f>VLOOKUP(B33,PROPONENTES!$B$10:$N$16,7,FALSE)</f>
        <v>0</v>
      </c>
      <c r="E35" s="106"/>
      <c r="F35" s="107"/>
      <c r="G35" s="107"/>
      <c r="H35" s="108"/>
      <c r="I35" s="107"/>
      <c r="J35" s="109"/>
      <c r="K35" s="109"/>
      <c r="L35" s="109"/>
      <c r="M35" s="107"/>
      <c r="N35" s="24" t="str">
        <f t="shared" si="0"/>
        <v>N/A</v>
      </c>
      <c r="O35" s="451"/>
      <c r="P35" s="455"/>
      <c r="Q35" s="327"/>
      <c r="R35" s="444"/>
    </row>
    <row r="36" spans="1:18" ht="16" x14ac:dyDescent="0.2">
      <c r="A36" s="448"/>
      <c r="B36" s="451"/>
      <c r="C36" s="24" t="str">
        <f>IF(VLOOKUP(B33,PROPONENTES!$B$10:$N$16,8,FALSE)="","",VLOOKUP(B33,PROPONENTES!$B$10:$N$16,8,FALSE))</f>
        <v/>
      </c>
      <c r="D36" s="33">
        <f>VLOOKUP(B33,PROPONENTES!$B$10:$N$16,9,FALSE)</f>
        <v>0</v>
      </c>
      <c r="E36" s="106"/>
      <c r="F36" s="106"/>
      <c r="G36" s="106"/>
      <c r="H36" s="106"/>
      <c r="I36" s="106"/>
      <c r="J36" s="106"/>
      <c r="K36" s="106"/>
      <c r="L36" s="106"/>
      <c r="M36" s="106"/>
      <c r="N36" s="24" t="str">
        <f t="shared" si="0"/>
        <v>N/A</v>
      </c>
      <c r="O36" s="451"/>
      <c r="P36" s="455"/>
      <c r="Q36" s="327"/>
      <c r="R36" s="444"/>
    </row>
    <row r="37" spans="1:18" ht="17" thickBot="1" x14ac:dyDescent="0.25">
      <c r="A37" s="449"/>
      <c r="B37" s="452"/>
      <c r="C37" s="45" t="str">
        <f>IF(VLOOKUP(B33,PROPONENTES!$B$10:$N$16,8,FALSE)="","",VLOOKUP(B33,PROPONENTES!$B$10:$N$16,10,FALSE))</f>
        <v/>
      </c>
      <c r="D37" s="46">
        <f>VLOOKUP(B33,PROPONENTES!$B$10:$N$16,11,FALSE)</f>
        <v>0</v>
      </c>
      <c r="E37" s="110"/>
      <c r="F37" s="110"/>
      <c r="G37" s="110"/>
      <c r="H37" s="110"/>
      <c r="I37" s="110"/>
      <c r="J37" s="110"/>
      <c r="K37" s="110"/>
      <c r="L37" s="110"/>
      <c r="M37" s="110"/>
      <c r="N37" s="45" t="str">
        <f t="shared" si="0"/>
        <v>N/A</v>
      </c>
      <c r="O37" s="452"/>
      <c r="P37" s="456"/>
      <c r="Q37" s="458"/>
      <c r="R37" s="445"/>
    </row>
    <row r="38" spans="1:18" ht="60" customHeight="1" x14ac:dyDescent="0.2">
      <c r="A38" s="447">
        <v>6</v>
      </c>
      <c r="B38" s="450" t="str">
        <f>+PROPONENTES!B15</f>
        <v>CONSORCIO INTER TS 03</v>
      </c>
      <c r="C38" s="40" t="str">
        <f>IF(VLOOKUP(B38,PROPONENTES!$B$10:$N$16,2,FALSE)="","",VLOOKUP(B38,PROPONENTES!$B$10:$N$16,2,FALSE))</f>
        <v>TOTALL INC SAS BIC</v>
      </c>
      <c r="D38" s="41">
        <f>VLOOKUP(B38,PROPONENTES!$B$10:$N$16,3,FALSE)</f>
        <v>0.5</v>
      </c>
      <c r="E38" s="101" t="s">
        <v>24</v>
      </c>
      <c r="F38" s="102" t="s">
        <v>24</v>
      </c>
      <c r="G38" s="102" t="s">
        <v>24</v>
      </c>
      <c r="H38" s="103" t="s">
        <v>24</v>
      </c>
      <c r="I38" s="102" t="s">
        <v>26</v>
      </c>
      <c r="J38" s="104" t="s">
        <v>23</v>
      </c>
      <c r="K38" s="104" t="s">
        <v>24</v>
      </c>
      <c r="L38" s="104" t="s">
        <v>24</v>
      </c>
      <c r="M38" s="105" t="s">
        <v>24</v>
      </c>
      <c r="N38" s="40" t="str">
        <f t="shared" si="0"/>
        <v>NO CUMPLE</v>
      </c>
      <c r="O38" s="453" t="e">
        <f>+'K RESIDUAL CALCULO'!N38</f>
        <v>#DIV/0!</v>
      </c>
      <c r="P38" s="454">
        <f t="shared" ref="P38" si="9">IF($G$9&lt;=12,$C$9-$G$10*$C$9,(($C$9-$G$10)/$G$9)*12)</f>
        <v>0</v>
      </c>
      <c r="Q38" s="457" t="e">
        <f t="shared" ref="Q38" si="10">IF(AND(O38&gt;=P38,OR(N38="CUMPLE",N38="N/A"),OR(N39="CUMPLE",N39="N/A"),OR(N40="CUMPLE",N40="N/A"),OR(N41="CUMPLE",N41="N/A")*OR(N42="CUMPLE",N42="N/A")),"CUMPLE","NO CUMPLE")</f>
        <v>#DIV/0!</v>
      </c>
      <c r="R38" s="446" t="s">
        <v>133</v>
      </c>
    </row>
    <row r="39" spans="1:18" ht="60" customHeight="1" x14ac:dyDescent="0.2">
      <c r="A39" s="448"/>
      <c r="B39" s="451"/>
      <c r="C39" s="24" t="str">
        <f>IF(VLOOKUP(B38,PROPONENTES!$B$10:$N$16,4,FALSE)="","",VLOOKUP(B38,PROPONENTES!$B$10:$N$16,4,FALSE))</f>
        <v>SISTEMA INGENIERIA, SUCURSAL COLOMBIA</v>
      </c>
      <c r="D39" s="33">
        <f>VLOOKUP(B38,PROPONENTES!$B$10:$N$16,5,FALSE)</f>
        <v>0.5</v>
      </c>
      <c r="E39" s="106"/>
      <c r="F39" s="107"/>
      <c r="G39" s="107"/>
      <c r="H39" s="108"/>
      <c r="I39" s="107"/>
      <c r="J39" s="109"/>
      <c r="K39" s="109"/>
      <c r="L39" s="109"/>
      <c r="M39" s="107"/>
      <c r="N39" s="24" t="str">
        <f t="shared" si="0"/>
        <v>NO CUMPLE</v>
      </c>
      <c r="O39" s="451"/>
      <c r="P39" s="455"/>
      <c r="Q39" s="327"/>
      <c r="R39" s="444"/>
    </row>
    <row r="40" spans="1:18" ht="60" customHeight="1" x14ac:dyDescent="0.2">
      <c r="A40" s="448"/>
      <c r="B40" s="451"/>
      <c r="C40" s="24" t="str">
        <f>IF(VLOOKUP(B38,PROPONENTES!$B$10:$N$16,6,FALSE)="","",VLOOKUP(B38,PROPONENTES!$B$10:$N$16,6,FALSE))</f>
        <v/>
      </c>
      <c r="D40" s="33">
        <f>VLOOKUP(B38,PROPONENTES!$B$10:$N$16,7,FALSE)</f>
        <v>0</v>
      </c>
      <c r="E40" s="106"/>
      <c r="F40" s="107"/>
      <c r="G40" s="107"/>
      <c r="H40" s="108"/>
      <c r="I40" s="107"/>
      <c r="J40" s="109"/>
      <c r="K40" s="109"/>
      <c r="L40" s="109"/>
      <c r="M40" s="107"/>
      <c r="N40" s="24" t="str">
        <f t="shared" si="0"/>
        <v>N/A</v>
      </c>
      <c r="O40" s="451"/>
      <c r="P40" s="455"/>
      <c r="Q40" s="327"/>
      <c r="R40" s="444"/>
    </row>
    <row r="41" spans="1:18" ht="60" customHeight="1" x14ac:dyDescent="0.2">
      <c r="A41" s="448"/>
      <c r="B41" s="451"/>
      <c r="C41" s="24" t="str">
        <f>IF(VLOOKUP(B38,PROPONENTES!$B$10:$N$16,8,FALSE)="","",VLOOKUP(B38,PROPONENTES!$B$10:$N$16,8,FALSE))</f>
        <v/>
      </c>
      <c r="D41" s="33">
        <f>VLOOKUP(B38,PROPONENTES!$B$10:$N$16,9,FALSE)</f>
        <v>0</v>
      </c>
      <c r="E41" s="106"/>
      <c r="F41" s="106"/>
      <c r="G41" s="106"/>
      <c r="H41" s="106"/>
      <c r="I41" s="106"/>
      <c r="J41" s="106"/>
      <c r="K41" s="106"/>
      <c r="L41" s="106"/>
      <c r="M41" s="106"/>
      <c r="N41" s="24" t="str">
        <f t="shared" si="0"/>
        <v>N/A</v>
      </c>
      <c r="O41" s="451"/>
      <c r="P41" s="455"/>
      <c r="Q41" s="327"/>
      <c r="R41" s="444"/>
    </row>
    <row r="42" spans="1:18" ht="60" customHeight="1" thickBot="1" x14ac:dyDescent="0.25">
      <c r="A42" s="449"/>
      <c r="B42" s="452"/>
      <c r="C42" s="45" t="str">
        <f>IF(VLOOKUP(B38,PROPONENTES!$B$10:$N$16,8,FALSE)="","",VLOOKUP(B38,PROPONENTES!$B$10:$N$16,10,FALSE))</f>
        <v/>
      </c>
      <c r="D42" s="46">
        <f>VLOOKUP(B38,PROPONENTES!$B$10:$N$16,11,FALSE)</f>
        <v>0</v>
      </c>
      <c r="E42" s="110"/>
      <c r="F42" s="110"/>
      <c r="G42" s="110"/>
      <c r="H42" s="110"/>
      <c r="I42" s="110"/>
      <c r="J42" s="110"/>
      <c r="K42" s="110"/>
      <c r="L42" s="110"/>
      <c r="M42" s="110"/>
      <c r="N42" s="45" t="str">
        <f t="shared" si="0"/>
        <v>N/A</v>
      </c>
      <c r="O42" s="452"/>
      <c r="P42" s="456"/>
      <c r="Q42" s="458"/>
      <c r="R42" s="445"/>
    </row>
    <row r="43" spans="1:18" ht="68.25" customHeight="1" x14ac:dyDescent="0.2">
      <c r="A43" s="447">
        <v>7</v>
      </c>
      <c r="B43" s="450" t="str">
        <f>+PROPONENTES!B16</f>
        <v>CONSORCIO PB</v>
      </c>
      <c r="C43" s="40" t="str">
        <f>IF(VLOOKUP(B43,PROPONENTES!$B$10:$N$16,2,FALSE)="","",VLOOKUP(B43,PROPONENTES!$B$10:$N$16,2,FALSE))</f>
        <v xml:space="preserve">PROYECTO SANABRIA 
S.A.S. </v>
      </c>
      <c r="D43" s="41">
        <f>VLOOKUP(B43,PROPONENTES!$B$10:$N$16,3,FALSE)</f>
        <v>0.5</v>
      </c>
      <c r="E43" s="101" t="s">
        <v>24</v>
      </c>
      <c r="F43" s="102" t="s">
        <v>24</v>
      </c>
      <c r="G43" s="102" t="s">
        <v>24</v>
      </c>
      <c r="H43" s="103" t="s">
        <v>26</v>
      </c>
      <c r="I43" s="102" t="s">
        <v>26</v>
      </c>
      <c r="J43" s="104" t="s">
        <v>23</v>
      </c>
      <c r="K43" s="104" t="s">
        <v>24</v>
      </c>
      <c r="L43" s="104" t="s">
        <v>24</v>
      </c>
      <c r="M43" s="105" t="s">
        <v>24</v>
      </c>
      <c r="N43" s="40" t="str">
        <f t="shared" si="0"/>
        <v>NO CUMPLE</v>
      </c>
      <c r="O43" s="453" t="e">
        <f>+'K RESIDUAL CALCULO'!N43</f>
        <v>#DIV/0!</v>
      </c>
      <c r="P43" s="454">
        <f t="shared" ref="P43" si="11">IF($G$9&lt;=12,$C$9-$G$10*$C$9,(($C$9-$G$10)/$G$9)*12)</f>
        <v>0</v>
      </c>
      <c r="Q43" s="457" t="e">
        <f t="shared" ref="Q43" si="12">IF(AND(O43&gt;=P43,OR(N43="CUMPLE",N43="N/A"),OR(N44="CUMPLE",N44="N/A"),OR(N45="CUMPLE",N45="N/A"),OR(N46="CUMPLE",N46="N/A")*OR(N47="CUMPLE",N47="N/A")),"CUMPLE","NO CUMPLE")</f>
        <v>#DIV/0!</v>
      </c>
      <c r="R43" s="446" t="s">
        <v>134</v>
      </c>
    </row>
    <row r="44" spans="1:18" ht="68.25" customHeight="1" x14ac:dyDescent="0.2">
      <c r="A44" s="448"/>
      <c r="B44" s="451"/>
      <c r="C44" s="24" t="str">
        <f>IF(VLOOKUP(B43,PROPONENTES!$B$10:$N$16,4,FALSE)="","",VLOOKUP(B43,PROPONENTES!$B$10:$N$16,4,FALSE))</f>
        <v xml:space="preserve">BALANCE &amp; INGENERIA 
S.A.S. </v>
      </c>
      <c r="D44" s="33">
        <f>VLOOKUP(B43,PROPONENTES!$B$10:$N$16,5,FALSE)</f>
        <v>0.5</v>
      </c>
      <c r="E44" s="106" t="s">
        <v>24</v>
      </c>
      <c r="F44" s="107" t="s">
        <v>24</v>
      </c>
      <c r="G44" s="107" t="s">
        <v>24</v>
      </c>
      <c r="H44" s="108" t="s">
        <v>26</v>
      </c>
      <c r="I44" s="107" t="s">
        <v>26</v>
      </c>
      <c r="J44" s="109" t="s">
        <v>23</v>
      </c>
      <c r="K44" s="109" t="s">
        <v>24</v>
      </c>
      <c r="L44" s="109" t="s">
        <v>24</v>
      </c>
      <c r="M44" s="107" t="s">
        <v>24</v>
      </c>
      <c r="N44" s="24" t="str">
        <f t="shared" si="0"/>
        <v>NO CUMPLE</v>
      </c>
      <c r="O44" s="451"/>
      <c r="P44" s="455"/>
      <c r="Q44" s="327"/>
      <c r="R44" s="444"/>
    </row>
    <row r="45" spans="1:18" ht="68.25" customHeight="1" x14ac:dyDescent="0.2">
      <c r="A45" s="448"/>
      <c r="B45" s="451"/>
      <c r="C45" s="24" t="str">
        <f>IF(VLOOKUP(B43,PROPONENTES!$B$10:$N$16,6,FALSE)="","",VLOOKUP(B43,PROPONENTES!$B$10:$N$16,6,FALSE))</f>
        <v/>
      </c>
      <c r="D45" s="33">
        <f>VLOOKUP(B43,PROPONENTES!$B$10:$N$16,7,FALSE)</f>
        <v>0</v>
      </c>
      <c r="E45" s="106"/>
      <c r="F45" s="107"/>
      <c r="G45" s="107"/>
      <c r="H45" s="108"/>
      <c r="I45" s="107"/>
      <c r="J45" s="109"/>
      <c r="K45" s="109"/>
      <c r="L45" s="109"/>
      <c r="M45" s="107"/>
      <c r="N45" s="24" t="str">
        <f t="shared" si="0"/>
        <v>N/A</v>
      </c>
      <c r="O45" s="451"/>
      <c r="P45" s="455"/>
      <c r="Q45" s="327"/>
      <c r="R45" s="444"/>
    </row>
    <row r="46" spans="1:18" ht="68.25" customHeight="1" x14ac:dyDescent="0.2">
      <c r="A46" s="448"/>
      <c r="B46" s="451"/>
      <c r="C46" s="24" t="str">
        <f>IF(VLOOKUP(B43,PROPONENTES!$B$10:$N$16,8,FALSE)="","",VLOOKUP(B43,PROPONENTES!$B$10:$N$16,8,FALSE))</f>
        <v/>
      </c>
      <c r="D46" s="33">
        <f>VLOOKUP(B43,PROPONENTES!$B$10:$N$16,9,FALSE)</f>
        <v>0</v>
      </c>
      <c r="E46" s="106"/>
      <c r="F46" s="106"/>
      <c r="G46" s="106"/>
      <c r="H46" s="106"/>
      <c r="I46" s="106"/>
      <c r="J46" s="106"/>
      <c r="K46" s="106"/>
      <c r="L46" s="106"/>
      <c r="M46" s="106"/>
      <c r="N46" s="24" t="str">
        <f t="shared" si="0"/>
        <v>N/A</v>
      </c>
      <c r="O46" s="451"/>
      <c r="P46" s="455"/>
      <c r="Q46" s="327"/>
      <c r="R46" s="444"/>
    </row>
    <row r="47" spans="1:18" ht="68.25" customHeight="1" thickBot="1" x14ac:dyDescent="0.25">
      <c r="A47" s="449"/>
      <c r="B47" s="452"/>
      <c r="C47" s="45" t="str">
        <f>IF(VLOOKUP(B43,PROPONENTES!$B$10:$N$16,8,FALSE)="","",VLOOKUP(B43,PROPONENTES!$B$10:$N$16,10,FALSE))</f>
        <v/>
      </c>
      <c r="D47" s="46">
        <f>VLOOKUP(B43,PROPONENTES!$B$10:$N$16,11,FALSE)</f>
        <v>0</v>
      </c>
      <c r="E47" s="110"/>
      <c r="F47" s="110"/>
      <c r="G47" s="110"/>
      <c r="H47" s="110"/>
      <c r="I47" s="110"/>
      <c r="J47" s="110"/>
      <c r="K47" s="110"/>
      <c r="L47" s="110"/>
      <c r="M47" s="110"/>
      <c r="N47" s="45" t="str">
        <f t="shared" si="0"/>
        <v>N/A</v>
      </c>
      <c r="O47" s="452"/>
      <c r="P47" s="456"/>
      <c r="Q47" s="458"/>
      <c r="R47" s="445"/>
    </row>
  </sheetData>
  <sheetProtection algorithmName="SHA-512" hashValue="eT0AsGeT8/Q0kz8SETKwhudraQhBiO71NegTTm1N9NKuDoLjRBbGtAgkH6C19d3irXa3GLNr+wd1qT3DUvUMlg==" saltValue="Tbf0rTb7wyQqTlrwv5I32Q==" spinCount="100000" sheet="1" objects="1" scenarios="1" formatCells="0" formatColumns="0" formatRows="0"/>
  <mergeCells count="58">
    <mergeCell ref="A6:B6"/>
    <mergeCell ref="D6:F6"/>
    <mergeCell ref="A10:B10"/>
    <mergeCell ref="C10:E10"/>
    <mergeCell ref="A2:R2"/>
    <mergeCell ref="A3:R3"/>
    <mergeCell ref="A4:R4"/>
    <mergeCell ref="A5:R5"/>
    <mergeCell ref="H6:R6"/>
    <mergeCell ref="A8:B8"/>
    <mergeCell ref="A9:B9"/>
    <mergeCell ref="C9:E9"/>
    <mergeCell ref="A7:R7"/>
    <mergeCell ref="C8:R8"/>
    <mergeCell ref="H9:R9"/>
    <mergeCell ref="H10:R10"/>
    <mergeCell ref="R13:R17"/>
    <mergeCell ref="A18:A22"/>
    <mergeCell ref="B18:B22"/>
    <mergeCell ref="O18:O22"/>
    <mergeCell ref="P18:P22"/>
    <mergeCell ref="Q18:Q22"/>
    <mergeCell ref="R18:R22"/>
    <mergeCell ref="A13:A17"/>
    <mergeCell ref="B13:B17"/>
    <mergeCell ref="O13:O17"/>
    <mergeCell ref="P13:P17"/>
    <mergeCell ref="Q13:Q17"/>
    <mergeCell ref="A23:A27"/>
    <mergeCell ref="B23:B27"/>
    <mergeCell ref="O23:O27"/>
    <mergeCell ref="P23:P27"/>
    <mergeCell ref="Q23:Q27"/>
    <mergeCell ref="A28:A32"/>
    <mergeCell ref="B28:B32"/>
    <mergeCell ref="O28:O32"/>
    <mergeCell ref="P28:P32"/>
    <mergeCell ref="Q28:Q32"/>
    <mergeCell ref="A33:A37"/>
    <mergeCell ref="B33:B37"/>
    <mergeCell ref="O33:O37"/>
    <mergeCell ref="P33:P37"/>
    <mergeCell ref="Q33:Q37"/>
    <mergeCell ref="A38:A42"/>
    <mergeCell ref="B38:B42"/>
    <mergeCell ref="O38:O42"/>
    <mergeCell ref="P38:P42"/>
    <mergeCell ref="Q38:Q42"/>
    <mergeCell ref="A43:A47"/>
    <mergeCell ref="B43:B47"/>
    <mergeCell ref="O43:O47"/>
    <mergeCell ref="P43:P47"/>
    <mergeCell ref="Q43:Q47"/>
    <mergeCell ref="R23:R27"/>
    <mergeCell ref="R28:R32"/>
    <mergeCell ref="R33:R37"/>
    <mergeCell ref="R38:R42"/>
    <mergeCell ref="R43:R47"/>
  </mergeCells>
  <conditionalFormatting sqref="Q13">
    <cfRule type="cellIs" dxfId="5186" priority="16" operator="equal">
      <formula>"CUMPLE"</formula>
    </cfRule>
    <cfRule type="cellIs" dxfId="5185" priority="17" operator="equal">
      <formula>"NO CUMPLE"</formula>
    </cfRule>
    <cfRule type="cellIs" dxfId="5184" priority="18" operator="equal">
      <formula>"""CUMPLE"""</formula>
    </cfRule>
  </conditionalFormatting>
  <conditionalFormatting sqref="Q18 Q23 Q28 Q33 Q38 Q43">
    <cfRule type="cellIs" dxfId="5183" priority="1" operator="equal">
      <formula>"CUMPLE"</formula>
    </cfRule>
    <cfRule type="cellIs" dxfId="5182" priority="2" operator="equal">
      <formula>"NO CUMPLE"</formula>
    </cfRule>
    <cfRule type="cellIs" dxfId="5181" priority="3" operator="equal">
      <formula>"""CUMPLE"""</formula>
    </cfRule>
  </conditionalFormatting>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0000000}">
          <x14:formula1>
            <xm:f>'DATOS INICIALES'!$A$57:$A$59</xm:f>
          </x14:formula1>
          <xm:sqref>E13:M47</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2"/>
  <sheetViews>
    <sheetView workbookViewId="0"/>
  </sheetViews>
  <sheetFormatPr baseColWidth="10" defaultColWidth="11.5" defaultRowHeight="15" x14ac:dyDescent="0.2"/>
  <cols>
    <col min="1" max="1" width="4.1640625" style="16" customWidth="1"/>
    <col min="2" max="2" width="26.83203125" style="16" customWidth="1"/>
    <col min="3" max="3" width="22.6640625" style="16" customWidth="1"/>
    <col min="4" max="4" width="12" style="34" customWidth="1"/>
    <col min="5" max="5" width="12" style="53" customWidth="1"/>
    <col min="6" max="6" width="29.83203125" style="16" customWidth="1"/>
    <col min="7" max="7" width="21.83203125" style="16" customWidth="1"/>
    <col min="8" max="8" width="26.5" style="16" customWidth="1"/>
    <col min="9" max="12" width="16.5" style="16" customWidth="1"/>
    <col min="13" max="13" width="16.5" style="16" bestFit="1" customWidth="1"/>
    <col min="14" max="14" width="19.5" style="16" customWidth="1"/>
    <col min="15" max="15" width="26.5" style="16" customWidth="1"/>
    <col min="16" max="16384" width="11.5" style="16"/>
  </cols>
  <sheetData>
    <row r="1" spans="1:16" x14ac:dyDescent="0.2">
      <c r="B1"/>
      <c r="C1"/>
      <c r="D1"/>
      <c r="E1"/>
      <c r="F1"/>
      <c r="G1"/>
      <c r="H1"/>
      <c r="I1"/>
      <c r="J1"/>
      <c r="K1"/>
      <c r="L1"/>
      <c r="M1"/>
      <c r="N1"/>
      <c r="O1"/>
    </row>
    <row r="2" spans="1:16" ht="19" x14ac:dyDescent="0.25">
      <c r="A2" s="463" t="s">
        <v>112</v>
      </c>
      <c r="B2" s="463"/>
      <c r="C2" s="463"/>
      <c r="D2" s="463"/>
      <c r="E2" s="463"/>
      <c r="F2" s="463"/>
      <c r="G2" s="463"/>
      <c r="H2" s="463"/>
      <c r="I2" s="463"/>
      <c r="J2" s="463"/>
      <c r="K2" s="463"/>
      <c r="L2" s="463"/>
      <c r="M2" s="463"/>
      <c r="N2" s="463"/>
      <c r="O2" s="463"/>
      <c r="P2" s="463"/>
    </row>
    <row r="3" spans="1:16" x14ac:dyDescent="0.2">
      <c r="A3" s="451"/>
      <c r="B3" s="451"/>
      <c r="C3" s="451"/>
      <c r="D3" s="451"/>
      <c r="E3" s="451"/>
      <c r="F3" s="451"/>
      <c r="G3" s="451"/>
      <c r="H3" s="451"/>
      <c r="I3" s="451"/>
      <c r="J3" s="451"/>
      <c r="K3" s="451"/>
      <c r="L3" s="451"/>
      <c r="M3" s="451"/>
      <c r="N3" s="451"/>
      <c r="O3" s="451"/>
      <c r="P3" s="451"/>
    </row>
    <row r="4" spans="1:16" ht="19" x14ac:dyDescent="0.25">
      <c r="A4" s="463" t="str">
        <f>'DATOS INICIALES'!G4</f>
        <v xml:space="preserve"> FDLUSA-CMA-003-2025</v>
      </c>
      <c r="B4" s="463"/>
      <c r="C4" s="463"/>
      <c r="D4" s="463"/>
      <c r="E4" s="463"/>
      <c r="F4" s="463"/>
      <c r="G4" s="463"/>
      <c r="H4" s="463"/>
      <c r="I4" s="463"/>
      <c r="J4" s="463"/>
      <c r="K4" s="463"/>
      <c r="L4" s="463"/>
      <c r="M4" s="463"/>
      <c r="N4" s="463"/>
      <c r="O4" s="463"/>
      <c r="P4" s="463"/>
    </row>
    <row r="5" spans="1:16" x14ac:dyDescent="0.2">
      <c r="A5" s="451"/>
      <c r="B5" s="451"/>
      <c r="C5" s="451"/>
      <c r="D5" s="451"/>
      <c r="E5" s="451"/>
      <c r="F5" s="451"/>
      <c r="G5" s="451"/>
      <c r="H5" s="451"/>
      <c r="I5" s="451"/>
      <c r="J5" s="451"/>
      <c r="K5" s="451"/>
      <c r="L5" s="451"/>
      <c r="M5" s="451"/>
      <c r="N5" s="451"/>
      <c r="O5" s="451"/>
      <c r="P5" s="451"/>
    </row>
    <row r="6" spans="1:16" x14ac:dyDescent="0.2">
      <c r="A6" s="459" t="s">
        <v>48</v>
      </c>
      <c r="B6" s="459"/>
      <c r="C6" s="60" t="s">
        <v>49</v>
      </c>
      <c r="D6" s="460" t="s">
        <v>50</v>
      </c>
      <c r="E6" s="460"/>
      <c r="F6" s="460"/>
      <c r="G6" s="81">
        <v>44498</v>
      </c>
      <c r="H6" s="470"/>
      <c r="I6" s="471"/>
      <c r="J6" s="471"/>
      <c r="K6" s="471"/>
      <c r="L6" s="471"/>
      <c r="M6" s="471"/>
      <c r="N6" s="471"/>
      <c r="O6" s="471"/>
      <c r="P6" s="472"/>
    </row>
    <row r="7" spans="1:16" x14ac:dyDescent="0.2">
      <c r="A7" s="466" t="s">
        <v>52</v>
      </c>
      <c r="B7" s="466"/>
      <c r="C7" s="466"/>
      <c r="D7" s="466"/>
      <c r="E7" s="466"/>
      <c r="F7" s="466"/>
      <c r="G7" s="466"/>
      <c r="H7" s="466"/>
      <c r="I7" s="466"/>
      <c r="J7" s="466"/>
      <c r="K7" s="466"/>
      <c r="L7" s="466"/>
      <c r="M7" s="466"/>
      <c r="N7" s="466"/>
      <c r="O7" s="466"/>
      <c r="P7" s="466"/>
    </row>
    <row r="8" spans="1:16" ht="36" customHeight="1" x14ac:dyDescent="0.2">
      <c r="A8" s="461" t="s">
        <v>54</v>
      </c>
      <c r="B8" s="461"/>
      <c r="C8" s="473"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73"/>
      <c r="E8" s="473"/>
      <c r="F8" s="473"/>
      <c r="G8" s="473"/>
      <c r="H8" s="473"/>
      <c r="I8" s="473"/>
      <c r="J8" s="473"/>
      <c r="K8" s="473"/>
      <c r="L8" s="473"/>
      <c r="M8" s="473"/>
      <c r="N8" s="473"/>
      <c r="O8" s="473"/>
      <c r="P8" s="473"/>
    </row>
    <row r="9" spans="1:16" x14ac:dyDescent="0.2">
      <c r="A9" s="461" t="s">
        <v>56</v>
      </c>
      <c r="B9" s="461"/>
      <c r="C9" s="468">
        <f>+'DATOS INICIALES'!C6</f>
        <v>0</v>
      </c>
      <c r="D9" s="468"/>
      <c r="E9" s="468"/>
      <c r="F9" s="111" t="s">
        <v>113</v>
      </c>
      <c r="G9" s="112">
        <v>4</v>
      </c>
      <c r="H9" s="468"/>
      <c r="I9" s="468"/>
      <c r="J9" s="468"/>
      <c r="K9" s="468"/>
      <c r="L9" s="468"/>
      <c r="M9" s="468"/>
      <c r="N9" s="468"/>
      <c r="O9" s="468"/>
      <c r="P9" s="468"/>
    </row>
    <row r="10" spans="1:16" x14ac:dyDescent="0.2">
      <c r="A10" s="461" t="s">
        <v>57</v>
      </c>
      <c r="B10" s="461"/>
      <c r="C10" s="469">
        <f>C9/'DATOS INICIALES'!B50</f>
        <v>0</v>
      </c>
      <c r="D10" s="469"/>
      <c r="E10" s="469"/>
      <c r="F10" s="113" t="s">
        <v>114</v>
      </c>
      <c r="G10" s="114">
        <v>0</v>
      </c>
      <c r="H10" s="469"/>
      <c r="I10" s="469"/>
      <c r="J10" s="469"/>
      <c r="K10" s="469"/>
      <c r="L10" s="469"/>
      <c r="M10" s="469"/>
      <c r="N10" s="469"/>
      <c r="O10" s="469"/>
      <c r="P10" s="469"/>
    </row>
    <row r="11" spans="1:16" ht="9" customHeight="1" x14ac:dyDescent="0.2">
      <c r="E11" s="34"/>
    </row>
    <row r="12" spans="1:16" ht="86.25" customHeight="1" thickBot="1" x14ac:dyDescent="0.25">
      <c r="A12" s="39" t="s">
        <v>37</v>
      </c>
      <c r="B12" s="39" t="s">
        <v>58</v>
      </c>
      <c r="C12" s="39" t="s">
        <v>66</v>
      </c>
      <c r="D12" s="39" t="s">
        <v>115</v>
      </c>
      <c r="E12" s="39" t="s">
        <v>135</v>
      </c>
      <c r="F12" s="39" t="s">
        <v>136</v>
      </c>
      <c r="G12" s="39" t="s">
        <v>137</v>
      </c>
      <c r="H12" s="39" t="s">
        <v>138</v>
      </c>
      <c r="I12" s="39" t="s">
        <v>139</v>
      </c>
      <c r="J12" s="39" t="s">
        <v>140</v>
      </c>
      <c r="K12" s="39" t="s">
        <v>141</v>
      </c>
      <c r="L12" s="39" t="s">
        <v>142</v>
      </c>
      <c r="M12" s="39" t="s">
        <v>143</v>
      </c>
      <c r="N12" s="39" t="s">
        <v>126</v>
      </c>
      <c r="O12" s="39" t="s">
        <v>127</v>
      </c>
      <c r="P12" s="39" t="s">
        <v>64</v>
      </c>
    </row>
    <row r="13" spans="1:16" ht="48" customHeight="1" x14ac:dyDescent="0.2">
      <c r="A13" s="447">
        <v>1</v>
      </c>
      <c r="B13" s="450" t="str">
        <f>+PROPONENTES!B10</f>
        <v>GRUPO METRO COLOMBIA SAS</v>
      </c>
      <c r="C13" s="40" t="str">
        <f>IF(VLOOKUP(B13,PROPONENTES!$B$10:$N$16,2,FALSE)="","",VLOOKUP(B13,PROPONENTES!$B$10:$N$16,2,FALSE))</f>
        <v>GRUPO METRO COLOMBIA SAS</v>
      </c>
      <c r="D13" s="41">
        <f>VLOOKUP(B13,PROPONENTES!$B$10:$N$16,3,FALSE)</f>
        <v>1</v>
      </c>
      <c r="E13" s="50">
        <v>7.69</v>
      </c>
      <c r="F13" s="42">
        <v>1143587893</v>
      </c>
      <c r="G13" s="116">
        <v>47581519005.089996</v>
      </c>
      <c r="H13" s="43">
        <v>1</v>
      </c>
      <c r="I13" s="42">
        <v>114692409</v>
      </c>
      <c r="J13" s="44" t="e">
        <f>IF(C13="","",IF(AND((G13/($C$9*D13))&gt;0,(G13/($C$9*D13))&lt;=3),60,IF(AND((G13/($C$9*D13))&gt;3,(G13/($C$9*D13))&lt;=6),80,IF(AND((G13/($C$9*D13))&gt;6,(G13/($C$9*D13))&lt;=10),100,IF((G13/($C$9*D13))&gt;10,120,)))))</f>
        <v>#DIV/0!</v>
      </c>
      <c r="K13" s="44">
        <f>IF(C13="","",IF(AND(E13&gt;0,E13&lt;=0.5),20,IF(AND(E13&gt;0.5,E13&lt;=0.75),25,IF(AND(E13&gt;0.75,E13&lt;=1),30,IF(AND(E13&gt;1,E13&lt;=1.5),35,IF(E13&gt;1.5,40))))))</f>
        <v>40</v>
      </c>
      <c r="L13" s="44">
        <f>IF(C13="","",IF(AND(H13&gt;=1,H13&lt;=5),20,IF(AND(H13&gt;=6,H13&lt;=10),30,IF(H13&gt;=11,40,))))</f>
        <v>20</v>
      </c>
      <c r="M13" s="54" t="e">
        <f>+IF(C13="","",(F13*(J13+K13+L13)/100)-I13)</f>
        <v>#DIV/0!</v>
      </c>
      <c r="N13" s="474" t="e">
        <f>SUM(M13:M17)</f>
        <v>#DIV/0!</v>
      </c>
      <c r="O13" s="477">
        <f>IF($G$9&lt;=12,$C$9-$G$10*$C$9,(($C$9-$G$10)/$G$9)*12)</f>
        <v>0</v>
      </c>
      <c r="P13" s="480" t="e">
        <f>IF(N13&gt;=O13,"CUMPLE","NO CUMPLE")</f>
        <v>#DIV/0!</v>
      </c>
    </row>
    <row r="14" spans="1:16" ht="64.5" customHeight="1" x14ac:dyDescent="0.2">
      <c r="A14" s="448"/>
      <c r="B14" s="451"/>
      <c r="C14" s="24" t="str">
        <f>IF(VLOOKUP(B13,PROPONENTES!$B$10:$N$16,4,FALSE)="","",VLOOKUP(B13,PROPONENTES!$B$10:$N$16,4,FALSE))</f>
        <v/>
      </c>
      <c r="D14" s="33">
        <f>VLOOKUP(B13,PROPONENTES!$B$10:$N$16,5,FALSE)</f>
        <v>0</v>
      </c>
      <c r="E14" s="117">
        <v>4.93</v>
      </c>
      <c r="F14" s="115">
        <v>126050742.52</v>
      </c>
      <c r="G14" s="115">
        <v>20725184508.040001</v>
      </c>
      <c r="H14" s="35">
        <v>1</v>
      </c>
      <c r="I14" s="36">
        <v>473451635</v>
      </c>
      <c r="J14" s="32" t="str">
        <f t="shared" ref="J14:J47" si="0">IF(C14="","",IF(AND((G14/($C$9*D14))&gt;0,(G14/($C$9*D14))&lt;=3),60,IF(AND((G14/($C$9*D14))&gt;3,(G14/($C$9*D14))&lt;=6),80,IF(AND((G14/($C$9*D14))&gt;6,(G14/($C$9*D14))&lt;=10),100,IF((G14/($C$9*D14))&gt;10,120,)))))</f>
        <v/>
      </c>
      <c r="K14" s="32" t="str">
        <f t="shared" ref="K14:K47" si="1">IF(C14="","",IF(AND(E14&gt;0,E14&lt;=0.5),20,IF(AND(E14&gt;0.5,E14&lt;=0.75),25,IF(AND(E14&gt;0.75,E14&lt;=1),30,IF(AND(E14&gt;1,E14&lt;=1.5),35,IF(E14&gt;1.5,40))))))</f>
        <v/>
      </c>
      <c r="L14" s="32" t="str">
        <f t="shared" ref="L14:L18" si="2">IF(C14="","",IF(AND(H14&gt;=1,H14&lt;=5),20,IF(AND(H14&gt;=6,H14&lt;=10),30,IF(H14&gt;=11,40,))))</f>
        <v/>
      </c>
      <c r="M14" s="55" t="str">
        <f t="shared" ref="M14:M18" si="3">+IF(C14="","",(F14*(J14+K14+L14)/100)-I14)</f>
        <v/>
      </c>
      <c r="N14" s="475"/>
      <c r="O14" s="478"/>
      <c r="P14" s="481"/>
    </row>
    <row r="15" spans="1:16" ht="16" x14ac:dyDescent="0.2">
      <c r="A15" s="448"/>
      <c r="B15" s="451"/>
      <c r="C15" s="24" t="str">
        <f>IF(VLOOKUP(B13,PROPONENTES!$B$10:$N$16,6,FALSE)="","",VLOOKUP(B13,PROPONENTES!$B$10:$N$16,6,FALSE))</f>
        <v/>
      </c>
      <c r="D15" s="33">
        <f>VLOOKUP(B13,PROPONENTES!$B$10:$N$16,7,FALSE)</f>
        <v>0</v>
      </c>
      <c r="E15" s="51"/>
      <c r="F15" s="36"/>
      <c r="G15" s="36"/>
      <c r="H15" s="35"/>
      <c r="I15" s="36"/>
      <c r="J15" s="32" t="str">
        <f t="shared" si="0"/>
        <v/>
      </c>
      <c r="K15" s="32" t="str">
        <f t="shared" si="1"/>
        <v/>
      </c>
      <c r="L15" s="32" t="str">
        <f t="shared" si="2"/>
        <v/>
      </c>
      <c r="M15" s="55" t="str">
        <f t="shared" si="3"/>
        <v/>
      </c>
      <c r="N15" s="475"/>
      <c r="O15" s="478"/>
      <c r="P15" s="481"/>
    </row>
    <row r="16" spans="1:16" ht="16" x14ac:dyDescent="0.2">
      <c r="A16" s="448"/>
      <c r="B16" s="451"/>
      <c r="C16" s="24" t="str">
        <f>IF(VLOOKUP(B13,PROPONENTES!$B$10:$N$16,8,FALSE)="","",VLOOKUP(B13,PROPONENTES!$B$10:$N$16,8,FALSE))</f>
        <v/>
      </c>
      <c r="D16" s="33">
        <f>VLOOKUP(B13,PROPONENTES!$B$10:$N$16,9,FALSE)</f>
        <v>0</v>
      </c>
      <c r="E16" s="51"/>
      <c r="F16" s="36"/>
      <c r="G16" s="36"/>
      <c r="H16" s="35"/>
      <c r="I16" s="36"/>
      <c r="J16" s="32" t="str">
        <f t="shared" si="0"/>
        <v/>
      </c>
      <c r="K16" s="32" t="str">
        <f t="shared" si="1"/>
        <v/>
      </c>
      <c r="L16" s="32" t="str">
        <f t="shared" si="2"/>
        <v/>
      </c>
      <c r="M16" s="24" t="str">
        <f t="shared" si="3"/>
        <v/>
      </c>
      <c r="N16" s="475"/>
      <c r="O16" s="478"/>
      <c r="P16" s="481"/>
    </row>
    <row r="17" spans="1:16" ht="17" thickBot="1" x14ac:dyDescent="0.25">
      <c r="A17" s="449"/>
      <c r="B17" s="452"/>
      <c r="C17" s="45" t="str">
        <f>IF(VLOOKUP(B13,PROPONENTES!$B$10:$N$16,8,FALSE)="","",VLOOKUP(B13,PROPONENTES!$B$10:$N$16,10,FALSE))</f>
        <v/>
      </c>
      <c r="D17" s="46">
        <f>VLOOKUP(B13,PROPONENTES!$B$10:$N$16,11,FALSE)</f>
        <v>0</v>
      </c>
      <c r="E17" s="52"/>
      <c r="F17" s="47"/>
      <c r="G17" s="47"/>
      <c r="H17" s="48"/>
      <c r="I17" s="47"/>
      <c r="J17" s="49" t="str">
        <f t="shared" si="0"/>
        <v/>
      </c>
      <c r="K17" s="49" t="str">
        <f t="shared" si="1"/>
        <v/>
      </c>
      <c r="L17" s="49" t="str">
        <f t="shared" si="2"/>
        <v/>
      </c>
      <c r="M17" s="45" t="str">
        <f t="shared" si="3"/>
        <v/>
      </c>
      <c r="N17" s="476"/>
      <c r="O17" s="479"/>
      <c r="P17" s="482"/>
    </row>
    <row r="18" spans="1:16" ht="48" x14ac:dyDescent="0.2">
      <c r="A18" s="447">
        <v>2</v>
      </c>
      <c r="B18" s="450" t="str">
        <f>+PROPONENTES!B11</f>
        <v>CONSORCIO INTERVIAS USAQUEN AI</v>
      </c>
      <c r="C18" s="40" t="str">
        <f>IF(VLOOKUP(B18,PROPONENTES!$B$10:$N$16,2,FALSE)="","",VLOOKUP(B18,PROPONENTES!$B$10:$N$16,2,FALSE))</f>
        <v>AIRTIFICIAL   CW INFRASTRUCTURES
COLOMBIA S.A.S.</v>
      </c>
      <c r="D18" s="41">
        <f>VLOOKUP(B18,PROPONENTES!$B$10:$N$16,3,FALSE)</f>
        <v>0.7</v>
      </c>
      <c r="E18" s="50">
        <v>9.36</v>
      </c>
      <c r="F18" s="42">
        <v>3939642522</v>
      </c>
      <c r="G18" s="42">
        <v>22662094014.450001</v>
      </c>
      <c r="H18" s="43">
        <v>9</v>
      </c>
      <c r="I18" s="42">
        <v>0</v>
      </c>
      <c r="J18" s="40" t="e">
        <f t="shared" si="0"/>
        <v>#DIV/0!</v>
      </c>
      <c r="K18" s="44">
        <f t="shared" si="1"/>
        <v>40</v>
      </c>
      <c r="L18" s="44">
        <f t="shared" si="2"/>
        <v>30</v>
      </c>
      <c r="M18" s="54" t="e">
        <f t="shared" si="3"/>
        <v>#DIV/0!</v>
      </c>
      <c r="N18" s="474" t="e">
        <f t="shared" ref="N18" si="4">SUM(M18:M22)</f>
        <v>#DIV/0!</v>
      </c>
      <c r="O18" s="477">
        <f t="shared" ref="O18" si="5">IF($G$9&lt;=12,$C$9-$G$10*$C$9,(($C$9-$G$10)/$G$9)*12)</f>
        <v>0</v>
      </c>
      <c r="P18" s="480" t="e">
        <f>IF(B18="","",IF(N18&gt;=O18,"CUMPLE","NO CUMPLE"))</f>
        <v>#DIV/0!</v>
      </c>
    </row>
    <row r="19" spans="1:16" ht="16" x14ac:dyDescent="0.2">
      <c r="A19" s="448"/>
      <c r="B19" s="451"/>
      <c r="C19" s="24" t="str">
        <f>IF(VLOOKUP(B18,PROPONENTES!$B$10:$N$16,4,FALSE)="","",VLOOKUP(B18,PROPONENTES!$B$10:$N$16,4,FALSE))</f>
        <v xml:space="preserve">INNOBRAS LTDA </v>
      </c>
      <c r="D19" s="33">
        <f>VLOOKUP(B18,PROPONENTES!$B$10:$N$16,5,FALSE)</f>
        <v>0.3</v>
      </c>
      <c r="E19" s="51"/>
      <c r="F19" s="36"/>
      <c r="G19" s="36"/>
      <c r="H19" s="35"/>
      <c r="I19" s="36"/>
      <c r="J19" s="24" t="e">
        <f t="shared" si="0"/>
        <v>#DIV/0!</v>
      </c>
      <c r="K19" s="32" t="b">
        <f t="shared" si="1"/>
        <v>0</v>
      </c>
      <c r="L19" s="32">
        <f t="shared" ref="L19:L47" si="6">IF(C19="","",IF(AND(H19&gt;=1,H19&lt;=5),20,IF(AND(H19&gt;=6,H19&lt;=10),30,IF(H19&gt;=11,40,))))</f>
        <v>0</v>
      </c>
      <c r="M19" s="55" t="e">
        <f t="shared" ref="M19:M47" si="7">+IF(C19="","",(F19*(J19+K19+L19)/100)-I19)</f>
        <v>#DIV/0!</v>
      </c>
      <c r="N19" s="475"/>
      <c r="O19" s="478"/>
      <c r="P19" s="481"/>
    </row>
    <row r="20" spans="1:16" ht="16" x14ac:dyDescent="0.2">
      <c r="A20" s="448"/>
      <c r="B20" s="451"/>
      <c r="C20" s="24" t="str">
        <f>IF(VLOOKUP(B18,PROPONENTES!$B$10:$N$16,6,FALSE)="","",VLOOKUP(B18,PROPONENTES!$B$10:$N$16,6,FALSE))</f>
        <v/>
      </c>
      <c r="D20" s="33">
        <f>VLOOKUP(B18,PROPONENTES!$B$10:$N$16,7,FALSE)</f>
        <v>0</v>
      </c>
      <c r="E20" s="51"/>
      <c r="F20" s="36"/>
      <c r="G20" s="36"/>
      <c r="H20" s="35"/>
      <c r="I20" s="36"/>
      <c r="J20" s="24" t="str">
        <f t="shared" si="0"/>
        <v/>
      </c>
      <c r="K20" s="32" t="str">
        <f t="shared" si="1"/>
        <v/>
      </c>
      <c r="L20" s="32" t="str">
        <f t="shared" si="6"/>
        <v/>
      </c>
      <c r="M20" s="55" t="str">
        <f t="shared" si="7"/>
        <v/>
      </c>
      <c r="N20" s="475"/>
      <c r="O20" s="478"/>
      <c r="P20" s="481"/>
    </row>
    <row r="21" spans="1:16" ht="16" x14ac:dyDescent="0.2">
      <c r="A21" s="448"/>
      <c r="B21" s="451"/>
      <c r="C21" s="24" t="str">
        <f>IF(VLOOKUP(B18,PROPONENTES!$B$10:$N$16,8,FALSE)="","",VLOOKUP(B18,PROPONENTES!$B$10:$N$16,8,FALSE))</f>
        <v/>
      </c>
      <c r="D21" s="33">
        <f>VLOOKUP(B18,PROPONENTES!$B$10:$N$16,9,FALSE)</f>
        <v>0</v>
      </c>
      <c r="E21" s="51"/>
      <c r="F21" s="36"/>
      <c r="G21" s="36"/>
      <c r="H21" s="35"/>
      <c r="I21" s="36"/>
      <c r="J21" s="24" t="str">
        <f t="shared" si="0"/>
        <v/>
      </c>
      <c r="K21" s="32" t="str">
        <f t="shared" si="1"/>
        <v/>
      </c>
      <c r="L21" s="32" t="str">
        <f t="shared" si="6"/>
        <v/>
      </c>
      <c r="M21" s="24" t="str">
        <f t="shared" si="7"/>
        <v/>
      </c>
      <c r="N21" s="475"/>
      <c r="O21" s="478"/>
      <c r="P21" s="481"/>
    </row>
    <row r="22" spans="1:16" ht="17" thickBot="1" x14ac:dyDescent="0.25">
      <c r="A22" s="449"/>
      <c r="B22" s="452"/>
      <c r="C22" s="45" t="str">
        <f>IF(VLOOKUP(B18,PROPONENTES!$B$10:$N$16,8,FALSE)="","",VLOOKUP(B18,PROPONENTES!$B$10:$N$16,10,FALSE))</f>
        <v/>
      </c>
      <c r="D22" s="46">
        <f>VLOOKUP(B18,PROPONENTES!$B$10:$N$16,11,FALSE)</f>
        <v>0</v>
      </c>
      <c r="E22" s="52"/>
      <c r="F22" s="47"/>
      <c r="G22" s="47"/>
      <c r="H22" s="48"/>
      <c r="I22" s="47"/>
      <c r="J22" s="45" t="str">
        <f t="shared" si="0"/>
        <v/>
      </c>
      <c r="K22" s="49" t="str">
        <f t="shared" si="1"/>
        <v/>
      </c>
      <c r="L22" s="49" t="str">
        <f t="shared" si="6"/>
        <v/>
      </c>
      <c r="M22" s="45" t="str">
        <f t="shared" si="7"/>
        <v/>
      </c>
      <c r="N22" s="476"/>
      <c r="O22" s="479"/>
      <c r="P22" s="482"/>
    </row>
    <row r="23" spans="1:16" ht="16" x14ac:dyDescent="0.2">
      <c r="A23" s="447">
        <v>3</v>
      </c>
      <c r="B23" s="450" t="str">
        <f>+PROPONENTES!B12</f>
        <v>CONSORCIO PROYECTA VIAL</v>
      </c>
      <c r="C23" s="40" t="str">
        <f>IF(VLOOKUP(B23,PROPONENTES!$B$10:$N$16,2,FALSE)="","",VLOOKUP(B23,PROPONENTES!$B$10:$N$16,2,FALSE))</f>
        <v>GRUPO POSSO S.A.S.</v>
      </c>
      <c r="D23" s="41">
        <f>VLOOKUP(B23,PROPONENTES!$B$10:$N$16,3,FALSE)</f>
        <v>0.9</v>
      </c>
      <c r="E23" s="50">
        <v>61.61</v>
      </c>
      <c r="F23" s="42">
        <v>2950600000</v>
      </c>
      <c r="G23" s="42">
        <v>18288204552.619999</v>
      </c>
      <c r="H23" s="43">
        <v>1</v>
      </c>
      <c r="I23" s="42">
        <v>370167215.69999999</v>
      </c>
      <c r="J23" s="40" t="e">
        <f t="shared" si="0"/>
        <v>#DIV/0!</v>
      </c>
      <c r="K23" s="44">
        <f t="shared" si="1"/>
        <v>40</v>
      </c>
      <c r="L23" s="44">
        <f t="shared" si="6"/>
        <v>20</v>
      </c>
      <c r="M23" s="54" t="e">
        <f t="shared" si="7"/>
        <v>#DIV/0!</v>
      </c>
      <c r="N23" s="474" t="e">
        <f t="shared" ref="N23" si="8">SUM(M23:M27)</f>
        <v>#DIV/0!</v>
      </c>
      <c r="O23" s="477">
        <f t="shared" ref="O23" si="9">IF($G$9&lt;=12,$C$9-$G$10*$C$9,(($C$9-$G$10)/$G$9)*12)</f>
        <v>0</v>
      </c>
      <c r="P23" s="480" t="e">
        <f t="shared" ref="P23" si="10">IF(N23&gt;=O23,"CUMPLE","NO CUMPLE")</f>
        <v>#DIV/0!</v>
      </c>
    </row>
    <row r="24" spans="1:16" ht="48" x14ac:dyDescent="0.2">
      <c r="A24" s="448"/>
      <c r="B24" s="451"/>
      <c r="C24" s="24" t="str">
        <f>IF(VLOOKUP(B23,PROPONENTES!$B$10:$N$16,4,FALSE)="","",VLOOKUP(B23,PROPONENTES!$B$10:$N$16,4,FALSE))</f>
        <v xml:space="preserve">INGENIERÍA MONCADA GONZÁLEZ Y ASOCIADOS S.A.S. </v>
      </c>
      <c r="D24" s="33">
        <f>VLOOKUP(B23,PROPONENTES!$B$10:$N$16,5,FALSE)</f>
        <v>0.1</v>
      </c>
      <c r="E24" s="51"/>
      <c r="F24" s="36"/>
      <c r="G24" s="36"/>
      <c r="H24" s="35"/>
      <c r="I24" s="36"/>
      <c r="J24" s="24" t="e">
        <f t="shared" si="0"/>
        <v>#DIV/0!</v>
      </c>
      <c r="K24" s="32" t="b">
        <f t="shared" si="1"/>
        <v>0</v>
      </c>
      <c r="L24" s="32">
        <f t="shared" si="6"/>
        <v>0</v>
      </c>
      <c r="M24" s="55" t="e">
        <f t="shared" si="7"/>
        <v>#DIV/0!</v>
      </c>
      <c r="N24" s="475"/>
      <c r="O24" s="478"/>
      <c r="P24" s="481"/>
    </row>
    <row r="25" spans="1:16" ht="16" x14ac:dyDescent="0.2">
      <c r="A25" s="448"/>
      <c r="B25" s="451"/>
      <c r="C25" s="24" t="str">
        <f>IF(VLOOKUP(B23,PROPONENTES!$B$10:$N$16,6,FALSE)="","",VLOOKUP(B23,PROPONENTES!$B$10:$N$16,6,FALSE))</f>
        <v/>
      </c>
      <c r="D25" s="33">
        <f>VLOOKUP(B23,PROPONENTES!$B$10:$N$16,7,FALSE)</f>
        <v>0</v>
      </c>
      <c r="E25" s="51"/>
      <c r="F25" s="36"/>
      <c r="G25" s="36"/>
      <c r="H25" s="35"/>
      <c r="I25" s="36"/>
      <c r="J25" s="24" t="str">
        <f t="shared" si="0"/>
        <v/>
      </c>
      <c r="K25" s="32" t="str">
        <f t="shared" si="1"/>
        <v/>
      </c>
      <c r="L25" s="32" t="str">
        <f t="shared" si="6"/>
        <v/>
      </c>
      <c r="M25" s="55" t="str">
        <f t="shared" si="7"/>
        <v/>
      </c>
      <c r="N25" s="475"/>
      <c r="O25" s="478"/>
      <c r="P25" s="481"/>
    </row>
    <row r="26" spans="1:16" ht="16" x14ac:dyDescent="0.2">
      <c r="A26" s="448"/>
      <c r="B26" s="451"/>
      <c r="C26" s="24" t="str">
        <f>IF(VLOOKUP(B23,PROPONENTES!$B$10:$N$16,8,FALSE)="","",VLOOKUP(B23,PROPONENTES!$B$10:$N$16,8,FALSE))</f>
        <v/>
      </c>
      <c r="D26" s="33">
        <f>VLOOKUP(B23,PROPONENTES!$B$10:$N$16,9,FALSE)</f>
        <v>0</v>
      </c>
      <c r="E26" s="51"/>
      <c r="F26" s="36"/>
      <c r="G26" s="36"/>
      <c r="H26" s="35"/>
      <c r="I26" s="36"/>
      <c r="J26" s="24" t="str">
        <f t="shared" si="0"/>
        <v/>
      </c>
      <c r="K26" s="32" t="str">
        <f t="shared" si="1"/>
        <v/>
      </c>
      <c r="L26" s="32" t="str">
        <f t="shared" si="6"/>
        <v/>
      </c>
      <c r="M26" s="24" t="str">
        <f t="shared" si="7"/>
        <v/>
      </c>
      <c r="N26" s="475"/>
      <c r="O26" s="478"/>
      <c r="P26" s="481"/>
    </row>
    <row r="27" spans="1:16" ht="17" thickBot="1" x14ac:dyDescent="0.25">
      <c r="A27" s="449"/>
      <c r="B27" s="452"/>
      <c r="C27" s="45" t="str">
        <f>IF(VLOOKUP(B23,PROPONENTES!$B$10:$N$16,8,FALSE)="","",VLOOKUP(B23,PROPONENTES!$B$10:$N$16,10,FALSE))</f>
        <v/>
      </c>
      <c r="D27" s="46">
        <f>VLOOKUP(B23,PROPONENTES!$B$10:$N$16,11,FALSE)</f>
        <v>0</v>
      </c>
      <c r="E27" s="52"/>
      <c r="F27" s="47"/>
      <c r="G27" s="47"/>
      <c r="H27" s="48"/>
      <c r="I27" s="47"/>
      <c r="J27" s="45" t="str">
        <f t="shared" si="0"/>
        <v/>
      </c>
      <c r="K27" s="49" t="str">
        <f t="shared" si="1"/>
        <v/>
      </c>
      <c r="L27" s="49" t="str">
        <f t="shared" si="6"/>
        <v/>
      </c>
      <c r="M27" s="45" t="str">
        <f t="shared" si="7"/>
        <v/>
      </c>
      <c r="N27" s="476"/>
      <c r="O27" s="479"/>
      <c r="P27" s="482"/>
    </row>
    <row r="28" spans="1:16" ht="32" x14ac:dyDescent="0.2">
      <c r="A28" s="447">
        <v>4</v>
      </c>
      <c r="B28" s="450" t="str">
        <f>+PROPONENTES!B13</f>
        <v>PROYECTOS E INTERVENTORIAS S.A.S.</v>
      </c>
      <c r="C28" s="40" t="str">
        <f>IF(VLOOKUP(B28,PROPONENTES!$B$10:$N$16,2,FALSE)="","",VLOOKUP(B28,PROPONENTES!$B$10:$N$16,2,FALSE))</f>
        <v>PROYECTOS E INTERVENTORIAS S.A.S.</v>
      </c>
      <c r="D28" s="41">
        <f>VLOOKUP(B28,PROPONENTES!$B$10:$N$16,3,FALSE)</f>
        <v>1</v>
      </c>
      <c r="E28" s="50">
        <v>64.510000000000005</v>
      </c>
      <c r="F28" s="42">
        <v>626253000</v>
      </c>
      <c r="G28" s="42">
        <v>672215398.5</v>
      </c>
      <c r="H28" s="43">
        <v>1</v>
      </c>
      <c r="I28" s="42">
        <v>0</v>
      </c>
      <c r="J28" s="40" t="e">
        <f t="shared" si="0"/>
        <v>#DIV/0!</v>
      </c>
      <c r="K28" s="44">
        <f t="shared" si="1"/>
        <v>40</v>
      </c>
      <c r="L28" s="44">
        <f t="shared" si="6"/>
        <v>20</v>
      </c>
      <c r="M28" s="54" t="e">
        <f t="shared" si="7"/>
        <v>#DIV/0!</v>
      </c>
      <c r="N28" s="474" t="e">
        <f t="shared" ref="N28" si="11">SUM(M28:M32)</f>
        <v>#DIV/0!</v>
      </c>
      <c r="O28" s="477">
        <f t="shared" ref="O28" si="12">IF($G$9&lt;=12,$C$9-$G$10*$C$9,(($C$9-$G$10)/$G$9)*12)</f>
        <v>0</v>
      </c>
      <c r="P28" s="480" t="e">
        <f t="shared" ref="P28" si="13">IF(N28&gt;=O28,"CUMPLE","NO CUMPLE")</f>
        <v>#DIV/0!</v>
      </c>
    </row>
    <row r="29" spans="1:16" ht="16" x14ac:dyDescent="0.2">
      <c r="A29" s="448"/>
      <c r="B29" s="451"/>
      <c r="C29" s="24" t="str">
        <f>IF(VLOOKUP(B28,PROPONENTES!$B$10:$N$16,4,FALSE)="","",VLOOKUP(B28,PROPONENTES!$B$10:$N$16,4,FALSE))</f>
        <v/>
      </c>
      <c r="D29" s="33">
        <f>VLOOKUP(B28,PROPONENTES!$B$10:$N$16,5,FALSE)</f>
        <v>0</v>
      </c>
      <c r="E29" s="51">
        <v>0</v>
      </c>
      <c r="F29" s="36">
        <v>12710667</v>
      </c>
      <c r="G29" s="36">
        <v>50115776593</v>
      </c>
      <c r="H29" s="35">
        <v>11</v>
      </c>
      <c r="I29" s="36">
        <v>0</v>
      </c>
      <c r="J29" s="24" t="str">
        <f t="shared" si="0"/>
        <v/>
      </c>
      <c r="K29" s="32" t="str">
        <f t="shared" si="1"/>
        <v/>
      </c>
      <c r="L29" s="32" t="str">
        <f t="shared" si="6"/>
        <v/>
      </c>
      <c r="M29" s="55" t="str">
        <f t="shared" si="7"/>
        <v/>
      </c>
      <c r="N29" s="475"/>
      <c r="O29" s="478"/>
      <c r="P29" s="481"/>
    </row>
    <row r="30" spans="1:16" ht="16" x14ac:dyDescent="0.2">
      <c r="A30" s="448"/>
      <c r="B30" s="451"/>
      <c r="C30" s="24" t="str">
        <f>IF(VLOOKUP(B28,PROPONENTES!$B$10:$N$16,6,FALSE)="","",VLOOKUP(B28,PROPONENTES!$B$10:$N$16,6,FALSE))</f>
        <v/>
      </c>
      <c r="D30" s="33">
        <f>VLOOKUP(B28,PROPONENTES!$B$10:$N$16,7,FALSE)</f>
        <v>0</v>
      </c>
      <c r="E30" s="51"/>
      <c r="F30" s="36"/>
      <c r="G30" s="36"/>
      <c r="H30" s="35"/>
      <c r="I30" s="36"/>
      <c r="J30" s="24" t="str">
        <f t="shared" si="0"/>
        <v/>
      </c>
      <c r="K30" s="32" t="str">
        <f t="shared" si="1"/>
        <v/>
      </c>
      <c r="L30" s="32" t="str">
        <f t="shared" si="6"/>
        <v/>
      </c>
      <c r="M30" s="55" t="str">
        <f t="shared" si="7"/>
        <v/>
      </c>
      <c r="N30" s="475"/>
      <c r="O30" s="478"/>
      <c r="P30" s="481"/>
    </row>
    <row r="31" spans="1:16" ht="16" x14ac:dyDescent="0.2">
      <c r="A31" s="448"/>
      <c r="B31" s="451"/>
      <c r="C31" s="24" t="str">
        <f>IF(VLOOKUP(B28,PROPONENTES!$B$10:$N$16,8,FALSE)="","",VLOOKUP(B28,PROPONENTES!$B$10:$N$16,8,FALSE))</f>
        <v/>
      </c>
      <c r="D31" s="33">
        <f>VLOOKUP(B28,PROPONENTES!$B$10:$N$16,9,FALSE)</f>
        <v>0</v>
      </c>
      <c r="E31" s="51"/>
      <c r="F31" s="36"/>
      <c r="G31" s="36"/>
      <c r="H31" s="35"/>
      <c r="I31" s="36"/>
      <c r="J31" s="24" t="str">
        <f t="shared" si="0"/>
        <v/>
      </c>
      <c r="K31" s="32" t="str">
        <f t="shared" si="1"/>
        <v/>
      </c>
      <c r="L31" s="32" t="str">
        <f t="shared" si="6"/>
        <v/>
      </c>
      <c r="M31" s="24" t="str">
        <f t="shared" si="7"/>
        <v/>
      </c>
      <c r="N31" s="475"/>
      <c r="O31" s="478"/>
      <c r="P31" s="481"/>
    </row>
    <row r="32" spans="1:16" ht="17" thickBot="1" x14ac:dyDescent="0.25">
      <c r="A32" s="449"/>
      <c r="B32" s="452"/>
      <c r="C32" s="45" t="str">
        <f>IF(VLOOKUP(B28,PROPONENTES!$B$10:$N$16,8,FALSE)="","",VLOOKUP(B28,PROPONENTES!$B$10:$N$16,10,FALSE))</f>
        <v/>
      </c>
      <c r="D32" s="46">
        <f>VLOOKUP(B28,PROPONENTES!$B$10:$N$16,11,FALSE)</f>
        <v>0</v>
      </c>
      <c r="E32" s="52"/>
      <c r="F32" s="47"/>
      <c r="G32" s="47"/>
      <c r="H32" s="48"/>
      <c r="I32" s="47"/>
      <c r="J32" s="45" t="str">
        <f t="shared" si="0"/>
        <v/>
      </c>
      <c r="K32" s="49" t="str">
        <f t="shared" si="1"/>
        <v/>
      </c>
      <c r="L32" s="49" t="str">
        <f t="shared" si="6"/>
        <v/>
      </c>
      <c r="M32" s="45" t="str">
        <f t="shared" si="7"/>
        <v/>
      </c>
      <c r="N32" s="476"/>
      <c r="O32" s="479"/>
      <c r="P32" s="482"/>
    </row>
    <row r="33" spans="1:16" ht="16" x14ac:dyDescent="0.2">
      <c r="A33" s="447">
        <v>5</v>
      </c>
      <c r="B33" s="450" t="str">
        <f>+PROPONENTES!B14</f>
        <v>CONSORCIO GAB VIAL USAQUEN 2025</v>
      </c>
      <c r="C33" s="40" t="str">
        <f>IF(VLOOKUP(B33,PROPONENTES!$B$10:$N$16,2,FALSE)="","",VLOOKUP(B33,PROPONENTES!$B$10:$N$16,2,FALSE))</f>
        <v>GAB INGENIERIA SAS</v>
      </c>
      <c r="D33" s="41">
        <f>VLOOKUP(B33,PROPONENTES!$B$10:$N$16,3,FALSE)</f>
        <v>0.5</v>
      </c>
      <c r="E33" s="50"/>
      <c r="F33" s="42"/>
      <c r="G33" s="42"/>
      <c r="H33" s="43"/>
      <c r="I33" s="42"/>
      <c r="J33" s="40" t="e">
        <f t="shared" si="0"/>
        <v>#DIV/0!</v>
      </c>
      <c r="K33" s="44" t="b">
        <f t="shared" si="1"/>
        <v>0</v>
      </c>
      <c r="L33" s="44">
        <f t="shared" si="6"/>
        <v>0</v>
      </c>
      <c r="M33" s="54" t="e">
        <f t="shared" si="7"/>
        <v>#DIV/0!</v>
      </c>
      <c r="N33" s="474" t="e">
        <f t="shared" ref="N33" si="14">SUM(M33:M37)</f>
        <v>#DIV/0!</v>
      </c>
      <c r="O33" s="477">
        <f t="shared" ref="O33" si="15">IF($G$9&lt;=12,$C$9-$G$10*$C$9,(($C$9-$G$10)/$G$9)*12)</f>
        <v>0</v>
      </c>
      <c r="P33" s="480" t="e">
        <f t="shared" ref="P33" si="16">IF(N33&gt;=O33,"CUMPLE","NO CUMPLE")</f>
        <v>#DIV/0!</v>
      </c>
    </row>
    <row r="34" spans="1:16" ht="49.5" customHeight="1" x14ac:dyDescent="0.2">
      <c r="A34" s="448"/>
      <c r="B34" s="451"/>
      <c r="C34" s="24" t="str">
        <f>IF(VLOOKUP(B33,PROPONENTES!$B$10:$N$16,4,FALSE)="","",VLOOKUP(B33,PROPONENTES!$B$10:$N$16,4,FALSE))</f>
        <v>BIA INGENIERIA SAS</v>
      </c>
      <c r="D34" s="33">
        <f>VLOOKUP(B33,PROPONENTES!$B$10:$N$16,5,FALSE)</f>
        <v>0.5</v>
      </c>
      <c r="E34" s="51"/>
      <c r="F34" s="36"/>
      <c r="G34" s="36"/>
      <c r="H34" s="35"/>
      <c r="I34" s="36"/>
      <c r="J34" s="24" t="e">
        <f t="shared" si="0"/>
        <v>#DIV/0!</v>
      </c>
      <c r="K34" s="32" t="b">
        <f t="shared" si="1"/>
        <v>0</v>
      </c>
      <c r="L34" s="32">
        <f t="shared" si="6"/>
        <v>0</v>
      </c>
      <c r="M34" s="55" t="e">
        <f t="shared" si="7"/>
        <v>#DIV/0!</v>
      </c>
      <c r="N34" s="475"/>
      <c r="O34" s="478"/>
      <c r="P34" s="481"/>
    </row>
    <row r="35" spans="1:16" ht="16" x14ac:dyDescent="0.2">
      <c r="A35" s="448"/>
      <c r="B35" s="451"/>
      <c r="C35" s="24" t="str">
        <f>IF(VLOOKUP(B33,PROPONENTES!$B$10:$N$16,6,FALSE)="","",VLOOKUP(B33,PROPONENTES!$B$10:$N$16,6,FALSE))</f>
        <v/>
      </c>
      <c r="D35" s="33">
        <f>VLOOKUP(B33,PROPONENTES!$B$10:$N$16,7,FALSE)</f>
        <v>0</v>
      </c>
      <c r="E35" s="51"/>
      <c r="F35" s="36"/>
      <c r="G35" s="36"/>
      <c r="H35" s="35"/>
      <c r="I35" s="36"/>
      <c r="J35" s="24" t="str">
        <f t="shared" si="0"/>
        <v/>
      </c>
      <c r="K35" s="32" t="str">
        <f t="shared" si="1"/>
        <v/>
      </c>
      <c r="L35" s="32" t="str">
        <f t="shared" si="6"/>
        <v/>
      </c>
      <c r="M35" s="55" t="str">
        <f t="shared" si="7"/>
        <v/>
      </c>
      <c r="N35" s="475"/>
      <c r="O35" s="478"/>
      <c r="P35" s="481"/>
    </row>
    <row r="36" spans="1:16" ht="16" x14ac:dyDescent="0.2">
      <c r="A36" s="448"/>
      <c r="B36" s="451"/>
      <c r="C36" s="24" t="str">
        <f>IF(VLOOKUP(B33,PROPONENTES!$B$10:$N$16,8,FALSE)="","",VLOOKUP(B33,PROPONENTES!$B$10:$N$16,8,FALSE))</f>
        <v/>
      </c>
      <c r="D36" s="33">
        <f>VLOOKUP(B33,PROPONENTES!$B$10:$N$16,9,FALSE)</f>
        <v>0</v>
      </c>
      <c r="E36" s="51"/>
      <c r="F36" s="36"/>
      <c r="G36" s="36"/>
      <c r="H36" s="35"/>
      <c r="I36" s="36"/>
      <c r="J36" s="24" t="str">
        <f t="shared" si="0"/>
        <v/>
      </c>
      <c r="K36" s="32" t="str">
        <f t="shared" si="1"/>
        <v/>
      </c>
      <c r="L36" s="32" t="str">
        <f t="shared" si="6"/>
        <v/>
      </c>
      <c r="M36" s="24" t="str">
        <f t="shared" si="7"/>
        <v/>
      </c>
      <c r="N36" s="475"/>
      <c r="O36" s="478"/>
      <c r="P36" s="481"/>
    </row>
    <row r="37" spans="1:16" ht="17" thickBot="1" x14ac:dyDescent="0.25">
      <c r="A37" s="449"/>
      <c r="B37" s="452"/>
      <c r="C37" s="45" t="str">
        <f>IF(VLOOKUP(B33,PROPONENTES!$B$10:$N$16,8,FALSE)="","",VLOOKUP(B33,PROPONENTES!$B$10:$N$16,10,FALSE))</f>
        <v/>
      </c>
      <c r="D37" s="46">
        <f>VLOOKUP(B33,PROPONENTES!$B$10:$N$16,11,FALSE)</f>
        <v>0</v>
      </c>
      <c r="E37" s="52"/>
      <c r="F37" s="47"/>
      <c r="G37" s="47"/>
      <c r="H37" s="48"/>
      <c r="I37" s="47"/>
      <c r="J37" s="45" t="str">
        <f t="shared" si="0"/>
        <v/>
      </c>
      <c r="K37" s="49" t="str">
        <f t="shared" si="1"/>
        <v/>
      </c>
      <c r="L37" s="49" t="str">
        <f t="shared" si="6"/>
        <v/>
      </c>
      <c r="M37" s="45" t="str">
        <f t="shared" si="7"/>
        <v/>
      </c>
      <c r="N37" s="476"/>
      <c r="O37" s="479"/>
      <c r="P37" s="482"/>
    </row>
    <row r="38" spans="1:16" ht="16" x14ac:dyDescent="0.2">
      <c r="A38" s="447">
        <v>6</v>
      </c>
      <c r="B38" s="450" t="str">
        <f>+PROPONENTES!B15</f>
        <v>CONSORCIO INTER TS 03</v>
      </c>
      <c r="C38" s="40" t="str">
        <f>IF(VLOOKUP(B38,PROPONENTES!$B$10:$N$16,2,FALSE)="","",VLOOKUP(B38,PROPONENTES!$B$10:$N$16,2,FALSE))</f>
        <v>TOTALL INC SAS BIC</v>
      </c>
      <c r="D38" s="41">
        <f>VLOOKUP(B38,PROPONENTES!$B$10:$N$16,3,FALSE)</f>
        <v>0.5</v>
      </c>
      <c r="E38" s="50">
        <v>4.04</v>
      </c>
      <c r="F38" s="42">
        <v>4188826509</v>
      </c>
      <c r="G38" s="42">
        <v>40534858108.996201</v>
      </c>
      <c r="H38" s="43">
        <v>3</v>
      </c>
      <c r="I38" s="42">
        <v>0</v>
      </c>
      <c r="J38" s="40" t="e">
        <f t="shared" si="0"/>
        <v>#DIV/0!</v>
      </c>
      <c r="K38" s="44">
        <f t="shared" si="1"/>
        <v>40</v>
      </c>
      <c r="L38" s="44">
        <f t="shared" si="6"/>
        <v>20</v>
      </c>
      <c r="M38" s="54" t="e">
        <f t="shared" si="7"/>
        <v>#DIV/0!</v>
      </c>
      <c r="N38" s="474" t="e">
        <f t="shared" ref="N38" si="17">SUM(M38:M42)</f>
        <v>#DIV/0!</v>
      </c>
      <c r="O38" s="477">
        <f t="shared" ref="O38" si="18">IF($G$9&lt;=12,$C$9-$G$10*$C$9,(($C$9-$G$10)/$G$9)*12)</f>
        <v>0</v>
      </c>
      <c r="P38" s="480" t="e">
        <f t="shared" ref="P38" si="19">IF(N38&gt;=O38,"CUMPLE","NO CUMPLE")</f>
        <v>#DIV/0!</v>
      </c>
    </row>
    <row r="39" spans="1:16" ht="32" x14ac:dyDescent="0.2">
      <c r="A39" s="448"/>
      <c r="B39" s="451"/>
      <c r="C39" s="24" t="str">
        <f>IF(VLOOKUP(B38,PROPONENTES!$B$10:$N$16,4,FALSE)="","",VLOOKUP(B38,PROPONENTES!$B$10:$N$16,4,FALSE))</f>
        <v>SISTEMA INGENIERIA, SUCURSAL COLOMBIA</v>
      </c>
      <c r="D39" s="33">
        <f>VLOOKUP(B38,PROPONENTES!$B$10:$N$16,5,FALSE)</f>
        <v>0.5</v>
      </c>
      <c r="E39" s="51"/>
      <c r="F39" s="36"/>
      <c r="G39" s="36"/>
      <c r="H39" s="35"/>
      <c r="I39" s="36"/>
      <c r="J39" s="24" t="e">
        <f t="shared" si="0"/>
        <v>#DIV/0!</v>
      </c>
      <c r="K39" s="32" t="b">
        <f t="shared" si="1"/>
        <v>0</v>
      </c>
      <c r="L39" s="32">
        <f t="shared" si="6"/>
        <v>0</v>
      </c>
      <c r="M39" s="55" t="e">
        <f t="shared" si="7"/>
        <v>#DIV/0!</v>
      </c>
      <c r="N39" s="475"/>
      <c r="O39" s="478"/>
      <c r="P39" s="481"/>
    </row>
    <row r="40" spans="1:16" ht="16" x14ac:dyDescent="0.2">
      <c r="A40" s="448"/>
      <c r="B40" s="451"/>
      <c r="C40" s="24" t="str">
        <f>IF(VLOOKUP(B38,PROPONENTES!$B$10:$N$16,6,FALSE)="","",VLOOKUP(B38,PROPONENTES!$B$10:$N$16,6,FALSE))</f>
        <v/>
      </c>
      <c r="D40" s="33">
        <f>VLOOKUP(B38,PROPONENTES!$B$10:$N$16,7,FALSE)</f>
        <v>0</v>
      </c>
      <c r="E40" s="51"/>
      <c r="F40" s="36"/>
      <c r="G40" s="36"/>
      <c r="H40" s="35"/>
      <c r="I40" s="36"/>
      <c r="J40" s="24" t="str">
        <f t="shared" si="0"/>
        <v/>
      </c>
      <c r="K40" s="32" t="str">
        <f t="shared" si="1"/>
        <v/>
      </c>
      <c r="L40" s="32" t="str">
        <f t="shared" si="6"/>
        <v/>
      </c>
      <c r="M40" s="55" t="str">
        <f t="shared" si="7"/>
        <v/>
      </c>
      <c r="N40" s="475"/>
      <c r="O40" s="478"/>
      <c r="P40" s="481"/>
    </row>
    <row r="41" spans="1:16" ht="16" x14ac:dyDescent="0.2">
      <c r="A41" s="448"/>
      <c r="B41" s="451"/>
      <c r="C41" s="24" t="str">
        <f>IF(VLOOKUP(B38,PROPONENTES!$B$10:$N$16,8,FALSE)="","",VLOOKUP(B38,PROPONENTES!$B$10:$N$16,8,FALSE))</f>
        <v/>
      </c>
      <c r="D41" s="33">
        <f>VLOOKUP(B38,PROPONENTES!$B$10:$N$16,9,FALSE)</f>
        <v>0</v>
      </c>
      <c r="E41" s="51"/>
      <c r="F41" s="36"/>
      <c r="G41" s="36"/>
      <c r="H41" s="35"/>
      <c r="I41" s="36"/>
      <c r="J41" s="24" t="str">
        <f t="shared" si="0"/>
        <v/>
      </c>
      <c r="K41" s="32" t="str">
        <f t="shared" si="1"/>
        <v/>
      </c>
      <c r="L41" s="32" t="str">
        <f t="shared" si="6"/>
        <v/>
      </c>
      <c r="M41" s="24" t="str">
        <f t="shared" si="7"/>
        <v/>
      </c>
      <c r="N41" s="475"/>
      <c r="O41" s="478"/>
      <c r="P41" s="481"/>
    </row>
    <row r="42" spans="1:16" ht="17" thickBot="1" x14ac:dyDescent="0.25">
      <c r="A42" s="449"/>
      <c r="B42" s="452"/>
      <c r="C42" s="45" t="str">
        <f>IF(VLOOKUP(B38,PROPONENTES!$B$10:$N$16,8,FALSE)="","",VLOOKUP(B38,PROPONENTES!$B$10:$N$16,10,FALSE))</f>
        <v/>
      </c>
      <c r="D42" s="46">
        <f>VLOOKUP(B38,PROPONENTES!$B$10:$N$16,11,FALSE)</f>
        <v>0</v>
      </c>
      <c r="E42" s="52"/>
      <c r="F42" s="47"/>
      <c r="G42" s="47"/>
      <c r="H42" s="48"/>
      <c r="I42" s="47"/>
      <c r="J42" s="45" t="str">
        <f t="shared" si="0"/>
        <v/>
      </c>
      <c r="K42" s="49" t="str">
        <f t="shared" si="1"/>
        <v/>
      </c>
      <c r="L42" s="49" t="str">
        <f t="shared" si="6"/>
        <v/>
      </c>
      <c r="M42" s="45" t="str">
        <f t="shared" si="7"/>
        <v/>
      </c>
      <c r="N42" s="476"/>
      <c r="O42" s="479"/>
      <c r="P42" s="482"/>
    </row>
    <row r="43" spans="1:16" ht="32" x14ac:dyDescent="0.2">
      <c r="A43" s="447">
        <v>7</v>
      </c>
      <c r="B43" s="450" t="str">
        <f>+PROPONENTES!B16</f>
        <v>CONSORCIO PB</v>
      </c>
      <c r="C43" s="40" t="str">
        <f>IF(VLOOKUP(B43,PROPONENTES!$B$10:$N$16,2,FALSE)="","",VLOOKUP(B43,PROPONENTES!$B$10:$N$16,2,FALSE))</f>
        <v xml:space="preserve">PROYECTO SANABRIA 
S.A.S. </v>
      </c>
      <c r="D43" s="41">
        <f>VLOOKUP(B43,PROPONENTES!$B$10:$N$16,3,FALSE)</f>
        <v>0.5</v>
      </c>
      <c r="E43" s="50">
        <v>4.4000000000000004</v>
      </c>
      <c r="F43" s="42">
        <v>1953936784</v>
      </c>
      <c r="G43" s="42">
        <v>11553130875.139999</v>
      </c>
      <c r="H43" s="43">
        <v>11</v>
      </c>
      <c r="I43" s="42">
        <v>0</v>
      </c>
      <c r="J43" s="40" t="e">
        <f t="shared" si="0"/>
        <v>#DIV/0!</v>
      </c>
      <c r="K43" s="44">
        <f t="shared" si="1"/>
        <v>40</v>
      </c>
      <c r="L43" s="44">
        <f t="shared" si="6"/>
        <v>40</v>
      </c>
      <c r="M43" s="54" t="e">
        <f t="shared" si="7"/>
        <v>#DIV/0!</v>
      </c>
      <c r="N43" s="474" t="e">
        <f t="shared" ref="N43" si="20">SUM(M43:M47)</f>
        <v>#DIV/0!</v>
      </c>
      <c r="O43" s="477">
        <f t="shared" ref="O43" si="21">IF($G$9&lt;=12,$C$9-$G$10*$C$9,(($C$9-$G$10)/$G$9)*12)</f>
        <v>0</v>
      </c>
      <c r="P43" s="480" t="e">
        <f t="shared" ref="P43" si="22">IF(N43&gt;=O43,"CUMPLE","NO CUMPLE")</f>
        <v>#DIV/0!</v>
      </c>
    </row>
    <row r="44" spans="1:16" ht="32" x14ac:dyDescent="0.2">
      <c r="A44" s="448"/>
      <c r="B44" s="451"/>
      <c r="C44" s="24" t="str">
        <f>IF(VLOOKUP(B43,PROPONENTES!$B$10:$N$16,4,FALSE)="","",VLOOKUP(B43,PROPONENTES!$B$10:$N$16,4,FALSE))</f>
        <v xml:space="preserve">BALANCE &amp; INGENERIA 
S.A.S. </v>
      </c>
      <c r="D44" s="33">
        <f>VLOOKUP(B43,PROPONENTES!$B$10:$N$16,5,FALSE)</f>
        <v>0.5</v>
      </c>
      <c r="E44" s="51">
        <v>2.81</v>
      </c>
      <c r="F44" s="36">
        <v>1742165766</v>
      </c>
      <c r="G44" s="36">
        <v>137270119527.75</v>
      </c>
      <c r="H44" s="35">
        <v>11</v>
      </c>
      <c r="I44" s="36">
        <v>0</v>
      </c>
      <c r="J44" s="24" t="e">
        <f t="shared" si="0"/>
        <v>#DIV/0!</v>
      </c>
      <c r="K44" s="32">
        <f t="shared" si="1"/>
        <v>40</v>
      </c>
      <c r="L44" s="32">
        <f t="shared" si="6"/>
        <v>40</v>
      </c>
      <c r="M44" s="55" t="e">
        <f t="shared" si="7"/>
        <v>#DIV/0!</v>
      </c>
      <c r="N44" s="475"/>
      <c r="O44" s="478"/>
      <c r="P44" s="481"/>
    </row>
    <row r="45" spans="1:16" ht="16" x14ac:dyDescent="0.2">
      <c r="A45" s="448"/>
      <c r="B45" s="451"/>
      <c r="C45" s="24" t="str">
        <f>IF(VLOOKUP(B43,PROPONENTES!$B$10:$N$16,6,FALSE)="","",VLOOKUP(B43,PROPONENTES!$B$10:$N$16,6,FALSE))</f>
        <v/>
      </c>
      <c r="D45" s="33">
        <f>VLOOKUP(B43,PROPONENTES!$B$10:$N$16,7,FALSE)</f>
        <v>0</v>
      </c>
      <c r="E45" s="51"/>
      <c r="F45" s="36"/>
      <c r="G45" s="36"/>
      <c r="H45" s="35"/>
      <c r="I45" s="36"/>
      <c r="J45" s="24" t="str">
        <f t="shared" si="0"/>
        <v/>
      </c>
      <c r="K45" s="32" t="str">
        <f t="shared" si="1"/>
        <v/>
      </c>
      <c r="L45" s="32" t="str">
        <f t="shared" si="6"/>
        <v/>
      </c>
      <c r="M45" s="55" t="str">
        <f t="shared" si="7"/>
        <v/>
      </c>
      <c r="N45" s="475"/>
      <c r="O45" s="478"/>
      <c r="P45" s="481"/>
    </row>
    <row r="46" spans="1:16" ht="16" x14ac:dyDescent="0.2">
      <c r="A46" s="448"/>
      <c r="B46" s="451"/>
      <c r="C46" s="24" t="str">
        <f>IF(VLOOKUP(B43,PROPONENTES!$B$10:$N$16,8,FALSE)="","",VLOOKUP(B43,PROPONENTES!$B$10:$N$16,8,FALSE))</f>
        <v/>
      </c>
      <c r="D46" s="33">
        <f>VLOOKUP(B43,PROPONENTES!$B$10:$N$16,9,FALSE)</f>
        <v>0</v>
      </c>
      <c r="E46" s="51"/>
      <c r="F46" s="36"/>
      <c r="G46" s="36"/>
      <c r="H46" s="35"/>
      <c r="I46" s="36"/>
      <c r="J46" s="24" t="str">
        <f t="shared" si="0"/>
        <v/>
      </c>
      <c r="K46" s="32" t="str">
        <f t="shared" si="1"/>
        <v/>
      </c>
      <c r="L46" s="32" t="str">
        <f t="shared" si="6"/>
        <v/>
      </c>
      <c r="M46" s="24" t="str">
        <f t="shared" si="7"/>
        <v/>
      </c>
      <c r="N46" s="475"/>
      <c r="O46" s="478"/>
      <c r="P46" s="481"/>
    </row>
    <row r="47" spans="1:16" ht="17" thickBot="1" x14ac:dyDescent="0.25">
      <c r="A47" s="449"/>
      <c r="B47" s="452"/>
      <c r="C47" s="45" t="str">
        <f>IF(VLOOKUP(B43,PROPONENTES!$B$10:$N$16,8,FALSE)="","",VLOOKUP(B43,PROPONENTES!$B$10:$N$16,10,FALSE))</f>
        <v/>
      </c>
      <c r="D47" s="46">
        <f>VLOOKUP(B43,PROPONENTES!$B$10:$N$16,11,FALSE)</f>
        <v>0</v>
      </c>
      <c r="E47" s="52"/>
      <c r="F47" s="47"/>
      <c r="G47" s="47"/>
      <c r="H47" s="48"/>
      <c r="I47" s="47"/>
      <c r="J47" s="45" t="str">
        <f t="shared" si="0"/>
        <v/>
      </c>
      <c r="K47" s="49" t="str">
        <f t="shared" si="1"/>
        <v/>
      </c>
      <c r="L47" s="49" t="str">
        <f t="shared" si="6"/>
        <v/>
      </c>
      <c r="M47" s="45" t="str">
        <f t="shared" si="7"/>
        <v/>
      </c>
      <c r="N47" s="476"/>
      <c r="O47" s="479"/>
      <c r="P47" s="482"/>
    </row>
    <row r="51" spans="6:8" ht="16" x14ac:dyDescent="0.2">
      <c r="F51" s="16" t="s">
        <v>144</v>
      </c>
      <c r="G51" s="118">
        <v>102730148</v>
      </c>
    </row>
    <row r="52" spans="6:8" ht="16" x14ac:dyDescent="0.2">
      <c r="F52" s="16" t="s">
        <v>145</v>
      </c>
      <c r="G52" s="118">
        <v>0</v>
      </c>
      <c r="H52" s="16" t="e">
        <f>G51/G52</f>
        <v>#DIV/0!</v>
      </c>
    </row>
  </sheetData>
  <mergeCells count="51">
    <mergeCell ref="B13:B17"/>
    <mergeCell ref="A13:A17"/>
    <mergeCell ref="A18:A22"/>
    <mergeCell ref="B18:B22"/>
    <mergeCell ref="A23:A27"/>
    <mergeCell ref="B23:B27"/>
    <mergeCell ref="A43:A47"/>
    <mergeCell ref="B43:B47"/>
    <mergeCell ref="A28:A32"/>
    <mergeCell ref="B28:B32"/>
    <mergeCell ref="A33:A37"/>
    <mergeCell ref="B33:B37"/>
    <mergeCell ref="A38:A42"/>
    <mergeCell ref="B38:B42"/>
    <mergeCell ref="N23:N27"/>
    <mergeCell ref="O23:O27"/>
    <mergeCell ref="P23:P27"/>
    <mergeCell ref="N28:N32"/>
    <mergeCell ref="O28:O32"/>
    <mergeCell ref="P28:P32"/>
    <mergeCell ref="N13:N17"/>
    <mergeCell ref="O13:O17"/>
    <mergeCell ref="P13:P17"/>
    <mergeCell ref="N18:N22"/>
    <mergeCell ref="O18:O22"/>
    <mergeCell ref="P18:P22"/>
    <mergeCell ref="N43:N47"/>
    <mergeCell ref="O43:O47"/>
    <mergeCell ref="P43:P47"/>
    <mergeCell ref="N33:N37"/>
    <mergeCell ref="O33:O37"/>
    <mergeCell ref="P33:P37"/>
    <mergeCell ref="N38:N42"/>
    <mergeCell ref="O38:O42"/>
    <mergeCell ref="P38:P42"/>
    <mergeCell ref="A9:B9"/>
    <mergeCell ref="A10:B10"/>
    <mergeCell ref="H9:P9"/>
    <mergeCell ref="H10:P10"/>
    <mergeCell ref="H6:P6"/>
    <mergeCell ref="C9:E9"/>
    <mergeCell ref="C10:E10"/>
    <mergeCell ref="C8:P8"/>
    <mergeCell ref="A7:P7"/>
    <mergeCell ref="A8:B8"/>
    <mergeCell ref="A2:P2"/>
    <mergeCell ref="A3:P3"/>
    <mergeCell ref="A4:P4"/>
    <mergeCell ref="A5:P5"/>
    <mergeCell ref="D6:F6"/>
    <mergeCell ref="A6:B6"/>
  </mergeCells>
  <conditionalFormatting sqref="P13">
    <cfRule type="cellIs" dxfId="5180" priority="4" operator="equal">
      <formula>"CUMPLE"</formula>
    </cfRule>
    <cfRule type="cellIs" dxfId="5179" priority="5" operator="equal">
      <formula>"NO CUMPLE"</formula>
    </cfRule>
    <cfRule type="cellIs" dxfId="5178" priority="6" operator="equal">
      <formula>"""CUMPLE"""</formula>
    </cfRule>
  </conditionalFormatting>
  <conditionalFormatting sqref="P18 P23 P28 P33 P38 P43">
    <cfRule type="cellIs" dxfId="5177" priority="1" operator="equal">
      <formula>"CUMPLE"</formula>
    </cfRule>
    <cfRule type="cellIs" dxfId="5176" priority="2" operator="equal">
      <formula>"NO CUMPLE"</formula>
    </cfRule>
    <cfRule type="cellIs" dxfId="5175" priority="3" operator="equal">
      <formula>"""CUMPLE"""</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N72"/>
  <sheetViews>
    <sheetView view="pageBreakPreview" topLeftCell="A66" zoomScale="55" zoomScaleNormal="25" zoomScaleSheetLayoutView="55" workbookViewId="0">
      <selection activeCell="D41" sqref="D41:F41"/>
    </sheetView>
  </sheetViews>
  <sheetFormatPr baseColWidth="10" defaultColWidth="11.5" defaultRowHeight="15" x14ac:dyDescent="0.2"/>
  <cols>
    <col min="1" max="1" width="5.5" customWidth="1"/>
    <col min="2" max="2" width="30.83203125" customWidth="1"/>
    <col min="3" max="3" width="63.1640625" customWidth="1"/>
    <col min="4" max="4" width="42.6640625" customWidth="1"/>
    <col min="5" max="5" width="49.1640625" customWidth="1"/>
    <col min="6" max="6" width="57.6640625" customWidth="1"/>
    <col min="7"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2</v>
      </c>
      <c r="B11" s="2" t="s">
        <v>58</v>
      </c>
      <c r="C11" s="413" t="str">
        <f>VLOOKUP(A11,PROPONENTES!A10:B94,2,FALSE)</f>
        <v>CONSORCIO INTERVIAS USAQUEN AI</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3</v>
      </c>
      <c r="J14" s="147">
        <f>+L8</f>
        <v>986.3076290832455</v>
      </c>
      <c r="K14" s="147">
        <f>+E22</f>
        <v>6593.5374999999995</v>
      </c>
      <c r="L14" s="18" t="str">
        <f>IF(K14&gt;=J14,"CUMPLE","NO CUMPLE")</f>
        <v>CUMPLE</v>
      </c>
    </row>
    <row r="15" spans="1:12" ht="33.75" customHeight="1" x14ac:dyDescent="0.2">
      <c r="B15" s="382"/>
      <c r="C15" s="92" t="str">
        <f>IF(VLOOKUP(C11,PROPONENTES!B10:N94,2,FALSE)=0,"",VLOOKUP(C11,PROPONENTES!B10:N94,2,FALSE))</f>
        <v>AIRTIFICIAL   CW INFRASTRUCTURES
COLOMBIA S.A.S.</v>
      </c>
      <c r="D15" s="93">
        <f>IF(VLOOKUP(C11,PROPONENTES!B10:N94,3,FALSE)=0,"",VLOOKUP(C11,PROPONENTES!B10:N94,3,FALSE))</f>
        <v>0.7</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6218.5974999999999</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xml:space="preserve">INNOBRAS LTDA </v>
      </c>
      <c r="D16" s="93">
        <f>IF(VLOOKUP(C11,PROPONENTES!B10:N94,5,FALSE)=0,"",VLOOKUP(C11,PROPONENTES!B10:N94,5,FALSE))</f>
        <v>0.3</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374.94</v>
      </c>
      <c r="F16" s="95" t="str">
        <f>IF(C16="","",IF(E16&gt;=$J$14*0.5,"SI","NO"))</f>
        <v>NO</v>
      </c>
      <c r="G16" s="96" t="str">
        <f>IF(C16="","",IF(E16&gt;=$J$14*0.05,"SI",IF(E16=0,"NO APORTA EXPERIENCIA",)))</f>
        <v>SI</v>
      </c>
      <c r="H16" s="96" t="str">
        <f>IF(C16="","",IF(AND(G16="NO APORTA EXPERIENCIA",D16&lt;=10%),"SI",IF(G16="SI","NO APLICA","NO - PORCENTAJE MAYOR AL 10%")))</f>
        <v>NO APLICA</v>
      </c>
      <c r="I16" s="162"/>
      <c r="J16" s="162"/>
      <c r="K16" s="162"/>
      <c r="L16" s="161">
        <f>AVERAGEIF(D67:J67,"CUMPLE",D48:J48)</f>
        <v>2197.8458333333333</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3</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3</v>
      </c>
      <c r="J19" s="128">
        <v>1</v>
      </c>
      <c r="K19" s="387"/>
      <c r="L19" s="388"/>
    </row>
    <row r="20" spans="2:14" ht="50.25" customHeight="1" x14ac:dyDescent="0.2">
      <c r="B20" s="382"/>
      <c r="C20" s="92"/>
      <c r="D20" s="93"/>
      <c r="E20" s="94"/>
      <c r="F20" s="95"/>
      <c r="G20" s="96"/>
      <c r="H20" s="96"/>
      <c r="I20" s="128">
        <f>COUNTIFS(D60:J60,"CUMPLE",D67:J67,"CUMPLE")</f>
        <v>3</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3</v>
      </c>
      <c r="J21" s="128">
        <v>1</v>
      </c>
      <c r="K21" s="389"/>
      <c r="L21" s="390"/>
    </row>
    <row r="22" spans="2:14" ht="84.75" customHeight="1" x14ac:dyDescent="0.2">
      <c r="B22" s="29" t="s">
        <v>75</v>
      </c>
      <c r="C22" s="24">
        <f>+VLOOKUP(C11,PROPONENTES!B10:N94,12,FALSE)</f>
        <v>2</v>
      </c>
      <c r="D22" s="93">
        <f>+VLOOKUP(C11,PROPONENTES!B10:N94,13,FALSE)</f>
        <v>1</v>
      </c>
      <c r="E22" s="32">
        <f>SUM(E15:E21)</f>
        <v>6593.5374999999995</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300</v>
      </c>
      <c r="E26" s="84" t="s">
        <v>300</v>
      </c>
      <c r="F26" s="84" t="s">
        <v>301</v>
      </c>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307</v>
      </c>
      <c r="E29" s="85" t="s">
        <v>309</v>
      </c>
      <c r="F29" s="85" t="s">
        <v>308</v>
      </c>
      <c r="G29" s="85"/>
      <c r="H29" s="85"/>
      <c r="I29" s="85"/>
      <c r="J29" s="85"/>
      <c r="K29" s="145"/>
      <c r="L29" s="140"/>
    </row>
    <row r="30" spans="2:14" ht="309" customHeight="1" x14ac:dyDescent="0.2">
      <c r="B30" s="374"/>
      <c r="C30" s="25" t="s">
        <v>84</v>
      </c>
      <c r="D30" s="85" t="s">
        <v>304</v>
      </c>
      <c r="E30" s="85" t="s">
        <v>305</v>
      </c>
      <c r="F30" s="85" t="s">
        <v>306</v>
      </c>
      <c r="G30" s="85"/>
      <c r="H30" s="85"/>
      <c r="I30" s="85"/>
      <c r="J30" s="85"/>
      <c r="K30" s="145"/>
      <c r="L30" s="140"/>
    </row>
    <row r="31" spans="2:14" ht="52.5" customHeight="1" x14ac:dyDescent="0.2">
      <c r="B31" s="374"/>
      <c r="C31" s="25" t="s">
        <v>85</v>
      </c>
      <c r="D31" s="89">
        <v>41956</v>
      </c>
      <c r="E31" s="89">
        <v>39213</v>
      </c>
      <c r="F31" s="89">
        <v>41634</v>
      </c>
      <c r="G31" s="89"/>
      <c r="H31" s="89"/>
      <c r="I31" s="89"/>
      <c r="J31" s="89"/>
      <c r="K31" s="145"/>
      <c r="L31" s="140"/>
    </row>
    <row r="32" spans="2:14" ht="54.75" customHeight="1" x14ac:dyDescent="0.2">
      <c r="B32" s="374"/>
      <c r="C32" s="25" t="s">
        <v>86</v>
      </c>
      <c r="D32" s="89">
        <v>42724</v>
      </c>
      <c r="E32" s="89">
        <v>39983</v>
      </c>
      <c r="F32" s="89">
        <v>42004</v>
      </c>
      <c r="G32" s="89"/>
      <c r="H32" s="89"/>
      <c r="I32" s="89"/>
      <c r="J32" s="89"/>
      <c r="K32" s="145"/>
      <c r="L32" s="140"/>
    </row>
    <row r="33" spans="2:12" ht="41.25" customHeight="1" x14ac:dyDescent="0.2">
      <c r="B33" s="374"/>
      <c r="C33" s="25" t="s">
        <v>87</v>
      </c>
      <c r="D33" s="86">
        <v>2016</v>
      </c>
      <c r="E33" s="86">
        <v>2009</v>
      </c>
      <c r="F33" s="86">
        <v>2014</v>
      </c>
      <c r="G33" s="86"/>
      <c r="H33" s="86"/>
      <c r="I33" s="86"/>
      <c r="J33" s="86"/>
      <c r="K33" s="145"/>
      <c r="L33" s="140"/>
    </row>
    <row r="34" spans="2:12" ht="63" customHeight="1" x14ac:dyDescent="0.2">
      <c r="B34" s="374"/>
      <c r="C34" s="25" t="s">
        <v>88</v>
      </c>
      <c r="D34" s="85" t="s">
        <v>310</v>
      </c>
      <c r="E34" s="85" t="s">
        <v>311</v>
      </c>
      <c r="F34" s="85" t="s">
        <v>312</v>
      </c>
      <c r="G34" s="85"/>
      <c r="H34" s="85"/>
      <c r="I34" s="85"/>
      <c r="J34" s="85"/>
      <c r="K34" s="145"/>
      <c r="L34" s="140"/>
    </row>
    <row r="35" spans="2:12" ht="46.5" customHeight="1" x14ac:dyDescent="0.2">
      <c r="B35" s="374"/>
      <c r="C35" s="25" t="s">
        <v>89</v>
      </c>
      <c r="D35" s="85" t="s">
        <v>300</v>
      </c>
      <c r="E35" s="85" t="s">
        <v>300</v>
      </c>
      <c r="F35" s="85" t="s">
        <v>301</v>
      </c>
      <c r="G35" s="85"/>
      <c r="H35" s="85"/>
      <c r="I35" s="85"/>
      <c r="J35" s="85"/>
      <c r="K35" s="145"/>
      <c r="L35" s="140"/>
    </row>
    <row r="36" spans="2:12" ht="27.75" customHeight="1" x14ac:dyDescent="0.2">
      <c r="B36" s="374"/>
      <c r="C36" s="26" t="s">
        <v>90</v>
      </c>
      <c r="D36" s="90">
        <v>153</v>
      </c>
      <c r="E36" s="90">
        <v>49</v>
      </c>
      <c r="F36" s="90">
        <v>2</v>
      </c>
      <c r="G36" s="91"/>
      <c r="H36" s="91"/>
      <c r="I36" s="91"/>
      <c r="J36" s="91"/>
      <c r="K36" s="145"/>
      <c r="L36" s="140"/>
    </row>
    <row r="37" spans="2:12" ht="102.75" customHeight="1" x14ac:dyDescent="0.2">
      <c r="B37" s="374"/>
      <c r="C37" s="25" t="s">
        <v>91</v>
      </c>
      <c r="D37" s="87">
        <v>3184.45</v>
      </c>
      <c r="E37" s="158">
        <v>5104.04</v>
      </c>
      <c r="F37" s="87">
        <v>624.9</v>
      </c>
      <c r="G37" s="87"/>
      <c r="H37" s="87"/>
      <c r="I37" s="87"/>
      <c r="J37" s="87"/>
      <c r="K37" s="242"/>
      <c r="L37" s="243"/>
    </row>
    <row r="38" spans="2:12" ht="48" customHeight="1" x14ac:dyDescent="0.2">
      <c r="B38" s="374"/>
      <c r="C38" s="25" t="s">
        <v>92</v>
      </c>
      <c r="D38" s="97">
        <f>IFERROR(D37*VLOOKUP(D33,'DATOS INICIALES'!$A$12:$B$50,2,0),"0")</f>
        <v>2195534974.75</v>
      </c>
      <c r="E38" s="97">
        <f>IFERROR(E37*VLOOKUP(E33,'DATOS INICIALES'!$A$12:$B$50,2,0),"0")</f>
        <v>2536197476</v>
      </c>
      <c r="F38" s="97">
        <f>IFERROR(F37*VLOOKUP(F33,'DATOS INICIALES'!$A$12:$B$50,2,0),"0")</f>
        <v>384938400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0.35</v>
      </c>
      <c r="E39" s="88">
        <v>1</v>
      </c>
      <c r="F39" s="88">
        <v>0.6</v>
      </c>
      <c r="G39" s="88"/>
      <c r="H39" s="88"/>
      <c r="I39" s="88"/>
      <c r="J39" s="88"/>
      <c r="K39" s="145"/>
      <c r="L39" s="140"/>
    </row>
    <row r="40" spans="2:12" ht="48.75" customHeight="1" x14ac:dyDescent="0.2">
      <c r="B40" s="374"/>
      <c r="C40" s="25" t="s">
        <v>94</v>
      </c>
      <c r="D40" s="97">
        <f t="shared" ref="D40:J40" si="0">IF(D26="","0",D39*D38)</f>
        <v>768437241.1624999</v>
      </c>
      <c r="E40" s="97">
        <f t="shared" si="0"/>
        <v>2536197476</v>
      </c>
      <c r="F40" s="97">
        <f t="shared" si="0"/>
        <v>230963040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1114.5574999999999</v>
      </c>
      <c r="E41" s="98">
        <f t="shared" si="1"/>
        <v>5104.04</v>
      </c>
      <c r="F41" s="98">
        <f t="shared" si="1"/>
        <v>374.94</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1114.5574999999999</v>
      </c>
      <c r="E48" s="98">
        <f t="shared" ref="E48:G48" si="6">+E41+E44+E47</f>
        <v>5104.04</v>
      </c>
      <c r="F48" s="98">
        <f t="shared" si="6"/>
        <v>374.94</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notContainsErrors" dxfId="5174" priority="85">
      <formula>NOT(ISERROR(D71))</formula>
    </cfRule>
    <cfRule type="containsBlanks" dxfId="5173" priority="84">
      <formula>LEN(TRIM(D71))=0</formula>
    </cfRule>
    <cfRule type="cellIs" dxfId="5172" priority="86" operator="equal">
      <formula>"NO CUMPLE"</formula>
    </cfRule>
    <cfRule type="cellIs" dxfId="5171" priority="87" operator="equal">
      <formula>"CUMPLE"</formula>
    </cfRule>
  </conditionalFormatting>
  <conditionalFormatting sqref="D72">
    <cfRule type="cellIs" dxfId="5170" priority="88" operator="equal">
      <formula>"N/A"</formula>
    </cfRule>
    <cfRule type="cellIs" dxfId="5169" priority="89" operator="equal">
      <formula>"CUMPLE"</formula>
    </cfRule>
    <cfRule type="cellIs" dxfId="5168" priority="90" operator="equal">
      <formula>"NO CUMPLE"</formula>
    </cfRule>
    <cfRule type="cellIs" dxfId="5167" priority="91" operator="equal">
      <formula>"""CUMPLE"""</formula>
    </cfRule>
  </conditionalFormatting>
  <conditionalFormatting sqref="D26:J37">
    <cfRule type="notContainsErrors" dxfId="5166" priority="52">
      <formula>NOT(ISERROR(D26))</formula>
    </cfRule>
    <cfRule type="containsBlanks" dxfId="5165" priority="51">
      <formula>LEN(TRIM(D26))=0</formula>
    </cfRule>
  </conditionalFormatting>
  <conditionalFormatting sqref="D36:J36">
    <cfRule type="containsBlanks" dxfId="5164" priority="53">
      <formula>LEN(TRIM(D36))=0</formula>
    </cfRule>
    <cfRule type="notContainsErrors" dxfId="5163" priority="54">
      <formula>NOT(ISERROR(D36))</formula>
    </cfRule>
  </conditionalFormatting>
  <conditionalFormatting sqref="D39:J39">
    <cfRule type="containsBlanks" dxfId="5162" priority="49">
      <formula>LEN(TRIM(D39))=0</formula>
    </cfRule>
    <cfRule type="notContainsErrors" dxfId="5161" priority="50">
      <formula>NOT(ISERROR(D39))</formula>
    </cfRule>
  </conditionalFormatting>
  <conditionalFormatting sqref="D42:J42 D45:J45">
    <cfRule type="containsBlanks" dxfId="5160" priority="55">
      <formula>LEN(TRIM(D42))=0</formula>
    </cfRule>
    <cfRule type="notContainsErrors" dxfId="5159" priority="56">
      <formula>NOT(ISERROR(D42))</formula>
    </cfRule>
  </conditionalFormatting>
  <conditionalFormatting sqref="D49:J54">
    <cfRule type="notContainsErrors" dxfId="5158" priority="14">
      <formula>NOT(ISERROR(D49))</formula>
    </cfRule>
    <cfRule type="cellIs" dxfId="5157" priority="11" operator="equal">
      <formula>"NO CUMPLE"</formula>
    </cfRule>
    <cfRule type="cellIs" dxfId="5156" priority="12" operator="equal">
      <formula>"CUMPLE"</formula>
    </cfRule>
    <cfRule type="containsBlanks" dxfId="5155" priority="13">
      <formula>LEN(TRIM(D49))=0</formula>
    </cfRule>
  </conditionalFormatting>
  <conditionalFormatting sqref="D55:J55">
    <cfRule type="cellIs" dxfId="5154" priority="21" operator="equal">
      <formula>"N/A"</formula>
    </cfRule>
    <cfRule type="cellIs" dxfId="5153" priority="22" operator="equal">
      <formula>"CUMPLE"</formula>
    </cfRule>
    <cfRule type="cellIs" dxfId="5152" priority="23" operator="equal">
      <formula>"NO CUMPLE"</formula>
    </cfRule>
    <cfRule type="cellIs" dxfId="5151" priority="24" operator="equal">
      <formula>"""CUMPLE"""</formula>
    </cfRule>
  </conditionalFormatting>
  <conditionalFormatting sqref="D56:J66">
    <cfRule type="containsBlanks" dxfId="5150" priority="7">
      <formula>LEN(TRIM(D56))=0</formula>
    </cfRule>
    <cfRule type="notContainsErrors" dxfId="5149" priority="8">
      <formula>NOT(ISERROR(D56))</formula>
    </cfRule>
    <cfRule type="cellIs" dxfId="5148" priority="5" operator="equal">
      <formula>"NO CUMPLE"</formula>
    </cfRule>
    <cfRule type="cellIs" dxfId="5147" priority="6" operator="equal">
      <formula>"CUMPLE"</formula>
    </cfRule>
  </conditionalFormatting>
  <conditionalFormatting sqref="D67:J67">
    <cfRule type="cellIs" dxfId="5146" priority="20" operator="equal">
      <formula>"""CUMPLE"""</formula>
    </cfRule>
    <cfRule type="cellIs" dxfId="5145" priority="17" operator="equal">
      <formula>"N/A"</formula>
    </cfRule>
    <cfRule type="cellIs" dxfId="5144" priority="19" operator="equal">
      <formula>"NO CUMPLE"</formula>
    </cfRule>
    <cfRule type="cellIs" dxfId="5143" priority="18" operator="equal">
      <formula>"CUMPLE"</formula>
    </cfRule>
  </conditionalFormatting>
  <conditionalFormatting sqref="D62:K66">
    <cfRule type="containsBlanks" dxfId="5142" priority="9">
      <formula>LEN(TRIM(D62))=0</formula>
    </cfRule>
    <cfRule type="notContainsErrors" dxfId="5141" priority="10">
      <formula>NOT(ISERROR(D62))</formula>
    </cfRule>
  </conditionalFormatting>
  <conditionalFormatting sqref="E71:E72">
    <cfRule type="containsBlanks" dxfId="5140" priority="82">
      <formula>LEN(TRIM(E71))=0</formula>
    </cfRule>
    <cfRule type="notContainsErrors" dxfId="5139" priority="83">
      <formula>NOT(ISERROR(E71))</formula>
    </cfRule>
  </conditionalFormatting>
  <conditionalFormatting sqref="F22:H22">
    <cfRule type="cellIs" dxfId="5138" priority="109" operator="equal">
      <formula>"CUMPLE"</formula>
    </cfRule>
    <cfRule type="cellIs" dxfId="5137" priority="111" operator="equal">
      <formula>"""CUMPLE"""</formula>
    </cfRule>
    <cfRule type="cellIs" dxfId="5136" priority="110" operator="equal">
      <formula>"NO CUMPLE"</formula>
    </cfRule>
  </conditionalFormatting>
  <conditionalFormatting sqref="G63:J63">
    <cfRule type="containsBlanks" dxfId="5135" priority="1">
      <formula>LEN(TRIM(G63))=0</formula>
    </cfRule>
    <cfRule type="notContainsErrors" dxfId="5134" priority="2">
      <formula>NOT(ISERROR(G63))</formula>
    </cfRule>
  </conditionalFormatting>
  <conditionalFormatting sqref="I11">
    <cfRule type="containsText" dxfId="5133" priority="115" operator="containsText" text="NO CUMPLE">
      <formula>NOT(ISERROR(SEARCH("NO CUMPLE",I11)))</formula>
    </cfRule>
    <cfRule type="containsText" dxfId="5132" priority="114" operator="containsText" text="HABILITADO">
      <formula>NOT(ISERROR(SEARCH("HABILITADO",I11)))</formula>
    </cfRule>
    <cfRule type="containsText" dxfId="5131" priority="113" operator="containsText" text="HABILITADO">
      <formula>NOT(ISERROR(SEARCH("HABILITADO",I11)))</formula>
    </cfRule>
    <cfRule type="containsText" dxfId="5130" priority="112" operator="containsText" text="INHABILITADO">
      <formula>NOT(ISERROR(SEARCH("INHABILITADO",I11)))</formula>
    </cfRule>
  </conditionalFormatting>
  <conditionalFormatting sqref="K18:K20">
    <cfRule type="cellIs" dxfId="5129" priority="80" operator="equal">
      <formula>"NO CUMPLE"</formula>
    </cfRule>
    <cfRule type="cellIs" dxfId="5128" priority="79" operator="equal">
      <formula>"CUMPLE"</formula>
    </cfRule>
    <cfRule type="cellIs" dxfId="5127" priority="81" operator="equal">
      <formula>"""CUMPLE"""</formula>
    </cfRule>
  </conditionalFormatting>
  <conditionalFormatting sqref="K26:K61 D62:J62">
    <cfRule type="notContainsErrors" dxfId="5126" priority="4">
      <formula>NOT(ISERROR(D26))</formula>
    </cfRule>
    <cfRule type="containsBlanks" dxfId="5125" priority="3">
      <formula>LEN(TRIM(D26))=0</formula>
    </cfRule>
  </conditionalFormatting>
  <conditionalFormatting sqref="K67:L67">
    <cfRule type="containsBlanks" dxfId="5124" priority="15">
      <formula>LEN(TRIM(K67))=0</formula>
    </cfRule>
    <cfRule type="notContainsErrors" dxfId="5123" priority="16">
      <formula>NOT(ISERROR(K67))</formula>
    </cfRule>
  </conditionalFormatting>
  <conditionalFormatting sqref="L14">
    <cfRule type="cellIs" dxfId="5122" priority="107" operator="equal">
      <formula>"NO CUMPLE"</formula>
    </cfRule>
    <cfRule type="cellIs" dxfId="5121" priority="106" operator="equal">
      <formula>"CUMPLE"</formula>
    </cfRule>
    <cfRule type="cellIs" dxfId="5120" priority="108" operator="equal">
      <formula>"""CUMPLE"""</formula>
    </cfRule>
  </conditionalFormatting>
  <dataValidations count="2">
    <dataValidation type="list" allowBlank="1" showInputMessage="1" showErrorMessage="1" sqref="L62:L67" xr:uid="{00000000-0002-0000-0700-000000000000}">
      <formula1>"0,1,2,3,4,5,6"</formula1>
    </dataValidation>
    <dataValidation type="list" allowBlank="1" showInputMessage="1" showErrorMessage="1" sqref="D26:J28" xr:uid="{00000000-0002-0000-07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0700-000002000000}">
          <x14:formula1>
            <xm:f>'DATOS INICIALES'!$A$57:$A$58</xm:f>
          </x14:formula1>
          <xm:sqref>D49:J49</xm:sqref>
        </x14:dataValidation>
        <x14:dataValidation type="list" allowBlank="1" showInputMessage="1" showErrorMessage="1" xr:uid="{00000000-0002-0000-0700-000003000000}">
          <x14:formula1>
            <xm:f>'DATOS INICIALES'!$A$61:$A$67</xm:f>
          </x14:formula1>
          <xm:sqref>J25</xm:sqref>
        </x14:dataValidation>
        <x14:dataValidation type="list" allowBlank="1" showInputMessage="1" showErrorMessage="1" xr:uid="{00000000-0002-0000-0700-000004000000}">
          <x14:formula1>
            <xm:f>'DATOS INICIALES'!$C$52:$C$53</xm:f>
          </x14:formula1>
          <xm:sqref>D53:J54</xm:sqref>
        </x14:dataValidation>
        <x14:dataValidation type="list" allowBlank="1" showInputMessage="1" showErrorMessage="1" xr:uid="{00000000-0002-0000-0700-000005000000}">
          <x14:formula1>
            <xm:f>'DATOS INICIALES'!$A$57:$A$59</xm:f>
          </x14:formula1>
          <xm:sqref>D71 D56:J66</xm:sqref>
        </x14:dataValidation>
        <x14:dataValidation type="list" allowBlank="1" showInputMessage="1" showErrorMessage="1" xr:uid="{00000000-0002-0000-0700-000006000000}">
          <x14:formula1>
            <xm:f>'DATOS INICIALES'!$A$61:$A$66</xm:f>
          </x14:formula1>
          <xm:sqref>D25:I25</xm:sqref>
        </x14:dataValidation>
        <x14:dataValidation type="list" allowBlank="1" showInputMessage="1" showErrorMessage="1" xr:uid="{00000000-0002-0000-0700-000007000000}">
          <x14:formula1>
            <xm:f>'DATOS INICIALES'!$A$13:$A$50</xm:f>
          </x14:formula1>
          <xm:sqref>G33:I33</xm:sqref>
        </x14:dataValidation>
        <x14:dataValidation type="list" allowBlank="1" showInputMessage="1" showErrorMessage="1" xr:uid="{00000000-0002-0000-0700-000008000000}">
          <x14:formula1>
            <xm:f>'DATOS INICIALES'!$D$27:$D$29</xm:f>
          </x14:formula1>
          <xm:sqref>M50:M55</xm:sqref>
        </x14:dataValidation>
        <x14:dataValidation type="list" allowBlank="1" showInputMessage="1" showErrorMessage="1" xr:uid="{00000000-0002-0000-0700-000009000000}">
          <x14:formula1>
            <xm:f>'DATOS INICIALES'!$C$52:$C$54</xm:f>
          </x14:formula1>
          <xm:sqref>D50:J52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N72"/>
  <sheetViews>
    <sheetView view="pageBreakPreview" topLeftCell="B64" zoomScale="55" zoomScaleNormal="25" zoomScaleSheetLayoutView="55" workbookViewId="0">
      <selection activeCell="D41" sqref="D41:G41"/>
    </sheetView>
  </sheetViews>
  <sheetFormatPr baseColWidth="10" defaultColWidth="11.5" defaultRowHeight="15" x14ac:dyDescent="0.2"/>
  <cols>
    <col min="1" max="1" width="5.5" customWidth="1"/>
    <col min="2" max="2" width="30.83203125" customWidth="1"/>
    <col min="3" max="3" width="63.1640625" customWidth="1"/>
    <col min="4" max="4" width="63" customWidth="1"/>
    <col min="5" max="5" width="53" customWidth="1"/>
    <col min="6" max="6" width="44.6640625" customWidth="1"/>
    <col min="7" max="7" width="37.1640625" customWidth="1"/>
    <col min="8"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3</v>
      </c>
      <c r="B11" s="2" t="s">
        <v>58</v>
      </c>
      <c r="C11" s="413" t="str">
        <f>VLOOKUP(A11,PROPONENTES!A10:B94,2,FALSE)</f>
        <v>CONSORCIO PROYECTA VIAL</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4</v>
      </c>
      <c r="J14" s="147">
        <f>+L8</f>
        <v>986.3076290832455</v>
      </c>
      <c r="K14" s="147">
        <f>+E22</f>
        <v>8308.4645</v>
      </c>
      <c r="L14" s="18" t="str">
        <f>IF(K14&gt;=J14,"CUMPLE","NO CUMPLE")</f>
        <v>CUMPLE</v>
      </c>
    </row>
    <row r="15" spans="1:12" ht="33.75" customHeight="1" x14ac:dyDescent="0.2">
      <c r="B15" s="382"/>
      <c r="C15" s="92" t="str">
        <f>IF(VLOOKUP(C11,PROPONENTES!B10:N94,2,FALSE)=0,"",VLOOKUP(C11,PROPONENTES!B10:N94,2,FALSE))</f>
        <v>GRUPO POSSO S.A.S.</v>
      </c>
      <c r="D15" s="93">
        <f>IF(VLOOKUP(C11,PROPONENTES!B10:N94,3,FALSE)=0,"",VLOOKUP(C11,PROPONENTES!B10:N94,3,FALSE))</f>
        <v>0.9</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5798.1545000000006</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xml:space="preserve">INGENIERÍA MONCADA GONZÁLEZ Y ASOCIADOS S.A.S. </v>
      </c>
      <c r="D16" s="93">
        <f>IF(VLOOKUP(C11,PROPONENTES!B10:N94,5,FALSE)=0,"",VLOOKUP(C11,PROPONENTES!B10:N94,5,FALSE))</f>
        <v>0.1</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2510.31</v>
      </c>
      <c r="F16" s="95" t="str">
        <f>IF(C16="","",IF(E16&gt;=$J$14*0.5,"SI","NO"))</f>
        <v>SI</v>
      </c>
      <c r="G16" s="96" t="str">
        <f>IF(C16="","",IF(E16&gt;=$J$14*0.05,"SI",IF(E16=0,"NO APORTA EXPERIENCIA",)))</f>
        <v>SI</v>
      </c>
      <c r="H16" s="96" t="str">
        <f>IF(C16="","",IF(AND(G16="NO APORTA EXPERIENCIA",D16&lt;=10%),"SI",IF(G16="SI","NO APLICA","NO - PORCENTAJE MAYOR AL 10%")))</f>
        <v>NO APLICA</v>
      </c>
      <c r="I16" s="162"/>
      <c r="J16" s="162"/>
      <c r="K16" s="162"/>
      <c r="L16" s="161">
        <f>AVERAGEIF(D67:J67,"CUMPLE",D48:J48)</f>
        <v>2077.116125</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4</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4</v>
      </c>
      <c r="J19" s="128">
        <v>1</v>
      </c>
      <c r="K19" s="387"/>
      <c r="L19" s="388"/>
    </row>
    <row r="20" spans="2:14" ht="50.25" customHeight="1" x14ac:dyDescent="0.2">
      <c r="B20" s="382"/>
      <c r="C20" s="92"/>
      <c r="D20" s="93"/>
      <c r="E20" s="94"/>
      <c r="F20" s="95"/>
      <c r="G20" s="96"/>
      <c r="H20" s="96"/>
      <c r="I20" s="128">
        <f>COUNTIFS(D60:J60,"CUMPLE",D67:J67,"CUMPLE")</f>
        <v>4</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4</v>
      </c>
      <c r="J21" s="128">
        <v>1</v>
      </c>
      <c r="K21" s="389"/>
      <c r="L21" s="390"/>
    </row>
    <row r="22" spans="2:14" ht="84.75" customHeight="1" x14ac:dyDescent="0.2">
      <c r="B22" s="29" t="s">
        <v>75</v>
      </c>
      <c r="C22" s="24">
        <f>+VLOOKUP(C11,PROPONENTES!B10:N94,12,FALSE)</f>
        <v>2</v>
      </c>
      <c r="D22" s="93">
        <f>+VLOOKUP(C11,PROPONENTES!B10:N94,13,FALSE)</f>
        <v>1</v>
      </c>
      <c r="E22" s="32">
        <f>SUM(E15:E21)</f>
        <v>8308.4645</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302</v>
      </c>
      <c r="E26" s="84" t="s">
        <v>303</v>
      </c>
      <c r="F26" s="84" t="s">
        <v>303</v>
      </c>
      <c r="G26" s="84" t="s">
        <v>302</v>
      </c>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317</v>
      </c>
      <c r="E29" s="85" t="s">
        <v>318</v>
      </c>
      <c r="F29" s="85" t="s">
        <v>319</v>
      </c>
      <c r="G29" s="85" t="s">
        <v>320</v>
      </c>
      <c r="H29" s="85"/>
      <c r="I29" s="85"/>
      <c r="J29" s="85"/>
      <c r="K29" s="145"/>
      <c r="L29" s="140"/>
    </row>
    <row r="30" spans="2:14" ht="230.5" customHeight="1" x14ac:dyDescent="0.2">
      <c r="B30" s="374"/>
      <c r="C30" s="25" t="s">
        <v>84</v>
      </c>
      <c r="D30" s="85" t="s">
        <v>313</v>
      </c>
      <c r="E30" s="85" t="s">
        <v>314</v>
      </c>
      <c r="F30" s="85" t="s">
        <v>315</v>
      </c>
      <c r="G30" s="85" t="s">
        <v>316</v>
      </c>
      <c r="H30" s="85"/>
      <c r="I30" s="85"/>
      <c r="J30" s="85"/>
      <c r="K30" s="145"/>
      <c r="L30" s="140"/>
    </row>
    <row r="31" spans="2:14" ht="52.5" customHeight="1" x14ac:dyDescent="0.2">
      <c r="B31" s="374"/>
      <c r="C31" s="25" t="s">
        <v>85</v>
      </c>
      <c r="D31" s="89">
        <v>41348</v>
      </c>
      <c r="E31" s="89">
        <v>41703</v>
      </c>
      <c r="F31" s="89">
        <v>34915</v>
      </c>
      <c r="G31" s="89">
        <v>41990</v>
      </c>
      <c r="H31" s="89"/>
      <c r="I31" s="89"/>
      <c r="J31" s="89"/>
      <c r="K31" s="145"/>
      <c r="L31" s="140"/>
    </row>
    <row r="32" spans="2:14" ht="54.75" customHeight="1" x14ac:dyDescent="0.2">
      <c r="B32" s="374"/>
      <c r="C32" s="25" t="s">
        <v>86</v>
      </c>
      <c r="D32" s="89">
        <v>41712</v>
      </c>
      <c r="E32" s="89">
        <v>42276</v>
      </c>
      <c r="F32" s="89">
        <v>35063</v>
      </c>
      <c r="G32" s="89">
        <v>43492</v>
      </c>
      <c r="H32" s="89"/>
      <c r="I32" s="89"/>
      <c r="J32" s="89"/>
      <c r="K32" s="145"/>
      <c r="L32" s="140"/>
    </row>
    <row r="33" spans="2:12" ht="41.25" customHeight="1" x14ac:dyDescent="0.2">
      <c r="B33" s="374"/>
      <c r="C33" s="25" t="s">
        <v>87</v>
      </c>
      <c r="D33" s="86">
        <v>2014</v>
      </c>
      <c r="E33" s="86">
        <v>2015</v>
      </c>
      <c r="F33" s="86">
        <v>1995</v>
      </c>
      <c r="G33" s="86">
        <v>2019</v>
      </c>
      <c r="H33" s="86"/>
      <c r="I33" s="86"/>
      <c r="J33" s="86"/>
      <c r="K33" s="145"/>
      <c r="L33" s="140"/>
    </row>
    <row r="34" spans="2:12" ht="63" customHeight="1" x14ac:dyDescent="0.2">
      <c r="B34" s="374"/>
      <c r="C34" s="25" t="s">
        <v>88</v>
      </c>
      <c r="D34" s="85" t="s">
        <v>321</v>
      </c>
      <c r="E34" s="85" t="s">
        <v>321</v>
      </c>
      <c r="F34" s="85" t="s">
        <v>321</v>
      </c>
      <c r="G34" s="85" t="s">
        <v>322</v>
      </c>
      <c r="H34" s="85"/>
      <c r="I34" s="85"/>
      <c r="J34" s="85"/>
      <c r="K34" s="145"/>
      <c r="L34" s="140"/>
    </row>
    <row r="35" spans="2:12" ht="46.5" customHeight="1" x14ac:dyDescent="0.2">
      <c r="B35" s="374"/>
      <c r="C35" s="25" t="s">
        <v>89</v>
      </c>
      <c r="D35" s="85" t="s">
        <v>302</v>
      </c>
      <c r="E35" s="85" t="s">
        <v>303</v>
      </c>
      <c r="F35" s="85" t="s">
        <v>303</v>
      </c>
      <c r="G35" s="85" t="s">
        <v>302</v>
      </c>
      <c r="H35" s="85"/>
      <c r="I35" s="85"/>
      <c r="J35" s="85"/>
      <c r="K35" s="145"/>
      <c r="L35" s="140"/>
    </row>
    <row r="36" spans="2:12" ht="27.75" customHeight="1" x14ac:dyDescent="0.2">
      <c r="B36" s="374"/>
      <c r="C36" s="26" t="s">
        <v>90</v>
      </c>
      <c r="D36" s="90">
        <v>36</v>
      </c>
      <c r="E36" s="90">
        <v>36</v>
      </c>
      <c r="F36" s="90">
        <v>153</v>
      </c>
      <c r="G36" s="91">
        <v>82</v>
      </c>
      <c r="H36" s="91"/>
      <c r="I36" s="91"/>
      <c r="J36" s="91"/>
      <c r="K36" s="145"/>
      <c r="L36" s="140"/>
    </row>
    <row r="37" spans="2:12" ht="102.75" customHeight="1" x14ac:dyDescent="0.2">
      <c r="B37" s="374"/>
      <c r="C37" s="25" t="s">
        <v>91</v>
      </c>
      <c r="D37" s="87">
        <v>1149.29</v>
      </c>
      <c r="E37" s="158">
        <v>1959.12</v>
      </c>
      <c r="F37" s="87">
        <v>551.19000000000005</v>
      </c>
      <c r="G37" s="87">
        <v>13777.08</v>
      </c>
      <c r="H37" s="87"/>
      <c r="I37" s="87"/>
      <c r="J37" s="87"/>
      <c r="K37" s="242"/>
      <c r="L37" s="243"/>
    </row>
    <row r="38" spans="2:12" ht="48" customHeight="1" x14ac:dyDescent="0.2">
      <c r="B38" s="374"/>
      <c r="C38" s="25" t="s">
        <v>92</v>
      </c>
      <c r="D38" s="97">
        <f>IFERROR(D37*VLOOKUP(D33,'DATOS INICIALES'!$A$12:$B$50,2,0),"0")</f>
        <v>707962640</v>
      </c>
      <c r="E38" s="97">
        <f>IFERROR(E37*VLOOKUP(E33,'DATOS INICIALES'!$A$12:$B$50,2,0),"0")</f>
        <v>1262358972</v>
      </c>
      <c r="F38" s="97">
        <f>IFERROR(F37*VLOOKUP(F33,'DATOS INICIALES'!$A$12:$B$50,2,0),"0")</f>
        <v>65555231.460000008</v>
      </c>
      <c r="G38" s="97">
        <f>IFERROR(G37*VLOOKUP(G33,'DATOS INICIALES'!$A$12:$B$50,2,0),"0")</f>
        <v>11409020381.280001</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0.25</v>
      </c>
      <c r="E39" s="88">
        <v>1</v>
      </c>
      <c r="F39" s="88">
        <v>1</v>
      </c>
      <c r="G39" s="88">
        <v>0.4</v>
      </c>
      <c r="H39" s="88"/>
      <c r="I39" s="88"/>
      <c r="J39" s="88"/>
      <c r="K39" s="145"/>
      <c r="L39" s="140"/>
    </row>
    <row r="40" spans="2:12" ht="48.75" customHeight="1" x14ac:dyDescent="0.2">
      <c r="B40" s="374"/>
      <c r="C40" s="25" t="s">
        <v>94</v>
      </c>
      <c r="D40" s="97">
        <f t="shared" ref="D40:J40" si="0">IF(D26="","0",D39*D38)</f>
        <v>176990660</v>
      </c>
      <c r="E40" s="97">
        <f t="shared" si="0"/>
        <v>1262358972</v>
      </c>
      <c r="F40" s="97">
        <f t="shared" si="0"/>
        <v>65555231.460000008</v>
      </c>
      <c r="G40" s="97">
        <f t="shared" si="0"/>
        <v>4563608152.5120001</v>
      </c>
      <c r="H40" s="97" t="str">
        <f t="shared" si="0"/>
        <v>0</v>
      </c>
      <c r="I40" s="97" t="str">
        <f t="shared" si="0"/>
        <v>0</v>
      </c>
      <c r="J40" s="97" t="str">
        <f t="shared" si="0"/>
        <v>0</v>
      </c>
      <c r="K40" s="145"/>
      <c r="L40" s="140"/>
    </row>
    <row r="41" spans="2:12" ht="65.25" customHeight="1" x14ac:dyDescent="0.2">
      <c r="B41" s="374"/>
      <c r="C41" s="25" t="s">
        <v>95</v>
      </c>
      <c r="D41" s="98">
        <f t="shared" ref="D41:J41" si="1">IFERROR(D37*D39,"0")</f>
        <v>287.32249999999999</v>
      </c>
      <c r="E41" s="98">
        <f t="shared" si="1"/>
        <v>1959.12</v>
      </c>
      <c r="F41" s="98">
        <f t="shared" si="1"/>
        <v>551.19000000000005</v>
      </c>
      <c r="G41" s="98">
        <f t="shared" si="1"/>
        <v>5510.8320000000003</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287.32249999999999</v>
      </c>
      <c r="E48" s="98">
        <f t="shared" ref="E48:G48" si="6">+E41+E44+E47</f>
        <v>1959.12</v>
      </c>
      <c r="F48" s="98">
        <f t="shared" si="6"/>
        <v>551.19000000000005</v>
      </c>
      <c r="G48" s="98">
        <f t="shared" si="6"/>
        <v>5510.8320000000003</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CUMPLE</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CUMPLE</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notContainsErrors" dxfId="5119" priority="61">
      <formula>NOT(ISERROR(D71))</formula>
    </cfRule>
    <cfRule type="containsBlanks" dxfId="5118" priority="60">
      <formula>LEN(TRIM(D71))=0</formula>
    </cfRule>
    <cfRule type="cellIs" dxfId="5117" priority="62" operator="equal">
      <formula>"NO CUMPLE"</formula>
    </cfRule>
    <cfRule type="cellIs" dxfId="5116" priority="63" operator="equal">
      <formula>"CUMPLE"</formula>
    </cfRule>
  </conditionalFormatting>
  <conditionalFormatting sqref="D72">
    <cfRule type="cellIs" dxfId="5115" priority="64" operator="equal">
      <formula>"N/A"</formula>
    </cfRule>
    <cfRule type="cellIs" dxfId="5114" priority="65" operator="equal">
      <formula>"CUMPLE"</formula>
    </cfRule>
    <cfRule type="cellIs" dxfId="5113" priority="66" operator="equal">
      <formula>"NO CUMPLE"</formula>
    </cfRule>
    <cfRule type="cellIs" dxfId="5112" priority="67" operator="equal">
      <formula>"""CUMPLE"""</formula>
    </cfRule>
  </conditionalFormatting>
  <conditionalFormatting sqref="D26:J37">
    <cfRule type="notContainsErrors" dxfId="5111" priority="28">
      <formula>NOT(ISERROR(D26))</formula>
    </cfRule>
    <cfRule type="containsBlanks" dxfId="5110" priority="27">
      <formula>LEN(TRIM(D26))=0</formula>
    </cfRule>
  </conditionalFormatting>
  <conditionalFormatting sqref="D36:J36">
    <cfRule type="containsBlanks" dxfId="5109" priority="29">
      <formula>LEN(TRIM(D36))=0</formula>
    </cfRule>
    <cfRule type="notContainsErrors" dxfId="5108" priority="30">
      <formula>NOT(ISERROR(D36))</formula>
    </cfRule>
  </conditionalFormatting>
  <conditionalFormatting sqref="D39:J39">
    <cfRule type="containsBlanks" dxfId="5107" priority="25">
      <formula>LEN(TRIM(D39))=0</formula>
    </cfRule>
    <cfRule type="notContainsErrors" dxfId="5106" priority="26">
      <formula>NOT(ISERROR(D39))</formula>
    </cfRule>
  </conditionalFormatting>
  <conditionalFormatting sqref="D42:J42 D45:J45">
    <cfRule type="containsBlanks" dxfId="5105" priority="31">
      <formula>LEN(TRIM(D42))=0</formula>
    </cfRule>
    <cfRule type="notContainsErrors" dxfId="5104" priority="32">
      <formula>NOT(ISERROR(D42))</formula>
    </cfRule>
  </conditionalFormatting>
  <conditionalFormatting sqref="D49:J54">
    <cfRule type="notContainsErrors" dxfId="5103" priority="14">
      <formula>NOT(ISERROR(D49))</formula>
    </cfRule>
    <cfRule type="cellIs" dxfId="5102" priority="11" operator="equal">
      <formula>"NO CUMPLE"</formula>
    </cfRule>
    <cfRule type="cellIs" dxfId="5101" priority="12" operator="equal">
      <formula>"CUMPLE"</formula>
    </cfRule>
    <cfRule type="containsBlanks" dxfId="5100" priority="13">
      <formula>LEN(TRIM(D49))=0</formula>
    </cfRule>
  </conditionalFormatting>
  <conditionalFormatting sqref="D55:J55">
    <cfRule type="cellIs" dxfId="5099" priority="21" operator="equal">
      <formula>"N/A"</formula>
    </cfRule>
    <cfRule type="cellIs" dxfId="5098" priority="22" operator="equal">
      <formula>"CUMPLE"</formula>
    </cfRule>
    <cfRule type="cellIs" dxfId="5097" priority="23" operator="equal">
      <formula>"NO CUMPLE"</formula>
    </cfRule>
    <cfRule type="cellIs" dxfId="5096" priority="24" operator="equal">
      <formula>"""CUMPLE"""</formula>
    </cfRule>
  </conditionalFormatting>
  <conditionalFormatting sqref="D56:J66">
    <cfRule type="containsBlanks" dxfId="5095" priority="7">
      <formula>LEN(TRIM(D56))=0</formula>
    </cfRule>
    <cfRule type="notContainsErrors" dxfId="5094" priority="8">
      <formula>NOT(ISERROR(D56))</formula>
    </cfRule>
    <cfRule type="cellIs" dxfId="5093" priority="5" operator="equal">
      <formula>"NO CUMPLE"</formula>
    </cfRule>
    <cfRule type="cellIs" dxfId="5092" priority="6" operator="equal">
      <formula>"CUMPLE"</formula>
    </cfRule>
  </conditionalFormatting>
  <conditionalFormatting sqref="D67:J67">
    <cfRule type="cellIs" dxfId="5091" priority="20" operator="equal">
      <formula>"""CUMPLE"""</formula>
    </cfRule>
    <cfRule type="cellIs" dxfId="5090" priority="17" operator="equal">
      <formula>"N/A"</formula>
    </cfRule>
    <cfRule type="cellIs" dxfId="5089" priority="19" operator="equal">
      <formula>"NO CUMPLE"</formula>
    </cfRule>
    <cfRule type="cellIs" dxfId="5088" priority="18" operator="equal">
      <formula>"CUMPLE"</formula>
    </cfRule>
  </conditionalFormatting>
  <conditionalFormatting sqref="D62:K66">
    <cfRule type="containsBlanks" dxfId="5087" priority="9">
      <formula>LEN(TRIM(D62))=0</formula>
    </cfRule>
    <cfRule type="notContainsErrors" dxfId="5086" priority="10">
      <formula>NOT(ISERROR(D62))</formula>
    </cfRule>
  </conditionalFormatting>
  <conditionalFormatting sqref="E71:E72">
    <cfRule type="containsBlanks" dxfId="5085" priority="58">
      <formula>LEN(TRIM(E71))=0</formula>
    </cfRule>
    <cfRule type="notContainsErrors" dxfId="5084" priority="59">
      <formula>NOT(ISERROR(E71))</formula>
    </cfRule>
  </conditionalFormatting>
  <conditionalFormatting sqref="F22:H22">
    <cfRule type="cellIs" dxfId="5083" priority="85" operator="equal">
      <formula>"CUMPLE"</formula>
    </cfRule>
    <cfRule type="cellIs" dxfId="5082" priority="87" operator="equal">
      <formula>"""CUMPLE"""</formula>
    </cfRule>
    <cfRule type="cellIs" dxfId="5081" priority="86" operator="equal">
      <formula>"NO CUMPLE"</formula>
    </cfRule>
  </conditionalFormatting>
  <conditionalFormatting sqref="G63:J63">
    <cfRule type="containsBlanks" dxfId="5080" priority="1">
      <formula>LEN(TRIM(G63))=0</formula>
    </cfRule>
    <cfRule type="notContainsErrors" dxfId="5079" priority="2">
      <formula>NOT(ISERROR(G63))</formula>
    </cfRule>
  </conditionalFormatting>
  <conditionalFormatting sqref="I11">
    <cfRule type="containsText" dxfId="5078" priority="91" operator="containsText" text="NO CUMPLE">
      <formula>NOT(ISERROR(SEARCH("NO CUMPLE",I11)))</formula>
    </cfRule>
    <cfRule type="containsText" dxfId="5077" priority="90" operator="containsText" text="HABILITADO">
      <formula>NOT(ISERROR(SEARCH("HABILITADO",I11)))</formula>
    </cfRule>
    <cfRule type="containsText" dxfId="5076" priority="89" operator="containsText" text="HABILITADO">
      <formula>NOT(ISERROR(SEARCH("HABILITADO",I11)))</formula>
    </cfRule>
    <cfRule type="containsText" dxfId="5075" priority="88" operator="containsText" text="INHABILITADO">
      <formula>NOT(ISERROR(SEARCH("INHABILITADO",I11)))</formula>
    </cfRule>
  </conditionalFormatting>
  <conditionalFormatting sqref="K18:K20">
    <cfRule type="cellIs" dxfId="5074" priority="56" operator="equal">
      <formula>"NO CUMPLE"</formula>
    </cfRule>
    <cfRule type="cellIs" dxfId="5073" priority="55" operator="equal">
      <formula>"CUMPLE"</formula>
    </cfRule>
    <cfRule type="cellIs" dxfId="5072" priority="57" operator="equal">
      <formula>"""CUMPLE"""</formula>
    </cfRule>
  </conditionalFormatting>
  <conditionalFormatting sqref="K26:K61 D62:J62">
    <cfRule type="notContainsErrors" dxfId="5071" priority="4">
      <formula>NOT(ISERROR(D26))</formula>
    </cfRule>
    <cfRule type="containsBlanks" dxfId="5070" priority="3">
      <formula>LEN(TRIM(D26))=0</formula>
    </cfRule>
  </conditionalFormatting>
  <conditionalFormatting sqref="K67:L67">
    <cfRule type="containsBlanks" dxfId="5069" priority="15">
      <formula>LEN(TRIM(K67))=0</formula>
    </cfRule>
    <cfRule type="notContainsErrors" dxfId="5068" priority="16">
      <formula>NOT(ISERROR(K67))</formula>
    </cfRule>
  </conditionalFormatting>
  <conditionalFormatting sqref="L14">
    <cfRule type="cellIs" dxfId="5067" priority="83" operator="equal">
      <formula>"NO CUMPLE"</formula>
    </cfRule>
    <cfRule type="cellIs" dxfId="5066" priority="82" operator="equal">
      <formula>"CUMPLE"</formula>
    </cfRule>
    <cfRule type="cellIs" dxfId="5065" priority="84" operator="equal">
      <formula>"""CUMPLE"""</formula>
    </cfRule>
  </conditionalFormatting>
  <dataValidations disablePrompts="1" count="2">
    <dataValidation type="list" allowBlank="1" showInputMessage="1" showErrorMessage="1" sqref="D26:J28" xr:uid="{00000000-0002-0000-0800-000000000000}">
      <formula1>$C$15:$C$21</formula1>
    </dataValidation>
    <dataValidation type="list" allowBlank="1" showInputMessage="1" showErrorMessage="1" sqref="L62:L67" xr:uid="{00000000-0002-0000-08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disablePrompts="1" count="8">
        <x14:dataValidation type="list" allowBlank="1" showInputMessage="1" showErrorMessage="1" xr:uid="{00000000-0002-0000-0800-000002000000}">
          <x14:formula1>
            <xm:f>'DATOS INICIALES'!$A$13:$A$50</xm:f>
          </x14:formula1>
          <xm:sqref>G33:I33</xm:sqref>
        </x14:dataValidation>
        <x14:dataValidation type="list" allowBlank="1" showInputMessage="1" showErrorMessage="1" xr:uid="{00000000-0002-0000-0800-000003000000}">
          <x14:formula1>
            <xm:f>'DATOS INICIALES'!$A$61:$A$66</xm:f>
          </x14:formula1>
          <xm:sqref>D25:I25</xm:sqref>
        </x14:dataValidation>
        <x14:dataValidation type="list" allowBlank="1" showInputMessage="1" showErrorMessage="1" xr:uid="{00000000-0002-0000-0800-000004000000}">
          <x14:formula1>
            <xm:f>'DATOS INICIALES'!$A$57:$A$59</xm:f>
          </x14:formula1>
          <xm:sqref>D71 D56:J66</xm:sqref>
        </x14:dataValidation>
        <x14:dataValidation type="list" allowBlank="1" showInputMessage="1" showErrorMessage="1" xr:uid="{00000000-0002-0000-0800-000005000000}">
          <x14:formula1>
            <xm:f>'DATOS INICIALES'!$C$52:$C$53</xm:f>
          </x14:formula1>
          <xm:sqref>D53:J54</xm:sqref>
        </x14:dataValidation>
        <x14:dataValidation type="list" allowBlank="1" showInputMessage="1" showErrorMessage="1" xr:uid="{00000000-0002-0000-0800-000006000000}">
          <x14:formula1>
            <xm:f>'DATOS INICIALES'!$A$61:$A$67</xm:f>
          </x14:formula1>
          <xm:sqref>J25</xm:sqref>
        </x14:dataValidation>
        <x14:dataValidation type="list" allowBlank="1" showInputMessage="1" showErrorMessage="1" xr:uid="{00000000-0002-0000-0800-000007000000}">
          <x14:formula1>
            <xm:f>'DATOS INICIALES'!$A$57:$A$58</xm:f>
          </x14:formula1>
          <xm:sqref>D49:J49</xm:sqref>
        </x14:dataValidation>
        <x14:dataValidation type="list" allowBlank="1" showInputMessage="1" showErrorMessage="1" xr:uid="{00000000-0002-0000-0800-000008000000}">
          <x14:formula1>
            <xm:f>'DATOS INICIALES'!$D$27:$D$29</xm:f>
          </x14:formula1>
          <xm:sqref>M50:M55</xm:sqref>
        </x14:dataValidation>
        <x14:dataValidation type="list" allowBlank="1" showInputMessage="1" showErrorMessage="1" xr:uid="{00000000-0002-0000-0800-000009000000}">
          <x14:formula1>
            <xm:f>'DATOS INICIALES'!$C$52:$C$54</xm:f>
          </x14:formula1>
          <xm:sqref>D50:J52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N72"/>
  <sheetViews>
    <sheetView view="pageBreakPreview" topLeftCell="A64" zoomScale="55" zoomScaleNormal="25" zoomScaleSheetLayoutView="55" workbookViewId="0">
      <selection activeCell="D48" sqref="D48:H48"/>
    </sheetView>
  </sheetViews>
  <sheetFormatPr baseColWidth="10" defaultColWidth="11.5" defaultRowHeight="15" x14ac:dyDescent="0.2"/>
  <cols>
    <col min="1" max="1" width="5.5" customWidth="1"/>
    <col min="2" max="2" width="30.83203125" customWidth="1"/>
    <col min="3" max="3" width="63.1640625" customWidth="1"/>
    <col min="4" max="4" width="50.83203125" customWidth="1"/>
    <col min="5" max="5" width="42.83203125" customWidth="1"/>
    <col min="6" max="6" width="42.1640625" customWidth="1"/>
    <col min="7" max="7" width="36.1640625" customWidth="1"/>
    <col min="8" max="8" width="45.33203125" customWidth="1"/>
    <col min="9"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4</v>
      </c>
      <c r="B11" s="2" t="s">
        <v>58</v>
      </c>
      <c r="C11" s="413" t="str">
        <f>VLOOKUP(A11,PROPONENTES!A10:B94,2,FALSE)</f>
        <v>PROYECTOS E INTERVENTORIAS S.A.S.</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5</v>
      </c>
      <c r="J14" s="147">
        <f>+L8</f>
        <v>986.3076290832455</v>
      </c>
      <c r="K14" s="147">
        <f>+E22</f>
        <v>7473.0253000000002</v>
      </c>
      <c r="L14" s="18" t="str">
        <f>IF(K14&gt;=J14,"CUMPLE","NO CUMPLE")</f>
        <v>CUMPLE</v>
      </c>
    </row>
    <row r="15" spans="1:12" ht="33.75" customHeight="1" x14ac:dyDescent="0.2">
      <c r="B15" s="382"/>
      <c r="C15" s="92" t="str">
        <f>IF(VLOOKUP(C11,PROPONENTES!B10:N94,2,FALSE)=0,"",VLOOKUP(C11,PROPONENTES!B10:N94,2,FALSE))</f>
        <v>PROYECTOS E INTERVENTORIAS S.A.S.</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7473.0253000000002</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1494.6050600000001</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5</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5</v>
      </c>
      <c r="J19" s="128">
        <v>1</v>
      </c>
      <c r="K19" s="387"/>
      <c r="L19" s="388"/>
    </row>
    <row r="20" spans="2:14" ht="50.25" customHeight="1" x14ac:dyDescent="0.2">
      <c r="B20" s="382"/>
      <c r="C20" s="92"/>
      <c r="D20" s="93"/>
      <c r="E20" s="94"/>
      <c r="F20" s="95"/>
      <c r="G20" s="96"/>
      <c r="H20" s="96"/>
      <c r="I20" s="128">
        <f>COUNTIFS(D60:J60,"CUMPLE",D67:J67,"CUMPLE")</f>
        <v>5</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5</v>
      </c>
      <c r="J21" s="128">
        <v>1</v>
      </c>
      <c r="K21" s="389"/>
      <c r="L21" s="390"/>
    </row>
    <row r="22" spans="2:14" ht="84.75" customHeight="1" x14ac:dyDescent="0.2">
      <c r="B22" s="29" t="s">
        <v>75</v>
      </c>
      <c r="C22" s="24">
        <f>+VLOOKUP(C11,PROPONENTES!B10:N94,12,FALSE)</f>
        <v>1</v>
      </c>
      <c r="D22" s="93">
        <f>+VLOOKUP(C11,PROPONENTES!B10:N94,13,FALSE)</f>
        <v>1</v>
      </c>
      <c r="E22" s="32">
        <f>SUM(E15:E21)</f>
        <v>7473.0253000000002</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210</v>
      </c>
      <c r="E26" s="84" t="s">
        <v>210</v>
      </c>
      <c r="F26" s="84" t="s">
        <v>210</v>
      </c>
      <c r="G26" s="84" t="s">
        <v>210</v>
      </c>
      <c r="H26" s="84" t="s">
        <v>210</v>
      </c>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328</v>
      </c>
      <c r="E29" s="85" t="s">
        <v>329</v>
      </c>
      <c r="F29" s="85" t="s">
        <v>330</v>
      </c>
      <c r="G29" s="85" t="s">
        <v>331</v>
      </c>
      <c r="H29" s="85" t="s">
        <v>332</v>
      </c>
      <c r="I29" s="85"/>
      <c r="J29" s="85"/>
      <c r="K29" s="145"/>
      <c r="L29" s="140"/>
    </row>
    <row r="30" spans="2:14" ht="156.75" customHeight="1" x14ac:dyDescent="0.2">
      <c r="B30" s="374"/>
      <c r="C30" s="25" t="s">
        <v>84</v>
      </c>
      <c r="D30" s="85" t="s">
        <v>323</v>
      </c>
      <c r="E30" s="85" t="s">
        <v>324</v>
      </c>
      <c r="F30" s="85" t="s">
        <v>325</v>
      </c>
      <c r="G30" s="85" t="s">
        <v>326</v>
      </c>
      <c r="H30" s="85" t="s">
        <v>327</v>
      </c>
      <c r="I30" s="85"/>
      <c r="J30" s="85"/>
      <c r="K30" s="145"/>
      <c r="L30" s="140"/>
    </row>
    <row r="31" spans="2:14" ht="52.5" customHeight="1" x14ac:dyDescent="0.2">
      <c r="B31" s="374"/>
      <c r="C31" s="25" t="s">
        <v>85</v>
      </c>
      <c r="D31" s="89">
        <v>40073</v>
      </c>
      <c r="E31" s="89">
        <v>37431</v>
      </c>
      <c r="F31" s="89">
        <v>38366</v>
      </c>
      <c r="G31" s="89">
        <v>38915</v>
      </c>
      <c r="H31" s="89">
        <v>40514</v>
      </c>
      <c r="I31" s="89"/>
      <c r="J31" s="89"/>
      <c r="K31" s="145"/>
      <c r="L31" s="140"/>
    </row>
    <row r="32" spans="2:14" ht="54.75" customHeight="1" x14ac:dyDescent="0.2">
      <c r="B32" s="374"/>
      <c r="C32" s="25" t="s">
        <v>86</v>
      </c>
      <c r="D32" s="89">
        <v>41127</v>
      </c>
      <c r="E32" s="89">
        <v>37797</v>
      </c>
      <c r="F32" s="89">
        <v>38866</v>
      </c>
      <c r="G32" s="89">
        <v>39357</v>
      </c>
      <c r="H32" s="89">
        <v>41294</v>
      </c>
      <c r="I32" s="89"/>
      <c r="J32" s="89"/>
      <c r="K32" s="145"/>
      <c r="L32" s="140"/>
    </row>
    <row r="33" spans="2:12" ht="41.25" customHeight="1" x14ac:dyDescent="0.2">
      <c r="B33" s="374"/>
      <c r="C33" s="25" t="s">
        <v>87</v>
      </c>
      <c r="D33" s="86">
        <v>2012</v>
      </c>
      <c r="E33" s="86">
        <v>2003</v>
      </c>
      <c r="F33" s="86">
        <v>2006</v>
      </c>
      <c r="G33" s="86">
        <v>2007</v>
      </c>
      <c r="H33" s="86">
        <v>2013</v>
      </c>
      <c r="I33" s="86"/>
      <c r="J33" s="86"/>
      <c r="K33" s="145"/>
      <c r="L33" s="140"/>
    </row>
    <row r="34" spans="2:12" ht="78" customHeight="1" x14ac:dyDescent="0.2">
      <c r="B34" s="374"/>
      <c r="C34" s="25" t="s">
        <v>88</v>
      </c>
      <c r="D34" s="85" t="s">
        <v>333</v>
      </c>
      <c r="E34" s="85" t="s">
        <v>321</v>
      </c>
      <c r="F34" s="85" t="s">
        <v>322</v>
      </c>
      <c r="G34" s="85" t="s">
        <v>321</v>
      </c>
      <c r="H34" s="85" t="s">
        <v>334</v>
      </c>
      <c r="I34" s="85"/>
      <c r="J34" s="85"/>
      <c r="K34" s="145"/>
      <c r="L34" s="140"/>
    </row>
    <row r="35" spans="2:12" ht="46.5" customHeight="1" x14ac:dyDescent="0.2">
      <c r="B35" s="374"/>
      <c r="C35" s="25" t="s">
        <v>89</v>
      </c>
      <c r="D35" s="85" t="s">
        <v>210</v>
      </c>
      <c r="E35" s="85" t="s">
        <v>210</v>
      </c>
      <c r="F35" s="85" t="s">
        <v>210</v>
      </c>
      <c r="G35" s="85" t="s">
        <v>210</v>
      </c>
      <c r="H35" s="85" t="s">
        <v>210</v>
      </c>
      <c r="I35" s="85"/>
      <c r="J35" s="85"/>
      <c r="K35" s="145"/>
      <c r="L35" s="140"/>
    </row>
    <row r="36" spans="2:12" ht="27.75" customHeight="1" x14ac:dyDescent="0.2">
      <c r="B36" s="374"/>
      <c r="C36" s="26" t="s">
        <v>90</v>
      </c>
      <c r="D36" s="90">
        <v>56</v>
      </c>
      <c r="E36" s="90">
        <v>9</v>
      </c>
      <c r="F36" s="90">
        <v>16</v>
      </c>
      <c r="G36" s="91">
        <v>28</v>
      </c>
      <c r="H36" s="91">
        <v>74</v>
      </c>
      <c r="I36" s="91"/>
      <c r="J36" s="91"/>
      <c r="K36" s="145"/>
      <c r="L36" s="140"/>
    </row>
    <row r="37" spans="2:12" ht="102.75" customHeight="1" x14ac:dyDescent="0.2">
      <c r="B37" s="374"/>
      <c r="C37" s="25" t="s">
        <v>91</v>
      </c>
      <c r="D37" s="87">
        <v>4056.26</v>
      </c>
      <c r="E37" s="158">
        <v>855.55</v>
      </c>
      <c r="F37" s="87">
        <v>2417.39</v>
      </c>
      <c r="G37" s="87">
        <v>2242.4</v>
      </c>
      <c r="H37" s="87">
        <v>4180.7</v>
      </c>
      <c r="I37" s="87"/>
      <c r="J37" s="87"/>
      <c r="K37" s="242"/>
      <c r="L37" s="243"/>
    </row>
    <row r="38" spans="2:12" ht="48" customHeight="1" x14ac:dyDescent="0.2">
      <c r="B38" s="374"/>
      <c r="C38" s="25" t="s">
        <v>92</v>
      </c>
      <c r="D38" s="97">
        <f>IFERROR(D37*VLOOKUP(D33,'DATOS INICIALES'!$A$12:$B$50,2,0),"0")</f>
        <v>2298682542</v>
      </c>
      <c r="E38" s="97">
        <f>IFERROR(E37*VLOOKUP(E33,'DATOS INICIALES'!$A$12:$B$50,2,0),"0")</f>
        <v>284042600</v>
      </c>
      <c r="F38" s="97">
        <f>IFERROR(F37*VLOOKUP(F33,'DATOS INICIALES'!$A$12:$B$50,2,0),"0")</f>
        <v>986295120</v>
      </c>
      <c r="G38" s="97">
        <f>IFERROR(G37*VLOOKUP(G33,'DATOS INICIALES'!$A$12:$B$50,2,0),"0")</f>
        <v>972528880</v>
      </c>
      <c r="H38" s="97">
        <f>IFERROR(H37*VLOOKUP(H33,'DATOS INICIALES'!$A$12:$B$50,2,0),"0")</f>
        <v>2464522650</v>
      </c>
      <c r="I38" s="97" t="str">
        <f>IFERROR(I37*VLOOKUP(I33,'DATOS INICIALES'!$A$12:$B$50,2,0),"0")</f>
        <v>0</v>
      </c>
      <c r="J38" s="97" t="str">
        <f>IFERROR(J37*VLOOKUP(J33,'DATOS INICIALES'!$A$12:$B$50,2,0),"0")</f>
        <v>0</v>
      </c>
      <c r="K38" s="145"/>
      <c r="L38" s="140"/>
    </row>
    <row r="39" spans="2:12" ht="33.75" customHeight="1" x14ac:dyDescent="0.2">
      <c r="B39" s="374"/>
      <c r="C39" s="25" t="s">
        <v>93</v>
      </c>
      <c r="D39" s="88">
        <v>0.68</v>
      </c>
      <c r="E39" s="88">
        <v>1</v>
      </c>
      <c r="F39" s="88">
        <v>0.15</v>
      </c>
      <c r="G39" s="88">
        <v>1</v>
      </c>
      <c r="H39" s="88">
        <v>0.3</v>
      </c>
      <c r="I39" s="88"/>
      <c r="J39" s="88"/>
      <c r="K39" s="145"/>
      <c r="L39" s="140"/>
    </row>
    <row r="40" spans="2:12" ht="48.75" customHeight="1" x14ac:dyDescent="0.2">
      <c r="B40" s="374"/>
      <c r="C40" s="25" t="s">
        <v>94</v>
      </c>
      <c r="D40" s="97">
        <f t="shared" ref="D40:J40" si="0">IF(D26="","0",D39*D38)</f>
        <v>1563104128.5600002</v>
      </c>
      <c r="E40" s="97">
        <f t="shared" si="0"/>
        <v>284042600</v>
      </c>
      <c r="F40" s="97">
        <f t="shared" si="0"/>
        <v>147944268</v>
      </c>
      <c r="G40" s="97">
        <f t="shared" si="0"/>
        <v>972528880</v>
      </c>
      <c r="H40" s="97">
        <f t="shared" si="0"/>
        <v>739356795</v>
      </c>
      <c r="I40" s="97" t="str">
        <f t="shared" si="0"/>
        <v>0</v>
      </c>
      <c r="J40" s="97" t="str">
        <f t="shared" si="0"/>
        <v>0</v>
      </c>
      <c r="K40" s="145"/>
      <c r="L40" s="140"/>
    </row>
    <row r="41" spans="2:12" ht="65.25" customHeight="1" x14ac:dyDescent="0.2">
      <c r="B41" s="374"/>
      <c r="C41" s="25" t="s">
        <v>95</v>
      </c>
      <c r="D41" s="98">
        <f t="shared" ref="D41:J41" si="1">IFERROR(D37*D39,"0")</f>
        <v>2758.2568000000006</v>
      </c>
      <c r="E41" s="98">
        <f t="shared" si="1"/>
        <v>855.55</v>
      </c>
      <c r="F41" s="98">
        <f t="shared" si="1"/>
        <v>362.60849999999999</v>
      </c>
      <c r="G41" s="98">
        <f t="shared" si="1"/>
        <v>2242.4</v>
      </c>
      <c r="H41" s="98">
        <f t="shared" si="1"/>
        <v>1254.2099999999998</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2758.2568000000006</v>
      </c>
      <c r="E48" s="98">
        <f t="shared" ref="E48:G48" si="6">+E41+E44+E47</f>
        <v>855.55</v>
      </c>
      <c r="F48" s="98">
        <f t="shared" si="6"/>
        <v>362.60849999999999</v>
      </c>
      <c r="G48" s="98">
        <f t="shared" si="6"/>
        <v>2242.4</v>
      </c>
      <c r="H48" s="98">
        <f>+H41+H44+H47</f>
        <v>1254.2099999999998</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CUMPLE</v>
      </c>
      <c r="H55" s="18" t="str">
        <f t="shared" si="8"/>
        <v>CUMPLE</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CUMPLE</v>
      </c>
      <c r="H67" s="18" t="str">
        <f t="shared" ref="H67:J67" si="9">IF(H26="","N/A",IF(AND(H49="CUMPLE",H55="CUMPLE",OR(H56="CUMPLE",H56="N/A"),OR(H59="CUMPLE",H59="N/A"),H62="CUMPLE",H63="CUMPLE",OR(H64="CUMPLE",H64="N/A"),H65="CUMPLE",OR(H66="CUMPLE",H66="N/A")),"CUMPLE","NO CUMPLE"))</f>
        <v>CUMPLE</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c r="I71" s="224"/>
      <c r="J71" s="225"/>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notContainsErrors" dxfId="5064" priority="61">
      <formula>NOT(ISERROR(D71))</formula>
    </cfRule>
    <cfRule type="containsBlanks" dxfId="5063" priority="60">
      <formula>LEN(TRIM(D71))=0</formula>
    </cfRule>
    <cfRule type="cellIs" dxfId="5062" priority="62" operator="equal">
      <formula>"NO CUMPLE"</formula>
    </cfRule>
    <cfRule type="cellIs" dxfId="5061" priority="63" operator="equal">
      <formula>"CUMPLE"</formula>
    </cfRule>
  </conditionalFormatting>
  <conditionalFormatting sqref="D72">
    <cfRule type="cellIs" dxfId="5060" priority="64" operator="equal">
      <formula>"N/A"</formula>
    </cfRule>
    <cfRule type="cellIs" dxfId="5059" priority="65" operator="equal">
      <formula>"CUMPLE"</formula>
    </cfRule>
    <cfRule type="cellIs" dxfId="5058" priority="66" operator="equal">
      <formula>"NO CUMPLE"</formula>
    </cfRule>
    <cfRule type="cellIs" dxfId="5057" priority="67" operator="equal">
      <formula>"""CUMPLE"""</formula>
    </cfRule>
  </conditionalFormatting>
  <conditionalFormatting sqref="D26:J37">
    <cfRule type="notContainsErrors" dxfId="5056" priority="28">
      <formula>NOT(ISERROR(D26))</formula>
    </cfRule>
    <cfRule type="containsBlanks" dxfId="5055" priority="27">
      <formula>LEN(TRIM(D26))=0</formula>
    </cfRule>
  </conditionalFormatting>
  <conditionalFormatting sqref="D36:J36">
    <cfRule type="containsBlanks" dxfId="5054" priority="29">
      <formula>LEN(TRIM(D36))=0</formula>
    </cfRule>
    <cfRule type="notContainsErrors" dxfId="5053" priority="30">
      <formula>NOT(ISERROR(D36))</formula>
    </cfRule>
  </conditionalFormatting>
  <conditionalFormatting sqref="D39:J39">
    <cfRule type="containsBlanks" dxfId="5052" priority="25">
      <formula>LEN(TRIM(D39))=0</formula>
    </cfRule>
    <cfRule type="notContainsErrors" dxfId="5051" priority="26">
      <formula>NOT(ISERROR(D39))</formula>
    </cfRule>
  </conditionalFormatting>
  <conditionalFormatting sqref="D42:J42 D45:J45">
    <cfRule type="containsBlanks" dxfId="5050" priority="31">
      <formula>LEN(TRIM(D42))=0</formula>
    </cfRule>
    <cfRule type="notContainsErrors" dxfId="5049" priority="32">
      <formula>NOT(ISERROR(D42))</formula>
    </cfRule>
  </conditionalFormatting>
  <conditionalFormatting sqref="D49:J54">
    <cfRule type="notContainsErrors" dxfId="5048" priority="14">
      <formula>NOT(ISERROR(D49))</formula>
    </cfRule>
    <cfRule type="cellIs" dxfId="5047" priority="11" operator="equal">
      <formula>"NO CUMPLE"</formula>
    </cfRule>
    <cfRule type="cellIs" dxfId="5046" priority="12" operator="equal">
      <formula>"CUMPLE"</formula>
    </cfRule>
    <cfRule type="containsBlanks" dxfId="5045" priority="13">
      <formula>LEN(TRIM(D49))=0</formula>
    </cfRule>
  </conditionalFormatting>
  <conditionalFormatting sqref="D55:J55">
    <cfRule type="cellIs" dxfId="5044" priority="21" operator="equal">
      <formula>"N/A"</formula>
    </cfRule>
    <cfRule type="cellIs" dxfId="5043" priority="22" operator="equal">
      <formula>"CUMPLE"</formula>
    </cfRule>
    <cfRule type="cellIs" dxfId="5042" priority="23" operator="equal">
      <formula>"NO CUMPLE"</formula>
    </cfRule>
    <cfRule type="cellIs" dxfId="5041" priority="24" operator="equal">
      <formula>"""CUMPLE"""</formula>
    </cfRule>
  </conditionalFormatting>
  <conditionalFormatting sqref="D56:J66">
    <cfRule type="containsBlanks" dxfId="5040" priority="7">
      <formula>LEN(TRIM(D56))=0</formula>
    </cfRule>
    <cfRule type="notContainsErrors" dxfId="5039" priority="8">
      <formula>NOT(ISERROR(D56))</formula>
    </cfRule>
    <cfRule type="cellIs" dxfId="5038" priority="5" operator="equal">
      <formula>"NO CUMPLE"</formula>
    </cfRule>
    <cfRule type="cellIs" dxfId="5037" priority="6" operator="equal">
      <formula>"CUMPLE"</formula>
    </cfRule>
  </conditionalFormatting>
  <conditionalFormatting sqref="D67:J67">
    <cfRule type="cellIs" dxfId="5036" priority="20" operator="equal">
      <formula>"""CUMPLE"""</formula>
    </cfRule>
    <cfRule type="cellIs" dxfId="5035" priority="17" operator="equal">
      <formula>"N/A"</formula>
    </cfRule>
    <cfRule type="cellIs" dxfId="5034" priority="19" operator="equal">
      <formula>"NO CUMPLE"</formula>
    </cfRule>
    <cfRule type="cellIs" dxfId="5033" priority="18" operator="equal">
      <formula>"CUMPLE"</formula>
    </cfRule>
  </conditionalFormatting>
  <conditionalFormatting sqref="D62:K66">
    <cfRule type="containsBlanks" dxfId="5032" priority="9">
      <formula>LEN(TRIM(D62))=0</formula>
    </cfRule>
    <cfRule type="notContainsErrors" dxfId="5031" priority="10">
      <formula>NOT(ISERROR(D62))</formula>
    </cfRule>
  </conditionalFormatting>
  <conditionalFormatting sqref="E71:E72">
    <cfRule type="containsBlanks" dxfId="5030" priority="58">
      <formula>LEN(TRIM(E71))=0</formula>
    </cfRule>
    <cfRule type="notContainsErrors" dxfId="5029" priority="59">
      <formula>NOT(ISERROR(E71))</formula>
    </cfRule>
  </conditionalFormatting>
  <conditionalFormatting sqref="F22:H22">
    <cfRule type="cellIs" dxfId="5028" priority="85" operator="equal">
      <formula>"CUMPLE"</formula>
    </cfRule>
    <cfRule type="cellIs" dxfId="5027" priority="87" operator="equal">
      <formula>"""CUMPLE"""</formula>
    </cfRule>
    <cfRule type="cellIs" dxfId="5026" priority="86" operator="equal">
      <formula>"NO CUMPLE"</formula>
    </cfRule>
  </conditionalFormatting>
  <conditionalFormatting sqref="G63:J63">
    <cfRule type="containsBlanks" dxfId="5025" priority="1">
      <formula>LEN(TRIM(G63))=0</formula>
    </cfRule>
    <cfRule type="notContainsErrors" dxfId="5024" priority="2">
      <formula>NOT(ISERROR(G63))</formula>
    </cfRule>
  </conditionalFormatting>
  <conditionalFormatting sqref="I11">
    <cfRule type="containsText" dxfId="5023" priority="91" operator="containsText" text="NO CUMPLE">
      <formula>NOT(ISERROR(SEARCH("NO CUMPLE",I11)))</formula>
    </cfRule>
    <cfRule type="containsText" dxfId="5022" priority="90" operator="containsText" text="HABILITADO">
      <formula>NOT(ISERROR(SEARCH("HABILITADO",I11)))</formula>
    </cfRule>
    <cfRule type="containsText" dxfId="5021" priority="89" operator="containsText" text="HABILITADO">
      <formula>NOT(ISERROR(SEARCH("HABILITADO",I11)))</formula>
    </cfRule>
    <cfRule type="containsText" dxfId="5020" priority="88" operator="containsText" text="INHABILITADO">
      <formula>NOT(ISERROR(SEARCH("INHABILITADO",I11)))</formula>
    </cfRule>
  </conditionalFormatting>
  <conditionalFormatting sqref="K18:K20">
    <cfRule type="cellIs" dxfId="5019" priority="56" operator="equal">
      <formula>"NO CUMPLE"</formula>
    </cfRule>
    <cfRule type="cellIs" dxfId="5018" priority="55" operator="equal">
      <formula>"CUMPLE"</formula>
    </cfRule>
    <cfRule type="cellIs" dxfId="5017" priority="57" operator="equal">
      <formula>"""CUMPLE"""</formula>
    </cfRule>
  </conditionalFormatting>
  <conditionalFormatting sqref="K26:K61 D62:J62">
    <cfRule type="notContainsErrors" dxfId="5016" priority="4">
      <formula>NOT(ISERROR(D26))</formula>
    </cfRule>
    <cfRule type="containsBlanks" dxfId="5015" priority="3">
      <formula>LEN(TRIM(D26))=0</formula>
    </cfRule>
  </conditionalFormatting>
  <conditionalFormatting sqref="K67:L67">
    <cfRule type="containsBlanks" dxfId="5014" priority="15">
      <formula>LEN(TRIM(K67))=0</formula>
    </cfRule>
    <cfRule type="notContainsErrors" dxfId="5013" priority="16">
      <formula>NOT(ISERROR(K67))</formula>
    </cfRule>
  </conditionalFormatting>
  <conditionalFormatting sqref="L14">
    <cfRule type="cellIs" dxfId="5012" priority="83" operator="equal">
      <formula>"NO CUMPLE"</formula>
    </cfRule>
    <cfRule type="cellIs" dxfId="5011" priority="82" operator="equal">
      <formula>"CUMPLE"</formula>
    </cfRule>
    <cfRule type="cellIs" dxfId="5010" priority="84" operator="equal">
      <formula>"""CUMPLE"""</formula>
    </cfRule>
  </conditionalFormatting>
  <dataValidations count="2">
    <dataValidation type="list" allowBlank="1" showInputMessage="1" showErrorMessage="1" sqref="L62:L67" xr:uid="{00000000-0002-0000-0900-000000000000}">
      <formula1>"0,1,2,3,4,5,6"</formula1>
    </dataValidation>
    <dataValidation type="list" allowBlank="1" showInputMessage="1" showErrorMessage="1" sqref="D26:J28" xr:uid="{00000000-0002-0000-09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0900-000002000000}">
          <x14:formula1>
            <xm:f>'DATOS INICIALES'!$A$57:$A$58</xm:f>
          </x14:formula1>
          <xm:sqref>D49:J49</xm:sqref>
        </x14:dataValidation>
        <x14:dataValidation type="list" allowBlank="1" showInputMessage="1" showErrorMessage="1" xr:uid="{00000000-0002-0000-0900-000003000000}">
          <x14:formula1>
            <xm:f>'DATOS INICIALES'!$A$61:$A$67</xm:f>
          </x14:formula1>
          <xm:sqref>J25</xm:sqref>
        </x14:dataValidation>
        <x14:dataValidation type="list" allowBlank="1" showInputMessage="1" showErrorMessage="1" xr:uid="{00000000-0002-0000-0900-000004000000}">
          <x14:formula1>
            <xm:f>'DATOS INICIALES'!$C$52:$C$53</xm:f>
          </x14:formula1>
          <xm:sqref>D53:J54</xm:sqref>
        </x14:dataValidation>
        <x14:dataValidation type="list" allowBlank="1" showInputMessage="1" showErrorMessage="1" xr:uid="{00000000-0002-0000-0900-000005000000}">
          <x14:formula1>
            <xm:f>'DATOS INICIALES'!$A$57:$A$59</xm:f>
          </x14:formula1>
          <xm:sqref>D71 D56:J66</xm:sqref>
        </x14:dataValidation>
        <x14:dataValidation type="list" allowBlank="1" showInputMessage="1" showErrorMessage="1" xr:uid="{00000000-0002-0000-0900-000006000000}">
          <x14:formula1>
            <xm:f>'DATOS INICIALES'!$A$61:$A$66</xm:f>
          </x14:formula1>
          <xm:sqref>D25:I25</xm:sqref>
        </x14:dataValidation>
        <x14:dataValidation type="list" allowBlank="1" showInputMessage="1" showErrorMessage="1" xr:uid="{00000000-0002-0000-0900-000007000000}">
          <x14:formula1>
            <xm:f>'DATOS INICIALES'!$A$13:$A$50</xm:f>
          </x14:formula1>
          <xm:sqref>G33:I33</xm:sqref>
        </x14:dataValidation>
        <x14:dataValidation type="list" allowBlank="1" showInputMessage="1" showErrorMessage="1" xr:uid="{00000000-0002-0000-0900-000008000000}">
          <x14:formula1>
            <xm:f>'DATOS INICIALES'!$D$27:$D$29</xm:f>
          </x14:formula1>
          <xm:sqref>M50:M55</xm:sqref>
        </x14:dataValidation>
        <x14:dataValidation type="list" allowBlank="1" showInputMessage="1" showErrorMessage="1" xr:uid="{00000000-0002-0000-0900-000009000000}">
          <x14:formula1>
            <xm:f>'DATOS INICIALES'!$C$52:$C$54</xm:f>
          </x14:formula1>
          <xm:sqref>D50:J52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A1:N72"/>
  <sheetViews>
    <sheetView view="pageBreakPreview" topLeftCell="A38" zoomScale="59" zoomScaleNormal="25" zoomScaleSheetLayoutView="40" workbookViewId="0">
      <selection activeCell="D41" sqref="D41:E41"/>
    </sheetView>
  </sheetViews>
  <sheetFormatPr baseColWidth="10" defaultColWidth="11.5" defaultRowHeight="15" x14ac:dyDescent="0.2"/>
  <cols>
    <col min="1" max="1" width="5.5" customWidth="1"/>
    <col min="2" max="2" width="30.83203125" customWidth="1"/>
    <col min="3" max="3" width="63.1640625" customWidth="1"/>
    <col min="4" max="4" width="43.5" customWidth="1"/>
    <col min="5" max="5" width="39" customWidth="1"/>
    <col min="6" max="6" width="49.5" customWidth="1"/>
    <col min="7"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5</v>
      </c>
      <c r="B11" s="2" t="s">
        <v>58</v>
      </c>
      <c r="C11" s="413" t="str">
        <f>VLOOKUP(A11,PROPONENTES!A10:B94,2,FALSE)</f>
        <v>CONSORCIO GAB VIAL USAQUEN 2025</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2</v>
      </c>
      <c r="J14" s="147">
        <f>+L8</f>
        <v>986.3076290832455</v>
      </c>
      <c r="K14" s="147">
        <f>+E22</f>
        <v>2909.1475</v>
      </c>
      <c r="L14" s="18" t="str">
        <f>IF(K14&gt;=J14,"CUMPLE","NO CUMPLE")</f>
        <v>CUMPLE</v>
      </c>
    </row>
    <row r="15" spans="1:12" ht="33.75" customHeight="1" x14ac:dyDescent="0.2">
      <c r="B15" s="382"/>
      <c r="C15" s="92" t="str">
        <f>IF(VLOOKUP(C11,PROPONENTES!B10:N94,2,FALSE)=0,"",VLOOKUP(C11,PROPONENTES!B10:N94,2,FALSE))</f>
        <v>GAB INGENIERIA SAS</v>
      </c>
      <c r="D15" s="93">
        <f>IF(VLOOKUP(C11,PROPONENTES!B10:N94,3,FALSE)=0,"",VLOOKUP(C11,PROPONENTES!B10:N94,3,FALSE))</f>
        <v>0.5</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2568.5675000000001</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BIA INGENIERIA SAS</v>
      </c>
      <c r="D16" s="93">
        <f>IF(VLOOKUP(C11,PROPONENTES!B10:N94,5,FALSE)=0,"",VLOOKUP(C11,PROPONENTES!B10:N94,5,FALSE))</f>
        <v>0.5</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340.58</v>
      </c>
      <c r="F16" s="95" t="str">
        <f>IF(C16="","",IF(E16&gt;=$J$14*0.5,"SI","NO"))</f>
        <v>NO</v>
      </c>
      <c r="G16" s="96" t="str">
        <f>IF(C16="","",IF(E16&gt;=$J$14*0.05,"SI",IF(E16=0,"NO APORTA EXPERIENCIA",)))</f>
        <v>SI</v>
      </c>
      <c r="H16" s="96" t="str">
        <f>IF(C16="","",IF(AND(G16="NO APORTA EXPERIENCIA",D16&lt;=10%),"SI",IF(G16="SI","NO APLICA","NO - PORCENTAJE MAYOR AL 10%")))</f>
        <v>NO APLICA</v>
      </c>
      <c r="I16" s="162"/>
      <c r="J16" s="162"/>
      <c r="K16" s="162"/>
      <c r="L16" s="161">
        <f>AVERAGEIF(D67:J67,"CUMPLE",D48:J48)</f>
        <v>1454.57375</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1</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2</v>
      </c>
      <c r="J19" s="128">
        <v>1</v>
      </c>
      <c r="K19" s="387"/>
      <c r="L19" s="388"/>
    </row>
    <row r="20" spans="2:14" ht="50.25" customHeight="1" x14ac:dyDescent="0.2">
      <c r="B20" s="382"/>
      <c r="C20" s="92"/>
      <c r="D20" s="93"/>
      <c r="E20" s="94"/>
      <c r="F20" s="95"/>
      <c r="G20" s="96"/>
      <c r="H20" s="96"/>
      <c r="I20" s="128">
        <f>COUNTIFS(D60:J60,"CUMPLE",D67:J67,"CUMPLE")</f>
        <v>2</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2</v>
      </c>
      <c r="J21" s="128">
        <v>1</v>
      </c>
      <c r="K21" s="389"/>
      <c r="L21" s="390"/>
    </row>
    <row r="22" spans="2:14" ht="84.75" customHeight="1" x14ac:dyDescent="0.2">
      <c r="B22" s="29" t="s">
        <v>75</v>
      </c>
      <c r="C22" s="24">
        <f>+VLOOKUP(C11,PROPONENTES!B10:N94,12,FALSE)</f>
        <v>2</v>
      </c>
      <c r="D22" s="93">
        <f>+VLOOKUP(C11,PROPONENTES!B10:N94,13,FALSE)</f>
        <v>1</v>
      </c>
      <c r="E22" s="32">
        <f>SUM(E15:E21)</f>
        <v>2909.1475</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336</v>
      </c>
      <c r="E26" s="84" t="s">
        <v>337</v>
      </c>
      <c r="F26" s="84" t="s">
        <v>337</v>
      </c>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354</v>
      </c>
      <c r="E29" s="85" t="s">
        <v>355</v>
      </c>
      <c r="F29" s="85" t="s">
        <v>356</v>
      </c>
      <c r="G29" s="85"/>
      <c r="H29" s="85"/>
      <c r="I29" s="85"/>
      <c r="J29" s="85"/>
      <c r="K29" s="145"/>
      <c r="L29" s="140"/>
    </row>
    <row r="30" spans="2:14" ht="208.25" customHeight="1" x14ac:dyDescent="0.2">
      <c r="B30" s="374"/>
      <c r="C30" s="25" t="s">
        <v>84</v>
      </c>
      <c r="D30" s="85" t="s">
        <v>357</v>
      </c>
      <c r="E30" s="85" t="s">
        <v>358</v>
      </c>
      <c r="F30" s="85" t="s">
        <v>359</v>
      </c>
      <c r="G30" s="85"/>
      <c r="H30" s="85"/>
      <c r="I30" s="85"/>
      <c r="J30" s="85"/>
      <c r="K30" s="485" t="s">
        <v>1422</v>
      </c>
      <c r="L30" s="486"/>
    </row>
    <row r="31" spans="2:14" ht="52.5" customHeight="1" x14ac:dyDescent="0.2">
      <c r="B31" s="374"/>
      <c r="C31" s="25" t="s">
        <v>85</v>
      </c>
      <c r="D31" s="89">
        <v>42616</v>
      </c>
      <c r="E31" s="89">
        <v>38635</v>
      </c>
      <c r="F31" s="89" t="s">
        <v>360</v>
      </c>
      <c r="G31" s="89"/>
      <c r="H31" s="89"/>
      <c r="I31" s="89"/>
      <c r="J31" s="89"/>
      <c r="K31" s="145"/>
      <c r="L31" s="140"/>
    </row>
    <row r="32" spans="2:14" ht="54.75" customHeight="1" x14ac:dyDescent="0.2">
      <c r="B32" s="374"/>
      <c r="C32" s="25" t="s">
        <v>86</v>
      </c>
      <c r="D32" s="89" t="s">
        <v>361</v>
      </c>
      <c r="E32" s="89">
        <v>38993</v>
      </c>
      <c r="F32" s="89" t="s">
        <v>362</v>
      </c>
      <c r="G32" s="89"/>
      <c r="H32" s="89"/>
      <c r="I32" s="89"/>
      <c r="J32" s="89"/>
      <c r="K32" s="145"/>
      <c r="L32" s="140"/>
    </row>
    <row r="33" spans="2:12" ht="41.25" customHeight="1" x14ac:dyDescent="0.2">
      <c r="B33" s="374"/>
      <c r="C33" s="25" t="s">
        <v>87</v>
      </c>
      <c r="D33" s="86">
        <v>2021</v>
      </c>
      <c r="E33" s="86">
        <v>2006</v>
      </c>
      <c r="F33" s="86">
        <v>2015</v>
      </c>
      <c r="G33" s="86"/>
      <c r="H33" s="86"/>
      <c r="I33" s="86"/>
      <c r="J33" s="86"/>
      <c r="K33" s="145"/>
      <c r="L33" s="140"/>
    </row>
    <row r="34" spans="2:12" ht="63" customHeight="1" x14ac:dyDescent="0.2">
      <c r="B34" s="374"/>
      <c r="C34" s="25" t="s">
        <v>88</v>
      </c>
      <c r="D34" s="85" t="s">
        <v>321</v>
      </c>
      <c r="E34" s="85" t="s">
        <v>322</v>
      </c>
      <c r="F34" s="85" t="s">
        <v>363</v>
      </c>
      <c r="G34" s="85"/>
      <c r="H34" s="85"/>
      <c r="I34" s="85"/>
      <c r="J34" s="85"/>
      <c r="K34" s="145"/>
      <c r="L34" s="140"/>
    </row>
    <row r="35" spans="2:12" ht="46.5" customHeight="1" x14ac:dyDescent="0.2">
      <c r="B35" s="374"/>
      <c r="C35" s="25" t="s">
        <v>89</v>
      </c>
      <c r="D35" s="85" t="s">
        <v>364</v>
      </c>
      <c r="E35" s="85" t="s">
        <v>365</v>
      </c>
      <c r="F35" s="85" t="s">
        <v>366</v>
      </c>
      <c r="G35" s="85"/>
      <c r="H35" s="85"/>
      <c r="I35" s="85"/>
      <c r="J35" s="85"/>
      <c r="K35" s="145"/>
      <c r="L35" s="140"/>
    </row>
    <row r="36" spans="2:12" ht="27.75" customHeight="1" x14ac:dyDescent="0.2">
      <c r="B36" s="374"/>
      <c r="C36" s="26" t="s">
        <v>90</v>
      </c>
      <c r="D36" s="90">
        <v>2</v>
      </c>
      <c r="E36" s="90">
        <v>12</v>
      </c>
      <c r="F36" s="90">
        <v>74</v>
      </c>
      <c r="G36" s="91"/>
      <c r="H36" s="91"/>
      <c r="I36" s="91"/>
      <c r="J36" s="91"/>
      <c r="K36" s="145"/>
      <c r="L36" s="140"/>
    </row>
    <row r="37" spans="2:12" ht="102.75" customHeight="1" x14ac:dyDescent="0.2">
      <c r="B37" s="374"/>
      <c r="C37" s="25" t="s">
        <v>91</v>
      </c>
      <c r="D37" s="87">
        <v>10274.27</v>
      </c>
      <c r="E37" s="158">
        <v>340.58</v>
      </c>
      <c r="F37" s="87">
        <v>11240.01</v>
      </c>
      <c r="G37" s="87"/>
      <c r="H37" s="87"/>
      <c r="I37" s="87"/>
      <c r="J37" s="87"/>
      <c r="K37" s="242"/>
      <c r="L37" s="243"/>
    </row>
    <row r="38" spans="2:12" ht="48" customHeight="1" x14ac:dyDescent="0.2">
      <c r="B38" s="374"/>
      <c r="C38" s="25" t="s">
        <v>92</v>
      </c>
      <c r="D38" s="97">
        <f>IFERROR(D37*VLOOKUP(D33,'DATOS INICIALES'!$A$12:$B$50,2,0),"0")</f>
        <v>9334441426.0200005</v>
      </c>
      <c r="E38" s="97">
        <f>IFERROR(E37*VLOOKUP(E33,'DATOS INICIALES'!$A$12:$B$50,2,0),"0")</f>
        <v>138956640</v>
      </c>
      <c r="F38" s="97">
        <f>IFERROR(F37*VLOOKUP(F33,'DATOS INICIALES'!$A$12:$B$50,2,0),"0")</f>
        <v>7242500443.5</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0.25</v>
      </c>
      <c r="E39" s="88">
        <v>1</v>
      </c>
      <c r="F39" s="88">
        <v>0.25</v>
      </c>
      <c r="G39" s="88"/>
      <c r="H39" s="88"/>
      <c r="I39" s="88"/>
      <c r="J39" s="88"/>
      <c r="K39" s="145"/>
      <c r="L39" s="140"/>
    </row>
    <row r="40" spans="2:12" ht="48.75" customHeight="1" x14ac:dyDescent="0.2">
      <c r="B40" s="374"/>
      <c r="C40" s="25" t="s">
        <v>94</v>
      </c>
      <c r="D40" s="97">
        <f t="shared" ref="D40:J40" si="0">IF(D26="","0",D39*D38)</f>
        <v>2333610356.5050001</v>
      </c>
      <c r="E40" s="97">
        <f t="shared" si="0"/>
        <v>138956640</v>
      </c>
      <c r="F40" s="97">
        <f t="shared" si="0"/>
        <v>1810625110.875</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2568.5675000000001</v>
      </c>
      <c r="E41" s="98">
        <f t="shared" si="1"/>
        <v>340.58</v>
      </c>
      <c r="F41" s="98">
        <f t="shared" si="1"/>
        <v>2810.0025000000001</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2568.5675000000001</v>
      </c>
      <c r="E48" s="98">
        <f t="shared" ref="E48:G48" si="6">+E41+E44+E47</f>
        <v>340.58</v>
      </c>
      <c r="F48" s="98">
        <f t="shared" si="6"/>
        <v>2810.0025000000001</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26</v>
      </c>
      <c r="G56" s="84" t="s">
        <v>24</v>
      </c>
      <c r="H56" s="84" t="s">
        <v>24</v>
      </c>
      <c r="I56" s="84" t="s">
        <v>24</v>
      </c>
      <c r="J56" s="84" t="s">
        <v>24</v>
      </c>
      <c r="K56" s="483" t="s">
        <v>367</v>
      </c>
      <c r="L56" s="484"/>
    </row>
    <row r="57" spans="2:12" ht="50.25" customHeight="1" x14ac:dyDescent="0.2">
      <c r="B57" s="431" t="s">
        <v>177</v>
      </c>
      <c r="C57" s="432"/>
      <c r="D57" s="84" t="s">
        <v>24</v>
      </c>
      <c r="E57" s="84" t="s">
        <v>26</v>
      </c>
      <c r="F57" s="84" t="s">
        <v>26</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NO CUMPLE</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3">
    <mergeCell ref="I22:L22"/>
    <mergeCell ref="B66:C66"/>
    <mergeCell ref="B67:C67"/>
    <mergeCell ref="B69:E69"/>
    <mergeCell ref="B70:C70"/>
    <mergeCell ref="B63:C63"/>
    <mergeCell ref="B64:C64"/>
    <mergeCell ref="B65:C65"/>
    <mergeCell ref="B60:C60"/>
    <mergeCell ref="B61:C61"/>
    <mergeCell ref="B62:C62"/>
    <mergeCell ref="B57:C57"/>
    <mergeCell ref="B58:C58"/>
    <mergeCell ref="B59:C59"/>
    <mergeCell ref="K30:L30"/>
    <mergeCell ref="B13:H13"/>
    <mergeCell ref="B14:B21"/>
    <mergeCell ref="B26:C26"/>
    <mergeCell ref="B27:C27"/>
    <mergeCell ref="B72:C72"/>
    <mergeCell ref="B71:C71"/>
    <mergeCell ref="B24:L24"/>
    <mergeCell ref="K25:L25"/>
    <mergeCell ref="B56:C56"/>
    <mergeCell ref="B50:B55"/>
    <mergeCell ref="B29:B47"/>
    <mergeCell ref="B28:C28"/>
    <mergeCell ref="K56:L56"/>
    <mergeCell ref="K17:L17"/>
    <mergeCell ref="K18:L21"/>
    <mergeCell ref="B23:L23"/>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5009" priority="71" operator="equal">
      <formula>"CUMPLE"</formula>
    </cfRule>
    <cfRule type="cellIs" dxfId="5008" priority="70" operator="equal">
      <formula>"NO CUMPLE"</formula>
    </cfRule>
    <cfRule type="containsBlanks" dxfId="5007" priority="68">
      <formula>LEN(TRIM(D71))=0</formula>
    </cfRule>
    <cfRule type="notContainsErrors" dxfId="5006" priority="69">
      <formula>NOT(ISERROR(D71))</formula>
    </cfRule>
  </conditionalFormatting>
  <conditionalFormatting sqref="D72">
    <cfRule type="cellIs" dxfId="5005" priority="72" operator="equal">
      <formula>"N/A"</formula>
    </cfRule>
    <cfRule type="cellIs" dxfId="5004" priority="74" operator="equal">
      <formula>"NO CUMPLE"</formula>
    </cfRule>
    <cfRule type="cellIs" dxfId="5003" priority="73" operator="equal">
      <formula>"CUMPLE"</formula>
    </cfRule>
    <cfRule type="cellIs" dxfId="5002" priority="75" operator="equal">
      <formula>"""CUMPLE"""</formula>
    </cfRule>
  </conditionalFormatting>
  <conditionalFormatting sqref="D26:J37">
    <cfRule type="notContainsErrors" dxfId="5001" priority="6">
      <formula>NOT(ISERROR(D26))</formula>
    </cfRule>
    <cfRule type="containsBlanks" dxfId="5000" priority="5">
      <formula>LEN(TRIM(D26))=0</formula>
    </cfRule>
  </conditionalFormatting>
  <conditionalFormatting sqref="D36:J36">
    <cfRule type="notContainsErrors" dxfId="4999" priority="8">
      <formula>NOT(ISERROR(D36))</formula>
    </cfRule>
    <cfRule type="containsBlanks" dxfId="4998" priority="7">
      <formula>LEN(TRIM(D36))=0</formula>
    </cfRule>
  </conditionalFormatting>
  <conditionalFormatting sqref="D39:J39">
    <cfRule type="containsBlanks" dxfId="4997" priority="3">
      <formula>LEN(TRIM(D39))=0</formula>
    </cfRule>
    <cfRule type="notContainsErrors" dxfId="4996" priority="4">
      <formula>NOT(ISERROR(D39))</formula>
    </cfRule>
  </conditionalFormatting>
  <conditionalFormatting sqref="D42:J42 D45:J45">
    <cfRule type="notContainsErrors" dxfId="4995" priority="40">
      <formula>NOT(ISERROR(D42))</formula>
    </cfRule>
    <cfRule type="containsBlanks" dxfId="4994" priority="39">
      <formula>LEN(TRIM(D42))=0</formula>
    </cfRule>
  </conditionalFormatting>
  <conditionalFormatting sqref="D49:J54">
    <cfRule type="notContainsErrors" dxfId="4993" priority="22">
      <formula>NOT(ISERROR(D49))</formula>
    </cfRule>
    <cfRule type="containsBlanks" dxfId="4992" priority="21">
      <formula>LEN(TRIM(D49))=0</formula>
    </cfRule>
    <cfRule type="cellIs" dxfId="4991" priority="19" operator="equal">
      <formula>"NO CUMPLE"</formula>
    </cfRule>
    <cfRule type="cellIs" dxfId="4990" priority="20" operator="equal">
      <formula>"CUMPLE"</formula>
    </cfRule>
  </conditionalFormatting>
  <conditionalFormatting sqref="D55:J55">
    <cfRule type="cellIs" dxfId="4989" priority="31" operator="equal">
      <formula>"NO CUMPLE"</formula>
    </cfRule>
    <cfRule type="cellIs" dxfId="4988" priority="32" operator="equal">
      <formula>"""CUMPLE"""</formula>
    </cfRule>
    <cfRule type="cellIs" dxfId="4987" priority="29" operator="equal">
      <formula>"N/A"</formula>
    </cfRule>
    <cfRule type="cellIs" dxfId="4986" priority="30" operator="equal">
      <formula>"CUMPLE"</formula>
    </cfRule>
  </conditionalFormatting>
  <conditionalFormatting sqref="D56:J66">
    <cfRule type="cellIs" dxfId="4985" priority="14" operator="equal">
      <formula>"CUMPLE"</formula>
    </cfRule>
    <cfRule type="cellIs" dxfId="4984" priority="13" operator="equal">
      <formula>"NO CUMPLE"</formula>
    </cfRule>
    <cfRule type="containsBlanks" dxfId="4983" priority="15">
      <formula>LEN(TRIM(D56))=0</formula>
    </cfRule>
    <cfRule type="notContainsErrors" dxfId="4982" priority="16">
      <formula>NOT(ISERROR(D56))</formula>
    </cfRule>
  </conditionalFormatting>
  <conditionalFormatting sqref="D62:J62">
    <cfRule type="notContainsErrors" dxfId="4981" priority="12">
      <formula>NOT(ISERROR(D62))</formula>
    </cfRule>
    <cfRule type="containsBlanks" dxfId="4980" priority="11">
      <formula>LEN(TRIM(D62))=0</formula>
    </cfRule>
  </conditionalFormatting>
  <conditionalFormatting sqref="D67:J67">
    <cfRule type="cellIs" dxfId="4979" priority="26" operator="equal">
      <formula>"CUMPLE"</formula>
    </cfRule>
    <cfRule type="cellIs" dxfId="4978" priority="25" operator="equal">
      <formula>"N/A"</formula>
    </cfRule>
    <cfRule type="cellIs" dxfId="4977" priority="27" operator="equal">
      <formula>"NO CUMPLE"</formula>
    </cfRule>
    <cfRule type="cellIs" dxfId="4976" priority="28" operator="equal">
      <formula>"""CUMPLE"""</formula>
    </cfRule>
  </conditionalFormatting>
  <conditionalFormatting sqref="D62:K66">
    <cfRule type="containsBlanks" dxfId="4975" priority="17">
      <formula>LEN(TRIM(D62))=0</formula>
    </cfRule>
    <cfRule type="notContainsErrors" dxfId="4974" priority="18">
      <formula>NOT(ISERROR(D62))</formula>
    </cfRule>
  </conditionalFormatting>
  <conditionalFormatting sqref="E71:E72">
    <cfRule type="notContainsErrors" dxfId="4973" priority="67">
      <formula>NOT(ISERROR(E71))</formula>
    </cfRule>
    <cfRule type="containsBlanks" dxfId="4972" priority="66">
      <formula>LEN(TRIM(E71))=0</formula>
    </cfRule>
  </conditionalFormatting>
  <conditionalFormatting sqref="F22:H22">
    <cfRule type="cellIs" dxfId="4971" priority="94" operator="equal">
      <formula>"NO CUMPLE"</formula>
    </cfRule>
    <cfRule type="cellIs" dxfId="4970" priority="93" operator="equal">
      <formula>"CUMPLE"</formula>
    </cfRule>
    <cfRule type="cellIs" dxfId="4969" priority="95" operator="equal">
      <formula>"""CUMPLE"""</formula>
    </cfRule>
  </conditionalFormatting>
  <conditionalFormatting sqref="G63:J63">
    <cfRule type="containsBlanks" dxfId="4968" priority="9">
      <formula>LEN(TRIM(G63))=0</formula>
    </cfRule>
    <cfRule type="notContainsErrors" dxfId="4967" priority="10">
      <formula>NOT(ISERROR(G63))</formula>
    </cfRule>
  </conditionalFormatting>
  <conditionalFormatting sqref="I11">
    <cfRule type="containsText" dxfId="4966" priority="99" operator="containsText" text="NO CUMPLE">
      <formula>NOT(ISERROR(SEARCH("NO CUMPLE",I11)))</formula>
    </cfRule>
    <cfRule type="containsText" dxfId="4965" priority="98" operator="containsText" text="HABILITADO">
      <formula>NOT(ISERROR(SEARCH("HABILITADO",I11)))</formula>
    </cfRule>
    <cfRule type="containsText" dxfId="4964" priority="97" operator="containsText" text="HABILITADO">
      <formula>NOT(ISERROR(SEARCH("HABILITADO",I11)))</formula>
    </cfRule>
    <cfRule type="containsText" dxfId="4963" priority="96" operator="containsText" text="INHABILITADO">
      <formula>NOT(ISERROR(SEARCH("INHABILITADO",I11)))</formula>
    </cfRule>
  </conditionalFormatting>
  <conditionalFormatting sqref="K18:K20">
    <cfRule type="cellIs" dxfId="4962" priority="64" operator="equal">
      <formula>"NO CUMPLE"</formula>
    </cfRule>
    <cfRule type="cellIs" dxfId="4961" priority="63" operator="equal">
      <formula>"CUMPLE"</formula>
    </cfRule>
    <cfRule type="cellIs" dxfId="4960" priority="65" operator="equal">
      <formula>"""CUMPLE"""</formula>
    </cfRule>
  </conditionalFormatting>
  <conditionalFormatting sqref="K26:K61">
    <cfRule type="containsBlanks" dxfId="4959" priority="1">
      <formula>LEN(TRIM(K26))=0</formula>
    </cfRule>
    <cfRule type="notContainsErrors" dxfId="4958" priority="2">
      <formula>NOT(ISERROR(K26))</formula>
    </cfRule>
  </conditionalFormatting>
  <conditionalFormatting sqref="K67:L67">
    <cfRule type="containsBlanks" dxfId="4957" priority="23">
      <formula>LEN(TRIM(K67))=0</formula>
    </cfRule>
    <cfRule type="notContainsErrors" dxfId="4956" priority="24">
      <formula>NOT(ISERROR(K67))</formula>
    </cfRule>
  </conditionalFormatting>
  <conditionalFormatting sqref="L14">
    <cfRule type="cellIs" dxfId="4955" priority="92" operator="equal">
      <formula>"""CUMPLE"""</formula>
    </cfRule>
    <cfRule type="cellIs" dxfId="4954" priority="91" operator="equal">
      <formula>"NO CUMPLE"</formula>
    </cfRule>
    <cfRule type="cellIs" dxfId="4953" priority="90" operator="equal">
      <formula>"CUMPLE"</formula>
    </cfRule>
  </conditionalFormatting>
  <dataValidations disablePrompts="1" count="2">
    <dataValidation type="list" allowBlank="1" showInputMessage="1" showErrorMessage="1" sqref="D26:J28" xr:uid="{00000000-0002-0000-0A00-000000000000}">
      <formula1>$C$15:$C$21</formula1>
    </dataValidation>
    <dataValidation type="list" allowBlank="1" showInputMessage="1" showErrorMessage="1" sqref="L62:L67" xr:uid="{00000000-0002-0000-0A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disablePrompts="1" count="8">
        <x14:dataValidation type="list" allowBlank="1" showInputMessage="1" showErrorMessage="1" xr:uid="{00000000-0002-0000-0A00-000002000000}">
          <x14:formula1>
            <xm:f>'DATOS INICIALES'!$A$13:$A$50</xm:f>
          </x14:formula1>
          <xm:sqref>G33:I33</xm:sqref>
        </x14:dataValidation>
        <x14:dataValidation type="list" allowBlank="1" showInputMessage="1" showErrorMessage="1" xr:uid="{00000000-0002-0000-0A00-000003000000}">
          <x14:formula1>
            <xm:f>'DATOS INICIALES'!$A$61:$A$66</xm:f>
          </x14:formula1>
          <xm:sqref>D25:I25</xm:sqref>
        </x14:dataValidation>
        <x14:dataValidation type="list" allowBlank="1" showInputMessage="1" showErrorMessage="1" xr:uid="{00000000-0002-0000-0A00-000004000000}">
          <x14:formula1>
            <xm:f>'DATOS INICIALES'!$A$57:$A$59</xm:f>
          </x14:formula1>
          <xm:sqref>D71 D56:J66</xm:sqref>
        </x14:dataValidation>
        <x14:dataValidation type="list" allowBlank="1" showInputMessage="1" showErrorMessage="1" xr:uid="{00000000-0002-0000-0A00-000005000000}">
          <x14:formula1>
            <xm:f>'DATOS INICIALES'!$C$52:$C$53</xm:f>
          </x14:formula1>
          <xm:sqref>D53:J54</xm:sqref>
        </x14:dataValidation>
        <x14:dataValidation type="list" allowBlank="1" showInputMessage="1" showErrorMessage="1" xr:uid="{00000000-0002-0000-0A00-000006000000}">
          <x14:formula1>
            <xm:f>'DATOS INICIALES'!$A$61:$A$67</xm:f>
          </x14:formula1>
          <xm:sqref>J25</xm:sqref>
        </x14:dataValidation>
        <x14:dataValidation type="list" allowBlank="1" showInputMessage="1" showErrorMessage="1" xr:uid="{00000000-0002-0000-0A00-000007000000}">
          <x14:formula1>
            <xm:f>'DATOS INICIALES'!$A$57:$A$58</xm:f>
          </x14:formula1>
          <xm:sqref>D49:J49</xm:sqref>
        </x14:dataValidation>
        <x14:dataValidation type="list" allowBlank="1" showInputMessage="1" showErrorMessage="1" xr:uid="{00000000-0002-0000-0A00-000008000000}">
          <x14:formula1>
            <xm:f>'DATOS INICIALES'!$D$27:$D$29</xm:f>
          </x14:formula1>
          <xm:sqref>M50:M55</xm:sqref>
        </x14:dataValidation>
        <x14:dataValidation type="list" allowBlank="1" showInputMessage="1" showErrorMessage="1" xr:uid="{00000000-0002-0000-0A00-000009000000}">
          <x14:formula1>
            <xm:f>'DATOS INICIALES'!$C$52:$C$54</xm:f>
          </x14:formula1>
          <xm:sqref>D50:J52</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N72"/>
  <sheetViews>
    <sheetView view="pageBreakPreview" zoomScale="25" zoomScaleNormal="25" zoomScaleSheetLayoutView="25" workbookViewId="0">
      <selection activeCell="H56" sqref="H56"/>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6</v>
      </c>
      <c r="B11" s="2" t="s">
        <v>58</v>
      </c>
      <c r="C11" s="413" t="str">
        <f>VLOOKUP(A11,PROPONENTES!A10:B94,2,FALSE)</f>
        <v>CONSORCIO INTER TS 03</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4</v>
      </c>
      <c r="J14" s="147">
        <f>+L8</f>
        <v>986.3076290832455</v>
      </c>
      <c r="K14" s="147">
        <f>+E22</f>
        <v>9656.9499999999989</v>
      </c>
      <c r="L14" s="18" t="str">
        <f>IF(K14&gt;=J14,"CUMPLE","NO CUMPLE")</f>
        <v>CUMPLE</v>
      </c>
    </row>
    <row r="15" spans="1:12" ht="33.75" customHeight="1" x14ac:dyDescent="0.2">
      <c r="B15" s="382"/>
      <c r="C15" s="92" t="str">
        <f>IF(VLOOKUP(C11,PROPONENTES!B10:N94,2,FALSE)=0,"",VLOOKUP(C11,PROPONENTES!B10:N94,2,FALSE))</f>
        <v>TOTALL INC SAS BIC</v>
      </c>
      <c r="D15" s="93">
        <f>IF(VLOOKUP(C11,PROPONENTES!B10:N94,3,FALSE)=0,"",VLOOKUP(C11,PROPONENTES!B10:N94,3,FALSE))</f>
        <v>0.5</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451.90999999999997</v>
      </c>
      <c r="F15" s="95" t="str">
        <f>IF(C15="","",IF(E15&gt;=$J$14*0.5,"SI","NO"))</f>
        <v>NO</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SISTEMA INGENIERIA, SUCURSAL COLOMBIA</v>
      </c>
      <c r="D16" s="93">
        <f>IF(VLOOKUP(C11,PROPONENTES!B10:N94,5,FALSE)=0,"",VLOOKUP(C11,PROPONENTES!B10:N94,5,FALSE))</f>
        <v>0.5</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9205.0399999999991</v>
      </c>
      <c r="F16" s="95" t="str">
        <f>IF(C16="","",IF(E16&gt;=$J$14*0.5,"SI","NO"))</f>
        <v>SI</v>
      </c>
      <c r="G16" s="96" t="str">
        <f>IF(C16="","",IF(E16&gt;=$J$14*0.05,"SI",IF(E16=0,"NO APORTA EXPERIENCIA",)))</f>
        <v>SI</v>
      </c>
      <c r="H16" s="96" t="str">
        <f>IF(C16="","",IF(AND(G16="NO APORTA EXPERIENCIA",D16&lt;=10%),"SI",IF(G16="SI","NO APLICA","NO - PORCENTAJE MAYOR AL 10%")))</f>
        <v>NO APLICA</v>
      </c>
      <c r="I16" s="162"/>
      <c r="J16" s="162"/>
      <c r="K16" s="162"/>
      <c r="L16" s="161">
        <f>AVERAGEIF(D67:J67,"CUMPLE",D48:J48)</f>
        <v>2414.2374999999997</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1</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4</v>
      </c>
      <c r="J19" s="128">
        <v>1</v>
      </c>
      <c r="K19" s="387"/>
      <c r="L19" s="388"/>
    </row>
    <row r="20" spans="2:14" ht="50.25" customHeight="1" x14ac:dyDescent="0.2">
      <c r="B20" s="382"/>
      <c r="C20" s="92"/>
      <c r="D20" s="93"/>
      <c r="E20" s="94"/>
      <c r="F20" s="95"/>
      <c r="G20" s="96"/>
      <c r="H20" s="96"/>
      <c r="I20" s="128">
        <f>COUNTIFS(D60:J60,"CUMPLE",D67:J67,"CUMPLE")</f>
        <v>4</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4</v>
      </c>
      <c r="J21" s="128">
        <v>1</v>
      </c>
      <c r="K21" s="389"/>
      <c r="L21" s="390"/>
    </row>
    <row r="22" spans="2:14" ht="84.75" customHeight="1" x14ac:dyDescent="0.2">
      <c r="B22" s="29" t="s">
        <v>75</v>
      </c>
      <c r="C22" s="24">
        <f>+VLOOKUP(C11,PROPONENTES!B10:N94,12,FALSE)</f>
        <v>2</v>
      </c>
      <c r="D22" s="93">
        <f>+VLOOKUP(C11,PROPONENTES!B10:N94,13,FALSE)</f>
        <v>1</v>
      </c>
      <c r="E22" s="32">
        <f>SUM(E15:E21)</f>
        <v>9656.9499999999989</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338</v>
      </c>
      <c r="E26" s="84" t="s">
        <v>338</v>
      </c>
      <c r="F26" s="84" t="s">
        <v>339</v>
      </c>
      <c r="G26" s="84" t="s">
        <v>339</v>
      </c>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368</v>
      </c>
      <c r="E29" s="85" t="s">
        <v>369</v>
      </c>
      <c r="F29" s="85"/>
      <c r="G29" s="85"/>
      <c r="H29" s="85"/>
      <c r="I29" s="85"/>
      <c r="J29" s="85"/>
      <c r="K29" s="145"/>
      <c r="L29" s="140"/>
    </row>
    <row r="30" spans="2:14" ht="156.75" customHeight="1" x14ac:dyDescent="0.2">
      <c r="B30" s="374"/>
      <c r="C30" s="25" t="s">
        <v>84</v>
      </c>
      <c r="D30" s="85" t="s">
        <v>370</v>
      </c>
      <c r="E30" s="85" t="s">
        <v>371</v>
      </c>
      <c r="F30" s="85" t="s">
        <v>372</v>
      </c>
      <c r="G30" s="85" t="s">
        <v>373</v>
      </c>
      <c r="H30" s="85"/>
      <c r="I30" s="85"/>
      <c r="J30" s="85"/>
      <c r="K30" s="145"/>
      <c r="L30" s="140"/>
    </row>
    <row r="31" spans="2:14" ht="52.5" customHeight="1" x14ac:dyDescent="0.2">
      <c r="B31" s="374"/>
      <c r="C31" s="25" t="s">
        <v>85</v>
      </c>
      <c r="D31" s="89">
        <v>37895</v>
      </c>
      <c r="E31" s="89">
        <v>37057</v>
      </c>
      <c r="F31" s="89">
        <v>39400</v>
      </c>
      <c r="G31" s="89">
        <v>44949</v>
      </c>
      <c r="H31" s="89"/>
      <c r="I31" s="89"/>
      <c r="J31" s="89"/>
      <c r="K31" s="145"/>
      <c r="L31" s="140"/>
    </row>
    <row r="32" spans="2:14" ht="54.75" customHeight="1" x14ac:dyDescent="0.2">
      <c r="B32" s="374"/>
      <c r="C32" s="25" t="s">
        <v>86</v>
      </c>
      <c r="D32" s="89">
        <v>38342</v>
      </c>
      <c r="E32" s="89">
        <v>37498</v>
      </c>
      <c r="F32" s="89">
        <v>41547</v>
      </c>
      <c r="G32" s="89">
        <v>45495</v>
      </c>
      <c r="H32" s="89"/>
      <c r="I32" s="89"/>
      <c r="J32" s="89"/>
      <c r="K32" s="145"/>
      <c r="L32" s="140"/>
    </row>
    <row r="33" spans="2:12" ht="41.25" customHeight="1" x14ac:dyDescent="0.2">
      <c r="B33" s="374"/>
      <c r="C33" s="25" t="s">
        <v>87</v>
      </c>
      <c r="D33" s="86">
        <v>2004</v>
      </c>
      <c r="E33" s="86">
        <v>2002</v>
      </c>
      <c r="F33" s="86">
        <v>2013</v>
      </c>
      <c r="G33" s="86">
        <v>2024</v>
      </c>
      <c r="H33" s="86"/>
      <c r="I33" s="86"/>
      <c r="J33" s="86"/>
      <c r="K33" s="145"/>
      <c r="L33" s="140"/>
    </row>
    <row r="34" spans="2:12" ht="63" customHeight="1" x14ac:dyDescent="0.2">
      <c r="B34" s="374"/>
      <c r="C34" s="25" t="s">
        <v>88</v>
      </c>
      <c r="D34" s="85" t="s">
        <v>374</v>
      </c>
      <c r="E34" s="85" t="s">
        <v>375</v>
      </c>
      <c r="F34" s="85" t="s">
        <v>376</v>
      </c>
      <c r="G34" s="85" t="s">
        <v>375</v>
      </c>
      <c r="H34" s="85"/>
      <c r="I34" s="85"/>
      <c r="J34" s="85"/>
      <c r="K34" s="145"/>
      <c r="L34" s="140"/>
    </row>
    <row r="35" spans="2:12" ht="46.5" customHeight="1" x14ac:dyDescent="0.2">
      <c r="B35" s="374"/>
      <c r="C35" s="25" t="s">
        <v>89</v>
      </c>
      <c r="D35" s="85" t="s">
        <v>338</v>
      </c>
      <c r="E35" s="85" t="s">
        <v>338</v>
      </c>
      <c r="F35" s="85" t="s">
        <v>339</v>
      </c>
      <c r="G35" s="85" t="s">
        <v>339</v>
      </c>
      <c r="H35" s="85"/>
      <c r="I35" s="85"/>
      <c r="J35" s="85"/>
      <c r="K35" s="145"/>
      <c r="L35" s="140"/>
    </row>
    <row r="36" spans="2:12" ht="27.75" customHeight="1" x14ac:dyDescent="0.2">
      <c r="B36" s="374"/>
      <c r="C36" s="26" t="s">
        <v>90</v>
      </c>
      <c r="D36" s="90">
        <v>39</v>
      </c>
      <c r="E36" s="90">
        <v>34</v>
      </c>
      <c r="F36" s="90">
        <v>6</v>
      </c>
      <c r="G36" s="91">
        <v>45</v>
      </c>
      <c r="H36" s="91"/>
      <c r="I36" s="91"/>
      <c r="J36" s="91"/>
      <c r="K36" s="145"/>
      <c r="L36" s="140"/>
    </row>
    <row r="37" spans="2:12" ht="102.75" customHeight="1" x14ac:dyDescent="0.2">
      <c r="B37" s="374"/>
      <c r="C37" s="25" t="s">
        <v>91</v>
      </c>
      <c r="D37" s="87">
        <v>325.02</v>
      </c>
      <c r="E37" s="158">
        <v>578.79999999999995</v>
      </c>
      <c r="F37" s="87">
        <v>15251.3</v>
      </c>
      <c r="G37" s="87">
        <v>3158.78</v>
      </c>
      <c r="H37" s="87"/>
      <c r="I37" s="87"/>
      <c r="J37" s="87"/>
      <c r="K37" s="242"/>
      <c r="L37" s="243"/>
    </row>
    <row r="38" spans="2:12" ht="48" customHeight="1" x14ac:dyDescent="0.2">
      <c r="B38" s="374"/>
      <c r="C38" s="25" t="s">
        <v>92</v>
      </c>
      <c r="D38" s="97">
        <f>IFERROR(D37*VLOOKUP(D33,'DATOS INICIALES'!$A$12:$B$50,2,0),"0")</f>
        <v>116357160</v>
      </c>
      <c r="E38" s="97">
        <f>IFERROR(E37*VLOOKUP(E33,'DATOS INICIALES'!$A$12:$B$50,2,0),"0")</f>
        <v>178849200</v>
      </c>
      <c r="F38" s="97">
        <f>IFERROR(F37*VLOOKUP(F33,'DATOS INICIALES'!$A$12:$B$50,2,0),"0")</f>
        <v>8990641350</v>
      </c>
      <c r="G38" s="97">
        <f>IFERROR(G37*VLOOKUP(G33,'DATOS INICIALES'!$A$12:$B$50,2,0),"0")</f>
        <v>4106414000.0000005</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0.5</v>
      </c>
      <c r="E39" s="88">
        <v>0.5</v>
      </c>
      <c r="F39" s="88">
        <v>0.5</v>
      </c>
      <c r="G39" s="88">
        <v>0.5</v>
      </c>
      <c r="H39" s="88"/>
      <c r="I39" s="88"/>
      <c r="J39" s="88"/>
      <c r="K39" s="145"/>
      <c r="L39" s="140"/>
    </row>
    <row r="40" spans="2:12" ht="48.75" customHeight="1" x14ac:dyDescent="0.2">
      <c r="B40" s="374"/>
      <c r="C40" s="25" t="s">
        <v>94</v>
      </c>
      <c r="D40" s="97">
        <f t="shared" ref="D40:J40" si="0">IF(D26="","0",D39*D38)</f>
        <v>58178580</v>
      </c>
      <c r="E40" s="97">
        <f t="shared" si="0"/>
        <v>89424600</v>
      </c>
      <c r="F40" s="97">
        <f t="shared" si="0"/>
        <v>4495320675</v>
      </c>
      <c r="G40" s="97">
        <f t="shared" si="0"/>
        <v>2053207000.0000002</v>
      </c>
      <c r="H40" s="97" t="str">
        <f t="shared" si="0"/>
        <v>0</v>
      </c>
      <c r="I40" s="97" t="str">
        <f t="shared" si="0"/>
        <v>0</v>
      </c>
      <c r="J40" s="97" t="str">
        <f t="shared" si="0"/>
        <v>0</v>
      </c>
      <c r="K40" s="145"/>
      <c r="L40" s="140"/>
    </row>
    <row r="41" spans="2:12" ht="65.25" customHeight="1" x14ac:dyDescent="0.2">
      <c r="B41" s="374"/>
      <c r="C41" s="25" t="s">
        <v>95</v>
      </c>
      <c r="D41" s="98">
        <f t="shared" ref="D41:J41" si="1">IFERROR(D37*D39,"0")</f>
        <v>162.51</v>
      </c>
      <c r="E41" s="98">
        <f t="shared" si="1"/>
        <v>289.39999999999998</v>
      </c>
      <c r="F41" s="98">
        <f t="shared" si="1"/>
        <v>7625.65</v>
      </c>
      <c r="G41" s="98">
        <f t="shared" si="1"/>
        <v>1579.39</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162.51</v>
      </c>
      <c r="E48" s="98">
        <f t="shared" ref="E48:G48" si="6">+E41+E44+E47</f>
        <v>289.39999999999998</v>
      </c>
      <c r="F48" s="98">
        <f t="shared" si="6"/>
        <v>7625.65</v>
      </c>
      <c r="G48" s="98">
        <f t="shared" si="6"/>
        <v>1579.39</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CUMPLE</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26</v>
      </c>
      <c r="E57" s="84" t="s">
        <v>26</v>
      </c>
      <c r="F57" s="84" t="s">
        <v>26</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CUMPLE</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4952" priority="69" operator="equal">
      <formula>"CUMPLE"</formula>
    </cfRule>
    <cfRule type="containsBlanks" dxfId="4951" priority="66">
      <formula>LEN(TRIM(D71))=0</formula>
    </cfRule>
    <cfRule type="notContainsErrors" dxfId="4950" priority="67">
      <formula>NOT(ISERROR(D71))</formula>
    </cfRule>
    <cfRule type="cellIs" dxfId="4949" priority="68" operator="equal">
      <formula>"NO CUMPLE"</formula>
    </cfRule>
  </conditionalFormatting>
  <conditionalFormatting sqref="D72">
    <cfRule type="cellIs" dxfId="4948" priority="71" operator="equal">
      <formula>"CUMPLE"</formula>
    </cfRule>
    <cfRule type="cellIs" dxfId="4947" priority="70" operator="equal">
      <formula>"N/A"</formula>
    </cfRule>
    <cfRule type="cellIs" dxfId="4946" priority="73" operator="equal">
      <formula>"""CUMPLE"""</formula>
    </cfRule>
    <cfRule type="cellIs" dxfId="4945" priority="72" operator="equal">
      <formula>"NO CUMPLE"</formula>
    </cfRule>
  </conditionalFormatting>
  <conditionalFormatting sqref="D26:J37">
    <cfRule type="notContainsErrors" dxfId="4944" priority="4">
      <formula>NOT(ISERROR(D26))</formula>
    </cfRule>
    <cfRule type="containsBlanks" dxfId="4943" priority="3">
      <formula>LEN(TRIM(D26))=0</formula>
    </cfRule>
  </conditionalFormatting>
  <conditionalFormatting sqref="D36:J36">
    <cfRule type="notContainsErrors" dxfId="4942" priority="6">
      <formula>NOT(ISERROR(D36))</formula>
    </cfRule>
    <cfRule type="containsBlanks" dxfId="4941" priority="5">
      <formula>LEN(TRIM(D36))=0</formula>
    </cfRule>
  </conditionalFormatting>
  <conditionalFormatting sqref="D39:J39">
    <cfRule type="containsBlanks" dxfId="4940" priority="1">
      <formula>LEN(TRIM(D39))=0</formula>
    </cfRule>
    <cfRule type="notContainsErrors" dxfId="4939" priority="2">
      <formula>NOT(ISERROR(D39))</formula>
    </cfRule>
  </conditionalFormatting>
  <conditionalFormatting sqref="D42:J42 D45:J45">
    <cfRule type="notContainsErrors" dxfId="4938" priority="38">
      <formula>NOT(ISERROR(D42))</formula>
    </cfRule>
    <cfRule type="containsBlanks" dxfId="4937" priority="37">
      <formula>LEN(TRIM(D42))=0</formula>
    </cfRule>
  </conditionalFormatting>
  <conditionalFormatting sqref="D49:J54">
    <cfRule type="cellIs" dxfId="4936" priority="17" operator="equal">
      <formula>"NO CUMPLE"</formula>
    </cfRule>
    <cfRule type="cellIs" dxfId="4935" priority="18" operator="equal">
      <formula>"CUMPLE"</formula>
    </cfRule>
    <cfRule type="containsBlanks" dxfId="4934" priority="19">
      <formula>LEN(TRIM(D49))=0</formula>
    </cfRule>
    <cfRule type="notContainsErrors" dxfId="4933" priority="20">
      <formula>NOT(ISERROR(D49))</formula>
    </cfRule>
  </conditionalFormatting>
  <conditionalFormatting sqref="D55:J55">
    <cfRule type="cellIs" dxfId="4932" priority="28" operator="equal">
      <formula>"CUMPLE"</formula>
    </cfRule>
    <cfRule type="cellIs" dxfId="4931" priority="30" operator="equal">
      <formula>"""CUMPLE"""</formula>
    </cfRule>
    <cfRule type="cellIs" dxfId="4930" priority="29" operator="equal">
      <formula>"NO CUMPLE"</formula>
    </cfRule>
    <cfRule type="cellIs" dxfId="4929" priority="27" operator="equal">
      <formula>"N/A"</formula>
    </cfRule>
  </conditionalFormatting>
  <conditionalFormatting sqref="D56:J66">
    <cfRule type="cellIs" dxfId="4928" priority="11" operator="equal">
      <formula>"NO CUMPLE"</formula>
    </cfRule>
    <cfRule type="notContainsErrors" dxfId="4927" priority="14">
      <formula>NOT(ISERROR(D56))</formula>
    </cfRule>
    <cfRule type="containsBlanks" dxfId="4926" priority="13">
      <formula>LEN(TRIM(D56))=0</formula>
    </cfRule>
    <cfRule type="cellIs" dxfId="4925" priority="12" operator="equal">
      <formula>"CUMPLE"</formula>
    </cfRule>
  </conditionalFormatting>
  <conditionalFormatting sqref="D67:J67">
    <cfRule type="cellIs" dxfId="4924" priority="23" operator="equal">
      <formula>"N/A"</formula>
    </cfRule>
    <cfRule type="cellIs" dxfId="4923" priority="24" operator="equal">
      <formula>"CUMPLE"</formula>
    </cfRule>
    <cfRule type="cellIs" dxfId="4922" priority="26" operator="equal">
      <formula>"""CUMPLE"""</formula>
    </cfRule>
    <cfRule type="cellIs" dxfId="4921" priority="25" operator="equal">
      <formula>"NO CUMPLE"</formula>
    </cfRule>
  </conditionalFormatting>
  <conditionalFormatting sqref="D62:K66">
    <cfRule type="containsBlanks" dxfId="4920" priority="15">
      <formula>LEN(TRIM(D62))=0</formula>
    </cfRule>
    <cfRule type="notContainsErrors" dxfId="4919" priority="16">
      <formula>NOT(ISERROR(D62))</formula>
    </cfRule>
  </conditionalFormatting>
  <conditionalFormatting sqref="E71:E72">
    <cfRule type="notContainsErrors" dxfId="4918" priority="65">
      <formula>NOT(ISERROR(E71))</formula>
    </cfRule>
    <cfRule type="containsBlanks" dxfId="4917" priority="64">
      <formula>LEN(TRIM(E71))=0</formula>
    </cfRule>
  </conditionalFormatting>
  <conditionalFormatting sqref="F22:H22">
    <cfRule type="cellIs" dxfId="4916" priority="92" operator="equal">
      <formula>"NO CUMPLE"</formula>
    </cfRule>
    <cfRule type="cellIs" dxfId="4915" priority="93" operator="equal">
      <formula>"""CUMPLE"""</formula>
    </cfRule>
    <cfRule type="cellIs" dxfId="4914" priority="91" operator="equal">
      <formula>"CUMPLE"</formula>
    </cfRule>
  </conditionalFormatting>
  <conditionalFormatting sqref="G63:J63">
    <cfRule type="containsBlanks" dxfId="4913" priority="7">
      <formula>LEN(TRIM(G63))=0</formula>
    </cfRule>
    <cfRule type="notContainsErrors" dxfId="4912" priority="8">
      <formula>NOT(ISERROR(G63))</formula>
    </cfRule>
  </conditionalFormatting>
  <conditionalFormatting sqref="I11">
    <cfRule type="containsText" dxfId="4911" priority="97" operator="containsText" text="NO CUMPLE">
      <formula>NOT(ISERROR(SEARCH("NO CUMPLE",I11)))</formula>
    </cfRule>
    <cfRule type="containsText" dxfId="4910" priority="96" operator="containsText" text="HABILITADO">
      <formula>NOT(ISERROR(SEARCH("HABILITADO",I11)))</formula>
    </cfRule>
    <cfRule type="containsText" dxfId="4909" priority="95" operator="containsText" text="HABILITADO">
      <formula>NOT(ISERROR(SEARCH("HABILITADO",I11)))</formula>
    </cfRule>
    <cfRule type="containsText" dxfId="4908" priority="94" operator="containsText" text="INHABILITADO">
      <formula>NOT(ISERROR(SEARCH("INHABILITADO",I11)))</formula>
    </cfRule>
  </conditionalFormatting>
  <conditionalFormatting sqref="K18:K20">
    <cfRule type="cellIs" dxfId="4907" priority="62" operator="equal">
      <formula>"NO CUMPLE"</formula>
    </cfRule>
    <cfRule type="cellIs" dxfId="4906" priority="63" operator="equal">
      <formula>"""CUMPLE"""</formula>
    </cfRule>
    <cfRule type="cellIs" dxfId="4905" priority="61" operator="equal">
      <formula>"CUMPLE"</formula>
    </cfRule>
  </conditionalFormatting>
  <conditionalFormatting sqref="K26:K61 D62:J62">
    <cfRule type="containsBlanks" dxfId="4904" priority="9">
      <formula>LEN(TRIM(D26))=0</formula>
    </cfRule>
    <cfRule type="notContainsErrors" dxfId="4903" priority="10">
      <formula>NOT(ISERROR(D26))</formula>
    </cfRule>
  </conditionalFormatting>
  <conditionalFormatting sqref="K67:L67">
    <cfRule type="containsBlanks" dxfId="4902" priority="21">
      <formula>LEN(TRIM(K67))=0</formula>
    </cfRule>
    <cfRule type="notContainsErrors" dxfId="4901" priority="22">
      <formula>NOT(ISERROR(K67))</formula>
    </cfRule>
  </conditionalFormatting>
  <conditionalFormatting sqref="L14">
    <cfRule type="cellIs" dxfId="4900" priority="90" operator="equal">
      <formula>"""CUMPLE"""</formula>
    </cfRule>
    <cfRule type="cellIs" dxfId="4899" priority="89" operator="equal">
      <formula>"NO CUMPLE"</formula>
    </cfRule>
    <cfRule type="cellIs" dxfId="4898" priority="88" operator="equal">
      <formula>"CUMPLE"</formula>
    </cfRule>
  </conditionalFormatting>
  <dataValidations count="2">
    <dataValidation type="list" allowBlank="1" showInputMessage="1" showErrorMessage="1" sqref="L62:L67" xr:uid="{00000000-0002-0000-0B00-000000000000}">
      <formula1>"0,1,2,3,4,5,6"</formula1>
    </dataValidation>
    <dataValidation type="list" allowBlank="1" showInputMessage="1" showErrorMessage="1" sqref="D26:J28" xr:uid="{00000000-0002-0000-0B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0B00-000002000000}">
          <x14:formula1>
            <xm:f>'DATOS INICIALES'!$A$57:$A$58</xm:f>
          </x14:formula1>
          <xm:sqref>D49:J49</xm:sqref>
        </x14:dataValidation>
        <x14:dataValidation type="list" allowBlank="1" showInputMessage="1" showErrorMessage="1" xr:uid="{00000000-0002-0000-0B00-000003000000}">
          <x14:formula1>
            <xm:f>'DATOS INICIALES'!$A$61:$A$67</xm:f>
          </x14:formula1>
          <xm:sqref>J25</xm:sqref>
        </x14:dataValidation>
        <x14:dataValidation type="list" allowBlank="1" showInputMessage="1" showErrorMessage="1" xr:uid="{00000000-0002-0000-0B00-000004000000}">
          <x14:formula1>
            <xm:f>'DATOS INICIALES'!$C$52:$C$53</xm:f>
          </x14:formula1>
          <xm:sqref>D53:J54</xm:sqref>
        </x14:dataValidation>
        <x14:dataValidation type="list" allowBlank="1" showInputMessage="1" showErrorMessage="1" xr:uid="{00000000-0002-0000-0B00-000005000000}">
          <x14:formula1>
            <xm:f>'DATOS INICIALES'!$A$57:$A$59</xm:f>
          </x14:formula1>
          <xm:sqref>D71 D56:J66</xm:sqref>
        </x14:dataValidation>
        <x14:dataValidation type="list" allowBlank="1" showInputMessage="1" showErrorMessage="1" xr:uid="{00000000-0002-0000-0B00-000006000000}">
          <x14:formula1>
            <xm:f>'DATOS INICIALES'!$A$61:$A$66</xm:f>
          </x14:formula1>
          <xm:sqref>D25:I25</xm:sqref>
        </x14:dataValidation>
        <x14:dataValidation type="list" allowBlank="1" showInputMessage="1" showErrorMessage="1" xr:uid="{00000000-0002-0000-0B00-000007000000}">
          <x14:formula1>
            <xm:f>'DATOS INICIALES'!$A$13:$A$50</xm:f>
          </x14:formula1>
          <xm:sqref>H33:I33</xm:sqref>
        </x14:dataValidation>
        <x14:dataValidation type="list" allowBlank="1" showInputMessage="1" showErrorMessage="1" xr:uid="{00000000-0002-0000-0B00-000008000000}">
          <x14:formula1>
            <xm:f>'DATOS INICIALES'!$D$27:$D$29</xm:f>
          </x14:formula1>
          <xm:sqref>M50:M55</xm:sqref>
        </x14:dataValidation>
        <x14:dataValidation type="list" allowBlank="1" showInputMessage="1" showErrorMessage="1" xr:uid="{00000000-0002-0000-0B00-000009000000}">
          <x14:formula1>
            <xm:f>'DATOS INICIALES'!$C$52:$C$54</xm:f>
          </x14:formula1>
          <xm:sqref>D50:J52</xm:sqref>
        </x14:dataValidation>
        <x14:dataValidation type="list" allowBlank="1" showInputMessage="1" showErrorMessage="1" xr:uid="{00000000-0002-0000-0B00-00000A000000}">
          <x14:formula1>
            <xm:f>'/Users/ldrr/Desktop/SDDE/REVISION DE CARPETAS/C:\Users\ASUS\OneDrive\Escritorio\alcaldia local de usaquen\2025\16. EVALUACION DE PROCESOS\INTERVENTORIA DE VIAS\consolidado equipo\[MONICA_ Evaluación_Tecnica_fdlusa-CMA-003-2025.xlsx]DATOS INICIALES'!#REF!</xm:f>
          </x14:formula1>
          <xm:sqref>G33</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92D050"/>
  </sheetPr>
  <dimension ref="A1:N72"/>
  <sheetViews>
    <sheetView view="pageBreakPreview" topLeftCell="G11" zoomScale="50" zoomScaleNormal="25" zoomScaleSheetLayoutView="25" workbookViewId="0">
      <selection activeCell="G28" sqref="G28"/>
    </sheetView>
  </sheetViews>
  <sheetFormatPr baseColWidth="10" defaultColWidth="11.5" defaultRowHeight="15" x14ac:dyDescent="0.2"/>
  <cols>
    <col min="1" max="1" width="5.5" customWidth="1"/>
    <col min="2" max="2" width="30.83203125" customWidth="1"/>
    <col min="3" max="3" width="63.1640625" customWidth="1"/>
    <col min="4" max="4" width="48.5" customWidth="1"/>
    <col min="5" max="5" width="35" customWidth="1"/>
    <col min="6" max="6" width="38.83203125" customWidth="1"/>
    <col min="7" max="7" width="36.6640625" customWidth="1"/>
    <col min="8" max="8" width="60.6640625" customWidth="1"/>
    <col min="9" max="9" width="26.1640625" customWidth="1"/>
    <col min="10" max="10" width="27.83203125" customWidth="1"/>
    <col min="11" max="11" width="27.5" customWidth="1"/>
    <col min="12" max="12" width="62.832031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7</v>
      </c>
      <c r="B11" s="2" t="s">
        <v>58</v>
      </c>
      <c r="C11" s="413" t="str">
        <f>VLOOKUP(A11,PROPONENTES!A10:B94,2,FALSE)</f>
        <v>CONSORCIO PB</v>
      </c>
      <c r="D11" s="413"/>
      <c r="E11" s="413"/>
      <c r="F11" s="413"/>
      <c r="G11" s="413"/>
      <c r="H11" s="131" t="s">
        <v>59</v>
      </c>
      <c r="I11" s="417" t="str">
        <f>IF(AND(F22="CUMPLE",G22="CUMPLE",H22="CUMPLE",L14="CUMPLE",D72="CUMPLE",K18="CUMPLE"),"CUMPLE","NO CUMPLE")</f>
        <v>NO 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1</v>
      </c>
      <c r="J14" s="147">
        <f>+L8</f>
        <v>986.3076290832455</v>
      </c>
      <c r="K14" s="147">
        <f>+E22</f>
        <v>451.8</v>
      </c>
      <c r="L14" s="18" t="str">
        <f>IF(K14&gt;=J14,"CUMPLE","NO CUMPLE")</f>
        <v>NO CUMPLE</v>
      </c>
    </row>
    <row r="15" spans="1:12" ht="33.75" customHeight="1" x14ac:dyDescent="0.2">
      <c r="B15" s="382"/>
      <c r="C15" s="92" t="str">
        <f>IF(VLOOKUP(C11,PROPONENTES!B10:N94,2,FALSE)=0,"",VLOOKUP(C11,PROPONENTES!B10:N94,2,FALSE))</f>
        <v xml:space="preserve">PROYECTO SANABRIA 
S.A.S. </v>
      </c>
      <c r="D15" s="93">
        <f>IF(VLOOKUP(C11,PROPONENTES!B10:N94,3,FALSE)=0,"",VLOOKUP(C11,PROPONENTES!B10:N94,3,FALSE))</f>
        <v>0.5</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451.8</v>
      </c>
      <c r="F15" s="95" t="str">
        <f>IF(C15="","",IF(E15&gt;=$J$14*0.5,"SI","NO"))</f>
        <v>NO</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xml:space="preserve">BALANCE &amp; INGENERIA 
S.A.S. </v>
      </c>
      <c r="D16" s="93">
        <f>IF(VLOOKUP(C11,PROPONENTES!B10:N94,5,FALSE)=0,"",VLOOKUP(C11,PROPONENTES!B10:N94,5,FALSE))</f>
        <v>0.5</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0</v>
      </c>
      <c r="F16" s="95" t="str">
        <f>IF(C16="","",IF(E16&gt;=$J$14*0.5,"SI","NO"))</f>
        <v>NO</v>
      </c>
      <c r="G16" s="96" t="str">
        <f>IF(C16="","",IF(E16&gt;=$J$14*0.05,"SI",IF(E16=0,"NO APORTA EXPERIENCIA",)))</f>
        <v>NO APORTA EXPERIENCIA</v>
      </c>
      <c r="H16" s="96" t="str">
        <f>IF(C16="","",IF(AND(G16="NO APORTA EXPERIENCIA",D16&lt;=10%),"SI",IF(G16="SI","NO APLICA","NO - PORCENTAJE MAYOR AL 10%")))</f>
        <v>NO - PORCENTAJE MAYOR AL 10%</v>
      </c>
      <c r="I16" s="162"/>
      <c r="J16" s="162"/>
      <c r="K16" s="162"/>
      <c r="L16" s="161">
        <f>AVERAGEIF(D67:J67,"CUMPLE",D48:J48)</f>
        <v>451.8</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0</v>
      </c>
      <c r="J18" s="128">
        <v>1</v>
      </c>
      <c r="K18" s="385" t="str">
        <f>IF(AND(I18&gt;=J18,I19&gt;=J19,I20&gt;=J20,I21&gt;=J21),"CUMPLE","NO CUMPLE")</f>
        <v>NO CUMPLE</v>
      </c>
      <c r="L18" s="386"/>
    </row>
    <row r="19" spans="2:14" ht="50.25" customHeight="1" x14ac:dyDescent="0.2">
      <c r="B19" s="382"/>
      <c r="C19" s="92"/>
      <c r="D19" s="93"/>
      <c r="E19" s="94"/>
      <c r="F19" s="95"/>
      <c r="G19" s="96"/>
      <c r="H19" s="96"/>
      <c r="I19" s="128">
        <f>COUNTIFS(D58:J58,"CUMPLE",D67:J67,"CUMPLE")</f>
        <v>1</v>
      </c>
      <c r="J19" s="128">
        <v>1</v>
      </c>
      <c r="K19" s="387"/>
      <c r="L19" s="388"/>
    </row>
    <row r="20" spans="2:14" ht="50.25" customHeight="1" x14ac:dyDescent="0.2">
      <c r="B20" s="382"/>
      <c r="C20" s="92"/>
      <c r="D20" s="93"/>
      <c r="E20" s="94"/>
      <c r="F20" s="95"/>
      <c r="G20" s="96"/>
      <c r="H20" s="96"/>
      <c r="I20" s="128">
        <f>COUNTIFS(D60:J60,"CUMPLE",D67:J67,"CUMPLE")</f>
        <v>1</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1</v>
      </c>
      <c r="J21" s="128">
        <v>1</v>
      </c>
      <c r="K21" s="389"/>
      <c r="L21" s="390"/>
    </row>
    <row r="22" spans="2:14" ht="84.75" customHeight="1" x14ac:dyDescent="0.2">
      <c r="B22" s="29" t="s">
        <v>75</v>
      </c>
      <c r="C22" s="24">
        <f>+VLOOKUP(C11,PROPONENTES!B10:N94,12,FALSE)</f>
        <v>2</v>
      </c>
      <c r="D22" s="93">
        <f>+VLOOKUP(C11,PROPONENTES!B10:N94,13,FALSE)</f>
        <v>1</v>
      </c>
      <c r="E22" s="32">
        <f>SUM(E15:E21)</f>
        <v>451.8</v>
      </c>
      <c r="F22" s="18" t="str">
        <f>IF(F15="SI","CUMPLE",IF(F16="SI","CUMPLE",IF(F17="SI","CUMPLE",IF(F18="SI","CUMPLE",IF(F21="SI","CUMPLE","NO CUMPLE")))))</f>
        <v>NO 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NO 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340</v>
      </c>
      <c r="E26" s="84" t="s">
        <v>341</v>
      </c>
      <c r="F26" s="84"/>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377</v>
      </c>
      <c r="E29" s="85" t="s">
        <v>378</v>
      </c>
      <c r="F29" s="85"/>
      <c r="G29" s="85"/>
      <c r="H29" s="85"/>
      <c r="I29" s="85"/>
      <c r="J29" s="85"/>
      <c r="K29" s="145"/>
      <c r="L29" s="140"/>
    </row>
    <row r="30" spans="2:14" ht="283.75" customHeight="1" x14ac:dyDescent="0.2">
      <c r="B30" s="374"/>
      <c r="C30" s="25" t="s">
        <v>84</v>
      </c>
      <c r="D30" s="85" t="s">
        <v>379</v>
      </c>
      <c r="E30" s="85" t="s">
        <v>380</v>
      </c>
      <c r="F30" s="85"/>
      <c r="G30" s="85"/>
      <c r="H30" s="85"/>
      <c r="I30" s="85"/>
      <c r="J30" s="85"/>
      <c r="K30" s="483" t="s">
        <v>387</v>
      </c>
      <c r="L30" s="484"/>
    </row>
    <row r="31" spans="2:14" ht="52.5" customHeight="1" x14ac:dyDescent="0.2">
      <c r="B31" s="374"/>
      <c r="C31" s="25" t="s">
        <v>85</v>
      </c>
      <c r="D31" s="89" t="s">
        <v>381</v>
      </c>
      <c r="E31" s="89" t="s">
        <v>382</v>
      </c>
      <c r="F31" s="89"/>
      <c r="G31" s="89"/>
      <c r="H31" s="89"/>
      <c r="I31" s="89"/>
      <c r="J31" s="89"/>
      <c r="K31" s="145"/>
      <c r="L31" s="140"/>
    </row>
    <row r="32" spans="2:14" ht="54.75" customHeight="1" x14ac:dyDescent="0.2">
      <c r="B32" s="374"/>
      <c r="C32" s="25" t="s">
        <v>86</v>
      </c>
      <c r="D32" s="89" t="s">
        <v>383</v>
      </c>
      <c r="E32" s="89" t="s">
        <v>384</v>
      </c>
      <c r="F32" s="89"/>
      <c r="G32" s="89"/>
      <c r="H32" s="89"/>
      <c r="I32" s="89"/>
      <c r="J32" s="89"/>
      <c r="K32" s="145"/>
      <c r="L32" s="140"/>
    </row>
    <row r="33" spans="2:12" ht="41.25" customHeight="1" x14ac:dyDescent="0.2">
      <c r="B33" s="374"/>
      <c r="C33" s="25" t="s">
        <v>87</v>
      </c>
      <c r="D33" s="86">
        <v>2003</v>
      </c>
      <c r="E33" s="86">
        <v>2004</v>
      </c>
      <c r="F33" s="86"/>
      <c r="G33" s="86"/>
      <c r="H33" s="86"/>
      <c r="I33" s="86"/>
      <c r="J33" s="86"/>
      <c r="K33" s="145"/>
      <c r="L33" s="140"/>
    </row>
    <row r="34" spans="2:12" ht="63" customHeight="1" x14ac:dyDescent="0.2">
      <c r="B34" s="374"/>
      <c r="C34" s="25" t="s">
        <v>88</v>
      </c>
      <c r="D34" s="85" t="s">
        <v>385</v>
      </c>
      <c r="E34" s="85" t="s">
        <v>386</v>
      </c>
      <c r="F34" s="85"/>
      <c r="G34" s="85"/>
      <c r="H34" s="85"/>
      <c r="I34" s="85"/>
      <c r="J34" s="85"/>
      <c r="K34" s="145"/>
      <c r="L34" s="140"/>
    </row>
    <row r="35" spans="2:12" ht="46.5" customHeight="1" x14ac:dyDescent="0.2">
      <c r="B35" s="374"/>
      <c r="C35" s="25" t="s">
        <v>89</v>
      </c>
      <c r="D35" s="85" t="s">
        <v>340</v>
      </c>
      <c r="E35" s="85" t="s">
        <v>341</v>
      </c>
      <c r="F35" s="85"/>
      <c r="G35" s="85"/>
      <c r="H35" s="85"/>
      <c r="I35" s="85"/>
      <c r="J35" s="85"/>
      <c r="K35" s="145"/>
      <c r="L35" s="140"/>
    </row>
    <row r="36" spans="2:12" ht="27.75" customHeight="1" x14ac:dyDescent="0.2">
      <c r="B36" s="374"/>
      <c r="C36" s="26" t="s">
        <v>90</v>
      </c>
      <c r="D36" s="90">
        <v>101</v>
      </c>
      <c r="E36" s="90">
        <v>196</v>
      </c>
      <c r="F36" s="90"/>
      <c r="G36" s="91"/>
      <c r="H36" s="91"/>
      <c r="I36" s="91"/>
      <c r="J36" s="91"/>
      <c r="K36" s="145"/>
      <c r="L36" s="140"/>
    </row>
    <row r="37" spans="2:12" ht="102.75" customHeight="1" x14ac:dyDescent="0.2">
      <c r="B37" s="374"/>
      <c r="C37" s="25" t="s">
        <v>91</v>
      </c>
      <c r="D37" s="87">
        <v>451.8</v>
      </c>
      <c r="E37" s="158">
        <v>4065.13</v>
      </c>
      <c r="F37" s="87"/>
      <c r="G37" s="87"/>
      <c r="H37" s="87"/>
      <c r="I37" s="87"/>
      <c r="J37" s="87"/>
      <c r="K37" s="242"/>
      <c r="L37" s="243"/>
    </row>
    <row r="38" spans="2:12" ht="48" customHeight="1" x14ac:dyDescent="0.2">
      <c r="B38" s="374"/>
      <c r="C38" s="25" t="s">
        <v>92</v>
      </c>
      <c r="D38" s="97">
        <f>IFERROR(D37*VLOOKUP(D33,'DATOS INICIALES'!$A$12:$B$50,2,0),"0")</f>
        <v>149997600</v>
      </c>
      <c r="E38" s="97">
        <f>IFERROR(E37*VLOOKUP(E33,'DATOS INICIALES'!$A$12:$B$50,2,0),"0")</f>
        <v>1455316540</v>
      </c>
      <c r="F38" s="97" t="str">
        <f>IFERROR(F37*VLOOKUP(F33,'DATOS INICIALES'!$A$12:$B$50,2,0),"0")</f>
        <v>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1</v>
      </c>
      <c r="E39" s="88">
        <v>1</v>
      </c>
      <c r="F39" s="88"/>
      <c r="G39" s="88"/>
      <c r="H39" s="88"/>
      <c r="I39" s="88"/>
      <c r="J39" s="88"/>
      <c r="K39" s="145"/>
      <c r="L39" s="140"/>
    </row>
    <row r="40" spans="2:12" ht="48.75" customHeight="1" x14ac:dyDescent="0.2">
      <c r="B40" s="374"/>
      <c r="C40" s="25" t="s">
        <v>94</v>
      </c>
      <c r="D40" s="97">
        <f t="shared" ref="D40:J40" si="0">IF(D26="","0",D39*D38)</f>
        <v>149997600</v>
      </c>
      <c r="E40" s="97">
        <f t="shared" si="0"/>
        <v>1455316540</v>
      </c>
      <c r="F40" s="97" t="str">
        <f t="shared" si="0"/>
        <v>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451.8</v>
      </c>
      <c r="E41" s="98">
        <f t="shared" si="1"/>
        <v>4065.13</v>
      </c>
      <c r="F41" s="98">
        <f t="shared" si="1"/>
        <v>0</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451.8</v>
      </c>
      <c r="E48" s="98">
        <f t="shared" ref="E48:G48" si="6">+E41+E44+E47</f>
        <v>4065.13</v>
      </c>
      <c r="F48" s="98">
        <f t="shared" si="6"/>
        <v>0</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N/A</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26</v>
      </c>
      <c r="F56" s="84" t="s">
        <v>24</v>
      </c>
      <c r="G56" s="84" t="s">
        <v>24</v>
      </c>
      <c r="H56" s="84" t="s">
        <v>24</v>
      </c>
      <c r="I56" s="84" t="s">
        <v>24</v>
      </c>
      <c r="J56" s="84" t="s">
        <v>24</v>
      </c>
      <c r="K56" s="240"/>
      <c r="L56" s="241"/>
    </row>
    <row r="57" spans="2:12" ht="50.25" customHeight="1" x14ac:dyDescent="0.2">
      <c r="B57" s="431" t="s">
        <v>177</v>
      </c>
      <c r="C57" s="432"/>
      <c r="D57" s="84" t="s">
        <v>26</v>
      </c>
      <c r="E57" s="84" t="s">
        <v>26</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NO CUMPLE</v>
      </c>
      <c r="F67" s="18" t="str">
        <f>IF(F26="","N/A",IF(AND(F49="CUMPLE",F55="CUMPLE",OR(F56="CUMPLE",F56="N/A"),OR(F59="CUMPLE",F59="N/A"),F62="CUMPLE",F63="CUMPLE",OR(F64="CUMPLE",F64="N/A"),F65="CUMPLE",OR(F66="CUMPLE",F66="N/A")),"CUMPLE","NO CUMPLE"))</f>
        <v>N/A</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2">
    <mergeCell ref="I22:L22"/>
    <mergeCell ref="B66:C66"/>
    <mergeCell ref="B67:C67"/>
    <mergeCell ref="B69:E69"/>
    <mergeCell ref="B70:C70"/>
    <mergeCell ref="B63:C63"/>
    <mergeCell ref="B64:C64"/>
    <mergeCell ref="B65:C65"/>
    <mergeCell ref="B60:C60"/>
    <mergeCell ref="B61:C61"/>
    <mergeCell ref="B62:C62"/>
    <mergeCell ref="B57:C57"/>
    <mergeCell ref="B58:C58"/>
    <mergeCell ref="B59:C59"/>
    <mergeCell ref="B13:H13"/>
    <mergeCell ref="B14:B21"/>
    <mergeCell ref="B26:C26"/>
    <mergeCell ref="B27:C27"/>
    <mergeCell ref="B72:C72"/>
    <mergeCell ref="B71:C71"/>
    <mergeCell ref="B24:L24"/>
    <mergeCell ref="K25:L25"/>
    <mergeCell ref="B56:C56"/>
    <mergeCell ref="B50:B55"/>
    <mergeCell ref="B29:B47"/>
    <mergeCell ref="B28:C28"/>
    <mergeCell ref="K30:L30"/>
    <mergeCell ref="K17:L17"/>
    <mergeCell ref="K18:L21"/>
    <mergeCell ref="B23:L23"/>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4897" priority="69" operator="equal">
      <formula>"CUMPLE"</formula>
    </cfRule>
    <cfRule type="containsBlanks" dxfId="4896" priority="66">
      <formula>LEN(TRIM(D71))=0</formula>
    </cfRule>
    <cfRule type="notContainsErrors" dxfId="4895" priority="67">
      <formula>NOT(ISERROR(D71))</formula>
    </cfRule>
    <cfRule type="cellIs" dxfId="4894" priority="68" operator="equal">
      <formula>"NO CUMPLE"</formula>
    </cfRule>
  </conditionalFormatting>
  <conditionalFormatting sqref="D72">
    <cfRule type="cellIs" dxfId="4893" priority="71" operator="equal">
      <formula>"CUMPLE"</formula>
    </cfRule>
    <cfRule type="cellIs" dxfId="4892" priority="70" operator="equal">
      <formula>"N/A"</formula>
    </cfRule>
    <cfRule type="cellIs" dxfId="4891" priority="73" operator="equal">
      <formula>"""CUMPLE"""</formula>
    </cfRule>
    <cfRule type="cellIs" dxfId="4890" priority="72" operator="equal">
      <formula>"NO CUMPLE"</formula>
    </cfRule>
  </conditionalFormatting>
  <conditionalFormatting sqref="D26:J37">
    <cfRule type="notContainsErrors" dxfId="4889" priority="4">
      <formula>NOT(ISERROR(D26))</formula>
    </cfRule>
    <cfRule type="containsBlanks" dxfId="4888" priority="3">
      <formula>LEN(TRIM(D26))=0</formula>
    </cfRule>
  </conditionalFormatting>
  <conditionalFormatting sqref="D36:J36">
    <cfRule type="notContainsErrors" dxfId="4887" priority="6">
      <formula>NOT(ISERROR(D36))</formula>
    </cfRule>
    <cfRule type="containsBlanks" dxfId="4886" priority="5">
      <formula>LEN(TRIM(D36))=0</formula>
    </cfRule>
  </conditionalFormatting>
  <conditionalFormatting sqref="D39:J39">
    <cfRule type="containsBlanks" dxfId="4885" priority="1">
      <formula>LEN(TRIM(D39))=0</formula>
    </cfRule>
    <cfRule type="notContainsErrors" dxfId="4884" priority="2">
      <formula>NOT(ISERROR(D39))</formula>
    </cfRule>
  </conditionalFormatting>
  <conditionalFormatting sqref="D42:J42 D45:J45">
    <cfRule type="notContainsErrors" dxfId="4883" priority="38">
      <formula>NOT(ISERROR(D42))</formula>
    </cfRule>
    <cfRule type="containsBlanks" dxfId="4882" priority="37">
      <formula>LEN(TRIM(D42))=0</formula>
    </cfRule>
  </conditionalFormatting>
  <conditionalFormatting sqref="D49:J54">
    <cfRule type="cellIs" dxfId="4881" priority="17" operator="equal">
      <formula>"NO CUMPLE"</formula>
    </cfRule>
    <cfRule type="cellIs" dxfId="4880" priority="18" operator="equal">
      <formula>"CUMPLE"</formula>
    </cfRule>
    <cfRule type="containsBlanks" dxfId="4879" priority="19">
      <formula>LEN(TRIM(D49))=0</formula>
    </cfRule>
    <cfRule type="notContainsErrors" dxfId="4878" priority="20">
      <formula>NOT(ISERROR(D49))</formula>
    </cfRule>
  </conditionalFormatting>
  <conditionalFormatting sqref="D55:J55">
    <cfRule type="cellIs" dxfId="4877" priority="28" operator="equal">
      <formula>"CUMPLE"</formula>
    </cfRule>
    <cfRule type="cellIs" dxfId="4876" priority="30" operator="equal">
      <formula>"""CUMPLE"""</formula>
    </cfRule>
    <cfRule type="cellIs" dxfId="4875" priority="29" operator="equal">
      <formula>"NO CUMPLE"</formula>
    </cfRule>
    <cfRule type="cellIs" dxfId="4874" priority="27" operator="equal">
      <formula>"N/A"</formula>
    </cfRule>
  </conditionalFormatting>
  <conditionalFormatting sqref="D56:J66">
    <cfRule type="cellIs" dxfId="4873" priority="11" operator="equal">
      <formula>"NO CUMPLE"</formula>
    </cfRule>
    <cfRule type="notContainsErrors" dxfId="4872" priority="14">
      <formula>NOT(ISERROR(D56))</formula>
    </cfRule>
    <cfRule type="containsBlanks" dxfId="4871" priority="13">
      <formula>LEN(TRIM(D56))=0</formula>
    </cfRule>
    <cfRule type="cellIs" dxfId="4870" priority="12" operator="equal">
      <formula>"CUMPLE"</formula>
    </cfRule>
  </conditionalFormatting>
  <conditionalFormatting sqref="D67:J67">
    <cfRule type="cellIs" dxfId="4869" priority="23" operator="equal">
      <formula>"N/A"</formula>
    </cfRule>
    <cfRule type="cellIs" dxfId="4868" priority="24" operator="equal">
      <formula>"CUMPLE"</formula>
    </cfRule>
    <cfRule type="cellIs" dxfId="4867" priority="26" operator="equal">
      <formula>"""CUMPLE"""</formula>
    </cfRule>
    <cfRule type="cellIs" dxfId="4866" priority="25" operator="equal">
      <formula>"NO CUMPLE"</formula>
    </cfRule>
  </conditionalFormatting>
  <conditionalFormatting sqref="D62:K66">
    <cfRule type="containsBlanks" dxfId="4865" priority="15">
      <formula>LEN(TRIM(D62))=0</formula>
    </cfRule>
    <cfRule type="notContainsErrors" dxfId="4864" priority="16">
      <formula>NOT(ISERROR(D62))</formula>
    </cfRule>
  </conditionalFormatting>
  <conditionalFormatting sqref="E71:E72">
    <cfRule type="notContainsErrors" dxfId="4863" priority="65">
      <formula>NOT(ISERROR(E71))</formula>
    </cfRule>
    <cfRule type="containsBlanks" dxfId="4862" priority="64">
      <formula>LEN(TRIM(E71))=0</formula>
    </cfRule>
  </conditionalFormatting>
  <conditionalFormatting sqref="F22:H22">
    <cfRule type="cellIs" dxfId="4861" priority="92" operator="equal">
      <formula>"NO CUMPLE"</formula>
    </cfRule>
    <cfRule type="cellIs" dxfId="4860" priority="93" operator="equal">
      <formula>"""CUMPLE"""</formula>
    </cfRule>
    <cfRule type="cellIs" dxfId="4859" priority="91" operator="equal">
      <formula>"CUMPLE"</formula>
    </cfRule>
  </conditionalFormatting>
  <conditionalFormatting sqref="G63:J63">
    <cfRule type="containsBlanks" dxfId="4858" priority="7">
      <formula>LEN(TRIM(G63))=0</formula>
    </cfRule>
    <cfRule type="notContainsErrors" dxfId="4857" priority="8">
      <formula>NOT(ISERROR(G63))</formula>
    </cfRule>
  </conditionalFormatting>
  <conditionalFormatting sqref="I11">
    <cfRule type="containsText" dxfId="4856" priority="97" operator="containsText" text="NO CUMPLE">
      <formula>NOT(ISERROR(SEARCH("NO CUMPLE",I11)))</formula>
    </cfRule>
    <cfRule type="containsText" dxfId="4855" priority="96" operator="containsText" text="HABILITADO">
      <formula>NOT(ISERROR(SEARCH("HABILITADO",I11)))</formula>
    </cfRule>
    <cfRule type="containsText" dxfId="4854" priority="95" operator="containsText" text="HABILITADO">
      <formula>NOT(ISERROR(SEARCH("HABILITADO",I11)))</formula>
    </cfRule>
    <cfRule type="containsText" dxfId="4853" priority="94" operator="containsText" text="INHABILITADO">
      <formula>NOT(ISERROR(SEARCH("INHABILITADO",I11)))</formula>
    </cfRule>
  </conditionalFormatting>
  <conditionalFormatting sqref="K18:K20">
    <cfRule type="cellIs" dxfId="4852" priority="62" operator="equal">
      <formula>"NO CUMPLE"</formula>
    </cfRule>
    <cfRule type="cellIs" dxfId="4851" priority="63" operator="equal">
      <formula>"""CUMPLE"""</formula>
    </cfRule>
    <cfRule type="cellIs" dxfId="4850" priority="61" operator="equal">
      <formula>"CUMPLE"</formula>
    </cfRule>
  </conditionalFormatting>
  <conditionalFormatting sqref="K26:K61 D62:J62">
    <cfRule type="containsBlanks" dxfId="4849" priority="9">
      <formula>LEN(TRIM(D26))=0</formula>
    </cfRule>
    <cfRule type="notContainsErrors" dxfId="4848" priority="10">
      <formula>NOT(ISERROR(D26))</formula>
    </cfRule>
  </conditionalFormatting>
  <conditionalFormatting sqref="K67:L67">
    <cfRule type="containsBlanks" dxfId="4847" priority="21">
      <formula>LEN(TRIM(K67))=0</formula>
    </cfRule>
    <cfRule type="notContainsErrors" dxfId="4846" priority="22">
      <formula>NOT(ISERROR(K67))</formula>
    </cfRule>
  </conditionalFormatting>
  <conditionalFormatting sqref="L14">
    <cfRule type="cellIs" dxfId="4845" priority="90" operator="equal">
      <formula>"""CUMPLE"""</formula>
    </cfRule>
    <cfRule type="cellIs" dxfId="4844" priority="89" operator="equal">
      <formula>"NO CUMPLE"</formula>
    </cfRule>
    <cfRule type="cellIs" dxfId="4843" priority="88" operator="equal">
      <formula>"CUMPLE"</formula>
    </cfRule>
  </conditionalFormatting>
  <dataValidations count="2">
    <dataValidation type="list" allowBlank="1" showInputMessage="1" showErrorMessage="1" sqref="L62:L67" xr:uid="{00000000-0002-0000-0C00-000000000000}">
      <formula1>"0,1,2,3,4,5,6"</formula1>
    </dataValidation>
    <dataValidation type="list" allowBlank="1" showInputMessage="1" showErrorMessage="1" sqref="D26:J28" xr:uid="{00000000-0002-0000-0C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0C00-000002000000}">
          <x14:formula1>
            <xm:f>'DATOS INICIALES'!$A$57:$A$58</xm:f>
          </x14:formula1>
          <xm:sqref>D49:J49</xm:sqref>
        </x14:dataValidation>
        <x14:dataValidation type="list" allowBlank="1" showInputMessage="1" showErrorMessage="1" xr:uid="{00000000-0002-0000-0C00-000003000000}">
          <x14:formula1>
            <xm:f>'DATOS INICIALES'!$A$61:$A$67</xm:f>
          </x14:formula1>
          <xm:sqref>J25</xm:sqref>
        </x14:dataValidation>
        <x14:dataValidation type="list" allowBlank="1" showInputMessage="1" showErrorMessage="1" xr:uid="{00000000-0002-0000-0C00-000004000000}">
          <x14:formula1>
            <xm:f>'DATOS INICIALES'!$C$52:$C$53</xm:f>
          </x14:formula1>
          <xm:sqref>D53:J54</xm:sqref>
        </x14:dataValidation>
        <x14:dataValidation type="list" allowBlank="1" showInputMessage="1" showErrorMessage="1" xr:uid="{00000000-0002-0000-0C00-000005000000}">
          <x14:formula1>
            <xm:f>'DATOS INICIALES'!$A$57:$A$59</xm:f>
          </x14:formula1>
          <xm:sqref>D71 D56:J66</xm:sqref>
        </x14:dataValidation>
        <x14:dataValidation type="list" allowBlank="1" showInputMessage="1" showErrorMessage="1" xr:uid="{00000000-0002-0000-0C00-000006000000}">
          <x14:formula1>
            <xm:f>'DATOS INICIALES'!$A$61:$A$66</xm:f>
          </x14:formula1>
          <xm:sqref>D25:I25</xm:sqref>
        </x14:dataValidation>
        <x14:dataValidation type="list" allowBlank="1" showInputMessage="1" showErrorMessage="1" xr:uid="{00000000-0002-0000-0C00-000007000000}">
          <x14:formula1>
            <xm:f>'DATOS INICIALES'!$A$13:$A$50</xm:f>
          </x14:formula1>
          <xm:sqref>G33:I33</xm:sqref>
        </x14:dataValidation>
        <x14:dataValidation type="list" allowBlank="1" showInputMessage="1" showErrorMessage="1" xr:uid="{00000000-0002-0000-0C00-000008000000}">
          <x14:formula1>
            <xm:f>'DATOS INICIALES'!$D$27:$D$29</xm:f>
          </x14:formula1>
          <xm:sqref>M50:M55</xm:sqref>
        </x14:dataValidation>
        <x14:dataValidation type="list" allowBlank="1" showInputMessage="1" showErrorMessage="1" xr:uid="{00000000-0002-0000-0C00-000009000000}">
          <x14:formula1>
            <xm:f>'DATOS INICIALES'!$C$52:$C$54</xm:f>
          </x14:formula1>
          <xm:sqref>D50:J52</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92D050"/>
  </sheetPr>
  <dimension ref="A1:N72"/>
  <sheetViews>
    <sheetView view="pageBreakPreview" topLeftCell="E13" zoomScale="57" zoomScaleNormal="25" zoomScaleSheetLayoutView="25" workbookViewId="0">
      <selection activeCell="I55" sqref="I55"/>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6" width="40" customWidth="1"/>
    <col min="7"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8</v>
      </c>
      <c r="B11" s="2" t="s">
        <v>58</v>
      </c>
      <c r="C11" s="413" t="str">
        <f>VLOOKUP(A11,PROPONENTES!A10:B94,2,FALSE)</f>
        <v>Inveler Consultoría S.A.S.</v>
      </c>
      <c r="D11" s="413"/>
      <c r="E11" s="413"/>
      <c r="F11" s="413"/>
      <c r="G11" s="413"/>
      <c r="H11" s="131" t="s">
        <v>59</v>
      </c>
      <c r="I11" s="417" t="str">
        <f>IF(AND(F22="CUMPLE",G22="CUMPLE",H22="CUMPLE",L14="CUMPLE",D72="CUMPLE",K18="CUMPLE"),"CUMPLE","NO CUMPLE")</f>
        <v>NO 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2</v>
      </c>
      <c r="J14" s="147">
        <f>+L8</f>
        <v>986.3076290832455</v>
      </c>
      <c r="K14" s="147">
        <f>+E22</f>
        <v>3906.3190000000004</v>
      </c>
      <c r="L14" s="18" t="str">
        <f>IF(K14&gt;=J14,"CUMPLE","NO CUMPLE")</f>
        <v>CUMPLE</v>
      </c>
    </row>
    <row r="15" spans="1:12" ht="33.75" customHeight="1" x14ac:dyDescent="0.2">
      <c r="B15" s="382"/>
      <c r="C15" s="92" t="str">
        <f>IF(VLOOKUP(C11,PROPONENTES!B10:N94,2,FALSE)=0,"",VLOOKUP(C11,PROPONENTES!B10:N94,2,FALSE))</f>
        <v>INVELER CONSULTORIA S.A.S.</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3906.3190000000004</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1953.1595000000002</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0</v>
      </c>
      <c r="J18" s="128">
        <v>1</v>
      </c>
      <c r="K18" s="385" t="str">
        <f>IF(AND(I18&gt;=J18,I19&gt;=J19,I20&gt;=J20,I21&gt;=J21),"CUMPLE","NO CUMPLE")</f>
        <v>NO CUMPLE</v>
      </c>
      <c r="L18" s="386"/>
    </row>
    <row r="19" spans="2:14" ht="50.25" customHeight="1" x14ac:dyDescent="0.2">
      <c r="B19" s="382"/>
      <c r="C19" s="92"/>
      <c r="D19" s="93"/>
      <c r="E19" s="94"/>
      <c r="F19" s="95"/>
      <c r="G19" s="96"/>
      <c r="H19" s="96"/>
      <c r="I19" s="128">
        <f>COUNTIFS(D58:J58,"CUMPLE",D67:J67,"CUMPLE")</f>
        <v>2</v>
      </c>
      <c r="J19" s="128">
        <v>1</v>
      </c>
      <c r="K19" s="387"/>
      <c r="L19" s="388"/>
    </row>
    <row r="20" spans="2:14" ht="50.25" customHeight="1" x14ac:dyDescent="0.2">
      <c r="B20" s="382"/>
      <c r="C20" s="92"/>
      <c r="D20" s="93"/>
      <c r="E20" s="94"/>
      <c r="F20" s="95"/>
      <c r="G20" s="96"/>
      <c r="H20" s="96"/>
      <c r="I20" s="128">
        <f>COUNTIFS(D60:J60,"CUMPLE",D67:J67,"CUMPLE")</f>
        <v>2</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2</v>
      </c>
      <c r="J21" s="128">
        <v>1</v>
      </c>
      <c r="K21" s="389"/>
      <c r="L21" s="390"/>
    </row>
    <row r="22" spans="2:14" ht="84.75" customHeight="1" x14ac:dyDescent="0.2">
      <c r="B22" s="29" t="s">
        <v>75</v>
      </c>
      <c r="C22" s="24">
        <f>+VLOOKUP(C11,PROPONENTES!B10:N94,12,FALSE)</f>
        <v>1</v>
      </c>
      <c r="D22" s="93">
        <f>+VLOOKUP(C11,PROPONENTES!B10:N94,13,FALSE)</f>
        <v>1</v>
      </c>
      <c r="E22" s="32">
        <f>SUM(E15:E21)</f>
        <v>3906.3190000000004</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342</v>
      </c>
      <c r="E26" s="84" t="s">
        <v>342</v>
      </c>
      <c r="F26" s="84" t="s">
        <v>342</v>
      </c>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388</v>
      </c>
      <c r="E29" s="85" t="s">
        <v>389</v>
      </c>
      <c r="F29" s="85" t="s">
        <v>390</v>
      </c>
      <c r="G29" s="85"/>
      <c r="H29" s="85"/>
      <c r="I29" s="85"/>
      <c r="J29" s="85"/>
      <c r="K29" s="145"/>
      <c r="L29" s="140"/>
    </row>
    <row r="30" spans="2:14" ht="213.5" customHeight="1" x14ac:dyDescent="0.2">
      <c r="B30" s="374"/>
      <c r="C30" s="25" t="s">
        <v>84</v>
      </c>
      <c r="D30" s="85" t="s">
        <v>391</v>
      </c>
      <c r="E30" s="85" t="s">
        <v>392</v>
      </c>
      <c r="F30" s="85" t="s">
        <v>393</v>
      </c>
      <c r="G30" s="85"/>
      <c r="H30" s="85"/>
      <c r="I30" s="85"/>
      <c r="J30" s="85"/>
      <c r="K30" s="487" t="s">
        <v>395</v>
      </c>
      <c r="L30" s="488"/>
    </row>
    <row r="31" spans="2:14" ht="52.5" customHeight="1" x14ac:dyDescent="0.2">
      <c r="B31" s="374"/>
      <c r="C31" s="25" t="s">
        <v>85</v>
      </c>
      <c r="D31" s="89">
        <v>39451</v>
      </c>
      <c r="E31" s="89">
        <v>37432</v>
      </c>
      <c r="F31" s="89">
        <v>38230</v>
      </c>
      <c r="G31" s="89"/>
      <c r="H31" s="89"/>
      <c r="I31" s="89"/>
      <c r="J31" s="89"/>
      <c r="K31" s="145"/>
      <c r="L31" s="140"/>
    </row>
    <row r="32" spans="2:14" ht="54.75" customHeight="1" x14ac:dyDescent="0.2">
      <c r="B32" s="374"/>
      <c r="C32" s="25" t="s">
        <v>86</v>
      </c>
      <c r="D32" s="89">
        <v>40029</v>
      </c>
      <c r="E32" s="89">
        <v>38352</v>
      </c>
      <c r="F32" s="89">
        <v>38543</v>
      </c>
      <c r="G32" s="89"/>
      <c r="H32" s="89"/>
      <c r="I32" s="89"/>
      <c r="J32" s="89"/>
      <c r="K32" s="145"/>
      <c r="L32" s="140"/>
    </row>
    <row r="33" spans="2:12" ht="41.25" customHeight="1" x14ac:dyDescent="0.2">
      <c r="B33" s="374"/>
      <c r="C33" s="25" t="s">
        <v>87</v>
      </c>
      <c r="D33" s="86">
        <v>2009</v>
      </c>
      <c r="E33" s="86">
        <v>2004</v>
      </c>
      <c r="F33" s="86">
        <v>2005</v>
      </c>
      <c r="G33" s="86"/>
      <c r="H33" s="86"/>
      <c r="I33" s="86"/>
      <c r="J33" s="86"/>
      <c r="K33" s="145"/>
      <c r="L33" s="140"/>
    </row>
    <row r="34" spans="2:12" ht="63" customHeight="1" x14ac:dyDescent="0.2">
      <c r="B34" s="374"/>
      <c r="C34" s="25" t="s">
        <v>88</v>
      </c>
      <c r="D34" s="85" t="s">
        <v>394</v>
      </c>
      <c r="E34" s="85" t="s">
        <v>321</v>
      </c>
      <c r="F34" s="85" t="s">
        <v>322</v>
      </c>
      <c r="G34" s="85"/>
      <c r="H34" s="85"/>
      <c r="I34" s="85"/>
      <c r="J34" s="85"/>
      <c r="K34" s="145"/>
      <c r="L34" s="140"/>
    </row>
    <row r="35" spans="2:12" ht="70.75" customHeight="1" x14ac:dyDescent="0.2">
      <c r="B35" s="374"/>
      <c r="C35" s="25" t="s">
        <v>89</v>
      </c>
      <c r="D35" s="85" t="s">
        <v>342</v>
      </c>
      <c r="E35" s="85" t="s">
        <v>342</v>
      </c>
      <c r="F35" s="85" t="s">
        <v>342</v>
      </c>
      <c r="G35" s="85"/>
      <c r="H35" s="85"/>
      <c r="I35" s="85"/>
      <c r="J35" s="85"/>
      <c r="K35" s="145"/>
      <c r="L35" s="140"/>
    </row>
    <row r="36" spans="2:12" ht="27.75" customHeight="1" x14ac:dyDescent="0.2">
      <c r="B36" s="374"/>
      <c r="C36" s="26" t="s">
        <v>90</v>
      </c>
      <c r="D36" s="90">
        <v>16</v>
      </c>
      <c r="E36" s="90">
        <v>27</v>
      </c>
      <c r="F36" s="90">
        <v>30</v>
      </c>
      <c r="G36" s="91"/>
      <c r="H36" s="91"/>
      <c r="I36" s="91"/>
      <c r="J36" s="91"/>
      <c r="K36" s="145"/>
      <c r="L36" s="140"/>
    </row>
    <row r="37" spans="2:12" ht="102.75" customHeight="1" x14ac:dyDescent="0.2">
      <c r="B37" s="374"/>
      <c r="C37" s="25" t="s">
        <v>91</v>
      </c>
      <c r="D37" s="87">
        <v>2490.39</v>
      </c>
      <c r="E37" s="158">
        <v>6652.81</v>
      </c>
      <c r="F37" s="87">
        <v>1021.46</v>
      </c>
      <c r="G37" s="87"/>
      <c r="H37" s="87"/>
      <c r="I37" s="87"/>
      <c r="J37" s="87"/>
      <c r="K37" s="242"/>
      <c r="L37" s="243"/>
    </row>
    <row r="38" spans="2:12" ht="48" customHeight="1" x14ac:dyDescent="0.2">
      <c r="B38" s="374"/>
      <c r="C38" s="25" t="s">
        <v>92</v>
      </c>
      <c r="D38" s="97">
        <f>IFERROR(D37*VLOOKUP(D33,'DATOS INICIALES'!$A$12:$B$50,2,0),"0")</f>
        <v>1237474791</v>
      </c>
      <c r="E38" s="97">
        <f>IFERROR(E37*VLOOKUP(E33,'DATOS INICIALES'!$A$12:$B$50,2,0),"0")</f>
        <v>2381705980</v>
      </c>
      <c r="F38" s="97">
        <f>IFERROR(F37*VLOOKUP(F33,'DATOS INICIALES'!$A$12:$B$50,2,0),"0")</f>
        <v>389686990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0.5</v>
      </c>
      <c r="E39" s="88">
        <v>0.4</v>
      </c>
      <c r="F39" s="88">
        <v>1</v>
      </c>
      <c r="G39" s="88"/>
      <c r="H39" s="88"/>
      <c r="I39" s="88"/>
      <c r="J39" s="88"/>
      <c r="K39" s="145"/>
      <c r="L39" s="140"/>
    </row>
    <row r="40" spans="2:12" ht="48.75" customHeight="1" x14ac:dyDescent="0.2">
      <c r="B40" s="374"/>
      <c r="C40" s="25" t="s">
        <v>94</v>
      </c>
      <c r="D40" s="97">
        <f t="shared" ref="D40:J40" si="0">IF(D26="","0",D39*D38)</f>
        <v>618737395.5</v>
      </c>
      <c r="E40" s="97">
        <f t="shared" si="0"/>
        <v>952682392</v>
      </c>
      <c r="F40" s="97">
        <f t="shared" si="0"/>
        <v>389686990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1245.1949999999999</v>
      </c>
      <c r="E41" s="98">
        <f t="shared" si="1"/>
        <v>2661.1240000000003</v>
      </c>
      <c r="F41" s="98">
        <f t="shared" si="1"/>
        <v>1021.46</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1245.1949999999999</v>
      </c>
      <c r="E48" s="98">
        <f t="shared" ref="E48:G48" si="6">+E41+E44+E47</f>
        <v>2661.1240000000003</v>
      </c>
      <c r="F48" s="98">
        <f t="shared" si="6"/>
        <v>1021.46</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26</v>
      </c>
      <c r="G56" s="84" t="s">
        <v>24</v>
      </c>
      <c r="H56" s="84" t="s">
        <v>24</v>
      </c>
      <c r="I56" s="84" t="s">
        <v>24</v>
      </c>
      <c r="J56" s="84" t="s">
        <v>24</v>
      </c>
      <c r="K56" s="240"/>
      <c r="L56" s="241"/>
    </row>
    <row r="57" spans="2:12" ht="50.25" customHeight="1" x14ac:dyDescent="0.2">
      <c r="B57" s="431" t="s">
        <v>177</v>
      </c>
      <c r="C57" s="432"/>
      <c r="D57" s="84" t="s">
        <v>26</v>
      </c>
      <c r="E57" s="84" t="s">
        <v>26</v>
      </c>
      <c r="F57" s="84" t="s">
        <v>26</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NO CUMPLE</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2">
    <mergeCell ref="I22:L22"/>
    <mergeCell ref="B66:C66"/>
    <mergeCell ref="B67:C67"/>
    <mergeCell ref="B69:E69"/>
    <mergeCell ref="B70:C70"/>
    <mergeCell ref="B63:C63"/>
    <mergeCell ref="B64:C64"/>
    <mergeCell ref="B65:C65"/>
    <mergeCell ref="B60:C60"/>
    <mergeCell ref="B61:C61"/>
    <mergeCell ref="B62:C62"/>
    <mergeCell ref="B57:C57"/>
    <mergeCell ref="B58:C58"/>
    <mergeCell ref="B59:C59"/>
    <mergeCell ref="B13:H13"/>
    <mergeCell ref="B14:B21"/>
    <mergeCell ref="B26:C26"/>
    <mergeCell ref="B27:C27"/>
    <mergeCell ref="B72:C72"/>
    <mergeCell ref="B71:C71"/>
    <mergeCell ref="B24:L24"/>
    <mergeCell ref="K25:L25"/>
    <mergeCell ref="B56:C56"/>
    <mergeCell ref="B50:B55"/>
    <mergeCell ref="B29:B47"/>
    <mergeCell ref="B28:C28"/>
    <mergeCell ref="K30:L30"/>
    <mergeCell ref="K17:L17"/>
    <mergeCell ref="K18:L21"/>
    <mergeCell ref="B23:L23"/>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4842" priority="71" operator="equal">
      <formula>"CUMPLE"</formula>
    </cfRule>
    <cfRule type="cellIs" dxfId="4841" priority="70" operator="equal">
      <formula>"NO CUMPLE"</formula>
    </cfRule>
    <cfRule type="containsBlanks" dxfId="4840" priority="68">
      <formula>LEN(TRIM(D71))=0</formula>
    </cfRule>
    <cfRule type="notContainsErrors" dxfId="4839" priority="69">
      <formula>NOT(ISERROR(D71))</formula>
    </cfRule>
  </conditionalFormatting>
  <conditionalFormatting sqref="D72">
    <cfRule type="cellIs" dxfId="4838" priority="72" operator="equal">
      <formula>"N/A"</formula>
    </cfRule>
    <cfRule type="cellIs" dxfId="4837" priority="74" operator="equal">
      <formula>"NO CUMPLE"</formula>
    </cfRule>
    <cfRule type="cellIs" dxfId="4836" priority="73" operator="equal">
      <formula>"CUMPLE"</formula>
    </cfRule>
    <cfRule type="cellIs" dxfId="4835" priority="75" operator="equal">
      <formula>"""CUMPLE"""</formula>
    </cfRule>
  </conditionalFormatting>
  <conditionalFormatting sqref="D26:J37">
    <cfRule type="notContainsErrors" dxfId="4834" priority="6">
      <formula>NOT(ISERROR(D26))</formula>
    </cfRule>
    <cfRule type="containsBlanks" dxfId="4833" priority="5">
      <formula>LEN(TRIM(D26))=0</formula>
    </cfRule>
  </conditionalFormatting>
  <conditionalFormatting sqref="D36:J36">
    <cfRule type="notContainsErrors" dxfId="4832" priority="8">
      <formula>NOT(ISERROR(D36))</formula>
    </cfRule>
    <cfRule type="containsBlanks" dxfId="4831" priority="7">
      <formula>LEN(TRIM(D36))=0</formula>
    </cfRule>
  </conditionalFormatting>
  <conditionalFormatting sqref="D39:J39">
    <cfRule type="containsBlanks" dxfId="4830" priority="3">
      <formula>LEN(TRIM(D39))=0</formula>
    </cfRule>
    <cfRule type="notContainsErrors" dxfId="4829" priority="4">
      <formula>NOT(ISERROR(D39))</formula>
    </cfRule>
  </conditionalFormatting>
  <conditionalFormatting sqref="D42:J42 D45:J45">
    <cfRule type="notContainsErrors" dxfId="4828" priority="40">
      <formula>NOT(ISERROR(D42))</formula>
    </cfRule>
    <cfRule type="containsBlanks" dxfId="4827" priority="39">
      <formula>LEN(TRIM(D42))=0</formula>
    </cfRule>
  </conditionalFormatting>
  <conditionalFormatting sqref="D49:J54">
    <cfRule type="notContainsErrors" dxfId="4826" priority="22">
      <formula>NOT(ISERROR(D49))</formula>
    </cfRule>
    <cfRule type="containsBlanks" dxfId="4825" priority="21">
      <formula>LEN(TRIM(D49))=0</formula>
    </cfRule>
    <cfRule type="cellIs" dxfId="4824" priority="19" operator="equal">
      <formula>"NO CUMPLE"</formula>
    </cfRule>
    <cfRule type="cellIs" dxfId="4823" priority="20" operator="equal">
      <formula>"CUMPLE"</formula>
    </cfRule>
  </conditionalFormatting>
  <conditionalFormatting sqref="D55:J55">
    <cfRule type="cellIs" dxfId="4822" priority="31" operator="equal">
      <formula>"NO CUMPLE"</formula>
    </cfRule>
    <cfRule type="cellIs" dxfId="4821" priority="32" operator="equal">
      <formula>"""CUMPLE"""</formula>
    </cfRule>
    <cfRule type="cellIs" dxfId="4820" priority="29" operator="equal">
      <formula>"N/A"</formula>
    </cfRule>
    <cfRule type="cellIs" dxfId="4819" priority="30" operator="equal">
      <formula>"CUMPLE"</formula>
    </cfRule>
  </conditionalFormatting>
  <conditionalFormatting sqref="D56:J66">
    <cfRule type="cellIs" dxfId="4818" priority="14" operator="equal">
      <formula>"CUMPLE"</formula>
    </cfRule>
    <cfRule type="cellIs" dxfId="4817" priority="13" operator="equal">
      <formula>"NO CUMPLE"</formula>
    </cfRule>
    <cfRule type="containsBlanks" dxfId="4816" priority="15">
      <formula>LEN(TRIM(D56))=0</formula>
    </cfRule>
    <cfRule type="notContainsErrors" dxfId="4815" priority="16">
      <formula>NOT(ISERROR(D56))</formula>
    </cfRule>
  </conditionalFormatting>
  <conditionalFormatting sqref="D62:J62">
    <cfRule type="notContainsErrors" dxfId="4814" priority="12">
      <formula>NOT(ISERROR(D62))</formula>
    </cfRule>
    <cfRule type="containsBlanks" dxfId="4813" priority="11">
      <formula>LEN(TRIM(D62))=0</formula>
    </cfRule>
  </conditionalFormatting>
  <conditionalFormatting sqref="D67:J67">
    <cfRule type="cellIs" dxfId="4812" priority="26" operator="equal">
      <formula>"CUMPLE"</formula>
    </cfRule>
    <cfRule type="cellIs" dxfId="4811" priority="25" operator="equal">
      <formula>"N/A"</formula>
    </cfRule>
    <cfRule type="cellIs" dxfId="4810" priority="27" operator="equal">
      <formula>"NO CUMPLE"</formula>
    </cfRule>
    <cfRule type="cellIs" dxfId="4809" priority="28" operator="equal">
      <formula>"""CUMPLE"""</formula>
    </cfRule>
  </conditionalFormatting>
  <conditionalFormatting sqref="D62:K66">
    <cfRule type="containsBlanks" dxfId="4808" priority="17">
      <formula>LEN(TRIM(D62))=0</formula>
    </cfRule>
    <cfRule type="notContainsErrors" dxfId="4807" priority="18">
      <formula>NOT(ISERROR(D62))</formula>
    </cfRule>
  </conditionalFormatting>
  <conditionalFormatting sqref="E71:E72">
    <cfRule type="notContainsErrors" dxfId="4806" priority="67">
      <formula>NOT(ISERROR(E71))</formula>
    </cfRule>
    <cfRule type="containsBlanks" dxfId="4805" priority="66">
      <formula>LEN(TRIM(E71))=0</formula>
    </cfRule>
  </conditionalFormatting>
  <conditionalFormatting sqref="F22:H22">
    <cfRule type="cellIs" dxfId="4804" priority="94" operator="equal">
      <formula>"NO CUMPLE"</formula>
    </cfRule>
    <cfRule type="cellIs" dxfId="4803" priority="93" operator="equal">
      <formula>"CUMPLE"</formula>
    </cfRule>
    <cfRule type="cellIs" dxfId="4802" priority="95" operator="equal">
      <formula>"""CUMPLE"""</formula>
    </cfRule>
  </conditionalFormatting>
  <conditionalFormatting sqref="G63:J63">
    <cfRule type="containsBlanks" dxfId="4801" priority="9">
      <formula>LEN(TRIM(G63))=0</formula>
    </cfRule>
    <cfRule type="notContainsErrors" dxfId="4800" priority="10">
      <formula>NOT(ISERROR(G63))</formula>
    </cfRule>
  </conditionalFormatting>
  <conditionalFormatting sqref="I11">
    <cfRule type="containsText" dxfId="4799" priority="99" operator="containsText" text="NO CUMPLE">
      <formula>NOT(ISERROR(SEARCH("NO CUMPLE",I11)))</formula>
    </cfRule>
    <cfRule type="containsText" dxfId="4798" priority="98" operator="containsText" text="HABILITADO">
      <formula>NOT(ISERROR(SEARCH("HABILITADO",I11)))</formula>
    </cfRule>
    <cfRule type="containsText" dxfId="4797" priority="97" operator="containsText" text="HABILITADO">
      <formula>NOT(ISERROR(SEARCH("HABILITADO",I11)))</formula>
    </cfRule>
    <cfRule type="containsText" dxfId="4796" priority="96" operator="containsText" text="INHABILITADO">
      <formula>NOT(ISERROR(SEARCH("INHABILITADO",I11)))</formula>
    </cfRule>
  </conditionalFormatting>
  <conditionalFormatting sqref="K18:K20">
    <cfRule type="cellIs" dxfId="4795" priority="64" operator="equal">
      <formula>"NO CUMPLE"</formula>
    </cfRule>
    <cfRule type="cellIs" dxfId="4794" priority="63" operator="equal">
      <formula>"CUMPLE"</formula>
    </cfRule>
    <cfRule type="cellIs" dxfId="4793" priority="65" operator="equal">
      <formula>"""CUMPLE"""</formula>
    </cfRule>
  </conditionalFormatting>
  <conditionalFormatting sqref="K26:K61">
    <cfRule type="containsBlanks" dxfId="4792" priority="1">
      <formula>LEN(TRIM(K26))=0</formula>
    </cfRule>
    <cfRule type="notContainsErrors" dxfId="4791" priority="2">
      <formula>NOT(ISERROR(K26))</formula>
    </cfRule>
  </conditionalFormatting>
  <conditionalFormatting sqref="K67:L67">
    <cfRule type="containsBlanks" dxfId="4790" priority="23">
      <formula>LEN(TRIM(K67))=0</formula>
    </cfRule>
    <cfRule type="notContainsErrors" dxfId="4789" priority="24">
      <formula>NOT(ISERROR(K67))</formula>
    </cfRule>
  </conditionalFormatting>
  <conditionalFormatting sqref="L14">
    <cfRule type="cellIs" dxfId="4788" priority="92" operator="equal">
      <formula>"""CUMPLE"""</formula>
    </cfRule>
    <cfRule type="cellIs" dxfId="4787" priority="91" operator="equal">
      <formula>"NO CUMPLE"</formula>
    </cfRule>
    <cfRule type="cellIs" dxfId="4786" priority="90" operator="equal">
      <formula>"CUMPLE"</formula>
    </cfRule>
  </conditionalFormatting>
  <dataValidations count="2">
    <dataValidation type="list" allowBlank="1" showInputMessage="1" showErrorMessage="1" sqref="D26:J28" xr:uid="{00000000-0002-0000-0D00-000000000000}">
      <formula1>$C$15:$C$21</formula1>
    </dataValidation>
    <dataValidation type="list" allowBlank="1" showInputMessage="1" showErrorMessage="1" sqref="L62:L67" xr:uid="{00000000-0002-0000-0D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0D00-000002000000}">
          <x14:formula1>
            <xm:f>'DATOS INICIALES'!$A$13:$A$50</xm:f>
          </x14:formula1>
          <xm:sqref>G33:I33</xm:sqref>
        </x14:dataValidation>
        <x14:dataValidation type="list" allowBlank="1" showInputMessage="1" showErrorMessage="1" xr:uid="{00000000-0002-0000-0D00-000003000000}">
          <x14:formula1>
            <xm:f>'DATOS INICIALES'!$A$61:$A$66</xm:f>
          </x14:formula1>
          <xm:sqref>D25:I25</xm:sqref>
        </x14:dataValidation>
        <x14:dataValidation type="list" allowBlank="1" showInputMessage="1" showErrorMessage="1" xr:uid="{00000000-0002-0000-0D00-000004000000}">
          <x14:formula1>
            <xm:f>'DATOS INICIALES'!$A$57:$A$59</xm:f>
          </x14:formula1>
          <xm:sqref>D71 D56:J66</xm:sqref>
        </x14:dataValidation>
        <x14:dataValidation type="list" allowBlank="1" showInputMessage="1" showErrorMessage="1" xr:uid="{00000000-0002-0000-0D00-000005000000}">
          <x14:formula1>
            <xm:f>'DATOS INICIALES'!$C$52:$C$53</xm:f>
          </x14:formula1>
          <xm:sqref>D53:J54</xm:sqref>
        </x14:dataValidation>
        <x14:dataValidation type="list" allowBlank="1" showInputMessage="1" showErrorMessage="1" xr:uid="{00000000-0002-0000-0D00-000006000000}">
          <x14:formula1>
            <xm:f>'DATOS INICIALES'!$A$61:$A$67</xm:f>
          </x14:formula1>
          <xm:sqref>J25</xm:sqref>
        </x14:dataValidation>
        <x14:dataValidation type="list" allowBlank="1" showInputMessage="1" showErrorMessage="1" xr:uid="{00000000-0002-0000-0D00-000007000000}">
          <x14:formula1>
            <xm:f>'DATOS INICIALES'!$A$57:$A$58</xm:f>
          </x14:formula1>
          <xm:sqref>D49:J49</xm:sqref>
        </x14:dataValidation>
        <x14:dataValidation type="list" allowBlank="1" showInputMessage="1" showErrorMessage="1" xr:uid="{00000000-0002-0000-0D00-000008000000}">
          <x14:formula1>
            <xm:f>'DATOS INICIALES'!$D$27:$D$29</xm:f>
          </x14:formula1>
          <xm:sqref>M50:M55</xm:sqref>
        </x14:dataValidation>
        <x14:dataValidation type="list" allowBlank="1" showInputMessage="1" showErrorMessage="1" xr:uid="{00000000-0002-0000-0D00-000009000000}">
          <x14:formula1>
            <xm:f>'DATOS INICIALES'!$C$52:$C$54</xm:f>
          </x14:formula1>
          <xm:sqref>D50:J52</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92D050"/>
  </sheetPr>
  <dimension ref="A1:N72"/>
  <sheetViews>
    <sheetView view="pageBreakPreview" topLeftCell="A55" zoomScale="40" zoomScaleNormal="25" zoomScaleSheetLayoutView="40" workbookViewId="0">
      <selection activeCell="F57" sqref="F57"/>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9</v>
      </c>
      <c r="B11" s="2" t="s">
        <v>58</v>
      </c>
      <c r="C11" s="413" t="str">
        <f>VLOOKUP(A11,PROPONENTES!A10:B94,2,FALSE)</f>
        <v>CONSORCIO VYE USAQUÉN</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4</v>
      </c>
      <c r="J14" s="147">
        <f>+L8</f>
        <v>986.3076290832455</v>
      </c>
      <c r="K14" s="147">
        <f>+E22</f>
        <v>9306.600097999999</v>
      </c>
      <c r="L14" s="18" t="str">
        <f>IF(K14&gt;=J14,"CUMPLE","NO CUMPLE")</f>
        <v>CUMPLE</v>
      </c>
    </row>
    <row r="15" spans="1:12" ht="33.75" customHeight="1" x14ac:dyDescent="0.2">
      <c r="B15" s="382"/>
      <c r="C15" s="92" t="str">
        <f>IF(VLOOKUP(C11,PROPONENTES!B10:N94,2,FALSE)=0,"",VLOOKUP(C11,PROPONENTES!B10:N94,2,FALSE))</f>
        <v>AIM ENGINEERING S.A.S</v>
      </c>
      <c r="D15" s="93">
        <f>IF(VLOOKUP(C11,PROPONENTES!B10:N94,3,FALSE)=0,"",VLOOKUP(C11,PROPONENTES!B10:N94,3,FALSE))</f>
        <v>0.7</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7914.1750979999988</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COMPAÑÍA DE VÍAS, TRANSPORTE Y 
OBRAS PÚBLICAS S.A.S 
 (VIASTOP S.A.S.)</v>
      </c>
      <c r="D16" s="93">
        <f>IF(VLOOKUP(C11,PROPONENTES!B10:N94,5,FALSE)=0,"",VLOOKUP(C11,PROPONENTES!B10:N94,5,FALSE))</f>
        <v>0.3</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1392.425</v>
      </c>
      <c r="F16" s="95" t="str">
        <f>IF(C16="","",IF(E16&gt;=$J$14*0.5,"SI","NO"))</f>
        <v>SI</v>
      </c>
      <c r="G16" s="96" t="str">
        <f>IF(C16="","",IF(E16&gt;=$J$14*0.05,"SI",IF(E16=0,"NO APORTA EXPERIENCIA",)))</f>
        <v>SI</v>
      </c>
      <c r="H16" s="96" t="str">
        <f>IF(C16="","",IF(AND(G16="NO APORTA EXPERIENCIA",D16&lt;=10%),"SI",IF(G16="SI","NO APLICA","NO - PORCENTAJE MAYOR AL 10%")))</f>
        <v>NO APLICA</v>
      </c>
      <c r="I16" s="162"/>
      <c r="J16" s="162"/>
      <c r="K16" s="162"/>
      <c r="L16" s="161">
        <f>AVERAGEIF(D67:J67,"CUMPLE",D48:J48)</f>
        <v>2326.6500244999997</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2</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4</v>
      </c>
      <c r="J19" s="128">
        <v>1</v>
      </c>
      <c r="K19" s="387"/>
      <c r="L19" s="388"/>
    </row>
    <row r="20" spans="2:14" ht="50.25" customHeight="1" x14ac:dyDescent="0.2">
      <c r="B20" s="382"/>
      <c r="C20" s="92"/>
      <c r="D20" s="93"/>
      <c r="E20" s="94"/>
      <c r="F20" s="95"/>
      <c r="G20" s="96"/>
      <c r="H20" s="96"/>
      <c r="I20" s="128">
        <f>COUNTIFS(D60:J60,"CUMPLE",D67:J67,"CUMPLE")</f>
        <v>4</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4</v>
      </c>
      <c r="J21" s="128">
        <v>1</v>
      </c>
      <c r="K21" s="389"/>
      <c r="L21" s="390"/>
    </row>
    <row r="22" spans="2:14" ht="84.75" customHeight="1" x14ac:dyDescent="0.2">
      <c r="B22" s="29" t="s">
        <v>75</v>
      </c>
      <c r="C22" s="24">
        <f>+VLOOKUP(C11,PROPONENTES!B10:N94,12,FALSE)</f>
        <v>2</v>
      </c>
      <c r="D22" s="93">
        <f>+VLOOKUP(C11,PROPONENTES!B10:N94,13,FALSE)</f>
        <v>1</v>
      </c>
      <c r="E22" s="32">
        <f>SUM(E15:E21)</f>
        <v>9306.600097999999</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344</v>
      </c>
      <c r="E26" s="84" t="s">
        <v>343</v>
      </c>
      <c r="F26" s="84" t="s">
        <v>343</v>
      </c>
      <c r="G26" s="84" t="s">
        <v>343</v>
      </c>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396</v>
      </c>
      <c r="E29" s="85" t="s">
        <v>397</v>
      </c>
      <c r="F29" s="85" t="s">
        <v>398</v>
      </c>
      <c r="G29" s="85" t="s">
        <v>399</v>
      </c>
      <c r="H29" s="85"/>
      <c r="I29" s="85"/>
      <c r="J29" s="85"/>
      <c r="K29" s="145"/>
      <c r="L29" s="140"/>
    </row>
    <row r="30" spans="2:14" ht="156.75" customHeight="1" x14ac:dyDescent="0.2">
      <c r="B30" s="374"/>
      <c r="C30" s="25" t="s">
        <v>84</v>
      </c>
      <c r="D30" s="85" t="s">
        <v>400</v>
      </c>
      <c r="E30" s="85" t="s">
        <v>401</v>
      </c>
      <c r="F30" s="85" t="s">
        <v>402</v>
      </c>
      <c r="G30" s="85" t="s">
        <v>403</v>
      </c>
      <c r="H30" s="85"/>
      <c r="I30" s="85"/>
      <c r="J30" s="85"/>
      <c r="K30" s="145"/>
      <c r="L30" s="140"/>
    </row>
    <row r="31" spans="2:14" ht="52.5" customHeight="1" x14ac:dyDescent="0.2">
      <c r="B31" s="374"/>
      <c r="C31" s="25" t="s">
        <v>85</v>
      </c>
      <c r="D31" s="89">
        <v>44081</v>
      </c>
      <c r="E31" s="89">
        <v>41130</v>
      </c>
      <c r="F31" s="89">
        <v>43140</v>
      </c>
      <c r="G31" s="89">
        <v>41710</v>
      </c>
      <c r="H31" s="89"/>
      <c r="I31" s="89"/>
      <c r="J31" s="89"/>
      <c r="K31" s="145"/>
      <c r="L31" s="140"/>
    </row>
    <row r="32" spans="2:14" ht="54.75" customHeight="1" x14ac:dyDescent="0.2">
      <c r="B32" s="374"/>
      <c r="C32" s="25" t="s">
        <v>86</v>
      </c>
      <c r="D32" s="89">
        <v>41531</v>
      </c>
      <c r="E32" s="89">
        <v>42366</v>
      </c>
      <c r="F32" s="89">
        <v>43593</v>
      </c>
      <c r="G32" s="89">
        <v>42594</v>
      </c>
      <c r="H32" s="89"/>
      <c r="I32" s="89"/>
      <c r="J32" s="89"/>
      <c r="K32" s="145"/>
      <c r="L32" s="140"/>
    </row>
    <row r="33" spans="2:12" ht="41.25" customHeight="1" x14ac:dyDescent="0.2">
      <c r="B33" s="374"/>
      <c r="C33" s="25" t="s">
        <v>87</v>
      </c>
      <c r="D33" s="86">
        <v>2013</v>
      </c>
      <c r="E33" s="86">
        <v>2015</v>
      </c>
      <c r="F33" s="86">
        <v>2019</v>
      </c>
      <c r="G33" s="86">
        <v>2016</v>
      </c>
      <c r="H33" s="86"/>
      <c r="I33" s="86"/>
      <c r="J33" s="86"/>
      <c r="K33" s="145"/>
      <c r="L33" s="140"/>
    </row>
    <row r="34" spans="2:12" ht="63" customHeight="1" x14ac:dyDescent="0.2">
      <c r="B34" s="374"/>
      <c r="C34" s="25" t="s">
        <v>88</v>
      </c>
      <c r="D34" s="259" t="s">
        <v>404</v>
      </c>
      <c r="E34" s="259" t="s">
        <v>322</v>
      </c>
      <c r="F34" s="260" t="s">
        <v>405</v>
      </c>
      <c r="G34" s="261" t="s">
        <v>406</v>
      </c>
      <c r="H34" s="85"/>
      <c r="I34" s="85"/>
      <c r="J34" s="85"/>
      <c r="K34" s="145"/>
      <c r="L34" s="140"/>
    </row>
    <row r="35" spans="2:12" ht="46.5" customHeight="1" x14ac:dyDescent="0.2">
      <c r="B35" s="374"/>
      <c r="C35" s="25" t="s">
        <v>89</v>
      </c>
      <c r="D35" s="85" t="s">
        <v>407</v>
      </c>
      <c r="E35" s="85" t="s">
        <v>343</v>
      </c>
      <c r="F35" s="85" t="s">
        <v>343</v>
      </c>
      <c r="G35" s="85" t="s">
        <v>343</v>
      </c>
      <c r="H35" s="85"/>
      <c r="I35" s="85"/>
      <c r="J35" s="85"/>
      <c r="K35" s="145"/>
      <c r="L35" s="140"/>
    </row>
    <row r="36" spans="2:12" ht="27.75" customHeight="1" x14ac:dyDescent="0.2">
      <c r="B36" s="374"/>
      <c r="C36" s="26" t="s">
        <v>90</v>
      </c>
      <c r="D36" s="90">
        <v>216</v>
      </c>
      <c r="E36" s="90">
        <v>121</v>
      </c>
      <c r="F36" s="90">
        <v>191</v>
      </c>
      <c r="G36" s="91">
        <v>148</v>
      </c>
      <c r="H36" s="91"/>
      <c r="I36" s="91"/>
      <c r="J36" s="91"/>
      <c r="K36" s="145"/>
      <c r="L36" s="140"/>
    </row>
    <row r="37" spans="2:12" ht="102.75" customHeight="1" x14ac:dyDescent="0.2">
      <c r="B37" s="374"/>
      <c r="C37" s="25" t="s">
        <v>91</v>
      </c>
      <c r="D37" s="87">
        <v>2784.85</v>
      </c>
      <c r="E37" s="158">
        <v>7576.86</v>
      </c>
      <c r="F37" s="87">
        <v>2177.83</v>
      </c>
      <c r="G37" s="87">
        <v>9046.06</v>
      </c>
      <c r="H37" s="87"/>
      <c r="I37" s="87"/>
      <c r="J37" s="87"/>
      <c r="K37" s="242"/>
      <c r="L37" s="243"/>
    </row>
    <row r="38" spans="2:12" ht="48" customHeight="1" x14ac:dyDescent="0.2">
      <c r="B38" s="374"/>
      <c r="C38" s="25" t="s">
        <v>92</v>
      </c>
      <c r="D38" s="97">
        <f>IFERROR(D37*VLOOKUP(D33,'DATOS INICIALES'!$A$12:$B$50,2,0),"0")</f>
        <v>1641669075</v>
      </c>
      <c r="E38" s="97">
        <f>IFERROR(E37*VLOOKUP(E33,'DATOS INICIALES'!$A$12:$B$50,2,0),"0")</f>
        <v>4882149741</v>
      </c>
      <c r="F38" s="97">
        <f>IFERROR(F37*VLOOKUP(F33,'DATOS INICIALES'!$A$12:$B$50,2,0),"0")</f>
        <v>1803495868.28</v>
      </c>
      <c r="G38" s="97">
        <f>IFERROR(G37*VLOOKUP(G33,'DATOS INICIALES'!$A$12:$B$50,2,0),"0")</f>
        <v>6236851297.2999992</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0.5</v>
      </c>
      <c r="E39" s="88">
        <v>0.5</v>
      </c>
      <c r="F39" s="88">
        <v>0.51</v>
      </c>
      <c r="G39" s="88">
        <v>0.33329999999999999</v>
      </c>
      <c r="H39" s="88"/>
      <c r="I39" s="88"/>
      <c r="J39" s="88"/>
      <c r="K39" s="145"/>
      <c r="L39" s="140"/>
    </row>
    <row r="40" spans="2:12" ht="48.75" customHeight="1" x14ac:dyDescent="0.2">
      <c r="B40" s="374"/>
      <c r="C40" s="25" t="s">
        <v>94</v>
      </c>
      <c r="D40" s="97">
        <f t="shared" ref="D40:J40" si="0">IF(D26="","0",D39*D38)</f>
        <v>820834537.5</v>
      </c>
      <c r="E40" s="97">
        <f t="shared" si="0"/>
        <v>2441074870.5</v>
      </c>
      <c r="F40" s="97">
        <f t="shared" si="0"/>
        <v>919782892.82280004</v>
      </c>
      <c r="G40" s="97">
        <f t="shared" si="0"/>
        <v>2078742537.3900898</v>
      </c>
      <c r="H40" s="97" t="str">
        <f t="shared" si="0"/>
        <v>0</v>
      </c>
      <c r="I40" s="97" t="str">
        <f t="shared" si="0"/>
        <v>0</v>
      </c>
      <c r="J40" s="97" t="str">
        <f t="shared" si="0"/>
        <v>0</v>
      </c>
      <c r="K40" s="145"/>
      <c r="L40" s="140"/>
    </row>
    <row r="41" spans="2:12" ht="65.25" customHeight="1" x14ac:dyDescent="0.2">
      <c r="B41" s="374"/>
      <c r="C41" s="25" t="s">
        <v>95</v>
      </c>
      <c r="D41" s="98">
        <f t="shared" ref="D41:J41" si="1">IFERROR(D37*D39,"0")</f>
        <v>1392.425</v>
      </c>
      <c r="E41" s="98">
        <f t="shared" si="1"/>
        <v>3788.43</v>
      </c>
      <c r="F41" s="98">
        <f t="shared" si="1"/>
        <v>1110.6932999999999</v>
      </c>
      <c r="G41" s="98">
        <f t="shared" si="1"/>
        <v>3015.0517979999995</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1392.425</v>
      </c>
      <c r="E48" s="98">
        <f t="shared" ref="E48:G48" si="6">+E41+E44+E47</f>
        <v>3788.43</v>
      </c>
      <c r="F48" s="98">
        <f t="shared" si="6"/>
        <v>1110.6932999999999</v>
      </c>
      <c r="G48" s="98">
        <f t="shared" si="6"/>
        <v>3015.0517979999995</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CUMPLE</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26</v>
      </c>
      <c r="E57" s="84" t="s">
        <v>26</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CUMPLE</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4785" priority="69" operator="equal">
      <formula>"CUMPLE"</formula>
    </cfRule>
    <cfRule type="containsBlanks" dxfId="4784" priority="66">
      <formula>LEN(TRIM(D71))=0</formula>
    </cfRule>
    <cfRule type="notContainsErrors" dxfId="4783" priority="67">
      <formula>NOT(ISERROR(D71))</formula>
    </cfRule>
    <cfRule type="cellIs" dxfId="4782" priority="68" operator="equal">
      <formula>"NO CUMPLE"</formula>
    </cfRule>
  </conditionalFormatting>
  <conditionalFormatting sqref="D72">
    <cfRule type="cellIs" dxfId="4781" priority="71" operator="equal">
      <formula>"CUMPLE"</formula>
    </cfRule>
    <cfRule type="cellIs" dxfId="4780" priority="70" operator="equal">
      <formula>"N/A"</formula>
    </cfRule>
    <cfRule type="cellIs" dxfId="4779" priority="73" operator="equal">
      <formula>"""CUMPLE"""</formula>
    </cfRule>
    <cfRule type="cellIs" dxfId="4778" priority="72" operator="equal">
      <formula>"NO CUMPLE"</formula>
    </cfRule>
  </conditionalFormatting>
  <conditionalFormatting sqref="D26:J37">
    <cfRule type="notContainsErrors" dxfId="4777" priority="4">
      <formula>NOT(ISERROR(D26))</formula>
    </cfRule>
    <cfRule type="containsBlanks" dxfId="4776" priority="3">
      <formula>LEN(TRIM(D26))=0</formula>
    </cfRule>
  </conditionalFormatting>
  <conditionalFormatting sqref="D36:J36">
    <cfRule type="notContainsErrors" dxfId="4775" priority="6">
      <formula>NOT(ISERROR(D36))</formula>
    </cfRule>
    <cfRule type="containsBlanks" dxfId="4774" priority="5">
      <formula>LEN(TRIM(D36))=0</formula>
    </cfRule>
  </conditionalFormatting>
  <conditionalFormatting sqref="D39:J39">
    <cfRule type="containsBlanks" dxfId="4773" priority="1">
      <formula>LEN(TRIM(D39))=0</formula>
    </cfRule>
    <cfRule type="notContainsErrors" dxfId="4772" priority="2">
      <formula>NOT(ISERROR(D39))</formula>
    </cfRule>
  </conditionalFormatting>
  <conditionalFormatting sqref="D42:J42 D45:J45">
    <cfRule type="notContainsErrors" dxfId="4771" priority="38">
      <formula>NOT(ISERROR(D42))</formula>
    </cfRule>
    <cfRule type="containsBlanks" dxfId="4770" priority="37">
      <formula>LEN(TRIM(D42))=0</formula>
    </cfRule>
  </conditionalFormatting>
  <conditionalFormatting sqref="D49:J54">
    <cfRule type="cellIs" dxfId="4769" priority="17" operator="equal">
      <formula>"NO CUMPLE"</formula>
    </cfRule>
    <cfRule type="cellIs" dxfId="4768" priority="18" operator="equal">
      <formula>"CUMPLE"</formula>
    </cfRule>
    <cfRule type="containsBlanks" dxfId="4767" priority="19">
      <formula>LEN(TRIM(D49))=0</formula>
    </cfRule>
    <cfRule type="notContainsErrors" dxfId="4766" priority="20">
      <formula>NOT(ISERROR(D49))</formula>
    </cfRule>
  </conditionalFormatting>
  <conditionalFormatting sqref="D55:J55">
    <cfRule type="cellIs" dxfId="4765" priority="28" operator="equal">
      <formula>"CUMPLE"</formula>
    </cfRule>
    <cfRule type="cellIs" dxfId="4764" priority="30" operator="equal">
      <formula>"""CUMPLE"""</formula>
    </cfRule>
    <cfRule type="cellIs" dxfId="4763" priority="29" operator="equal">
      <formula>"NO CUMPLE"</formula>
    </cfRule>
    <cfRule type="cellIs" dxfId="4762" priority="27" operator="equal">
      <formula>"N/A"</formula>
    </cfRule>
  </conditionalFormatting>
  <conditionalFormatting sqref="D56:J66">
    <cfRule type="cellIs" dxfId="4761" priority="11" operator="equal">
      <formula>"NO CUMPLE"</formula>
    </cfRule>
    <cfRule type="notContainsErrors" dxfId="4760" priority="14">
      <formula>NOT(ISERROR(D56))</formula>
    </cfRule>
    <cfRule type="containsBlanks" dxfId="4759" priority="13">
      <formula>LEN(TRIM(D56))=0</formula>
    </cfRule>
    <cfRule type="cellIs" dxfId="4758" priority="12" operator="equal">
      <formula>"CUMPLE"</formula>
    </cfRule>
  </conditionalFormatting>
  <conditionalFormatting sqref="D67:J67">
    <cfRule type="cellIs" dxfId="4757" priority="23" operator="equal">
      <formula>"N/A"</formula>
    </cfRule>
    <cfRule type="cellIs" dxfId="4756" priority="24" operator="equal">
      <formula>"CUMPLE"</formula>
    </cfRule>
    <cfRule type="cellIs" dxfId="4755" priority="26" operator="equal">
      <formula>"""CUMPLE"""</formula>
    </cfRule>
    <cfRule type="cellIs" dxfId="4754" priority="25" operator="equal">
      <formula>"NO CUMPLE"</formula>
    </cfRule>
  </conditionalFormatting>
  <conditionalFormatting sqref="D62:K66">
    <cfRule type="containsBlanks" dxfId="4753" priority="15">
      <formula>LEN(TRIM(D62))=0</formula>
    </cfRule>
    <cfRule type="notContainsErrors" dxfId="4752" priority="16">
      <formula>NOT(ISERROR(D62))</formula>
    </cfRule>
  </conditionalFormatting>
  <conditionalFormatting sqref="E71:E72">
    <cfRule type="notContainsErrors" dxfId="4751" priority="65">
      <formula>NOT(ISERROR(E71))</formula>
    </cfRule>
    <cfRule type="containsBlanks" dxfId="4750" priority="64">
      <formula>LEN(TRIM(E71))=0</formula>
    </cfRule>
  </conditionalFormatting>
  <conditionalFormatting sqref="F22:H22">
    <cfRule type="cellIs" dxfId="4749" priority="92" operator="equal">
      <formula>"NO CUMPLE"</formula>
    </cfRule>
    <cfRule type="cellIs" dxfId="4748" priority="93" operator="equal">
      <formula>"""CUMPLE"""</formula>
    </cfRule>
    <cfRule type="cellIs" dxfId="4747" priority="91" operator="equal">
      <formula>"CUMPLE"</formula>
    </cfRule>
  </conditionalFormatting>
  <conditionalFormatting sqref="G63:J63">
    <cfRule type="containsBlanks" dxfId="4746" priority="7">
      <formula>LEN(TRIM(G63))=0</formula>
    </cfRule>
    <cfRule type="notContainsErrors" dxfId="4745" priority="8">
      <formula>NOT(ISERROR(G63))</formula>
    </cfRule>
  </conditionalFormatting>
  <conditionalFormatting sqref="I11">
    <cfRule type="containsText" dxfId="4744" priority="97" operator="containsText" text="NO CUMPLE">
      <formula>NOT(ISERROR(SEARCH("NO CUMPLE",I11)))</formula>
    </cfRule>
    <cfRule type="containsText" dxfId="4743" priority="96" operator="containsText" text="HABILITADO">
      <formula>NOT(ISERROR(SEARCH("HABILITADO",I11)))</formula>
    </cfRule>
    <cfRule type="containsText" dxfId="4742" priority="95" operator="containsText" text="HABILITADO">
      <formula>NOT(ISERROR(SEARCH("HABILITADO",I11)))</formula>
    </cfRule>
    <cfRule type="containsText" dxfId="4741" priority="94" operator="containsText" text="INHABILITADO">
      <formula>NOT(ISERROR(SEARCH("INHABILITADO",I11)))</formula>
    </cfRule>
  </conditionalFormatting>
  <conditionalFormatting sqref="K18:K20">
    <cfRule type="cellIs" dxfId="4740" priority="62" operator="equal">
      <formula>"NO CUMPLE"</formula>
    </cfRule>
    <cfRule type="cellIs" dxfId="4739" priority="63" operator="equal">
      <formula>"""CUMPLE"""</formula>
    </cfRule>
    <cfRule type="cellIs" dxfId="4738" priority="61" operator="equal">
      <formula>"CUMPLE"</formula>
    </cfRule>
  </conditionalFormatting>
  <conditionalFormatting sqref="K26:K61 D62:J62">
    <cfRule type="containsBlanks" dxfId="4737" priority="9">
      <formula>LEN(TRIM(D26))=0</formula>
    </cfRule>
    <cfRule type="notContainsErrors" dxfId="4736" priority="10">
      <formula>NOT(ISERROR(D26))</formula>
    </cfRule>
  </conditionalFormatting>
  <conditionalFormatting sqref="K67:L67">
    <cfRule type="containsBlanks" dxfId="4735" priority="21">
      <formula>LEN(TRIM(K67))=0</formula>
    </cfRule>
    <cfRule type="notContainsErrors" dxfId="4734" priority="22">
      <formula>NOT(ISERROR(K67))</formula>
    </cfRule>
  </conditionalFormatting>
  <conditionalFormatting sqref="L14">
    <cfRule type="cellIs" dxfId="4733" priority="90" operator="equal">
      <formula>"""CUMPLE"""</formula>
    </cfRule>
    <cfRule type="cellIs" dxfId="4732" priority="89" operator="equal">
      <formula>"NO CUMPLE"</formula>
    </cfRule>
    <cfRule type="cellIs" dxfId="4731" priority="88" operator="equal">
      <formula>"CUMPLE"</formula>
    </cfRule>
  </conditionalFormatting>
  <dataValidations count="2">
    <dataValidation type="list" allowBlank="1" showInputMessage="1" showErrorMessage="1" sqref="L62:L67" xr:uid="{00000000-0002-0000-0E00-000000000000}">
      <formula1>"0,1,2,3,4,5,6"</formula1>
    </dataValidation>
    <dataValidation type="list" allowBlank="1" showInputMessage="1" showErrorMessage="1" sqref="D26:J28" xr:uid="{00000000-0002-0000-0E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0E00-000002000000}">
          <x14:formula1>
            <xm:f>'DATOS INICIALES'!$A$57:$A$58</xm:f>
          </x14:formula1>
          <xm:sqref>D49:J49</xm:sqref>
        </x14:dataValidation>
        <x14:dataValidation type="list" allowBlank="1" showInputMessage="1" showErrorMessage="1" xr:uid="{00000000-0002-0000-0E00-000003000000}">
          <x14:formula1>
            <xm:f>'DATOS INICIALES'!$A$61:$A$67</xm:f>
          </x14:formula1>
          <xm:sqref>J25</xm:sqref>
        </x14:dataValidation>
        <x14:dataValidation type="list" allowBlank="1" showInputMessage="1" showErrorMessage="1" xr:uid="{00000000-0002-0000-0E00-000004000000}">
          <x14:formula1>
            <xm:f>'DATOS INICIALES'!$C$52:$C$53</xm:f>
          </x14:formula1>
          <xm:sqref>D53:J54</xm:sqref>
        </x14:dataValidation>
        <x14:dataValidation type="list" allowBlank="1" showInputMessage="1" showErrorMessage="1" xr:uid="{00000000-0002-0000-0E00-000005000000}">
          <x14:formula1>
            <xm:f>'DATOS INICIALES'!$A$57:$A$59</xm:f>
          </x14:formula1>
          <xm:sqref>D71 D56:J66</xm:sqref>
        </x14:dataValidation>
        <x14:dataValidation type="list" allowBlank="1" showInputMessage="1" showErrorMessage="1" xr:uid="{00000000-0002-0000-0E00-000006000000}">
          <x14:formula1>
            <xm:f>'DATOS INICIALES'!$A$61:$A$66</xm:f>
          </x14:formula1>
          <xm:sqref>D25:I25</xm:sqref>
        </x14:dataValidation>
        <x14:dataValidation type="list" allowBlank="1" showInputMessage="1" showErrorMessage="1" xr:uid="{00000000-0002-0000-0E00-000007000000}">
          <x14:formula1>
            <xm:f>'DATOS INICIALES'!$A$13:$A$50</xm:f>
          </x14:formula1>
          <xm:sqref>H33:I33</xm:sqref>
        </x14:dataValidation>
        <x14:dataValidation type="list" allowBlank="1" showInputMessage="1" showErrorMessage="1" xr:uid="{00000000-0002-0000-0E00-000008000000}">
          <x14:formula1>
            <xm:f>'DATOS INICIALES'!$D$27:$D$29</xm:f>
          </x14:formula1>
          <xm:sqref>M50:M55</xm:sqref>
        </x14:dataValidation>
        <x14:dataValidation type="list" allowBlank="1" showInputMessage="1" showErrorMessage="1" xr:uid="{00000000-0002-0000-0E00-000009000000}">
          <x14:formula1>
            <xm:f>'DATOS INICIALES'!$C$52:$C$54</xm:f>
          </x14:formula1>
          <xm:sqref>D50:J52</xm:sqref>
        </x14:dataValidation>
        <x14:dataValidation type="list" allowBlank="1" showInputMessage="1" showErrorMessage="1" xr:uid="{00000000-0002-0000-0E00-00000A000000}">
          <x14:formula1>
            <xm:f>'/Users/ldrr/Desktop/SDDE/REVISION DE CARPETAS/C:\Users\ASUS\OneDrive\Escritorio\alcaldia local de usaquen\2025\16. EVALUACION DE PROCESOS\INTERVENTORIA DE VIAS\consolidado equipo\[MONICA_ Evaluación_Tecnica_fdlusa-CMA-003-2025.xlsx]DATOS INICIALES'!#REF!</xm:f>
          </x14:formula1>
          <xm:sqref>G33</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92D050"/>
  </sheetPr>
  <dimension ref="A1:N72"/>
  <sheetViews>
    <sheetView view="pageBreakPreview" topLeftCell="A38" zoomScale="40" zoomScaleNormal="25" zoomScaleSheetLayoutView="40" workbookViewId="0">
      <selection activeCell="K48" sqref="K48"/>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48.83203125" customWidth="1"/>
    <col min="6" max="6" width="47.6640625" customWidth="1"/>
    <col min="7"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10</v>
      </c>
      <c r="B11" s="2" t="s">
        <v>58</v>
      </c>
      <c r="C11" s="413" t="str">
        <f>VLOOKUP(A11,PROPONENTES!A10:B94,2,FALSE)</f>
        <v>CONSORCIO INGENIERIA PROES LATAM</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3</v>
      </c>
      <c r="J14" s="147">
        <f>+L8</f>
        <v>986.3076290832455</v>
      </c>
      <c r="K14" s="147">
        <f>+E22</f>
        <v>12693.762199999999</v>
      </c>
      <c r="L14" s="18" t="str">
        <f>IF(K14&gt;=J14,"CUMPLE","NO CUMPLE")</f>
        <v>CUMPLE</v>
      </c>
    </row>
    <row r="15" spans="1:12" ht="33.75" customHeight="1" x14ac:dyDescent="0.2">
      <c r="B15" s="382"/>
      <c r="C15" s="92" t="str">
        <f>IF(VLOOKUP(C11,PROPONENTES!B10:N94,2,FALSE)=0,"",VLOOKUP(C11,PROPONENTES!B10:N94,2,FALSE))</f>
        <v>PROES LATAM S.A.S.</v>
      </c>
      <c r="D15" s="93">
        <f>IF(VLOOKUP(C11,PROPONENTES!B10:N94,3,FALSE)=0,"",VLOOKUP(C11,PROPONENTES!B10:N94,3,FALSE))</f>
        <v>0.95</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12693.762199999999</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xml:space="preserve">PROES COLOMBIA S.A.S. </v>
      </c>
      <c r="D16" s="93">
        <f>IF(VLOOKUP(C11,PROPONENTES!B10:N94,5,FALSE)=0,"",VLOOKUP(C11,PROPONENTES!B10:N94,5,FALSE))</f>
        <v>0.05</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0</v>
      </c>
      <c r="F16" s="95" t="str">
        <f>IF(C16="","",IF(E16&gt;=$J$14*0.5,"SI","NO"))</f>
        <v>NO</v>
      </c>
      <c r="G16" s="96" t="str">
        <f>IF(C16="","",IF(E16&gt;=$J$14*0.05,"SI",IF(E16=0,"NO APORTA EXPERIENCIA",)))</f>
        <v>NO APORTA EXPERIENCIA</v>
      </c>
      <c r="H16" s="96" t="str">
        <f>IF(C16="","",IF(AND(G16="NO APORTA EXPERIENCIA",D16&lt;=10%),"SI",IF(G16="SI","NO APLICA","NO - PORCENTAJE MAYOR AL 10%")))</f>
        <v>SI</v>
      </c>
      <c r="I16" s="162"/>
      <c r="J16" s="162"/>
      <c r="K16" s="162"/>
      <c r="L16" s="161">
        <f>AVERAGEIF(D67:J67,"CUMPLE",D48:J48)</f>
        <v>4231.2540666666664</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1</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3</v>
      </c>
      <c r="J19" s="128">
        <v>1</v>
      </c>
      <c r="K19" s="387"/>
      <c r="L19" s="388"/>
    </row>
    <row r="20" spans="2:14" ht="50.25" customHeight="1" x14ac:dyDescent="0.2">
      <c r="B20" s="382"/>
      <c r="C20" s="92"/>
      <c r="D20" s="93"/>
      <c r="E20" s="94"/>
      <c r="F20" s="95"/>
      <c r="G20" s="96"/>
      <c r="H20" s="96"/>
      <c r="I20" s="128">
        <f>COUNTIFS(D60:J60,"CUMPLE",D67:J67,"CUMPLE")</f>
        <v>3</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3</v>
      </c>
      <c r="J21" s="128">
        <v>1</v>
      </c>
      <c r="K21" s="389"/>
      <c r="L21" s="390"/>
    </row>
    <row r="22" spans="2:14" ht="84.75" customHeight="1" x14ac:dyDescent="0.2">
      <c r="B22" s="29" t="s">
        <v>75</v>
      </c>
      <c r="C22" s="24">
        <f>+VLOOKUP(C11,PROPONENTES!B10:N94,12,FALSE)</f>
        <v>2</v>
      </c>
      <c r="D22" s="93">
        <f>+VLOOKUP(C11,PROPONENTES!B10:N94,13,FALSE)</f>
        <v>1</v>
      </c>
      <c r="E22" s="32">
        <f>SUM(E15:E21)</f>
        <v>12693.762199999999</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345</v>
      </c>
      <c r="E26" s="84" t="s">
        <v>345</v>
      </c>
      <c r="F26" s="84" t="s">
        <v>345</v>
      </c>
      <c r="G26" s="84" t="s">
        <v>345</v>
      </c>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408</v>
      </c>
      <c r="E29" s="85" t="s">
        <v>409</v>
      </c>
      <c r="F29" s="85" t="s">
        <v>409</v>
      </c>
      <c r="G29" s="85" t="s">
        <v>409</v>
      </c>
      <c r="H29" s="85"/>
      <c r="I29" s="85"/>
      <c r="J29" s="85"/>
      <c r="K29" s="145"/>
      <c r="L29" s="140"/>
    </row>
    <row r="30" spans="2:14" ht="218.5" customHeight="1" x14ac:dyDescent="0.2">
      <c r="B30" s="374"/>
      <c r="C30" s="25" t="s">
        <v>84</v>
      </c>
      <c r="D30" s="85" t="s">
        <v>410</v>
      </c>
      <c r="E30" s="85" t="s">
        <v>411</v>
      </c>
      <c r="F30" s="85" t="s">
        <v>412</v>
      </c>
      <c r="G30" s="85" t="s">
        <v>413</v>
      </c>
      <c r="H30" s="85"/>
      <c r="I30" s="85"/>
      <c r="J30" s="85"/>
      <c r="K30" s="145"/>
      <c r="L30" s="140"/>
    </row>
    <row r="31" spans="2:14" ht="52.5" customHeight="1" x14ac:dyDescent="0.2">
      <c r="B31" s="374"/>
      <c r="C31" s="25" t="s">
        <v>85</v>
      </c>
      <c r="D31" s="89" t="s">
        <v>414</v>
      </c>
      <c r="E31" s="89">
        <v>39673</v>
      </c>
      <c r="F31" s="89" t="s">
        <v>415</v>
      </c>
      <c r="G31" s="89" t="s">
        <v>416</v>
      </c>
      <c r="H31" s="89"/>
      <c r="I31" s="89"/>
      <c r="J31" s="89"/>
      <c r="K31" s="145"/>
      <c r="L31" s="140"/>
    </row>
    <row r="32" spans="2:14" ht="54.75" customHeight="1" x14ac:dyDescent="0.2">
      <c r="B32" s="374"/>
      <c r="C32" s="25" t="s">
        <v>86</v>
      </c>
      <c r="D32" s="89">
        <v>43585</v>
      </c>
      <c r="E32" s="89" t="s">
        <v>417</v>
      </c>
      <c r="F32" s="89">
        <v>38872</v>
      </c>
      <c r="G32" s="89" t="s">
        <v>418</v>
      </c>
      <c r="H32" s="89"/>
      <c r="I32" s="89"/>
      <c r="J32" s="89"/>
      <c r="K32" s="145"/>
      <c r="L32" s="140"/>
    </row>
    <row r="33" spans="2:12" ht="41.25" customHeight="1" x14ac:dyDescent="0.2">
      <c r="B33" s="374"/>
      <c r="C33" s="25" t="s">
        <v>87</v>
      </c>
      <c r="D33" s="86">
        <v>2019</v>
      </c>
      <c r="E33" s="86">
        <v>2011</v>
      </c>
      <c r="F33" s="86">
        <v>2006</v>
      </c>
      <c r="G33" s="86">
        <v>2012</v>
      </c>
      <c r="H33" s="86"/>
      <c r="I33" s="86"/>
      <c r="J33" s="86"/>
      <c r="K33" s="145"/>
      <c r="L33" s="140"/>
    </row>
    <row r="34" spans="2:12" ht="63" customHeight="1" x14ac:dyDescent="0.2">
      <c r="B34" s="374"/>
      <c r="C34" s="25" t="s">
        <v>88</v>
      </c>
      <c r="D34" s="85" t="s">
        <v>322</v>
      </c>
      <c r="E34" s="85" t="s">
        <v>419</v>
      </c>
      <c r="F34" s="85" t="s">
        <v>420</v>
      </c>
      <c r="G34" s="85" t="s">
        <v>420</v>
      </c>
      <c r="H34" s="85"/>
      <c r="I34" s="85"/>
      <c r="J34" s="85"/>
      <c r="K34" s="145"/>
      <c r="L34" s="140"/>
    </row>
    <row r="35" spans="2:12" ht="46.5" customHeight="1" x14ac:dyDescent="0.2">
      <c r="B35" s="374"/>
      <c r="C35" s="25" t="s">
        <v>89</v>
      </c>
      <c r="D35" s="85" t="s">
        <v>345</v>
      </c>
      <c r="E35" s="85" t="s">
        <v>345</v>
      </c>
      <c r="F35" s="85" t="s">
        <v>345</v>
      </c>
      <c r="G35" s="85" t="s">
        <v>345</v>
      </c>
      <c r="H35" s="85"/>
      <c r="I35" s="85"/>
      <c r="J35" s="85"/>
      <c r="K35" s="145"/>
      <c r="L35" s="140"/>
    </row>
    <row r="36" spans="2:12" ht="27.75" customHeight="1" x14ac:dyDescent="0.2">
      <c r="B36" s="374"/>
      <c r="C36" s="26" t="s">
        <v>90</v>
      </c>
      <c r="D36" s="90">
        <v>192</v>
      </c>
      <c r="E36" s="90">
        <v>7</v>
      </c>
      <c r="F36" s="90">
        <v>1</v>
      </c>
      <c r="G36" s="91">
        <v>47</v>
      </c>
      <c r="H36" s="91"/>
      <c r="I36" s="91"/>
      <c r="J36" s="91"/>
      <c r="K36" s="145"/>
      <c r="L36" s="140"/>
    </row>
    <row r="37" spans="2:12" ht="102.75" customHeight="1" x14ac:dyDescent="0.2">
      <c r="B37" s="374"/>
      <c r="C37" s="25" t="s">
        <v>91</v>
      </c>
      <c r="D37" s="87">
        <v>8145.22</v>
      </c>
      <c r="E37" s="158">
        <v>11200.97</v>
      </c>
      <c r="F37" s="87">
        <v>2822.68</v>
      </c>
      <c r="G37" s="87">
        <v>4744.7380000000003</v>
      </c>
      <c r="H37" s="87"/>
      <c r="I37" s="87"/>
      <c r="J37" s="87"/>
      <c r="K37" s="242"/>
      <c r="L37" s="243"/>
    </row>
    <row r="38" spans="2:12" ht="48" customHeight="1" x14ac:dyDescent="0.2">
      <c r="B38" s="374"/>
      <c r="C38" s="25" t="s">
        <v>92</v>
      </c>
      <c r="D38" s="97">
        <f>IFERROR(D37*VLOOKUP(D33,'DATOS INICIALES'!$A$12:$B$50,2,0),"0")</f>
        <v>6745187005.5200005</v>
      </c>
      <c r="E38" s="97">
        <f>IFERROR(E37*VLOOKUP(E33,'DATOS INICIALES'!$A$12:$B$50,2,0),"0")</f>
        <v>5999239532</v>
      </c>
      <c r="F38" s="97">
        <f>IFERROR(F37*VLOOKUP(F33,'DATOS INICIALES'!$A$12:$B$50,2,0),"0")</f>
        <v>1151653440</v>
      </c>
      <c r="G38" s="97">
        <f>IFERROR(G37*VLOOKUP(G33,'DATOS INICIALES'!$A$12:$B$50,2,0),"0")</f>
        <v>2688843024.6000004</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0.01</v>
      </c>
      <c r="E39" s="88">
        <v>1</v>
      </c>
      <c r="F39" s="88">
        <v>0.5</v>
      </c>
      <c r="G39" s="88">
        <v>0.5</v>
      </c>
      <c r="H39" s="88"/>
      <c r="I39" s="88"/>
      <c r="J39" s="88"/>
      <c r="K39" s="145"/>
      <c r="L39" s="140"/>
    </row>
    <row r="40" spans="2:12" ht="48.75" customHeight="1" x14ac:dyDescent="0.2">
      <c r="B40" s="374"/>
      <c r="C40" s="25" t="s">
        <v>94</v>
      </c>
      <c r="D40" s="97">
        <f t="shared" ref="D40:J40" si="0">IF(D26="","0",D39*D38)</f>
        <v>67451870.055200011</v>
      </c>
      <c r="E40" s="97">
        <f t="shared" si="0"/>
        <v>5999239532</v>
      </c>
      <c r="F40" s="97">
        <f t="shared" si="0"/>
        <v>575826720</v>
      </c>
      <c r="G40" s="97">
        <f t="shared" si="0"/>
        <v>1344421512.3000002</v>
      </c>
      <c r="H40" s="97" t="str">
        <f t="shared" si="0"/>
        <v>0</v>
      </c>
      <c r="I40" s="97" t="str">
        <f t="shared" si="0"/>
        <v>0</v>
      </c>
      <c r="J40" s="97" t="str">
        <f t="shared" si="0"/>
        <v>0</v>
      </c>
      <c r="K40" s="145"/>
      <c r="L40" s="140"/>
    </row>
    <row r="41" spans="2:12" ht="65.25" customHeight="1" x14ac:dyDescent="0.2">
      <c r="B41" s="374"/>
      <c r="C41" s="25" t="s">
        <v>95</v>
      </c>
      <c r="D41" s="98">
        <f t="shared" ref="D41:J41" si="1">IFERROR(D37*D39,"0")</f>
        <v>81.452200000000005</v>
      </c>
      <c r="E41" s="98">
        <f t="shared" si="1"/>
        <v>11200.97</v>
      </c>
      <c r="F41" s="98">
        <f t="shared" si="1"/>
        <v>1411.34</v>
      </c>
      <c r="G41" s="98">
        <f t="shared" si="1"/>
        <v>2372.3690000000001</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81.452200000000005</v>
      </c>
      <c r="E48" s="98">
        <f t="shared" ref="E48:G48" si="6">+E41+E44+E47</f>
        <v>11200.97</v>
      </c>
      <c r="F48" s="98">
        <f t="shared" si="6"/>
        <v>1411.34</v>
      </c>
      <c r="G48" s="98">
        <f t="shared" si="6"/>
        <v>2372.3690000000001</v>
      </c>
      <c r="H48" s="98">
        <f>+H41+H44+H47</f>
        <v>0</v>
      </c>
      <c r="I48" s="98">
        <f t="shared" ref="I48:J48" si="7">+I41+I44+I47</f>
        <v>0</v>
      </c>
      <c r="J48" s="98">
        <f t="shared" si="7"/>
        <v>0</v>
      </c>
      <c r="K48" s="313"/>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CUMPLE</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26</v>
      </c>
      <c r="H56" s="84" t="s">
        <v>24</v>
      </c>
      <c r="I56" s="84" t="s">
        <v>24</v>
      </c>
      <c r="J56" s="84" t="s">
        <v>24</v>
      </c>
      <c r="K56" s="489" t="s">
        <v>421</v>
      </c>
      <c r="L56" s="490"/>
    </row>
    <row r="57" spans="2:12" ht="50.25" customHeight="1" x14ac:dyDescent="0.2">
      <c r="B57" s="431" t="s">
        <v>177</v>
      </c>
      <c r="C57" s="432"/>
      <c r="D57" s="84" t="s">
        <v>24</v>
      </c>
      <c r="E57" s="84" t="s">
        <v>26</v>
      </c>
      <c r="F57" s="84" t="s">
        <v>26</v>
      </c>
      <c r="G57" s="84" t="s">
        <v>26</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NO CUMPLE</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2">
    <mergeCell ref="I22:L22"/>
    <mergeCell ref="B66:C66"/>
    <mergeCell ref="B67:C67"/>
    <mergeCell ref="B69:E69"/>
    <mergeCell ref="B70:C70"/>
    <mergeCell ref="B63:C63"/>
    <mergeCell ref="B64:C64"/>
    <mergeCell ref="B65:C65"/>
    <mergeCell ref="B60:C60"/>
    <mergeCell ref="B61:C61"/>
    <mergeCell ref="B62:C62"/>
    <mergeCell ref="B57:C57"/>
    <mergeCell ref="B58:C58"/>
    <mergeCell ref="B59:C59"/>
    <mergeCell ref="B13:H13"/>
    <mergeCell ref="B14:B21"/>
    <mergeCell ref="B26:C26"/>
    <mergeCell ref="B27:C27"/>
    <mergeCell ref="B72:C72"/>
    <mergeCell ref="B71:C71"/>
    <mergeCell ref="B24:L24"/>
    <mergeCell ref="K25:L25"/>
    <mergeCell ref="B56:C56"/>
    <mergeCell ref="B50:B55"/>
    <mergeCell ref="B29:B47"/>
    <mergeCell ref="B28:C28"/>
    <mergeCell ref="K56:L56"/>
    <mergeCell ref="K17:L17"/>
    <mergeCell ref="K18:L21"/>
    <mergeCell ref="B23:L23"/>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4730" priority="71" operator="equal">
      <formula>"CUMPLE"</formula>
    </cfRule>
    <cfRule type="cellIs" dxfId="4729" priority="70" operator="equal">
      <formula>"NO CUMPLE"</formula>
    </cfRule>
    <cfRule type="containsBlanks" dxfId="4728" priority="68">
      <formula>LEN(TRIM(D71))=0</formula>
    </cfRule>
    <cfRule type="notContainsErrors" dxfId="4727" priority="69">
      <formula>NOT(ISERROR(D71))</formula>
    </cfRule>
  </conditionalFormatting>
  <conditionalFormatting sqref="D72">
    <cfRule type="cellIs" dxfId="4726" priority="72" operator="equal">
      <formula>"N/A"</formula>
    </cfRule>
    <cfRule type="cellIs" dxfId="4725" priority="74" operator="equal">
      <formula>"NO CUMPLE"</formula>
    </cfRule>
    <cfRule type="cellIs" dxfId="4724" priority="73" operator="equal">
      <formula>"CUMPLE"</formula>
    </cfRule>
    <cfRule type="cellIs" dxfId="4723" priority="75" operator="equal">
      <formula>"""CUMPLE"""</formula>
    </cfRule>
  </conditionalFormatting>
  <conditionalFormatting sqref="D26:J37">
    <cfRule type="notContainsErrors" dxfId="4722" priority="6">
      <formula>NOT(ISERROR(D26))</formula>
    </cfRule>
    <cfRule type="containsBlanks" dxfId="4721" priority="5">
      <formula>LEN(TRIM(D26))=0</formula>
    </cfRule>
  </conditionalFormatting>
  <conditionalFormatting sqref="D36:J36">
    <cfRule type="notContainsErrors" dxfId="4720" priority="8">
      <formula>NOT(ISERROR(D36))</formula>
    </cfRule>
    <cfRule type="containsBlanks" dxfId="4719" priority="7">
      <formula>LEN(TRIM(D36))=0</formula>
    </cfRule>
  </conditionalFormatting>
  <conditionalFormatting sqref="D39:J39">
    <cfRule type="containsBlanks" dxfId="4718" priority="3">
      <formula>LEN(TRIM(D39))=0</formula>
    </cfRule>
    <cfRule type="notContainsErrors" dxfId="4717" priority="4">
      <formula>NOT(ISERROR(D39))</formula>
    </cfRule>
  </conditionalFormatting>
  <conditionalFormatting sqref="D42:J42 D45:J45">
    <cfRule type="notContainsErrors" dxfId="4716" priority="40">
      <formula>NOT(ISERROR(D42))</formula>
    </cfRule>
    <cfRule type="containsBlanks" dxfId="4715" priority="39">
      <formula>LEN(TRIM(D42))=0</formula>
    </cfRule>
  </conditionalFormatting>
  <conditionalFormatting sqref="D49:J54">
    <cfRule type="notContainsErrors" dxfId="4714" priority="22">
      <formula>NOT(ISERROR(D49))</formula>
    </cfRule>
    <cfRule type="containsBlanks" dxfId="4713" priority="21">
      <formula>LEN(TRIM(D49))=0</formula>
    </cfRule>
    <cfRule type="cellIs" dxfId="4712" priority="19" operator="equal">
      <formula>"NO CUMPLE"</formula>
    </cfRule>
    <cfRule type="cellIs" dxfId="4711" priority="20" operator="equal">
      <formula>"CUMPLE"</formula>
    </cfRule>
  </conditionalFormatting>
  <conditionalFormatting sqref="D55:J55">
    <cfRule type="cellIs" dxfId="4710" priority="31" operator="equal">
      <formula>"NO CUMPLE"</formula>
    </cfRule>
    <cfRule type="cellIs" dxfId="4709" priority="32" operator="equal">
      <formula>"""CUMPLE"""</formula>
    </cfRule>
    <cfRule type="cellIs" dxfId="4708" priority="29" operator="equal">
      <formula>"N/A"</formula>
    </cfRule>
    <cfRule type="cellIs" dxfId="4707" priority="30" operator="equal">
      <formula>"CUMPLE"</formula>
    </cfRule>
  </conditionalFormatting>
  <conditionalFormatting sqref="D56:J66">
    <cfRule type="cellIs" dxfId="4706" priority="14" operator="equal">
      <formula>"CUMPLE"</formula>
    </cfRule>
    <cfRule type="cellIs" dxfId="4705" priority="13" operator="equal">
      <formula>"NO CUMPLE"</formula>
    </cfRule>
    <cfRule type="containsBlanks" dxfId="4704" priority="15">
      <formula>LEN(TRIM(D56))=0</formula>
    </cfRule>
    <cfRule type="notContainsErrors" dxfId="4703" priority="16">
      <formula>NOT(ISERROR(D56))</formula>
    </cfRule>
  </conditionalFormatting>
  <conditionalFormatting sqref="D62:J62">
    <cfRule type="notContainsErrors" dxfId="4702" priority="12">
      <formula>NOT(ISERROR(D62))</formula>
    </cfRule>
    <cfRule type="containsBlanks" dxfId="4701" priority="11">
      <formula>LEN(TRIM(D62))=0</formula>
    </cfRule>
  </conditionalFormatting>
  <conditionalFormatting sqref="D67:J67">
    <cfRule type="cellIs" dxfId="4700" priority="26" operator="equal">
      <formula>"CUMPLE"</formula>
    </cfRule>
    <cfRule type="cellIs" dxfId="4699" priority="25" operator="equal">
      <formula>"N/A"</formula>
    </cfRule>
    <cfRule type="cellIs" dxfId="4698" priority="27" operator="equal">
      <formula>"NO CUMPLE"</formula>
    </cfRule>
    <cfRule type="cellIs" dxfId="4697" priority="28" operator="equal">
      <formula>"""CUMPLE"""</formula>
    </cfRule>
  </conditionalFormatting>
  <conditionalFormatting sqref="D62:K66">
    <cfRule type="containsBlanks" dxfId="4696" priority="17">
      <formula>LEN(TRIM(D62))=0</formula>
    </cfRule>
    <cfRule type="notContainsErrors" dxfId="4695" priority="18">
      <formula>NOT(ISERROR(D62))</formula>
    </cfRule>
  </conditionalFormatting>
  <conditionalFormatting sqref="E71:E72">
    <cfRule type="notContainsErrors" dxfId="4694" priority="67">
      <formula>NOT(ISERROR(E71))</formula>
    </cfRule>
    <cfRule type="containsBlanks" dxfId="4693" priority="66">
      <formula>LEN(TRIM(E71))=0</formula>
    </cfRule>
  </conditionalFormatting>
  <conditionalFormatting sqref="F22:H22">
    <cfRule type="cellIs" dxfId="4692" priority="94" operator="equal">
      <formula>"NO CUMPLE"</formula>
    </cfRule>
    <cfRule type="cellIs" dxfId="4691" priority="93" operator="equal">
      <formula>"CUMPLE"</formula>
    </cfRule>
    <cfRule type="cellIs" dxfId="4690" priority="95" operator="equal">
      <formula>"""CUMPLE"""</formula>
    </cfRule>
  </conditionalFormatting>
  <conditionalFormatting sqref="G63:J63">
    <cfRule type="containsBlanks" dxfId="4689" priority="9">
      <formula>LEN(TRIM(G63))=0</formula>
    </cfRule>
    <cfRule type="notContainsErrors" dxfId="4688" priority="10">
      <formula>NOT(ISERROR(G63))</formula>
    </cfRule>
  </conditionalFormatting>
  <conditionalFormatting sqref="I11">
    <cfRule type="containsText" dxfId="4687" priority="99" operator="containsText" text="NO CUMPLE">
      <formula>NOT(ISERROR(SEARCH("NO CUMPLE",I11)))</formula>
    </cfRule>
    <cfRule type="containsText" dxfId="4686" priority="98" operator="containsText" text="HABILITADO">
      <formula>NOT(ISERROR(SEARCH("HABILITADO",I11)))</formula>
    </cfRule>
    <cfRule type="containsText" dxfId="4685" priority="97" operator="containsText" text="HABILITADO">
      <formula>NOT(ISERROR(SEARCH("HABILITADO",I11)))</formula>
    </cfRule>
    <cfRule type="containsText" dxfId="4684" priority="96" operator="containsText" text="INHABILITADO">
      <formula>NOT(ISERROR(SEARCH("INHABILITADO",I11)))</formula>
    </cfRule>
  </conditionalFormatting>
  <conditionalFormatting sqref="K18:K20">
    <cfRule type="cellIs" dxfId="4683" priority="64" operator="equal">
      <formula>"NO CUMPLE"</formula>
    </cfRule>
    <cfRule type="cellIs" dxfId="4682" priority="63" operator="equal">
      <formula>"CUMPLE"</formula>
    </cfRule>
    <cfRule type="cellIs" dxfId="4681" priority="65" operator="equal">
      <formula>"""CUMPLE"""</formula>
    </cfRule>
  </conditionalFormatting>
  <conditionalFormatting sqref="K26:K61">
    <cfRule type="containsBlanks" dxfId="4680" priority="1">
      <formula>LEN(TRIM(K26))=0</formula>
    </cfRule>
    <cfRule type="notContainsErrors" dxfId="4679" priority="2">
      <formula>NOT(ISERROR(K26))</formula>
    </cfRule>
  </conditionalFormatting>
  <conditionalFormatting sqref="K67:L67">
    <cfRule type="containsBlanks" dxfId="4678" priority="23">
      <formula>LEN(TRIM(K67))=0</formula>
    </cfRule>
    <cfRule type="notContainsErrors" dxfId="4677" priority="24">
      <formula>NOT(ISERROR(K67))</formula>
    </cfRule>
  </conditionalFormatting>
  <conditionalFormatting sqref="L14">
    <cfRule type="cellIs" dxfId="4676" priority="92" operator="equal">
      <formula>"""CUMPLE"""</formula>
    </cfRule>
    <cfRule type="cellIs" dxfId="4675" priority="91" operator="equal">
      <formula>"NO CUMPLE"</formula>
    </cfRule>
    <cfRule type="cellIs" dxfId="4674" priority="90" operator="equal">
      <formula>"CUMPLE"</formula>
    </cfRule>
  </conditionalFormatting>
  <dataValidations count="2">
    <dataValidation type="list" allowBlank="1" showInputMessage="1" showErrorMessage="1" sqref="D26:J28" xr:uid="{00000000-0002-0000-0F00-000000000000}">
      <formula1>$C$15:$C$21</formula1>
    </dataValidation>
    <dataValidation type="list" allowBlank="1" showInputMessage="1" showErrorMessage="1" sqref="L62:L67" xr:uid="{00000000-0002-0000-0F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0F00-000002000000}">
          <x14:formula1>
            <xm:f>'DATOS INICIALES'!$A$13:$A$50</xm:f>
          </x14:formula1>
          <xm:sqref>H33:I33</xm:sqref>
        </x14:dataValidation>
        <x14:dataValidation type="list" allowBlank="1" showInputMessage="1" showErrorMessage="1" xr:uid="{00000000-0002-0000-0F00-000003000000}">
          <x14:formula1>
            <xm:f>'DATOS INICIALES'!$A$61:$A$66</xm:f>
          </x14:formula1>
          <xm:sqref>D25:I25</xm:sqref>
        </x14:dataValidation>
        <x14:dataValidation type="list" allowBlank="1" showInputMessage="1" showErrorMessage="1" xr:uid="{00000000-0002-0000-0F00-000004000000}">
          <x14:formula1>
            <xm:f>'DATOS INICIALES'!$A$57:$A$59</xm:f>
          </x14:formula1>
          <xm:sqref>D71 D56:J66</xm:sqref>
        </x14:dataValidation>
        <x14:dataValidation type="list" allowBlank="1" showInputMessage="1" showErrorMessage="1" xr:uid="{00000000-0002-0000-0F00-000005000000}">
          <x14:formula1>
            <xm:f>'DATOS INICIALES'!$C$52:$C$53</xm:f>
          </x14:formula1>
          <xm:sqref>D53:J54</xm:sqref>
        </x14:dataValidation>
        <x14:dataValidation type="list" allowBlank="1" showInputMessage="1" showErrorMessage="1" xr:uid="{00000000-0002-0000-0F00-000006000000}">
          <x14:formula1>
            <xm:f>'DATOS INICIALES'!$A$61:$A$67</xm:f>
          </x14:formula1>
          <xm:sqref>J25</xm:sqref>
        </x14:dataValidation>
        <x14:dataValidation type="list" allowBlank="1" showInputMessage="1" showErrorMessage="1" xr:uid="{00000000-0002-0000-0F00-000007000000}">
          <x14:formula1>
            <xm:f>'DATOS INICIALES'!$A$57:$A$58</xm:f>
          </x14:formula1>
          <xm:sqref>D49:J49</xm:sqref>
        </x14:dataValidation>
        <x14:dataValidation type="list" allowBlank="1" showInputMessage="1" showErrorMessage="1" xr:uid="{00000000-0002-0000-0F00-000008000000}">
          <x14:formula1>
            <xm:f>'DATOS INICIALES'!$D$27:$D$29</xm:f>
          </x14:formula1>
          <xm:sqref>M50:M55</xm:sqref>
        </x14:dataValidation>
        <x14:dataValidation type="list" allowBlank="1" showInputMessage="1" showErrorMessage="1" xr:uid="{00000000-0002-0000-0F00-000009000000}">
          <x14:formula1>
            <xm:f>'DATOS INICIALES'!$C$52:$C$54</xm:f>
          </x14:formula1>
          <xm:sqref>D50:J52</xm:sqref>
        </x14:dataValidation>
        <x14:dataValidation type="list" allowBlank="1" showInputMessage="1" showErrorMessage="1" xr:uid="{00000000-0002-0000-0F00-00000A000000}">
          <x14:formula1>
            <xm:f>'/Users/ldrr/Desktop/SDDE/REVISION DE CARPETAS/C:\Users\ASUS\OneDrive\Escritorio\alcaldia local de usaquen\2025\16. EVALUACION DE PROCESOS\INTERVENTORIA DE VIAS\consolidado equipo\[MONICA_ Evaluación_Tecnica_fdlusa-CMA-003-2025.xlsx]DATOS INICIALES'!#REF!</xm:f>
          </x14:formula1>
          <xm:sqref>G33</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92D050"/>
  </sheetPr>
  <dimension ref="A1:N72"/>
  <sheetViews>
    <sheetView view="pageBreakPreview" zoomScale="40" zoomScaleNormal="25" zoomScaleSheetLayoutView="40" workbookViewId="0">
      <selection activeCell="K48" sqref="K48"/>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44.83203125" customWidth="1"/>
    <col min="6" max="6" width="41.5" customWidth="1"/>
    <col min="7"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11</v>
      </c>
      <c r="B11" s="2" t="s">
        <v>58</v>
      </c>
      <c r="C11" s="413" t="str">
        <f>VLOOKUP(A11,PROPONENTES!A10:B94,2,FALSE)</f>
        <v>COMPAÑÍA DE PROYECTOS TÉCNICOS CPT S.A.</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4</v>
      </c>
      <c r="J14" s="147">
        <f>+L8</f>
        <v>986.3076290832455</v>
      </c>
      <c r="K14" s="147">
        <f>+E22</f>
        <v>7983.2812000000013</v>
      </c>
      <c r="L14" s="18" t="str">
        <f>IF(K14&gt;=J14,"CUMPLE","NO CUMPLE")</f>
        <v>CUMPLE</v>
      </c>
    </row>
    <row r="15" spans="1:12" ht="33.75" customHeight="1" x14ac:dyDescent="0.2">
      <c r="B15" s="382"/>
      <c r="C15" s="92" t="str">
        <f>IF(VLOOKUP(C11,PROPONENTES!B10:N94,2,FALSE)=0,"",VLOOKUP(C11,PROPONENTES!B10:N94,2,FALSE))</f>
        <v>COMPAÑÍA DE PROYECTOS TÉCNICOS CPT S.A.</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7983.2812000000013</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1995.8203000000003</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2</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4</v>
      </c>
      <c r="J19" s="128">
        <v>1</v>
      </c>
      <c r="K19" s="387"/>
      <c r="L19" s="388"/>
    </row>
    <row r="20" spans="2:14" ht="50.25" customHeight="1" x14ac:dyDescent="0.2">
      <c r="B20" s="382"/>
      <c r="C20" s="92"/>
      <c r="D20" s="93"/>
      <c r="E20" s="94"/>
      <c r="F20" s="95"/>
      <c r="G20" s="96"/>
      <c r="H20" s="96"/>
      <c r="I20" s="128">
        <f>COUNTIFS(D60:J60,"CUMPLE",D67:J67,"CUMPLE")</f>
        <v>4</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4</v>
      </c>
      <c r="J21" s="128">
        <v>1</v>
      </c>
      <c r="K21" s="389"/>
      <c r="L21" s="390"/>
    </row>
    <row r="22" spans="2:14" ht="84.75" customHeight="1" x14ac:dyDescent="0.2">
      <c r="B22" s="29" t="s">
        <v>75</v>
      </c>
      <c r="C22" s="24">
        <f>+VLOOKUP(C11,PROPONENTES!B10:N94,12,FALSE)</f>
        <v>1</v>
      </c>
      <c r="D22" s="93">
        <f>+VLOOKUP(C11,PROPONENTES!B10:N94,13,FALSE)</f>
        <v>1</v>
      </c>
      <c r="E22" s="32">
        <f>SUM(E15:E21)</f>
        <v>7983.2812000000013</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216</v>
      </c>
      <c r="E26" s="84" t="s">
        <v>216</v>
      </c>
      <c r="F26" s="84" t="s">
        <v>216</v>
      </c>
      <c r="G26" s="84" t="s">
        <v>216</v>
      </c>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422</v>
      </c>
      <c r="E29" s="85" t="s">
        <v>423</v>
      </c>
      <c r="F29" s="85" t="s">
        <v>424</v>
      </c>
      <c r="G29" s="85" t="s">
        <v>425</v>
      </c>
      <c r="H29" s="85"/>
      <c r="I29" s="85"/>
      <c r="J29" s="85"/>
      <c r="K29" s="145"/>
      <c r="L29" s="140"/>
    </row>
    <row r="30" spans="2:14" ht="222.5" customHeight="1" x14ac:dyDescent="0.2">
      <c r="B30" s="374"/>
      <c r="C30" s="25" t="s">
        <v>84</v>
      </c>
      <c r="D30" s="85" t="s">
        <v>426</v>
      </c>
      <c r="E30" s="85" t="s">
        <v>427</v>
      </c>
      <c r="F30" s="85" t="s">
        <v>428</v>
      </c>
      <c r="G30" s="85" t="s">
        <v>429</v>
      </c>
      <c r="H30" s="85"/>
      <c r="I30" s="85"/>
      <c r="J30" s="85"/>
      <c r="K30" s="489" t="s">
        <v>335</v>
      </c>
      <c r="L30" s="491"/>
    </row>
    <row r="31" spans="2:14" ht="52.5" customHeight="1" x14ac:dyDescent="0.2">
      <c r="B31" s="374"/>
      <c r="C31" s="25" t="s">
        <v>85</v>
      </c>
      <c r="D31" s="89" t="s">
        <v>430</v>
      </c>
      <c r="E31" s="89">
        <v>39387</v>
      </c>
      <c r="F31" s="89">
        <v>41255</v>
      </c>
      <c r="G31" s="89">
        <v>36395</v>
      </c>
      <c r="H31" s="89"/>
      <c r="I31" s="89"/>
      <c r="J31" s="89"/>
      <c r="K31" s="145"/>
      <c r="L31" s="140"/>
    </row>
    <row r="32" spans="2:14" ht="54.75" customHeight="1" x14ac:dyDescent="0.2">
      <c r="B32" s="374"/>
      <c r="C32" s="25" t="s">
        <v>86</v>
      </c>
      <c r="D32" s="89">
        <v>44148</v>
      </c>
      <c r="E32" s="89">
        <v>40087</v>
      </c>
      <c r="F32" s="89">
        <v>42564</v>
      </c>
      <c r="G32" s="89" t="s">
        <v>431</v>
      </c>
      <c r="H32" s="89"/>
      <c r="I32" s="89"/>
      <c r="J32" s="89"/>
      <c r="K32" s="145"/>
      <c r="L32" s="140"/>
    </row>
    <row r="33" spans="2:12" ht="41.25" customHeight="1" x14ac:dyDescent="0.2">
      <c r="B33" s="374"/>
      <c r="C33" s="25" t="s">
        <v>87</v>
      </c>
      <c r="D33" s="86">
        <v>2020</v>
      </c>
      <c r="E33" s="86">
        <v>2009</v>
      </c>
      <c r="F33" s="86">
        <v>2016</v>
      </c>
      <c r="G33" s="86">
        <v>2001</v>
      </c>
      <c r="H33" s="86"/>
      <c r="I33" s="86"/>
      <c r="J33" s="86"/>
      <c r="K33" s="145"/>
      <c r="L33" s="140"/>
    </row>
    <row r="34" spans="2:12" ht="63" customHeight="1" x14ac:dyDescent="0.2">
      <c r="B34" s="374"/>
      <c r="C34" s="25" t="s">
        <v>88</v>
      </c>
      <c r="D34" s="85" t="s">
        <v>432</v>
      </c>
      <c r="E34" s="85" t="s">
        <v>321</v>
      </c>
      <c r="F34" s="85" t="s">
        <v>322</v>
      </c>
      <c r="G34" s="85" t="s">
        <v>321</v>
      </c>
      <c r="H34" s="85"/>
      <c r="I34" s="85"/>
      <c r="J34" s="85"/>
      <c r="K34" s="145"/>
      <c r="L34" s="140"/>
    </row>
    <row r="35" spans="2:12" ht="46.5" customHeight="1" x14ac:dyDescent="0.2">
      <c r="B35" s="374"/>
      <c r="C35" s="25" t="s">
        <v>89</v>
      </c>
      <c r="D35" s="85" t="s">
        <v>216</v>
      </c>
      <c r="E35" s="85" t="s">
        <v>216</v>
      </c>
      <c r="F35" s="85" t="s">
        <v>216</v>
      </c>
      <c r="G35" s="85" t="s">
        <v>216</v>
      </c>
      <c r="H35" s="85"/>
      <c r="I35" s="85"/>
      <c r="J35" s="85"/>
      <c r="K35" s="145"/>
      <c r="L35" s="140"/>
    </row>
    <row r="36" spans="2:12" ht="27.75" customHeight="1" x14ac:dyDescent="0.2">
      <c r="B36" s="374"/>
      <c r="C36" s="26" t="s">
        <v>90</v>
      </c>
      <c r="D36" s="90">
        <v>191</v>
      </c>
      <c r="E36" s="90">
        <v>16</v>
      </c>
      <c r="F36" s="90">
        <v>168</v>
      </c>
      <c r="G36" s="91">
        <v>9</v>
      </c>
      <c r="H36" s="91"/>
      <c r="I36" s="91"/>
      <c r="J36" s="91"/>
      <c r="K36" s="145"/>
      <c r="L36" s="140"/>
    </row>
    <row r="37" spans="2:12" ht="102.75" customHeight="1" x14ac:dyDescent="0.2">
      <c r="B37" s="374"/>
      <c r="C37" s="25" t="s">
        <v>91</v>
      </c>
      <c r="D37" s="87">
        <v>2153.7800000000002</v>
      </c>
      <c r="E37" s="158">
        <v>3598.07</v>
      </c>
      <c r="F37" s="87">
        <v>7349.7</v>
      </c>
      <c r="G37" s="87">
        <v>971.24</v>
      </c>
      <c r="H37" s="87"/>
      <c r="I37" s="87"/>
      <c r="J37" s="87"/>
      <c r="K37" s="242"/>
      <c r="L37" s="243"/>
    </row>
    <row r="38" spans="2:12" ht="48" customHeight="1" x14ac:dyDescent="0.2">
      <c r="B38" s="374"/>
      <c r="C38" s="25" t="s">
        <v>92</v>
      </c>
      <c r="D38" s="97">
        <f>IFERROR(D37*VLOOKUP(D33,'DATOS INICIALES'!$A$12:$B$50,2,0),"0")</f>
        <v>1890594545.3400002</v>
      </c>
      <c r="E38" s="97">
        <f>IFERROR(E37*VLOOKUP(E33,'DATOS INICIALES'!$A$12:$B$50,2,0),"0")</f>
        <v>1787880983</v>
      </c>
      <c r="F38" s="97">
        <f>IFERROR(F37*VLOOKUP(F33,'DATOS INICIALES'!$A$12:$B$50,2,0),"0")</f>
        <v>5067287413.5</v>
      </c>
      <c r="G38" s="97">
        <f>IFERROR(G37*VLOOKUP(G33,'DATOS INICIALES'!$A$12:$B$50,2,0),"0")</f>
        <v>277774640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1</v>
      </c>
      <c r="E39" s="88">
        <v>1</v>
      </c>
      <c r="F39" s="88">
        <v>0.26</v>
      </c>
      <c r="G39" s="88">
        <v>0.33</v>
      </c>
      <c r="H39" s="88"/>
      <c r="I39" s="88"/>
      <c r="J39" s="88"/>
      <c r="K39" s="145"/>
      <c r="L39" s="140"/>
    </row>
    <row r="40" spans="2:12" ht="48.75" customHeight="1" x14ac:dyDescent="0.2">
      <c r="B40" s="374"/>
      <c r="C40" s="25" t="s">
        <v>94</v>
      </c>
      <c r="D40" s="97">
        <f t="shared" ref="D40:J40" si="0">IF(D26="","0",D39*D38)</f>
        <v>1890594545.3400002</v>
      </c>
      <c r="E40" s="97">
        <f t="shared" si="0"/>
        <v>1787880983</v>
      </c>
      <c r="F40" s="97">
        <f t="shared" si="0"/>
        <v>1317494727.51</v>
      </c>
      <c r="G40" s="97">
        <f t="shared" si="0"/>
        <v>91665631.200000003</v>
      </c>
      <c r="H40" s="97" t="str">
        <f t="shared" si="0"/>
        <v>0</v>
      </c>
      <c r="I40" s="97" t="str">
        <f t="shared" si="0"/>
        <v>0</v>
      </c>
      <c r="J40" s="97" t="str">
        <f t="shared" si="0"/>
        <v>0</v>
      </c>
      <c r="K40" s="145"/>
      <c r="L40" s="140"/>
    </row>
    <row r="41" spans="2:12" ht="65.25" customHeight="1" x14ac:dyDescent="0.2">
      <c r="B41" s="374"/>
      <c r="C41" s="25" t="s">
        <v>95</v>
      </c>
      <c r="D41" s="98">
        <f t="shared" ref="D41:J41" si="1">IFERROR(D37*D39,"0")</f>
        <v>2153.7800000000002</v>
      </c>
      <c r="E41" s="98">
        <f t="shared" si="1"/>
        <v>3598.07</v>
      </c>
      <c r="F41" s="98">
        <f t="shared" si="1"/>
        <v>1910.922</v>
      </c>
      <c r="G41" s="98">
        <f t="shared" si="1"/>
        <v>320.50920000000002</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2153.7800000000002</v>
      </c>
      <c r="E48" s="98">
        <f t="shared" ref="E48:G48" si="6">+E41+E44+E47</f>
        <v>3598.07</v>
      </c>
      <c r="F48" s="98">
        <f t="shared" si="6"/>
        <v>1910.922</v>
      </c>
      <c r="G48" s="98">
        <f t="shared" si="6"/>
        <v>320.50920000000002</v>
      </c>
      <c r="H48" s="98">
        <f>+H41+H44+H47</f>
        <v>0</v>
      </c>
      <c r="I48" s="98">
        <f t="shared" ref="I48:J48" si="7">+I41+I44+I47</f>
        <v>0</v>
      </c>
      <c r="J48" s="98">
        <f t="shared" si="7"/>
        <v>0</v>
      </c>
      <c r="K48" s="313"/>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CUMPLE</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26</v>
      </c>
      <c r="F57" s="84" t="s">
        <v>24</v>
      </c>
      <c r="G57" s="84" t="s">
        <v>26</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CUMPLE</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2">
    <mergeCell ref="I22:L22"/>
    <mergeCell ref="B66:C66"/>
    <mergeCell ref="B67:C67"/>
    <mergeCell ref="B69:E69"/>
    <mergeCell ref="B70:C70"/>
    <mergeCell ref="B63:C63"/>
    <mergeCell ref="B64:C64"/>
    <mergeCell ref="B65:C65"/>
    <mergeCell ref="B60:C60"/>
    <mergeCell ref="B61:C61"/>
    <mergeCell ref="B62:C62"/>
    <mergeCell ref="B57:C57"/>
    <mergeCell ref="B58:C58"/>
    <mergeCell ref="B59:C59"/>
    <mergeCell ref="B13:H13"/>
    <mergeCell ref="B14:B21"/>
    <mergeCell ref="B26:C26"/>
    <mergeCell ref="B27:C27"/>
    <mergeCell ref="B72:C72"/>
    <mergeCell ref="B71:C71"/>
    <mergeCell ref="B24:L24"/>
    <mergeCell ref="K25:L25"/>
    <mergeCell ref="B56:C56"/>
    <mergeCell ref="B50:B55"/>
    <mergeCell ref="B29:B47"/>
    <mergeCell ref="B28:C28"/>
    <mergeCell ref="K30:L30"/>
    <mergeCell ref="K17:L17"/>
    <mergeCell ref="K18:L21"/>
    <mergeCell ref="B23:L23"/>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4673" priority="71" operator="equal">
      <formula>"CUMPLE"</formula>
    </cfRule>
    <cfRule type="cellIs" dxfId="4672" priority="70" operator="equal">
      <formula>"NO CUMPLE"</formula>
    </cfRule>
    <cfRule type="containsBlanks" dxfId="4671" priority="68">
      <formula>LEN(TRIM(D71))=0</formula>
    </cfRule>
    <cfRule type="notContainsErrors" dxfId="4670" priority="69">
      <formula>NOT(ISERROR(D71))</formula>
    </cfRule>
  </conditionalFormatting>
  <conditionalFormatting sqref="D72">
    <cfRule type="cellIs" dxfId="4669" priority="72" operator="equal">
      <formula>"N/A"</formula>
    </cfRule>
    <cfRule type="cellIs" dxfId="4668" priority="74" operator="equal">
      <formula>"NO CUMPLE"</formula>
    </cfRule>
    <cfRule type="cellIs" dxfId="4667" priority="73" operator="equal">
      <formula>"CUMPLE"</formula>
    </cfRule>
    <cfRule type="cellIs" dxfId="4666" priority="75" operator="equal">
      <formula>"""CUMPLE"""</formula>
    </cfRule>
  </conditionalFormatting>
  <conditionalFormatting sqref="D26:J37">
    <cfRule type="notContainsErrors" dxfId="4665" priority="6">
      <formula>NOT(ISERROR(D26))</formula>
    </cfRule>
    <cfRule type="containsBlanks" dxfId="4664" priority="5">
      <formula>LEN(TRIM(D26))=0</formula>
    </cfRule>
  </conditionalFormatting>
  <conditionalFormatting sqref="D36:J36">
    <cfRule type="notContainsErrors" dxfId="4663" priority="8">
      <formula>NOT(ISERROR(D36))</formula>
    </cfRule>
    <cfRule type="containsBlanks" dxfId="4662" priority="7">
      <formula>LEN(TRIM(D36))=0</formula>
    </cfRule>
  </conditionalFormatting>
  <conditionalFormatting sqref="D39:J39">
    <cfRule type="containsBlanks" dxfId="4661" priority="3">
      <formula>LEN(TRIM(D39))=0</formula>
    </cfRule>
    <cfRule type="notContainsErrors" dxfId="4660" priority="4">
      <formula>NOT(ISERROR(D39))</formula>
    </cfRule>
  </conditionalFormatting>
  <conditionalFormatting sqref="D42:J42 D45:J45">
    <cfRule type="notContainsErrors" dxfId="4659" priority="40">
      <formula>NOT(ISERROR(D42))</formula>
    </cfRule>
    <cfRule type="containsBlanks" dxfId="4658" priority="39">
      <formula>LEN(TRIM(D42))=0</formula>
    </cfRule>
  </conditionalFormatting>
  <conditionalFormatting sqref="D49:J54">
    <cfRule type="notContainsErrors" dxfId="4657" priority="22">
      <formula>NOT(ISERROR(D49))</formula>
    </cfRule>
    <cfRule type="containsBlanks" dxfId="4656" priority="21">
      <formula>LEN(TRIM(D49))=0</formula>
    </cfRule>
    <cfRule type="cellIs" dxfId="4655" priority="19" operator="equal">
      <formula>"NO CUMPLE"</formula>
    </cfRule>
    <cfRule type="cellIs" dxfId="4654" priority="20" operator="equal">
      <formula>"CUMPLE"</formula>
    </cfRule>
  </conditionalFormatting>
  <conditionalFormatting sqref="D55:J55">
    <cfRule type="cellIs" dxfId="4653" priority="31" operator="equal">
      <formula>"NO CUMPLE"</formula>
    </cfRule>
    <cfRule type="cellIs" dxfId="4652" priority="32" operator="equal">
      <formula>"""CUMPLE"""</formula>
    </cfRule>
    <cfRule type="cellIs" dxfId="4651" priority="29" operator="equal">
      <formula>"N/A"</formula>
    </cfRule>
    <cfRule type="cellIs" dxfId="4650" priority="30" operator="equal">
      <formula>"CUMPLE"</formula>
    </cfRule>
  </conditionalFormatting>
  <conditionalFormatting sqref="D56:J66">
    <cfRule type="cellIs" dxfId="4649" priority="14" operator="equal">
      <formula>"CUMPLE"</formula>
    </cfRule>
    <cfRule type="cellIs" dxfId="4648" priority="13" operator="equal">
      <formula>"NO CUMPLE"</formula>
    </cfRule>
    <cfRule type="containsBlanks" dxfId="4647" priority="15">
      <formula>LEN(TRIM(D56))=0</formula>
    </cfRule>
    <cfRule type="notContainsErrors" dxfId="4646" priority="16">
      <formula>NOT(ISERROR(D56))</formula>
    </cfRule>
  </conditionalFormatting>
  <conditionalFormatting sqref="D62:J62">
    <cfRule type="notContainsErrors" dxfId="4645" priority="12">
      <formula>NOT(ISERROR(D62))</formula>
    </cfRule>
    <cfRule type="containsBlanks" dxfId="4644" priority="11">
      <formula>LEN(TRIM(D62))=0</formula>
    </cfRule>
  </conditionalFormatting>
  <conditionalFormatting sqref="D67:J67">
    <cfRule type="cellIs" dxfId="4643" priority="26" operator="equal">
      <formula>"CUMPLE"</formula>
    </cfRule>
    <cfRule type="cellIs" dxfId="4642" priority="25" operator="equal">
      <formula>"N/A"</formula>
    </cfRule>
    <cfRule type="cellIs" dxfId="4641" priority="27" operator="equal">
      <formula>"NO CUMPLE"</formula>
    </cfRule>
    <cfRule type="cellIs" dxfId="4640" priority="28" operator="equal">
      <formula>"""CUMPLE"""</formula>
    </cfRule>
  </conditionalFormatting>
  <conditionalFormatting sqref="D62:K66">
    <cfRule type="containsBlanks" dxfId="4639" priority="17">
      <formula>LEN(TRIM(D62))=0</formula>
    </cfRule>
    <cfRule type="notContainsErrors" dxfId="4638" priority="18">
      <formula>NOT(ISERROR(D62))</formula>
    </cfRule>
  </conditionalFormatting>
  <conditionalFormatting sqref="E71:E72">
    <cfRule type="notContainsErrors" dxfId="4637" priority="67">
      <formula>NOT(ISERROR(E71))</formula>
    </cfRule>
    <cfRule type="containsBlanks" dxfId="4636" priority="66">
      <formula>LEN(TRIM(E71))=0</formula>
    </cfRule>
  </conditionalFormatting>
  <conditionalFormatting sqref="F22:H22">
    <cfRule type="cellIs" dxfId="4635" priority="94" operator="equal">
      <formula>"NO CUMPLE"</formula>
    </cfRule>
    <cfRule type="cellIs" dxfId="4634" priority="93" operator="equal">
      <formula>"CUMPLE"</formula>
    </cfRule>
    <cfRule type="cellIs" dxfId="4633" priority="95" operator="equal">
      <formula>"""CUMPLE"""</formula>
    </cfRule>
  </conditionalFormatting>
  <conditionalFormatting sqref="G63:J63">
    <cfRule type="containsBlanks" dxfId="4632" priority="9">
      <formula>LEN(TRIM(G63))=0</formula>
    </cfRule>
    <cfRule type="notContainsErrors" dxfId="4631" priority="10">
      <formula>NOT(ISERROR(G63))</formula>
    </cfRule>
  </conditionalFormatting>
  <conditionalFormatting sqref="I11">
    <cfRule type="containsText" dxfId="4630" priority="99" operator="containsText" text="NO CUMPLE">
      <formula>NOT(ISERROR(SEARCH("NO CUMPLE",I11)))</formula>
    </cfRule>
    <cfRule type="containsText" dxfId="4629" priority="98" operator="containsText" text="HABILITADO">
      <formula>NOT(ISERROR(SEARCH("HABILITADO",I11)))</formula>
    </cfRule>
    <cfRule type="containsText" dxfId="4628" priority="97" operator="containsText" text="HABILITADO">
      <formula>NOT(ISERROR(SEARCH("HABILITADO",I11)))</formula>
    </cfRule>
    <cfRule type="containsText" dxfId="4627" priority="96" operator="containsText" text="INHABILITADO">
      <formula>NOT(ISERROR(SEARCH("INHABILITADO",I11)))</formula>
    </cfRule>
  </conditionalFormatting>
  <conditionalFormatting sqref="K18:K20">
    <cfRule type="cellIs" dxfId="4626" priority="64" operator="equal">
      <formula>"NO CUMPLE"</formula>
    </cfRule>
    <cfRule type="cellIs" dxfId="4625" priority="63" operator="equal">
      <formula>"CUMPLE"</formula>
    </cfRule>
    <cfRule type="cellIs" dxfId="4624" priority="65" operator="equal">
      <formula>"""CUMPLE"""</formula>
    </cfRule>
  </conditionalFormatting>
  <conditionalFormatting sqref="K26:K61">
    <cfRule type="containsBlanks" dxfId="4623" priority="1">
      <formula>LEN(TRIM(K26))=0</formula>
    </cfRule>
    <cfRule type="notContainsErrors" dxfId="4622" priority="2">
      <formula>NOT(ISERROR(K26))</formula>
    </cfRule>
  </conditionalFormatting>
  <conditionalFormatting sqref="K67:L67">
    <cfRule type="containsBlanks" dxfId="4621" priority="23">
      <formula>LEN(TRIM(K67))=0</formula>
    </cfRule>
    <cfRule type="notContainsErrors" dxfId="4620" priority="24">
      <formula>NOT(ISERROR(K67))</formula>
    </cfRule>
  </conditionalFormatting>
  <conditionalFormatting sqref="L14">
    <cfRule type="cellIs" dxfId="4619" priority="92" operator="equal">
      <formula>"""CUMPLE"""</formula>
    </cfRule>
    <cfRule type="cellIs" dxfId="4618" priority="91" operator="equal">
      <formula>"NO CUMPLE"</formula>
    </cfRule>
    <cfRule type="cellIs" dxfId="4617" priority="90" operator="equal">
      <formula>"CUMPLE"</formula>
    </cfRule>
  </conditionalFormatting>
  <dataValidations count="2">
    <dataValidation type="list" allowBlank="1" showInputMessage="1" showErrorMessage="1" sqref="L62:L67" xr:uid="{00000000-0002-0000-1000-000000000000}">
      <formula1>"0,1,2,3,4,5,6"</formula1>
    </dataValidation>
    <dataValidation type="list" allowBlank="1" showInputMessage="1" showErrorMessage="1" sqref="D26:J28" xr:uid="{00000000-0002-0000-10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1000-000002000000}">
          <x14:formula1>
            <xm:f>'DATOS INICIALES'!$A$57:$A$58</xm:f>
          </x14:formula1>
          <xm:sqref>D49:J49</xm:sqref>
        </x14:dataValidation>
        <x14:dataValidation type="list" allowBlank="1" showInputMessage="1" showErrorMessage="1" xr:uid="{00000000-0002-0000-1000-000003000000}">
          <x14:formula1>
            <xm:f>'DATOS INICIALES'!$A$61:$A$67</xm:f>
          </x14:formula1>
          <xm:sqref>J25</xm:sqref>
        </x14:dataValidation>
        <x14:dataValidation type="list" allowBlank="1" showInputMessage="1" showErrorMessage="1" xr:uid="{00000000-0002-0000-1000-000004000000}">
          <x14:formula1>
            <xm:f>'DATOS INICIALES'!$C$52:$C$53</xm:f>
          </x14:formula1>
          <xm:sqref>D53:J54</xm:sqref>
        </x14:dataValidation>
        <x14:dataValidation type="list" allowBlank="1" showInputMessage="1" showErrorMessage="1" xr:uid="{00000000-0002-0000-1000-000005000000}">
          <x14:formula1>
            <xm:f>'DATOS INICIALES'!$A$57:$A$59</xm:f>
          </x14:formula1>
          <xm:sqref>D71 D56:J66</xm:sqref>
        </x14:dataValidation>
        <x14:dataValidation type="list" allowBlank="1" showInputMessage="1" showErrorMessage="1" xr:uid="{00000000-0002-0000-1000-000006000000}">
          <x14:formula1>
            <xm:f>'DATOS INICIALES'!$A$61:$A$66</xm:f>
          </x14:formula1>
          <xm:sqref>D25:I25</xm:sqref>
        </x14:dataValidation>
        <x14:dataValidation type="list" allowBlank="1" showInputMessage="1" showErrorMessage="1" xr:uid="{00000000-0002-0000-1000-000007000000}">
          <x14:formula1>
            <xm:f>'DATOS INICIALES'!$A$13:$A$50</xm:f>
          </x14:formula1>
          <xm:sqref>H33:I33</xm:sqref>
        </x14:dataValidation>
        <x14:dataValidation type="list" allowBlank="1" showInputMessage="1" showErrorMessage="1" xr:uid="{00000000-0002-0000-1000-000008000000}">
          <x14:formula1>
            <xm:f>'DATOS INICIALES'!$D$27:$D$29</xm:f>
          </x14:formula1>
          <xm:sqref>M50:M55</xm:sqref>
        </x14:dataValidation>
        <x14:dataValidation type="list" allowBlank="1" showInputMessage="1" showErrorMessage="1" xr:uid="{00000000-0002-0000-1000-000009000000}">
          <x14:formula1>
            <xm:f>'DATOS INICIALES'!$C$52:$C$54</xm:f>
          </x14:formula1>
          <xm:sqref>D50:J52</xm:sqref>
        </x14:dataValidation>
        <x14:dataValidation type="list" allowBlank="1" showInputMessage="1" showErrorMessage="1" xr:uid="{00000000-0002-0000-1000-00000A000000}">
          <x14:formula1>
            <xm:f>'/Users/ldrr/Desktop/SDDE/REVISION DE CARPETAS/C:\Users\ASUS\OneDrive\Escritorio\alcaldia local de usaquen\2025\16. EVALUACION DE PROCESOS\INTERVENTORIA DE VIAS\consolidado equipo\[MONICA_ Evaluación_Tecnica_fdlusa-CMA-003-2025.xlsx]DATOS INICIALES'!#REF!</xm:f>
          </x14:formula1>
          <xm:sqref>G33</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92D050"/>
  </sheetPr>
  <dimension ref="A1:N72"/>
  <sheetViews>
    <sheetView view="pageBreakPreview" zoomScale="40" zoomScaleNormal="25" zoomScaleSheetLayoutView="40" workbookViewId="0">
      <selection activeCell="G56" sqref="G56"/>
    </sheetView>
  </sheetViews>
  <sheetFormatPr baseColWidth="10" defaultColWidth="11.5" defaultRowHeight="15" x14ac:dyDescent="0.2"/>
  <cols>
    <col min="1" max="1" width="5.5" customWidth="1"/>
    <col min="2" max="2" width="30.83203125" customWidth="1"/>
    <col min="3" max="3" width="63.1640625" customWidth="1"/>
    <col min="4" max="4" width="53.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12</v>
      </c>
      <c r="B11" s="2" t="s">
        <v>58</v>
      </c>
      <c r="C11" s="413" t="str">
        <f>VLOOKUP(A11,PROPONENTES!A10:B94,2,FALSE)</f>
        <v>CONSORCIO 3797 KAPROY USAQUEN</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3</v>
      </c>
      <c r="J14" s="147">
        <f>+L8</f>
        <v>986.3076290832455</v>
      </c>
      <c r="K14" s="147">
        <f>+E22</f>
        <v>6469.1135000000004</v>
      </c>
      <c r="L14" s="18" t="str">
        <f>IF(K14&gt;=J14,"CUMPLE","NO CUMPLE")</f>
        <v>CUMPLE</v>
      </c>
    </row>
    <row r="15" spans="1:12" ht="33.75" customHeight="1" x14ac:dyDescent="0.2">
      <c r="B15" s="382"/>
      <c r="C15" s="92" t="str">
        <f>IF(VLOOKUP(C11,PROPONENTES!B10:N94,2,FALSE)=0,"",VLOOKUP(C11,PROPONENTES!B10:N94,2,FALSE))</f>
        <v>KALPA INGENIERIA SAS
SOCIEDAD DE BENEFICIO E
INTERES COLECTIVO - BIC</v>
      </c>
      <c r="D15" s="93">
        <f>IF(VLOOKUP(C11,PROPONENTES!B10:N94,3,FALSE)=0,"",VLOOKUP(C11,PROPONENTES!B10:N94,3,FALSE))</f>
        <v>0.99</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6469.1135000000004</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ROY INGENIERIA SAS</v>
      </c>
      <c r="D16" s="93">
        <f>IF(VLOOKUP(C11,PROPONENTES!B10:N94,5,FALSE)=0,"",VLOOKUP(C11,PROPONENTES!B10:N94,5,FALSE))</f>
        <v>0.01</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0</v>
      </c>
      <c r="F16" s="95" t="str">
        <f>IF(C16="","",IF(E16&gt;=$J$14*0.5,"SI","NO"))</f>
        <v>NO</v>
      </c>
      <c r="G16" s="96" t="str">
        <f>IF(C16="","",IF(E16&gt;=$J$14*0.05,"SI",IF(E16=0,"NO APORTA EXPERIENCIA",)))</f>
        <v>NO APORTA EXPERIENCIA</v>
      </c>
      <c r="H16" s="96" t="str">
        <f>IF(C16="","",IF(AND(G16="NO APORTA EXPERIENCIA",D16&lt;=10%),"SI",IF(G16="SI","NO APLICA","NO - PORCENTAJE MAYOR AL 10%")))</f>
        <v>SI</v>
      </c>
      <c r="I16" s="162"/>
      <c r="J16" s="162"/>
      <c r="K16" s="162"/>
      <c r="L16" s="161">
        <f>AVERAGEIF(D67:J67,"CUMPLE",D48:J48)</f>
        <v>2156.3711666666668</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2</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3</v>
      </c>
      <c r="J19" s="128">
        <v>1</v>
      </c>
      <c r="K19" s="387"/>
      <c r="L19" s="388"/>
    </row>
    <row r="20" spans="2:14" ht="50.25" customHeight="1" x14ac:dyDescent="0.2">
      <c r="B20" s="382"/>
      <c r="C20" s="92"/>
      <c r="D20" s="93"/>
      <c r="E20" s="94"/>
      <c r="F20" s="95"/>
      <c r="G20" s="96"/>
      <c r="H20" s="96"/>
      <c r="I20" s="128">
        <f>COUNTIFS(D60:J60,"CUMPLE",D67:J67,"CUMPLE")</f>
        <v>3</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3</v>
      </c>
      <c r="J21" s="128">
        <v>1</v>
      </c>
      <c r="K21" s="389"/>
      <c r="L21" s="390"/>
    </row>
    <row r="22" spans="2:14" ht="84.75" customHeight="1" x14ac:dyDescent="0.2">
      <c r="B22" s="29" t="s">
        <v>75</v>
      </c>
      <c r="C22" s="24">
        <f>+VLOOKUP(C11,PROPONENTES!B10:N94,12,FALSE)</f>
        <v>2</v>
      </c>
      <c r="D22" s="93">
        <f>+VLOOKUP(C11,PROPONENTES!B10:N94,13,FALSE)</f>
        <v>1</v>
      </c>
      <c r="E22" s="32">
        <f>SUM(E15:E21)</f>
        <v>6469.1135000000004</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347</v>
      </c>
      <c r="E26" s="84" t="s">
        <v>347</v>
      </c>
      <c r="F26" s="84" t="s">
        <v>347</v>
      </c>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433</v>
      </c>
      <c r="E29" s="85" t="s">
        <v>434</v>
      </c>
      <c r="F29" s="85" t="s">
        <v>435</v>
      </c>
      <c r="G29" s="85"/>
      <c r="H29" s="85"/>
      <c r="I29" s="85"/>
      <c r="J29" s="85"/>
      <c r="K29" s="145"/>
      <c r="L29" s="140"/>
    </row>
    <row r="30" spans="2:14" ht="234.5" customHeight="1" x14ac:dyDescent="0.2">
      <c r="B30" s="374"/>
      <c r="C30" s="25" t="s">
        <v>84</v>
      </c>
      <c r="D30" s="85" t="s">
        <v>436</v>
      </c>
      <c r="E30" s="85" t="s">
        <v>437</v>
      </c>
      <c r="F30" s="85" t="s">
        <v>438</v>
      </c>
      <c r="G30" s="85"/>
      <c r="H30" s="85"/>
      <c r="I30" s="85"/>
      <c r="J30" s="85"/>
      <c r="K30" s="145"/>
      <c r="L30" s="140"/>
    </row>
    <row r="31" spans="2:14" ht="52.5" customHeight="1" x14ac:dyDescent="0.2">
      <c r="B31" s="374"/>
      <c r="C31" s="25" t="s">
        <v>85</v>
      </c>
      <c r="D31" s="89">
        <v>43530</v>
      </c>
      <c r="E31" s="89">
        <v>43819</v>
      </c>
      <c r="F31" s="89">
        <v>45006</v>
      </c>
      <c r="G31" s="89"/>
      <c r="H31" s="89"/>
      <c r="I31" s="89"/>
      <c r="J31" s="89"/>
      <c r="K31" s="145"/>
      <c r="L31" s="140"/>
    </row>
    <row r="32" spans="2:14" ht="54.75" customHeight="1" x14ac:dyDescent="0.2">
      <c r="B32" s="374"/>
      <c r="C32" s="25" t="s">
        <v>86</v>
      </c>
      <c r="D32" s="89">
        <v>44545</v>
      </c>
      <c r="E32" s="89">
        <v>45310</v>
      </c>
      <c r="F32" s="89">
        <v>45342</v>
      </c>
      <c r="G32" s="89"/>
      <c r="H32" s="89"/>
      <c r="I32" s="89"/>
      <c r="J32" s="89"/>
      <c r="K32" s="145"/>
      <c r="L32" s="140"/>
    </row>
    <row r="33" spans="2:12" ht="41.25" customHeight="1" x14ac:dyDescent="0.2">
      <c r="B33" s="374"/>
      <c r="C33" s="25" t="s">
        <v>87</v>
      </c>
      <c r="D33" s="86">
        <v>2021</v>
      </c>
      <c r="E33" s="86">
        <v>2024</v>
      </c>
      <c r="F33" s="86">
        <v>2024</v>
      </c>
      <c r="G33" s="86"/>
      <c r="H33" s="86"/>
      <c r="I33" s="86"/>
      <c r="J33" s="86"/>
      <c r="K33" s="145"/>
      <c r="L33" s="140"/>
    </row>
    <row r="34" spans="2:12" ht="63" customHeight="1" x14ac:dyDescent="0.2">
      <c r="B34" s="374"/>
      <c r="C34" s="25" t="s">
        <v>88</v>
      </c>
      <c r="D34" s="85" t="s">
        <v>439</v>
      </c>
      <c r="E34" s="85" t="s">
        <v>440</v>
      </c>
      <c r="F34" s="85" t="s">
        <v>321</v>
      </c>
      <c r="G34" s="85"/>
      <c r="H34" s="85"/>
      <c r="I34" s="85"/>
      <c r="J34" s="85"/>
      <c r="K34" s="145"/>
      <c r="L34" s="140"/>
    </row>
    <row r="35" spans="2:12" ht="46.5" customHeight="1" x14ac:dyDescent="0.2">
      <c r="B35" s="374"/>
      <c r="C35" s="25" t="s">
        <v>89</v>
      </c>
      <c r="D35" s="85" t="s">
        <v>347</v>
      </c>
      <c r="E35" s="85" t="s">
        <v>347</v>
      </c>
      <c r="F35" s="85" t="s">
        <v>347</v>
      </c>
      <c r="G35" s="85"/>
      <c r="H35" s="85"/>
      <c r="I35" s="85"/>
      <c r="J35" s="85"/>
      <c r="K35" s="145"/>
      <c r="L35" s="140"/>
    </row>
    <row r="36" spans="2:12" ht="27.75" customHeight="1" x14ac:dyDescent="0.2">
      <c r="B36" s="374"/>
      <c r="C36" s="26" t="s">
        <v>90</v>
      </c>
      <c r="D36" s="90">
        <v>279</v>
      </c>
      <c r="E36" s="90">
        <v>296</v>
      </c>
      <c r="F36" s="90">
        <v>303</v>
      </c>
      <c r="G36" s="91"/>
      <c r="H36" s="91"/>
      <c r="I36" s="91"/>
      <c r="J36" s="91"/>
      <c r="K36" s="145"/>
      <c r="L36" s="140"/>
    </row>
    <row r="37" spans="2:12" ht="102.75" customHeight="1" x14ac:dyDescent="0.2">
      <c r="B37" s="374"/>
      <c r="C37" s="25" t="s">
        <v>91</v>
      </c>
      <c r="D37" s="87">
        <v>2370.36</v>
      </c>
      <c r="E37" s="158">
        <v>7790.58</v>
      </c>
      <c r="F37" s="87">
        <v>1461.73</v>
      </c>
      <c r="G37" s="87"/>
      <c r="H37" s="87"/>
      <c r="I37" s="87"/>
      <c r="J37" s="87"/>
      <c r="K37" s="242"/>
      <c r="L37" s="243"/>
    </row>
    <row r="38" spans="2:12" ht="48" customHeight="1" x14ac:dyDescent="0.2">
      <c r="B38" s="374"/>
      <c r="C38" s="25" t="s">
        <v>92</v>
      </c>
      <c r="D38" s="97">
        <f>IFERROR(D37*VLOOKUP(D33,'DATOS INICIALES'!$A$12:$B$50,2,0),"0")</f>
        <v>2153533689.3600001</v>
      </c>
      <c r="E38" s="97">
        <f>IFERROR(E37*VLOOKUP(E33,'DATOS INICIALES'!$A$12:$B$50,2,0),"0")</f>
        <v>10127754000</v>
      </c>
      <c r="F38" s="97">
        <f>IFERROR(F37*VLOOKUP(F33,'DATOS INICIALES'!$A$12:$B$50,2,0),"0")</f>
        <v>1900249000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0.5</v>
      </c>
      <c r="E39" s="88">
        <v>0.5</v>
      </c>
      <c r="F39" s="88">
        <v>0.95</v>
      </c>
      <c r="G39" s="88"/>
      <c r="H39" s="88"/>
      <c r="I39" s="88"/>
      <c r="J39" s="88"/>
      <c r="K39" s="145"/>
      <c r="L39" s="140"/>
    </row>
    <row r="40" spans="2:12" ht="48.75" customHeight="1" x14ac:dyDescent="0.2">
      <c r="B40" s="374"/>
      <c r="C40" s="25" t="s">
        <v>94</v>
      </c>
      <c r="D40" s="97">
        <f t="shared" ref="D40:J40" si="0">IF(D26="","0",D39*D38)</f>
        <v>1076766844.6800001</v>
      </c>
      <c r="E40" s="97">
        <f t="shared" si="0"/>
        <v>5063877000</v>
      </c>
      <c r="F40" s="97">
        <f t="shared" si="0"/>
        <v>1805236550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1185.18</v>
      </c>
      <c r="E41" s="98">
        <f t="shared" si="1"/>
        <v>3895.29</v>
      </c>
      <c r="F41" s="98">
        <f t="shared" si="1"/>
        <v>1388.6434999999999</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1185.18</v>
      </c>
      <c r="E48" s="98">
        <f t="shared" ref="E48:G48" si="6">+E41+E44+E47</f>
        <v>3895.29</v>
      </c>
      <c r="F48" s="98">
        <f t="shared" si="6"/>
        <v>1388.6434999999999</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26</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c r="G71" s="226"/>
      <c r="I71" s="154"/>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4616" priority="69" operator="equal">
      <formula>"CUMPLE"</formula>
    </cfRule>
    <cfRule type="containsBlanks" dxfId="4615" priority="66">
      <formula>LEN(TRIM(D71))=0</formula>
    </cfRule>
    <cfRule type="notContainsErrors" dxfId="4614" priority="67">
      <formula>NOT(ISERROR(D71))</formula>
    </cfRule>
    <cfRule type="cellIs" dxfId="4613" priority="68" operator="equal">
      <formula>"NO CUMPLE"</formula>
    </cfRule>
  </conditionalFormatting>
  <conditionalFormatting sqref="D72">
    <cfRule type="cellIs" dxfId="4612" priority="71" operator="equal">
      <formula>"CUMPLE"</formula>
    </cfRule>
    <cfRule type="cellIs" dxfId="4611" priority="70" operator="equal">
      <formula>"N/A"</formula>
    </cfRule>
    <cfRule type="cellIs" dxfId="4610" priority="73" operator="equal">
      <formula>"""CUMPLE"""</formula>
    </cfRule>
    <cfRule type="cellIs" dxfId="4609" priority="72" operator="equal">
      <formula>"NO CUMPLE"</formula>
    </cfRule>
  </conditionalFormatting>
  <conditionalFormatting sqref="D26:J37">
    <cfRule type="notContainsErrors" dxfId="4608" priority="4">
      <formula>NOT(ISERROR(D26))</formula>
    </cfRule>
    <cfRule type="containsBlanks" dxfId="4607" priority="3">
      <formula>LEN(TRIM(D26))=0</formula>
    </cfRule>
  </conditionalFormatting>
  <conditionalFormatting sqref="D36:J36">
    <cfRule type="notContainsErrors" dxfId="4606" priority="6">
      <formula>NOT(ISERROR(D36))</formula>
    </cfRule>
    <cfRule type="containsBlanks" dxfId="4605" priority="5">
      <formula>LEN(TRIM(D36))=0</formula>
    </cfRule>
  </conditionalFormatting>
  <conditionalFormatting sqref="D39:J39">
    <cfRule type="containsBlanks" dxfId="4604" priority="1">
      <formula>LEN(TRIM(D39))=0</formula>
    </cfRule>
    <cfRule type="notContainsErrors" dxfId="4603" priority="2">
      <formula>NOT(ISERROR(D39))</formula>
    </cfRule>
  </conditionalFormatting>
  <conditionalFormatting sqref="D42:J42 D45:J45">
    <cfRule type="notContainsErrors" dxfId="4602" priority="38">
      <formula>NOT(ISERROR(D42))</formula>
    </cfRule>
    <cfRule type="containsBlanks" dxfId="4601" priority="37">
      <formula>LEN(TRIM(D42))=0</formula>
    </cfRule>
  </conditionalFormatting>
  <conditionalFormatting sqref="D49:J54">
    <cfRule type="cellIs" dxfId="4600" priority="17" operator="equal">
      <formula>"NO CUMPLE"</formula>
    </cfRule>
    <cfRule type="cellIs" dxfId="4599" priority="18" operator="equal">
      <formula>"CUMPLE"</formula>
    </cfRule>
    <cfRule type="containsBlanks" dxfId="4598" priority="19">
      <formula>LEN(TRIM(D49))=0</formula>
    </cfRule>
    <cfRule type="notContainsErrors" dxfId="4597" priority="20">
      <formula>NOT(ISERROR(D49))</formula>
    </cfRule>
  </conditionalFormatting>
  <conditionalFormatting sqref="D55:J55">
    <cfRule type="cellIs" dxfId="4596" priority="28" operator="equal">
      <formula>"CUMPLE"</formula>
    </cfRule>
    <cfRule type="cellIs" dxfId="4595" priority="30" operator="equal">
      <formula>"""CUMPLE"""</formula>
    </cfRule>
    <cfRule type="cellIs" dxfId="4594" priority="29" operator="equal">
      <formula>"NO CUMPLE"</formula>
    </cfRule>
    <cfRule type="cellIs" dxfId="4593" priority="27" operator="equal">
      <formula>"N/A"</formula>
    </cfRule>
  </conditionalFormatting>
  <conditionalFormatting sqref="D56:J66">
    <cfRule type="cellIs" dxfId="4592" priority="11" operator="equal">
      <formula>"NO CUMPLE"</formula>
    </cfRule>
    <cfRule type="notContainsErrors" dxfId="4591" priority="14">
      <formula>NOT(ISERROR(D56))</formula>
    </cfRule>
    <cfRule type="containsBlanks" dxfId="4590" priority="13">
      <formula>LEN(TRIM(D56))=0</formula>
    </cfRule>
    <cfRule type="cellIs" dxfId="4589" priority="12" operator="equal">
      <formula>"CUMPLE"</formula>
    </cfRule>
  </conditionalFormatting>
  <conditionalFormatting sqref="D67:J67">
    <cfRule type="cellIs" dxfId="4588" priority="23" operator="equal">
      <formula>"N/A"</formula>
    </cfRule>
    <cfRule type="cellIs" dxfId="4587" priority="24" operator="equal">
      <formula>"CUMPLE"</formula>
    </cfRule>
    <cfRule type="cellIs" dxfId="4586" priority="26" operator="equal">
      <formula>"""CUMPLE"""</formula>
    </cfRule>
    <cfRule type="cellIs" dxfId="4585" priority="25" operator="equal">
      <formula>"NO CUMPLE"</formula>
    </cfRule>
  </conditionalFormatting>
  <conditionalFormatting sqref="D62:K66">
    <cfRule type="containsBlanks" dxfId="4584" priority="15">
      <formula>LEN(TRIM(D62))=0</formula>
    </cfRule>
    <cfRule type="notContainsErrors" dxfId="4583" priority="16">
      <formula>NOT(ISERROR(D62))</formula>
    </cfRule>
  </conditionalFormatting>
  <conditionalFormatting sqref="E71:E72">
    <cfRule type="notContainsErrors" dxfId="4582" priority="65">
      <formula>NOT(ISERROR(E71))</formula>
    </cfRule>
    <cfRule type="containsBlanks" dxfId="4581" priority="64">
      <formula>LEN(TRIM(E71))=0</formula>
    </cfRule>
  </conditionalFormatting>
  <conditionalFormatting sqref="F22:H22">
    <cfRule type="cellIs" dxfId="4580" priority="92" operator="equal">
      <formula>"NO CUMPLE"</formula>
    </cfRule>
    <cfRule type="cellIs" dxfId="4579" priority="93" operator="equal">
      <formula>"""CUMPLE"""</formula>
    </cfRule>
    <cfRule type="cellIs" dxfId="4578" priority="91" operator="equal">
      <formula>"CUMPLE"</formula>
    </cfRule>
  </conditionalFormatting>
  <conditionalFormatting sqref="G63:J63">
    <cfRule type="containsBlanks" dxfId="4577" priority="7">
      <formula>LEN(TRIM(G63))=0</formula>
    </cfRule>
    <cfRule type="notContainsErrors" dxfId="4576" priority="8">
      <formula>NOT(ISERROR(G63))</formula>
    </cfRule>
  </conditionalFormatting>
  <conditionalFormatting sqref="I11">
    <cfRule type="containsText" dxfId="4575" priority="97" operator="containsText" text="NO CUMPLE">
      <formula>NOT(ISERROR(SEARCH("NO CUMPLE",I11)))</formula>
    </cfRule>
    <cfRule type="containsText" dxfId="4574" priority="96" operator="containsText" text="HABILITADO">
      <formula>NOT(ISERROR(SEARCH("HABILITADO",I11)))</formula>
    </cfRule>
    <cfRule type="containsText" dxfId="4573" priority="95" operator="containsText" text="HABILITADO">
      <formula>NOT(ISERROR(SEARCH("HABILITADO",I11)))</formula>
    </cfRule>
    <cfRule type="containsText" dxfId="4572" priority="94" operator="containsText" text="INHABILITADO">
      <formula>NOT(ISERROR(SEARCH("INHABILITADO",I11)))</formula>
    </cfRule>
  </conditionalFormatting>
  <conditionalFormatting sqref="K18:K20">
    <cfRule type="cellIs" dxfId="4571" priority="62" operator="equal">
      <formula>"NO CUMPLE"</formula>
    </cfRule>
    <cfRule type="cellIs" dxfId="4570" priority="63" operator="equal">
      <formula>"""CUMPLE"""</formula>
    </cfRule>
    <cfRule type="cellIs" dxfId="4569" priority="61" operator="equal">
      <formula>"CUMPLE"</formula>
    </cfRule>
  </conditionalFormatting>
  <conditionalFormatting sqref="K26:K61 D62:J62">
    <cfRule type="containsBlanks" dxfId="4568" priority="9">
      <formula>LEN(TRIM(D26))=0</formula>
    </cfRule>
    <cfRule type="notContainsErrors" dxfId="4567" priority="10">
      <formula>NOT(ISERROR(D26))</formula>
    </cfRule>
  </conditionalFormatting>
  <conditionalFormatting sqref="K67:L67">
    <cfRule type="containsBlanks" dxfId="4566" priority="21">
      <formula>LEN(TRIM(K67))=0</formula>
    </cfRule>
    <cfRule type="notContainsErrors" dxfId="4565" priority="22">
      <formula>NOT(ISERROR(K67))</formula>
    </cfRule>
  </conditionalFormatting>
  <conditionalFormatting sqref="L14">
    <cfRule type="cellIs" dxfId="4564" priority="90" operator="equal">
      <formula>"""CUMPLE"""</formula>
    </cfRule>
    <cfRule type="cellIs" dxfId="4563" priority="89" operator="equal">
      <formula>"NO CUMPLE"</formula>
    </cfRule>
    <cfRule type="cellIs" dxfId="4562" priority="88" operator="equal">
      <formula>"CUMPLE"</formula>
    </cfRule>
  </conditionalFormatting>
  <dataValidations count="2">
    <dataValidation type="list" allowBlank="1" showInputMessage="1" showErrorMessage="1" sqref="D26:J28" xr:uid="{00000000-0002-0000-1100-000000000000}">
      <formula1>$C$15:$C$21</formula1>
    </dataValidation>
    <dataValidation type="list" allowBlank="1" showInputMessage="1" showErrorMessage="1" sqref="L62:L67" xr:uid="{00000000-0002-0000-11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1100-000002000000}">
          <x14:formula1>
            <xm:f>'DATOS INICIALES'!$A$13:$A$50</xm:f>
          </x14:formula1>
          <xm:sqref>G33:I33</xm:sqref>
        </x14:dataValidation>
        <x14:dataValidation type="list" allowBlank="1" showInputMessage="1" showErrorMessage="1" xr:uid="{00000000-0002-0000-1100-000003000000}">
          <x14:formula1>
            <xm:f>'DATOS INICIALES'!$A$61:$A$66</xm:f>
          </x14:formula1>
          <xm:sqref>D25:I25</xm:sqref>
        </x14:dataValidation>
        <x14:dataValidation type="list" allowBlank="1" showInputMessage="1" showErrorMessage="1" xr:uid="{00000000-0002-0000-1100-000004000000}">
          <x14:formula1>
            <xm:f>'DATOS INICIALES'!$A$57:$A$59</xm:f>
          </x14:formula1>
          <xm:sqref>D71 D56:J66</xm:sqref>
        </x14:dataValidation>
        <x14:dataValidation type="list" allowBlank="1" showInputMessage="1" showErrorMessage="1" xr:uid="{00000000-0002-0000-1100-000005000000}">
          <x14:formula1>
            <xm:f>'DATOS INICIALES'!$C$52:$C$53</xm:f>
          </x14:formula1>
          <xm:sqref>D53:J54</xm:sqref>
        </x14:dataValidation>
        <x14:dataValidation type="list" allowBlank="1" showInputMessage="1" showErrorMessage="1" xr:uid="{00000000-0002-0000-1100-000006000000}">
          <x14:formula1>
            <xm:f>'DATOS INICIALES'!$A$61:$A$67</xm:f>
          </x14:formula1>
          <xm:sqref>J25</xm:sqref>
        </x14:dataValidation>
        <x14:dataValidation type="list" allowBlank="1" showInputMessage="1" showErrorMessage="1" xr:uid="{00000000-0002-0000-1100-000007000000}">
          <x14:formula1>
            <xm:f>'DATOS INICIALES'!$A$57:$A$58</xm:f>
          </x14:formula1>
          <xm:sqref>D49:J49</xm:sqref>
        </x14:dataValidation>
        <x14:dataValidation type="list" allowBlank="1" showInputMessage="1" showErrorMessage="1" xr:uid="{00000000-0002-0000-1100-000008000000}">
          <x14:formula1>
            <xm:f>'DATOS INICIALES'!$D$27:$D$29</xm:f>
          </x14:formula1>
          <xm:sqref>M50:M55</xm:sqref>
        </x14:dataValidation>
        <x14:dataValidation type="list" allowBlank="1" showInputMessage="1" showErrorMessage="1" xr:uid="{00000000-0002-0000-1100-000009000000}">
          <x14:formula1>
            <xm:f>'DATOS INICIALES'!$C$52:$C$54</xm:f>
          </x14:formula1>
          <xm:sqref>D50:J52</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92D050"/>
  </sheetPr>
  <dimension ref="A1:N72"/>
  <sheetViews>
    <sheetView view="pageBreakPreview" topLeftCell="A10" zoomScale="40" zoomScaleNormal="25" zoomScaleSheetLayoutView="40" workbookViewId="0">
      <selection activeCell="G30" sqref="G30"/>
    </sheetView>
  </sheetViews>
  <sheetFormatPr baseColWidth="10" defaultColWidth="11.5" defaultRowHeight="15" x14ac:dyDescent="0.2"/>
  <cols>
    <col min="1" max="1" width="5.5" customWidth="1"/>
    <col min="2" max="2" width="30.83203125" customWidth="1"/>
    <col min="3" max="3" width="63.1640625" customWidth="1"/>
    <col min="4" max="4" width="48.1640625" customWidth="1"/>
    <col min="5" max="5" width="56" customWidth="1"/>
    <col min="6" max="6" width="44.83203125" customWidth="1"/>
    <col min="7" max="7" width="43.5" customWidth="1"/>
    <col min="8" max="8" width="47.1640625" customWidth="1"/>
    <col min="9"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13</v>
      </c>
      <c r="B11" s="2" t="s">
        <v>58</v>
      </c>
      <c r="C11" s="413" t="str">
        <f>VLOOKUP(A11,PROPONENTES!A10:B94,2,FALSE)</f>
        <v>CONSORCIO MIRALTA</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3</v>
      </c>
      <c r="J14" s="147">
        <f>+L8</f>
        <v>986.3076290832455</v>
      </c>
      <c r="K14" s="147">
        <f>+E22</f>
        <v>5918.4980000000005</v>
      </c>
      <c r="L14" s="18" t="str">
        <f>IF(K14&gt;=J14,"CUMPLE","NO CUMPLE")</f>
        <v>CUMPLE</v>
      </c>
    </row>
    <row r="15" spans="1:12" ht="33.75" customHeight="1" x14ac:dyDescent="0.2">
      <c r="B15" s="382"/>
      <c r="C15" s="92" t="str">
        <f>IF(VLOOKUP(C11,PROPONENTES!B10:N94,2,FALSE)=0,"",VLOOKUP(C11,PROPONENTES!B10:N94,2,FALSE))</f>
        <v>LATINOCONSULT S.A.S.</v>
      </c>
      <c r="D15" s="93">
        <f>IF(VLOOKUP(C11,PROPONENTES!B10:N94,3,FALSE)=0,"",VLOOKUP(C11,PROPONENTES!B10:N94,3,FALSE))</f>
        <v>0.9</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5918.4980000000005</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INGENIERIA DESARROLLO Y 
CONSULTORIA INDESCO 
S.A.S. BIC</v>
      </c>
      <c r="D16" s="93">
        <f>IF(VLOOKUP(C11,PROPONENTES!B10:N94,5,FALSE)=0,"",VLOOKUP(C11,PROPONENTES!B10:N94,5,FALSE))</f>
        <v>0.1</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0</v>
      </c>
      <c r="F16" s="95" t="str">
        <f>IF(C16="","",IF(E16&gt;=$J$14*0.5,"SI","NO"))</f>
        <v>NO</v>
      </c>
      <c r="G16" s="96" t="str">
        <f>IF(C16="","",IF(E16&gt;=$J$14*0.05,"SI",IF(E16=0,"NO APORTA EXPERIENCIA",)))</f>
        <v>NO APORTA EXPERIENCIA</v>
      </c>
      <c r="H16" s="96" t="str">
        <f>IF(C16="","",IF(AND(G16="NO APORTA EXPERIENCIA",D16&lt;=10%),"SI",IF(G16="SI","NO APLICA","NO - PORCENTAJE MAYOR AL 10%")))</f>
        <v>SI</v>
      </c>
      <c r="I16" s="162"/>
      <c r="J16" s="162"/>
      <c r="K16" s="162"/>
      <c r="L16" s="161">
        <f>AVERAGEIF(D67:J67,"CUMPLE",D48:J48)</f>
        <v>1972.8326666666669</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1</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3</v>
      </c>
      <c r="J19" s="128">
        <v>1</v>
      </c>
      <c r="K19" s="387"/>
      <c r="L19" s="388"/>
    </row>
    <row r="20" spans="2:14" ht="50.25" customHeight="1" x14ac:dyDescent="0.2">
      <c r="B20" s="382"/>
      <c r="C20" s="92"/>
      <c r="D20" s="93"/>
      <c r="E20" s="94"/>
      <c r="F20" s="95"/>
      <c r="G20" s="96"/>
      <c r="H20" s="96"/>
      <c r="I20" s="128">
        <f>COUNTIFS(D60:J60,"CUMPLE",D67:J67,"CUMPLE")</f>
        <v>3</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3</v>
      </c>
      <c r="J21" s="128">
        <v>1</v>
      </c>
      <c r="K21" s="389"/>
      <c r="L21" s="390"/>
    </row>
    <row r="22" spans="2:14" ht="84.75" customHeight="1" x14ac:dyDescent="0.2">
      <c r="B22" s="29" t="s">
        <v>75</v>
      </c>
      <c r="C22" s="24">
        <f>+VLOOKUP(C11,PROPONENTES!B10:N94,12,FALSE)</f>
        <v>2</v>
      </c>
      <c r="D22" s="93">
        <f>+VLOOKUP(C11,PROPONENTES!B10:N94,13,FALSE)</f>
        <v>1</v>
      </c>
      <c r="E22" s="32">
        <f>SUM(E15:E21)</f>
        <v>5918.4980000000005</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349</v>
      </c>
      <c r="E26" s="84" t="s">
        <v>349</v>
      </c>
      <c r="F26" s="84" t="s">
        <v>349</v>
      </c>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441</v>
      </c>
      <c r="E29" s="85" t="s">
        <v>442</v>
      </c>
      <c r="F29" s="85" t="s">
        <v>443</v>
      </c>
      <c r="G29" s="85"/>
      <c r="H29" s="85"/>
      <c r="I29" s="85"/>
      <c r="J29" s="85"/>
      <c r="K29" s="145"/>
      <c r="L29" s="140"/>
    </row>
    <row r="30" spans="2:14" ht="234.5" customHeight="1" x14ac:dyDescent="0.2">
      <c r="B30" s="374"/>
      <c r="C30" s="25" t="s">
        <v>84</v>
      </c>
      <c r="D30" s="85" t="s">
        <v>444</v>
      </c>
      <c r="E30" s="85" t="s">
        <v>445</v>
      </c>
      <c r="F30" s="85" t="s">
        <v>446</v>
      </c>
      <c r="G30" s="85"/>
      <c r="H30" s="85"/>
      <c r="I30" s="85"/>
      <c r="J30" s="85"/>
      <c r="K30" s="145"/>
      <c r="L30" s="140"/>
    </row>
    <row r="31" spans="2:14" ht="52.5" customHeight="1" x14ac:dyDescent="0.2">
      <c r="B31" s="374"/>
      <c r="C31" s="25" t="s">
        <v>85</v>
      </c>
      <c r="D31" s="89">
        <v>39615</v>
      </c>
      <c r="E31" s="89">
        <v>37736</v>
      </c>
      <c r="F31" s="89">
        <v>38254</v>
      </c>
      <c r="G31" s="89"/>
      <c r="H31" s="89"/>
      <c r="I31" s="89"/>
      <c r="J31" s="89"/>
      <c r="K31" s="145"/>
      <c r="L31" s="140"/>
    </row>
    <row r="32" spans="2:14" ht="54.75" customHeight="1" x14ac:dyDescent="0.2">
      <c r="B32" s="374"/>
      <c r="C32" s="25" t="s">
        <v>86</v>
      </c>
      <c r="D32" s="89">
        <v>41502</v>
      </c>
      <c r="E32" s="89">
        <v>38097</v>
      </c>
      <c r="F32" s="89">
        <v>39472</v>
      </c>
      <c r="G32" s="89"/>
      <c r="H32" s="89"/>
      <c r="I32" s="89"/>
      <c r="J32" s="89"/>
      <c r="K32" s="145"/>
      <c r="L32" s="140"/>
    </row>
    <row r="33" spans="2:12" ht="41.25" customHeight="1" x14ac:dyDescent="0.2">
      <c r="B33" s="374"/>
      <c r="C33" s="25" t="s">
        <v>87</v>
      </c>
      <c r="D33" s="86">
        <v>2013</v>
      </c>
      <c r="E33" s="86">
        <v>2004</v>
      </c>
      <c r="F33" s="86">
        <v>2008</v>
      </c>
      <c r="G33" s="86"/>
      <c r="H33" s="86"/>
      <c r="I33" s="86"/>
      <c r="J33" s="86"/>
      <c r="K33" s="145"/>
      <c r="L33" s="140"/>
    </row>
    <row r="34" spans="2:12" ht="63" customHeight="1" x14ac:dyDescent="0.2">
      <c r="B34" s="374"/>
      <c r="C34" s="25" t="s">
        <v>88</v>
      </c>
      <c r="D34" s="85" t="s">
        <v>321</v>
      </c>
      <c r="E34" s="85" t="s">
        <v>321</v>
      </c>
      <c r="F34" s="85" t="s">
        <v>321</v>
      </c>
      <c r="G34" s="85"/>
      <c r="H34" s="85"/>
      <c r="I34" s="85"/>
      <c r="J34" s="85"/>
      <c r="K34" s="145"/>
      <c r="L34" s="140"/>
    </row>
    <row r="35" spans="2:12" ht="46.5" customHeight="1" x14ac:dyDescent="0.2">
      <c r="B35" s="374"/>
      <c r="C35" s="25" t="s">
        <v>89</v>
      </c>
      <c r="D35" s="85" t="s">
        <v>349</v>
      </c>
      <c r="E35" s="85" t="s">
        <v>349</v>
      </c>
      <c r="F35" s="85" t="s">
        <v>349</v>
      </c>
      <c r="G35" s="85"/>
      <c r="H35" s="85"/>
      <c r="I35" s="85"/>
      <c r="J35" s="85"/>
      <c r="K35" s="145"/>
      <c r="L35" s="140"/>
    </row>
    <row r="36" spans="2:12" ht="27.75" customHeight="1" x14ac:dyDescent="0.2">
      <c r="B36" s="374"/>
      <c r="C36" s="26" t="s">
        <v>90</v>
      </c>
      <c r="D36" s="90">
        <v>2</v>
      </c>
      <c r="E36" s="90">
        <v>19</v>
      </c>
      <c r="F36" s="90">
        <v>3</v>
      </c>
      <c r="G36" s="91"/>
      <c r="H36" s="91"/>
      <c r="I36" s="91"/>
      <c r="J36" s="91"/>
      <c r="K36" s="145"/>
      <c r="L36" s="140"/>
    </row>
    <row r="37" spans="2:12" ht="102.75" customHeight="1" x14ac:dyDescent="0.2">
      <c r="B37" s="374"/>
      <c r="C37" s="25" t="s">
        <v>91</v>
      </c>
      <c r="D37" s="87">
        <v>50224.35</v>
      </c>
      <c r="E37" s="158">
        <v>1280.0899999999999</v>
      </c>
      <c r="F37" s="87">
        <v>1280.0899999999999</v>
      </c>
      <c r="G37" s="87"/>
      <c r="H37" s="87"/>
      <c r="I37" s="87"/>
      <c r="J37" s="87"/>
      <c r="K37" s="242"/>
      <c r="L37" s="243"/>
    </row>
    <row r="38" spans="2:12" ht="48" customHeight="1" x14ac:dyDescent="0.2">
      <c r="B38" s="374"/>
      <c r="C38" s="25" t="s">
        <v>92</v>
      </c>
      <c r="D38" s="97">
        <f>IFERROR(D37*VLOOKUP(D33,'DATOS INICIALES'!$A$12:$B$50,2,0),"0")</f>
        <v>29607254325</v>
      </c>
      <c r="E38" s="97">
        <f>IFERROR(E37*VLOOKUP(E33,'DATOS INICIALES'!$A$12:$B$50,2,0),"0")</f>
        <v>458272220</v>
      </c>
      <c r="F38" s="97">
        <f>IFERROR(F37*VLOOKUP(F33,'DATOS INICIALES'!$A$12:$B$50,2,0),"0")</f>
        <v>590761535</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0.1</v>
      </c>
      <c r="E39" s="88">
        <v>0.35</v>
      </c>
      <c r="F39" s="88">
        <v>0.35</v>
      </c>
      <c r="G39" s="88"/>
      <c r="H39" s="88"/>
      <c r="I39" s="88"/>
      <c r="J39" s="88"/>
      <c r="K39" s="145"/>
      <c r="L39" s="140"/>
    </row>
    <row r="40" spans="2:12" ht="48.75" customHeight="1" x14ac:dyDescent="0.2">
      <c r="B40" s="374"/>
      <c r="C40" s="25" t="s">
        <v>94</v>
      </c>
      <c r="D40" s="97">
        <f t="shared" ref="D40:J40" si="0">IF(D26="","0",D39*D38)</f>
        <v>2960725432.5</v>
      </c>
      <c r="E40" s="97">
        <f t="shared" si="0"/>
        <v>160395277</v>
      </c>
      <c r="F40" s="97">
        <f t="shared" si="0"/>
        <v>206766537.25</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5022.4350000000004</v>
      </c>
      <c r="E41" s="98">
        <f t="shared" si="1"/>
        <v>448.03149999999994</v>
      </c>
      <c r="F41" s="98">
        <f t="shared" si="1"/>
        <v>448.03149999999994</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5022.4350000000004</v>
      </c>
      <c r="E48" s="98">
        <f t="shared" ref="E48:G48" si="6">+E41+E44+E47</f>
        <v>448.03149999999994</v>
      </c>
      <c r="F48" s="98">
        <f t="shared" si="6"/>
        <v>448.03149999999994</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26</v>
      </c>
      <c r="E57" s="84" t="s">
        <v>24</v>
      </c>
      <c r="F57" s="84" t="s">
        <v>26</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4561" priority="69" operator="equal">
      <formula>"CUMPLE"</formula>
    </cfRule>
    <cfRule type="containsBlanks" dxfId="4560" priority="66">
      <formula>LEN(TRIM(D71))=0</formula>
    </cfRule>
    <cfRule type="notContainsErrors" dxfId="4559" priority="67">
      <formula>NOT(ISERROR(D71))</formula>
    </cfRule>
    <cfRule type="cellIs" dxfId="4558" priority="68" operator="equal">
      <formula>"NO CUMPLE"</formula>
    </cfRule>
  </conditionalFormatting>
  <conditionalFormatting sqref="D72">
    <cfRule type="cellIs" dxfId="4557" priority="71" operator="equal">
      <formula>"CUMPLE"</formula>
    </cfRule>
    <cfRule type="cellIs" dxfId="4556" priority="70" operator="equal">
      <formula>"N/A"</formula>
    </cfRule>
    <cfRule type="cellIs" dxfId="4555" priority="73" operator="equal">
      <formula>"""CUMPLE"""</formula>
    </cfRule>
    <cfRule type="cellIs" dxfId="4554" priority="72" operator="equal">
      <formula>"NO CUMPLE"</formula>
    </cfRule>
  </conditionalFormatting>
  <conditionalFormatting sqref="D26:J37">
    <cfRule type="notContainsErrors" dxfId="4553" priority="4">
      <formula>NOT(ISERROR(D26))</formula>
    </cfRule>
    <cfRule type="containsBlanks" dxfId="4552" priority="3">
      <formula>LEN(TRIM(D26))=0</formula>
    </cfRule>
  </conditionalFormatting>
  <conditionalFormatting sqref="D36:J36">
    <cfRule type="notContainsErrors" dxfId="4551" priority="6">
      <formula>NOT(ISERROR(D36))</formula>
    </cfRule>
    <cfRule type="containsBlanks" dxfId="4550" priority="5">
      <formula>LEN(TRIM(D36))=0</formula>
    </cfRule>
  </conditionalFormatting>
  <conditionalFormatting sqref="D39:J39">
    <cfRule type="containsBlanks" dxfId="4549" priority="1">
      <formula>LEN(TRIM(D39))=0</formula>
    </cfRule>
    <cfRule type="notContainsErrors" dxfId="4548" priority="2">
      <formula>NOT(ISERROR(D39))</formula>
    </cfRule>
  </conditionalFormatting>
  <conditionalFormatting sqref="D42:J42 D45:J45">
    <cfRule type="notContainsErrors" dxfId="4547" priority="38">
      <formula>NOT(ISERROR(D42))</formula>
    </cfRule>
    <cfRule type="containsBlanks" dxfId="4546" priority="37">
      <formula>LEN(TRIM(D42))=0</formula>
    </cfRule>
  </conditionalFormatting>
  <conditionalFormatting sqref="D49:J54">
    <cfRule type="cellIs" dxfId="4545" priority="17" operator="equal">
      <formula>"NO CUMPLE"</formula>
    </cfRule>
    <cfRule type="cellIs" dxfId="4544" priority="18" operator="equal">
      <formula>"CUMPLE"</formula>
    </cfRule>
    <cfRule type="containsBlanks" dxfId="4543" priority="19">
      <formula>LEN(TRIM(D49))=0</formula>
    </cfRule>
    <cfRule type="notContainsErrors" dxfId="4542" priority="20">
      <formula>NOT(ISERROR(D49))</formula>
    </cfRule>
  </conditionalFormatting>
  <conditionalFormatting sqref="D55:J55">
    <cfRule type="cellIs" dxfId="4541" priority="28" operator="equal">
      <formula>"CUMPLE"</formula>
    </cfRule>
    <cfRule type="cellIs" dxfId="4540" priority="30" operator="equal">
      <formula>"""CUMPLE"""</formula>
    </cfRule>
    <cfRule type="cellIs" dxfId="4539" priority="29" operator="equal">
      <formula>"NO CUMPLE"</formula>
    </cfRule>
    <cfRule type="cellIs" dxfId="4538" priority="27" operator="equal">
      <formula>"N/A"</formula>
    </cfRule>
  </conditionalFormatting>
  <conditionalFormatting sqref="D56:J66">
    <cfRule type="cellIs" dxfId="4537" priority="11" operator="equal">
      <formula>"NO CUMPLE"</formula>
    </cfRule>
    <cfRule type="notContainsErrors" dxfId="4536" priority="14">
      <formula>NOT(ISERROR(D56))</formula>
    </cfRule>
    <cfRule type="containsBlanks" dxfId="4535" priority="13">
      <formula>LEN(TRIM(D56))=0</formula>
    </cfRule>
    <cfRule type="cellIs" dxfId="4534" priority="12" operator="equal">
      <formula>"CUMPLE"</formula>
    </cfRule>
  </conditionalFormatting>
  <conditionalFormatting sqref="D67:J67">
    <cfRule type="cellIs" dxfId="4533" priority="23" operator="equal">
      <formula>"N/A"</formula>
    </cfRule>
    <cfRule type="cellIs" dxfId="4532" priority="24" operator="equal">
      <formula>"CUMPLE"</formula>
    </cfRule>
    <cfRule type="cellIs" dxfId="4531" priority="26" operator="equal">
      <formula>"""CUMPLE"""</formula>
    </cfRule>
    <cfRule type="cellIs" dxfId="4530" priority="25" operator="equal">
      <formula>"NO CUMPLE"</formula>
    </cfRule>
  </conditionalFormatting>
  <conditionalFormatting sqref="D62:K66">
    <cfRule type="containsBlanks" dxfId="4529" priority="15">
      <formula>LEN(TRIM(D62))=0</formula>
    </cfRule>
    <cfRule type="notContainsErrors" dxfId="4528" priority="16">
      <formula>NOT(ISERROR(D62))</formula>
    </cfRule>
  </conditionalFormatting>
  <conditionalFormatting sqref="E71:E72">
    <cfRule type="notContainsErrors" dxfId="4527" priority="65">
      <formula>NOT(ISERROR(E71))</formula>
    </cfRule>
    <cfRule type="containsBlanks" dxfId="4526" priority="64">
      <formula>LEN(TRIM(E71))=0</formula>
    </cfRule>
  </conditionalFormatting>
  <conditionalFormatting sqref="F22:H22">
    <cfRule type="cellIs" dxfId="4525" priority="92" operator="equal">
      <formula>"NO CUMPLE"</formula>
    </cfRule>
    <cfRule type="cellIs" dxfId="4524" priority="93" operator="equal">
      <formula>"""CUMPLE"""</formula>
    </cfRule>
    <cfRule type="cellIs" dxfId="4523" priority="91" operator="equal">
      <formula>"CUMPLE"</formula>
    </cfRule>
  </conditionalFormatting>
  <conditionalFormatting sqref="G63:J63">
    <cfRule type="containsBlanks" dxfId="4522" priority="7">
      <formula>LEN(TRIM(G63))=0</formula>
    </cfRule>
    <cfRule type="notContainsErrors" dxfId="4521" priority="8">
      <formula>NOT(ISERROR(G63))</formula>
    </cfRule>
  </conditionalFormatting>
  <conditionalFormatting sqref="I11">
    <cfRule type="containsText" dxfId="4520" priority="97" operator="containsText" text="NO CUMPLE">
      <formula>NOT(ISERROR(SEARCH("NO CUMPLE",I11)))</formula>
    </cfRule>
    <cfRule type="containsText" dxfId="4519" priority="96" operator="containsText" text="HABILITADO">
      <formula>NOT(ISERROR(SEARCH("HABILITADO",I11)))</formula>
    </cfRule>
    <cfRule type="containsText" dxfId="4518" priority="95" operator="containsText" text="HABILITADO">
      <formula>NOT(ISERROR(SEARCH("HABILITADO",I11)))</formula>
    </cfRule>
    <cfRule type="containsText" dxfId="4517" priority="94" operator="containsText" text="INHABILITADO">
      <formula>NOT(ISERROR(SEARCH("INHABILITADO",I11)))</formula>
    </cfRule>
  </conditionalFormatting>
  <conditionalFormatting sqref="K18:K20">
    <cfRule type="cellIs" dxfId="4516" priority="62" operator="equal">
      <formula>"NO CUMPLE"</formula>
    </cfRule>
    <cfRule type="cellIs" dxfId="4515" priority="63" operator="equal">
      <formula>"""CUMPLE"""</formula>
    </cfRule>
    <cfRule type="cellIs" dxfId="4514" priority="61" operator="equal">
      <formula>"CUMPLE"</formula>
    </cfRule>
  </conditionalFormatting>
  <conditionalFormatting sqref="K26:K61 D62:J62">
    <cfRule type="containsBlanks" dxfId="4513" priority="9">
      <formula>LEN(TRIM(D26))=0</formula>
    </cfRule>
    <cfRule type="notContainsErrors" dxfId="4512" priority="10">
      <formula>NOT(ISERROR(D26))</formula>
    </cfRule>
  </conditionalFormatting>
  <conditionalFormatting sqref="K67:L67">
    <cfRule type="containsBlanks" dxfId="4511" priority="21">
      <formula>LEN(TRIM(K67))=0</formula>
    </cfRule>
    <cfRule type="notContainsErrors" dxfId="4510" priority="22">
      <formula>NOT(ISERROR(K67))</formula>
    </cfRule>
  </conditionalFormatting>
  <conditionalFormatting sqref="L14">
    <cfRule type="cellIs" dxfId="4509" priority="90" operator="equal">
      <formula>"""CUMPLE"""</formula>
    </cfRule>
    <cfRule type="cellIs" dxfId="4508" priority="89" operator="equal">
      <formula>"NO CUMPLE"</formula>
    </cfRule>
    <cfRule type="cellIs" dxfId="4507" priority="88" operator="equal">
      <formula>"CUMPLE"</formula>
    </cfRule>
  </conditionalFormatting>
  <dataValidations count="2">
    <dataValidation type="list" allowBlank="1" showInputMessage="1" showErrorMessage="1" sqref="L62:L67" xr:uid="{00000000-0002-0000-1200-000000000000}">
      <formula1>"0,1,2,3,4,5,6"</formula1>
    </dataValidation>
    <dataValidation type="list" allowBlank="1" showInputMessage="1" showErrorMessage="1" sqref="D26:J28" xr:uid="{00000000-0002-0000-12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1200-000002000000}">
          <x14:formula1>
            <xm:f>'DATOS INICIALES'!$A$57:$A$58</xm:f>
          </x14:formula1>
          <xm:sqref>D49:J49</xm:sqref>
        </x14:dataValidation>
        <x14:dataValidation type="list" allowBlank="1" showInputMessage="1" showErrorMessage="1" xr:uid="{00000000-0002-0000-1200-000003000000}">
          <x14:formula1>
            <xm:f>'DATOS INICIALES'!$A$61:$A$67</xm:f>
          </x14:formula1>
          <xm:sqref>J25</xm:sqref>
        </x14:dataValidation>
        <x14:dataValidation type="list" allowBlank="1" showInputMessage="1" showErrorMessage="1" xr:uid="{00000000-0002-0000-1200-000004000000}">
          <x14:formula1>
            <xm:f>'DATOS INICIALES'!$C$52:$C$53</xm:f>
          </x14:formula1>
          <xm:sqref>D53:J54</xm:sqref>
        </x14:dataValidation>
        <x14:dataValidation type="list" allowBlank="1" showInputMessage="1" showErrorMessage="1" xr:uid="{00000000-0002-0000-1200-000005000000}">
          <x14:formula1>
            <xm:f>'DATOS INICIALES'!$A$57:$A$59</xm:f>
          </x14:formula1>
          <xm:sqref>D71 D56:J66</xm:sqref>
        </x14:dataValidation>
        <x14:dataValidation type="list" allowBlank="1" showInputMessage="1" showErrorMessage="1" xr:uid="{00000000-0002-0000-1200-000006000000}">
          <x14:formula1>
            <xm:f>'DATOS INICIALES'!$A$61:$A$66</xm:f>
          </x14:formula1>
          <xm:sqref>D25:I25</xm:sqref>
        </x14:dataValidation>
        <x14:dataValidation type="list" allowBlank="1" showInputMessage="1" showErrorMessage="1" xr:uid="{00000000-0002-0000-1200-000007000000}">
          <x14:formula1>
            <xm:f>'DATOS INICIALES'!$A$13:$A$50</xm:f>
          </x14:formula1>
          <xm:sqref>G33:I33</xm:sqref>
        </x14:dataValidation>
        <x14:dataValidation type="list" allowBlank="1" showInputMessage="1" showErrorMessage="1" xr:uid="{00000000-0002-0000-1200-000008000000}">
          <x14:formula1>
            <xm:f>'DATOS INICIALES'!$D$27:$D$29</xm:f>
          </x14:formula1>
          <xm:sqref>M50:M55</xm:sqref>
        </x14:dataValidation>
        <x14:dataValidation type="list" allowBlank="1" showInputMessage="1" showErrorMessage="1" xr:uid="{00000000-0002-0000-1200-000009000000}">
          <x14:formula1>
            <xm:f>'DATOS INICIALES'!$C$52:$C$54</xm:f>
          </x14:formula1>
          <xm:sqref>D50:J52</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92D050"/>
  </sheetPr>
  <dimension ref="A1:N72"/>
  <sheetViews>
    <sheetView view="pageBreakPreview" topLeftCell="A8" zoomScale="40" zoomScaleNormal="25" zoomScaleSheetLayoutView="40" workbookViewId="0">
      <selection activeCell="L43" sqref="L43"/>
    </sheetView>
  </sheetViews>
  <sheetFormatPr baseColWidth="10" defaultColWidth="11.5" defaultRowHeight="15" x14ac:dyDescent="0.2"/>
  <cols>
    <col min="1" max="1" width="5.5" customWidth="1"/>
    <col min="2" max="2" width="30.83203125" customWidth="1"/>
    <col min="3" max="3" width="63.1640625" customWidth="1"/>
    <col min="4" max="4" width="46.5" customWidth="1"/>
    <col min="5" max="5" width="47.8320312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14</v>
      </c>
      <c r="B11" s="2" t="s">
        <v>58</v>
      </c>
      <c r="C11" s="413" t="str">
        <f>VLOOKUP(A11,PROPONENTES!A10:B94,2,FALSE)</f>
        <v>INT TERRA</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3</v>
      </c>
      <c r="J14" s="147">
        <f>+L8</f>
        <v>986.3076290832455</v>
      </c>
      <c r="K14" s="147">
        <f>+E22</f>
        <v>6530.2039999999997</v>
      </c>
      <c r="L14" s="18" t="str">
        <f>IF(K14&gt;=J14,"CUMPLE","NO CUMPLE")</f>
        <v>CUMPLE</v>
      </c>
    </row>
    <row r="15" spans="1:12" ht="33.75" customHeight="1" x14ac:dyDescent="0.2">
      <c r="B15" s="382"/>
      <c r="C15" s="92" t="str">
        <f>IF(VLOOKUP(C11,PROPONENTES!B10:N94,2,FALSE)=0,"",VLOOKUP(C11,PROPONENTES!B10:N94,2,FALSE))</f>
        <v>INT TERRA S.A.S</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6530.2039999999997</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2176.7346666666667</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1</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3</v>
      </c>
      <c r="J19" s="128">
        <v>1</v>
      </c>
      <c r="K19" s="387"/>
      <c r="L19" s="388"/>
    </row>
    <row r="20" spans="2:14" ht="50.25" customHeight="1" x14ac:dyDescent="0.2">
      <c r="B20" s="382"/>
      <c r="C20" s="92"/>
      <c r="D20" s="93"/>
      <c r="E20" s="94"/>
      <c r="F20" s="95"/>
      <c r="G20" s="96"/>
      <c r="H20" s="96"/>
      <c r="I20" s="128">
        <f>COUNTIFS(D60:J60,"CUMPLE",D67:J67,"CUMPLE")</f>
        <v>3</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3</v>
      </c>
      <c r="J21" s="128">
        <v>1</v>
      </c>
      <c r="K21" s="389"/>
      <c r="L21" s="390"/>
    </row>
    <row r="22" spans="2:14" ht="84.75" customHeight="1" x14ac:dyDescent="0.2">
      <c r="B22" s="29" t="s">
        <v>75</v>
      </c>
      <c r="C22" s="24">
        <f>+VLOOKUP(C11,PROPONENTES!B10:N94,12,FALSE)</f>
        <v>1</v>
      </c>
      <c r="D22" s="93">
        <f>+VLOOKUP(C11,PROPONENTES!B10:N94,13,FALSE)</f>
        <v>1</v>
      </c>
      <c r="E22" s="32">
        <f>SUM(E15:E21)</f>
        <v>6530.2039999999997</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351</v>
      </c>
      <c r="E26" s="84" t="s">
        <v>351</v>
      </c>
      <c r="F26" s="84" t="s">
        <v>351</v>
      </c>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447</v>
      </c>
      <c r="E29" s="85" t="s">
        <v>448</v>
      </c>
      <c r="F29" s="85" t="s">
        <v>449</v>
      </c>
      <c r="G29" s="85"/>
      <c r="H29" s="85"/>
      <c r="I29" s="85"/>
      <c r="J29" s="85"/>
      <c r="K29" s="145"/>
      <c r="L29" s="140"/>
    </row>
    <row r="30" spans="2:14" ht="159.5" customHeight="1" x14ac:dyDescent="0.2">
      <c r="B30" s="374"/>
      <c r="C30" s="25" t="s">
        <v>84</v>
      </c>
      <c r="D30" s="85" t="s">
        <v>450</v>
      </c>
      <c r="E30" s="85" t="s">
        <v>451</v>
      </c>
      <c r="F30" s="85" t="s">
        <v>452</v>
      </c>
      <c r="G30" s="85"/>
      <c r="H30" s="85"/>
      <c r="I30" s="85"/>
      <c r="J30" s="85"/>
      <c r="K30" s="492" t="s">
        <v>455</v>
      </c>
      <c r="L30" s="493"/>
    </row>
    <row r="31" spans="2:14" ht="52.5" customHeight="1" x14ac:dyDescent="0.2">
      <c r="B31" s="374"/>
      <c r="C31" s="25" t="s">
        <v>85</v>
      </c>
      <c r="D31" s="89">
        <v>39332</v>
      </c>
      <c r="E31" s="89">
        <v>42041</v>
      </c>
      <c r="F31" s="89">
        <v>41638</v>
      </c>
      <c r="G31" s="89"/>
      <c r="H31" s="89"/>
      <c r="I31" s="89"/>
      <c r="J31" s="89"/>
      <c r="K31" s="145"/>
      <c r="L31" s="140"/>
    </row>
    <row r="32" spans="2:14" ht="54.75" customHeight="1" x14ac:dyDescent="0.2">
      <c r="B32" s="374"/>
      <c r="C32" s="25" t="s">
        <v>86</v>
      </c>
      <c r="D32" s="89">
        <v>39568</v>
      </c>
      <c r="E32" s="89">
        <v>42593</v>
      </c>
      <c r="F32" s="89">
        <v>42794</v>
      </c>
      <c r="G32" s="89"/>
      <c r="H32" s="89"/>
      <c r="I32" s="89"/>
      <c r="J32" s="89"/>
      <c r="K32" s="145"/>
      <c r="L32" s="140"/>
    </row>
    <row r="33" spans="2:12" ht="41.25" customHeight="1" x14ac:dyDescent="0.2">
      <c r="B33" s="374"/>
      <c r="C33" s="25" t="s">
        <v>87</v>
      </c>
      <c r="D33" s="86">
        <v>2008</v>
      </c>
      <c r="E33" s="86">
        <v>2016</v>
      </c>
      <c r="F33" s="86">
        <v>2017</v>
      </c>
      <c r="G33" s="86"/>
      <c r="H33" s="86"/>
      <c r="I33" s="86"/>
      <c r="J33" s="86"/>
      <c r="K33" s="145"/>
      <c r="L33" s="140"/>
    </row>
    <row r="34" spans="2:12" ht="63" customHeight="1" x14ac:dyDescent="0.2">
      <c r="B34" s="374"/>
      <c r="C34" s="25" t="s">
        <v>88</v>
      </c>
      <c r="D34" s="85" t="s">
        <v>453</v>
      </c>
      <c r="E34" s="85" t="s">
        <v>454</v>
      </c>
      <c r="F34" s="85" t="s">
        <v>322</v>
      </c>
      <c r="G34" s="85"/>
      <c r="H34" s="85"/>
      <c r="I34" s="85"/>
      <c r="J34" s="85"/>
      <c r="K34" s="145"/>
      <c r="L34" s="140"/>
    </row>
    <row r="35" spans="2:12" ht="46.5" customHeight="1" x14ac:dyDescent="0.2">
      <c r="B35" s="374"/>
      <c r="C35" s="25" t="s">
        <v>89</v>
      </c>
      <c r="D35" s="85" t="s">
        <v>351</v>
      </c>
      <c r="E35" s="85" t="s">
        <v>351</v>
      </c>
      <c r="F35" s="85" t="s">
        <v>351</v>
      </c>
      <c r="G35" s="85"/>
      <c r="H35" s="85"/>
      <c r="I35" s="85"/>
      <c r="J35" s="85"/>
      <c r="K35" s="145"/>
      <c r="L35" s="140"/>
    </row>
    <row r="36" spans="2:12" ht="27.75" customHeight="1" x14ac:dyDescent="0.2">
      <c r="B36" s="374"/>
      <c r="C36" s="26" t="s">
        <v>90</v>
      </c>
      <c r="D36" s="90">
        <v>25</v>
      </c>
      <c r="E36" s="90">
        <v>87</v>
      </c>
      <c r="F36" s="90">
        <v>155</v>
      </c>
      <c r="G36" s="91"/>
      <c r="H36" s="91"/>
      <c r="I36" s="91"/>
      <c r="J36" s="91"/>
      <c r="K36" s="145"/>
      <c r="L36" s="140"/>
    </row>
    <row r="37" spans="2:12" ht="102.75" customHeight="1" x14ac:dyDescent="0.2">
      <c r="B37" s="374"/>
      <c r="C37" s="25" t="s">
        <v>91</v>
      </c>
      <c r="D37" s="87">
        <v>625.62</v>
      </c>
      <c r="E37" s="158">
        <v>1575.26</v>
      </c>
      <c r="F37" s="87">
        <v>7215.54</v>
      </c>
      <c r="G37" s="87"/>
      <c r="H37" s="87"/>
      <c r="I37" s="87"/>
      <c r="J37" s="87"/>
      <c r="K37" s="242"/>
      <c r="L37" s="243"/>
    </row>
    <row r="38" spans="2:12" ht="48" customHeight="1" x14ac:dyDescent="0.2">
      <c r="B38" s="374"/>
      <c r="C38" s="25" t="s">
        <v>92</v>
      </c>
      <c r="D38" s="97">
        <f>IFERROR(D37*VLOOKUP(D33,'DATOS INICIALES'!$A$12:$B$50,2,0),"0")</f>
        <v>288723630</v>
      </c>
      <c r="E38" s="97">
        <f>IFERROR(E37*VLOOKUP(E33,'DATOS INICIALES'!$A$12:$B$50,2,0),"0")</f>
        <v>1086070883.3</v>
      </c>
      <c r="F38" s="97">
        <f>IFERROR(F37*VLOOKUP(F33,'DATOS INICIALES'!$A$12:$B$50,2,0),"0")</f>
        <v>5323026522.1800003</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1</v>
      </c>
      <c r="E39" s="88">
        <v>1</v>
      </c>
      <c r="F39" s="88">
        <v>0.6</v>
      </c>
      <c r="G39" s="88"/>
      <c r="H39" s="88"/>
      <c r="I39" s="88"/>
      <c r="J39" s="88"/>
      <c r="K39" s="145"/>
      <c r="L39" s="140"/>
    </row>
    <row r="40" spans="2:12" ht="48.75" customHeight="1" x14ac:dyDescent="0.2">
      <c r="B40" s="374"/>
      <c r="C40" s="25" t="s">
        <v>94</v>
      </c>
      <c r="D40" s="97">
        <f t="shared" ref="D40:J40" si="0">IF(D26="","0",D39*D38)</f>
        <v>288723630</v>
      </c>
      <c r="E40" s="97">
        <f t="shared" si="0"/>
        <v>1086070883.3</v>
      </c>
      <c r="F40" s="97">
        <f t="shared" si="0"/>
        <v>3193815913.3080001</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625.62</v>
      </c>
      <c r="E41" s="98">
        <f t="shared" si="1"/>
        <v>1575.26</v>
      </c>
      <c r="F41" s="98">
        <f t="shared" si="1"/>
        <v>4329.3239999999996</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625.62</v>
      </c>
      <c r="E48" s="98">
        <f t="shared" ref="E48:G48" si="6">+E41+E44+E47</f>
        <v>1575.26</v>
      </c>
      <c r="F48" s="98">
        <f t="shared" si="6"/>
        <v>4329.3239999999996</v>
      </c>
      <c r="G48" s="98">
        <f t="shared" si="6"/>
        <v>0</v>
      </c>
      <c r="H48" s="98">
        <f>+H41+H44+H47</f>
        <v>0</v>
      </c>
      <c r="I48" s="98">
        <f t="shared" ref="I48:J48" si="7">+I41+I44+I47</f>
        <v>0</v>
      </c>
      <c r="J48" s="98">
        <f t="shared" si="7"/>
        <v>0</v>
      </c>
      <c r="K48" s="313"/>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26</v>
      </c>
      <c r="F57" s="84" t="s">
        <v>26</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2">
    <mergeCell ref="I22:L22"/>
    <mergeCell ref="B66:C66"/>
    <mergeCell ref="B67:C67"/>
    <mergeCell ref="B69:E69"/>
    <mergeCell ref="B70:C70"/>
    <mergeCell ref="B63:C63"/>
    <mergeCell ref="B64:C64"/>
    <mergeCell ref="B65:C65"/>
    <mergeCell ref="B60:C60"/>
    <mergeCell ref="B61:C61"/>
    <mergeCell ref="B62:C62"/>
    <mergeCell ref="B57:C57"/>
    <mergeCell ref="B58:C58"/>
    <mergeCell ref="B59:C59"/>
    <mergeCell ref="B13:H13"/>
    <mergeCell ref="B14:B21"/>
    <mergeCell ref="B26:C26"/>
    <mergeCell ref="B27:C27"/>
    <mergeCell ref="B72:C72"/>
    <mergeCell ref="B71:C71"/>
    <mergeCell ref="B24:L24"/>
    <mergeCell ref="K25:L25"/>
    <mergeCell ref="B56:C56"/>
    <mergeCell ref="B50:B55"/>
    <mergeCell ref="B29:B47"/>
    <mergeCell ref="B28:C28"/>
    <mergeCell ref="K30:L30"/>
    <mergeCell ref="K17:L17"/>
    <mergeCell ref="K18:L21"/>
    <mergeCell ref="B23:L23"/>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4506" priority="73" operator="equal">
      <formula>"CUMPLE"</formula>
    </cfRule>
    <cfRule type="cellIs" dxfId="4505" priority="72" operator="equal">
      <formula>"NO CUMPLE"</formula>
    </cfRule>
    <cfRule type="containsBlanks" dxfId="4504" priority="70">
      <formula>LEN(TRIM(D71))=0</formula>
    </cfRule>
    <cfRule type="notContainsErrors" dxfId="4503" priority="71">
      <formula>NOT(ISERROR(D71))</formula>
    </cfRule>
  </conditionalFormatting>
  <conditionalFormatting sqref="D72">
    <cfRule type="cellIs" dxfId="4502" priority="74" operator="equal">
      <formula>"N/A"</formula>
    </cfRule>
    <cfRule type="cellIs" dxfId="4501" priority="76" operator="equal">
      <formula>"NO CUMPLE"</formula>
    </cfRule>
    <cfRule type="cellIs" dxfId="4500" priority="75" operator="equal">
      <formula>"CUMPLE"</formula>
    </cfRule>
    <cfRule type="cellIs" dxfId="4499" priority="77" operator="equal">
      <formula>"""CUMPLE"""</formula>
    </cfRule>
  </conditionalFormatting>
  <conditionalFormatting sqref="D26:J37">
    <cfRule type="notContainsErrors" dxfId="4498" priority="6">
      <formula>NOT(ISERROR(D26))</formula>
    </cfRule>
    <cfRule type="containsBlanks" dxfId="4497" priority="5">
      <formula>LEN(TRIM(D26))=0</formula>
    </cfRule>
  </conditionalFormatting>
  <conditionalFormatting sqref="D36:J36">
    <cfRule type="notContainsErrors" dxfId="4496" priority="10">
      <formula>NOT(ISERROR(D36))</formula>
    </cfRule>
    <cfRule type="containsBlanks" dxfId="4495" priority="9">
      <formula>LEN(TRIM(D36))=0</formula>
    </cfRule>
  </conditionalFormatting>
  <conditionalFormatting sqref="D39:J39">
    <cfRule type="containsBlanks" dxfId="4494" priority="3">
      <formula>LEN(TRIM(D39))=0</formula>
    </cfRule>
    <cfRule type="notContainsErrors" dxfId="4493" priority="4">
      <formula>NOT(ISERROR(D39))</formula>
    </cfRule>
  </conditionalFormatting>
  <conditionalFormatting sqref="D42:J42 D45:J45">
    <cfRule type="notContainsErrors" dxfId="4492" priority="42">
      <formula>NOT(ISERROR(D42))</formula>
    </cfRule>
    <cfRule type="containsBlanks" dxfId="4491" priority="41">
      <formula>LEN(TRIM(D42))=0</formula>
    </cfRule>
  </conditionalFormatting>
  <conditionalFormatting sqref="D49:J54">
    <cfRule type="notContainsErrors" dxfId="4490" priority="24">
      <formula>NOT(ISERROR(D49))</formula>
    </cfRule>
    <cfRule type="containsBlanks" dxfId="4489" priority="23">
      <formula>LEN(TRIM(D49))=0</formula>
    </cfRule>
    <cfRule type="cellIs" dxfId="4488" priority="21" operator="equal">
      <formula>"NO CUMPLE"</formula>
    </cfRule>
    <cfRule type="cellIs" dxfId="4487" priority="22" operator="equal">
      <formula>"CUMPLE"</formula>
    </cfRule>
  </conditionalFormatting>
  <conditionalFormatting sqref="D55:J55">
    <cfRule type="cellIs" dxfId="4486" priority="33" operator="equal">
      <formula>"NO CUMPLE"</formula>
    </cfRule>
    <cfRule type="cellIs" dxfId="4485" priority="34" operator="equal">
      <formula>"""CUMPLE"""</formula>
    </cfRule>
    <cfRule type="cellIs" dxfId="4484" priority="31" operator="equal">
      <formula>"N/A"</formula>
    </cfRule>
    <cfRule type="cellIs" dxfId="4483" priority="32" operator="equal">
      <formula>"CUMPLE"</formula>
    </cfRule>
  </conditionalFormatting>
  <conditionalFormatting sqref="D56:J66">
    <cfRule type="cellIs" dxfId="4482" priority="16" operator="equal">
      <formula>"CUMPLE"</formula>
    </cfRule>
    <cfRule type="cellIs" dxfId="4481" priority="15" operator="equal">
      <formula>"NO CUMPLE"</formula>
    </cfRule>
    <cfRule type="containsBlanks" dxfId="4480" priority="17">
      <formula>LEN(TRIM(D56))=0</formula>
    </cfRule>
    <cfRule type="notContainsErrors" dxfId="4479" priority="18">
      <formula>NOT(ISERROR(D56))</formula>
    </cfRule>
  </conditionalFormatting>
  <conditionalFormatting sqref="D62:J62">
    <cfRule type="notContainsErrors" dxfId="4478" priority="14">
      <formula>NOT(ISERROR(D62))</formula>
    </cfRule>
    <cfRule type="containsBlanks" dxfId="4477" priority="13">
      <formula>LEN(TRIM(D62))=0</formula>
    </cfRule>
  </conditionalFormatting>
  <conditionalFormatting sqref="D67:J67">
    <cfRule type="cellIs" dxfId="4476" priority="28" operator="equal">
      <formula>"CUMPLE"</formula>
    </cfRule>
    <cfRule type="cellIs" dxfId="4475" priority="27" operator="equal">
      <formula>"N/A"</formula>
    </cfRule>
    <cfRule type="cellIs" dxfId="4474" priority="29" operator="equal">
      <formula>"NO CUMPLE"</formula>
    </cfRule>
    <cfRule type="cellIs" dxfId="4473" priority="30" operator="equal">
      <formula>"""CUMPLE"""</formula>
    </cfRule>
  </conditionalFormatting>
  <conditionalFormatting sqref="D62:K66">
    <cfRule type="containsBlanks" dxfId="4472" priority="19">
      <formula>LEN(TRIM(D62))=0</formula>
    </cfRule>
    <cfRule type="notContainsErrors" dxfId="4471" priority="20">
      <formula>NOT(ISERROR(D62))</formula>
    </cfRule>
  </conditionalFormatting>
  <conditionalFormatting sqref="E71:E72">
    <cfRule type="notContainsErrors" dxfId="4470" priority="69">
      <formula>NOT(ISERROR(E71))</formula>
    </cfRule>
    <cfRule type="containsBlanks" dxfId="4469" priority="68">
      <formula>LEN(TRIM(E71))=0</formula>
    </cfRule>
  </conditionalFormatting>
  <conditionalFormatting sqref="F22:H22">
    <cfRule type="cellIs" dxfId="4468" priority="96" operator="equal">
      <formula>"NO CUMPLE"</formula>
    </cfRule>
    <cfRule type="cellIs" dxfId="4467" priority="95" operator="equal">
      <formula>"CUMPLE"</formula>
    </cfRule>
    <cfRule type="cellIs" dxfId="4466" priority="97" operator="equal">
      <formula>"""CUMPLE"""</formula>
    </cfRule>
  </conditionalFormatting>
  <conditionalFormatting sqref="G63:J63">
    <cfRule type="containsBlanks" dxfId="4465" priority="11">
      <formula>LEN(TRIM(G63))=0</formula>
    </cfRule>
    <cfRule type="notContainsErrors" dxfId="4464" priority="12">
      <formula>NOT(ISERROR(G63))</formula>
    </cfRule>
  </conditionalFormatting>
  <conditionalFormatting sqref="I11">
    <cfRule type="containsText" dxfId="4463" priority="101" operator="containsText" text="NO CUMPLE">
      <formula>NOT(ISERROR(SEARCH("NO CUMPLE",I11)))</formula>
    </cfRule>
    <cfRule type="containsText" dxfId="4462" priority="100" operator="containsText" text="HABILITADO">
      <formula>NOT(ISERROR(SEARCH("HABILITADO",I11)))</formula>
    </cfRule>
    <cfRule type="containsText" dxfId="4461" priority="99" operator="containsText" text="HABILITADO">
      <formula>NOT(ISERROR(SEARCH("HABILITADO",I11)))</formula>
    </cfRule>
    <cfRule type="containsText" dxfId="4460" priority="98" operator="containsText" text="INHABILITADO">
      <formula>NOT(ISERROR(SEARCH("INHABILITADO",I11)))</formula>
    </cfRule>
  </conditionalFormatting>
  <conditionalFormatting sqref="K18:K20">
    <cfRule type="cellIs" dxfId="4459" priority="66" operator="equal">
      <formula>"NO CUMPLE"</formula>
    </cfRule>
    <cfRule type="cellIs" dxfId="4458" priority="65" operator="equal">
      <formula>"CUMPLE"</formula>
    </cfRule>
    <cfRule type="cellIs" dxfId="4457" priority="67" operator="equal">
      <formula>"""CUMPLE"""</formula>
    </cfRule>
  </conditionalFormatting>
  <conditionalFormatting sqref="K26:K61">
    <cfRule type="containsBlanks" dxfId="4456" priority="1">
      <formula>LEN(TRIM(K26))=0</formula>
    </cfRule>
    <cfRule type="notContainsErrors" dxfId="4455" priority="2">
      <formula>NOT(ISERROR(K26))</formula>
    </cfRule>
  </conditionalFormatting>
  <conditionalFormatting sqref="K67:L67">
    <cfRule type="containsBlanks" dxfId="4454" priority="25">
      <formula>LEN(TRIM(K67))=0</formula>
    </cfRule>
    <cfRule type="notContainsErrors" dxfId="4453" priority="26">
      <formula>NOT(ISERROR(K67))</formula>
    </cfRule>
  </conditionalFormatting>
  <conditionalFormatting sqref="L14">
    <cfRule type="cellIs" dxfId="4452" priority="94" operator="equal">
      <formula>"""CUMPLE"""</formula>
    </cfRule>
    <cfRule type="cellIs" dxfId="4451" priority="93" operator="equal">
      <formula>"NO CUMPLE"</formula>
    </cfRule>
    <cfRule type="cellIs" dxfId="4450" priority="92" operator="equal">
      <formula>"CUMPLE"</formula>
    </cfRule>
  </conditionalFormatting>
  <dataValidations count="2">
    <dataValidation type="list" allowBlank="1" showInputMessage="1" showErrorMessage="1" sqref="D26:J28" xr:uid="{00000000-0002-0000-1300-000000000000}">
      <formula1>$C$15:$C$21</formula1>
    </dataValidation>
    <dataValidation type="list" allowBlank="1" showInputMessage="1" showErrorMessage="1" sqref="L62:L67" xr:uid="{00000000-0002-0000-13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1300-000002000000}">
          <x14:formula1>
            <xm:f>'DATOS INICIALES'!$A$13:$A$50</xm:f>
          </x14:formula1>
          <xm:sqref>G33:I33</xm:sqref>
        </x14:dataValidation>
        <x14:dataValidation type="list" allowBlank="1" showInputMessage="1" showErrorMessage="1" xr:uid="{00000000-0002-0000-1300-000003000000}">
          <x14:formula1>
            <xm:f>'DATOS INICIALES'!$A$61:$A$66</xm:f>
          </x14:formula1>
          <xm:sqref>D25:I25</xm:sqref>
        </x14:dataValidation>
        <x14:dataValidation type="list" allowBlank="1" showInputMessage="1" showErrorMessage="1" xr:uid="{00000000-0002-0000-1300-000004000000}">
          <x14:formula1>
            <xm:f>'DATOS INICIALES'!$A$57:$A$59</xm:f>
          </x14:formula1>
          <xm:sqref>D71 D56:J66</xm:sqref>
        </x14:dataValidation>
        <x14:dataValidation type="list" allowBlank="1" showInputMessage="1" showErrorMessage="1" xr:uid="{00000000-0002-0000-1300-000005000000}">
          <x14:formula1>
            <xm:f>'DATOS INICIALES'!$C$52:$C$53</xm:f>
          </x14:formula1>
          <xm:sqref>D53:J54</xm:sqref>
        </x14:dataValidation>
        <x14:dataValidation type="list" allowBlank="1" showInputMessage="1" showErrorMessage="1" xr:uid="{00000000-0002-0000-1300-000006000000}">
          <x14:formula1>
            <xm:f>'DATOS INICIALES'!$A$61:$A$67</xm:f>
          </x14:formula1>
          <xm:sqref>J25</xm:sqref>
        </x14:dataValidation>
        <x14:dataValidation type="list" allowBlank="1" showInputMessage="1" showErrorMessage="1" xr:uid="{00000000-0002-0000-1300-000007000000}">
          <x14:formula1>
            <xm:f>'DATOS INICIALES'!$A$57:$A$58</xm:f>
          </x14:formula1>
          <xm:sqref>D49:J49</xm:sqref>
        </x14:dataValidation>
        <x14:dataValidation type="list" allowBlank="1" showInputMessage="1" showErrorMessage="1" xr:uid="{00000000-0002-0000-1300-000008000000}">
          <x14:formula1>
            <xm:f>'DATOS INICIALES'!$D$27:$D$29</xm:f>
          </x14:formula1>
          <xm:sqref>M50:M55</xm:sqref>
        </x14:dataValidation>
        <x14:dataValidation type="list" allowBlank="1" showInputMessage="1" showErrorMessage="1" xr:uid="{00000000-0002-0000-1300-000009000000}">
          <x14:formula1>
            <xm:f>'DATOS INICIALES'!$C$52:$C$54</xm:f>
          </x14:formula1>
          <xm:sqref>D50:J52</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92D050"/>
  </sheetPr>
  <dimension ref="A1:N72"/>
  <sheetViews>
    <sheetView view="pageBreakPreview" topLeftCell="A20" zoomScale="40" zoomScaleNormal="25" zoomScaleSheetLayoutView="40" workbookViewId="0">
      <selection activeCell="D42" sqref="D42"/>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48.6640625" customWidth="1"/>
    <col min="6" max="6" width="44.83203125" customWidth="1"/>
    <col min="7" max="7" width="61.6640625" customWidth="1"/>
    <col min="8"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15</v>
      </c>
      <c r="B11" s="2" t="s">
        <v>58</v>
      </c>
      <c r="C11" s="413" t="str">
        <f>VLOOKUP(A11,PROPONENTES!A10:B94,2,FALSE)</f>
        <v>CONSORCIO SAN RAFAEL</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1</v>
      </c>
      <c r="J14" s="147">
        <f>+L8</f>
        <v>986.3076290832455</v>
      </c>
      <c r="K14" s="147">
        <f>+E22</f>
        <v>2317.3278</v>
      </c>
      <c r="L14" s="18" t="str">
        <f>IF(K14&gt;=J14,"CUMPLE","NO CUMPLE")</f>
        <v>CUMPLE</v>
      </c>
    </row>
    <row r="15" spans="1:12" ht="33.75" customHeight="1" x14ac:dyDescent="0.2">
      <c r="B15" s="382"/>
      <c r="C15" s="92" t="str">
        <f>IF(VLOOKUP(C11,PROPONENTES!B10:N94,2,FALSE)=0,"",VLOOKUP(C11,PROPONENTES!B10:N94,2,FALSE))</f>
        <v>CODIPRO INGENIERIA LTDA</v>
      </c>
      <c r="D15" s="93">
        <f>IF(VLOOKUP(C11,PROPONENTES!B10:N94,3,FALSE)=0,"",VLOOKUP(C11,PROPONENTES!B10:N94,3,FALSE))</f>
        <v>0.9</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2317.3278</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INGEBAMER SAS</v>
      </c>
      <c r="D16" s="93">
        <f>IF(VLOOKUP(C11,PROPONENTES!B10:N94,5,FALSE)=0,"",VLOOKUP(C11,PROPONENTES!B10:N94,5,FALSE))</f>
        <v>0.1</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0</v>
      </c>
      <c r="F16" s="95" t="str">
        <f>IF(C16="","",IF(E16&gt;=$J$14*0.5,"SI","NO"))</f>
        <v>NO</v>
      </c>
      <c r="G16" s="96" t="str">
        <f>IF(C16="","",IF(E16&gt;=$J$14*0.05,"SI",IF(E16=0,"NO APORTA EXPERIENCIA",)))</f>
        <v>NO APORTA EXPERIENCIA</v>
      </c>
      <c r="H16" s="96" t="str">
        <f>IF(C16="","",IF(AND(G16="NO APORTA EXPERIENCIA",D16&lt;=10%),"SI",IF(G16="SI","NO APLICA","NO - PORCENTAJE MAYOR AL 10%")))</f>
        <v>SI</v>
      </c>
      <c r="I16" s="162"/>
      <c r="J16" s="162"/>
      <c r="K16" s="162"/>
      <c r="L16" s="161">
        <f>AVERAGEIF(D67:J67,"CUMPLE",D48:J48)</f>
        <v>2317.3278</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1</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1</v>
      </c>
      <c r="J19" s="128">
        <v>1</v>
      </c>
      <c r="K19" s="387"/>
      <c r="L19" s="388"/>
    </row>
    <row r="20" spans="2:14" ht="50.25" customHeight="1" x14ac:dyDescent="0.2">
      <c r="B20" s="382"/>
      <c r="C20" s="92"/>
      <c r="D20" s="93"/>
      <c r="E20" s="94"/>
      <c r="F20" s="95"/>
      <c r="G20" s="96"/>
      <c r="H20" s="96"/>
      <c r="I20" s="128">
        <f>COUNTIFS(D60:J60,"CUMPLE",D67:J67,"CUMPLE")</f>
        <v>1</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1</v>
      </c>
      <c r="J21" s="128">
        <v>1</v>
      </c>
      <c r="K21" s="389"/>
      <c r="L21" s="390"/>
    </row>
    <row r="22" spans="2:14" ht="84.75" customHeight="1" x14ac:dyDescent="0.2">
      <c r="B22" s="29" t="s">
        <v>75</v>
      </c>
      <c r="C22" s="24">
        <f>+VLOOKUP(C11,PROPONENTES!B10:N94,12,FALSE)</f>
        <v>2</v>
      </c>
      <c r="D22" s="93">
        <f>+VLOOKUP(C11,PROPONENTES!B10:N94,13,FALSE)</f>
        <v>1</v>
      </c>
      <c r="E22" s="32">
        <f>SUM(E15:E21)</f>
        <v>2317.3278</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456</v>
      </c>
      <c r="E26" s="84"/>
      <c r="F26" s="84"/>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472</v>
      </c>
      <c r="E29" s="85"/>
      <c r="F29" s="85"/>
      <c r="G29" s="85"/>
      <c r="H29" s="85"/>
      <c r="I29" s="85"/>
      <c r="J29" s="85"/>
      <c r="K29" s="145"/>
      <c r="L29" s="140"/>
    </row>
    <row r="30" spans="2:14" ht="246.5" customHeight="1" x14ac:dyDescent="0.2">
      <c r="B30" s="374"/>
      <c r="C30" s="25" t="s">
        <v>84</v>
      </c>
      <c r="D30" s="85" t="s">
        <v>473</v>
      </c>
      <c r="E30" s="85"/>
      <c r="F30" s="85"/>
      <c r="G30" s="85"/>
      <c r="H30" s="85"/>
      <c r="I30" s="85"/>
      <c r="J30" s="85"/>
      <c r="K30" s="145"/>
      <c r="L30" s="140"/>
    </row>
    <row r="31" spans="2:14" ht="52.5" customHeight="1" x14ac:dyDescent="0.2">
      <c r="B31" s="374"/>
      <c r="C31" s="25" t="s">
        <v>85</v>
      </c>
      <c r="D31" s="89">
        <v>40077</v>
      </c>
      <c r="E31" s="89"/>
      <c r="F31" s="89"/>
      <c r="G31" s="89"/>
      <c r="H31" s="89"/>
      <c r="I31" s="89"/>
      <c r="J31" s="89"/>
      <c r="K31" s="145"/>
      <c r="L31" s="140"/>
    </row>
    <row r="32" spans="2:14" ht="54.75" customHeight="1" x14ac:dyDescent="0.2">
      <c r="B32" s="374"/>
      <c r="C32" s="25" t="s">
        <v>86</v>
      </c>
      <c r="D32" s="89" t="s">
        <v>474</v>
      </c>
      <c r="E32" s="89"/>
      <c r="F32" s="89"/>
      <c r="G32" s="89"/>
      <c r="H32" s="89"/>
      <c r="I32" s="89"/>
      <c r="J32" s="89"/>
      <c r="K32" s="145"/>
      <c r="L32" s="140"/>
    </row>
    <row r="33" spans="2:12" ht="41.25" customHeight="1" x14ac:dyDescent="0.2">
      <c r="B33" s="374"/>
      <c r="C33" s="25" t="s">
        <v>87</v>
      </c>
      <c r="D33" s="86">
        <v>2014</v>
      </c>
      <c r="E33" s="86"/>
      <c r="F33" s="86"/>
      <c r="G33" s="86"/>
      <c r="H33" s="86"/>
      <c r="I33" s="86"/>
      <c r="J33" s="86"/>
      <c r="K33" s="145"/>
      <c r="L33" s="140"/>
    </row>
    <row r="34" spans="2:12" ht="63" customHeight="1" x14ac:dyDescent="0.2">
      <c r="B34" s="374"/>
      <c r="C34" s="25" t="s">
        <v>88</v>
      </c>
      <c r="D34" s="85" t="s">
        <v>475</v>
      </c>
      <c r="E34" s="85"/>
      <c r="F34" s="85"/>
      <c r="G34" s="85"/>
      <c r="H34" s="85"/>
      <c r="I34" s="85"/>
      <c r="J34" s="85"/>
      <c r="K34" s="145"/>
      <c r="L34" s="140"/>
    </row>
    <row r="35" spans="2:12" ht="46.5" customHeight="1" x14ac:dyDescent="0.2">
      <c r="B35" s="374"/>
      <c r="C35" s="25" t="s">
        <v>89</v>
      </c>
      <c r="D35" s="85" t="s">
        <v>476</v>
      </c>
      <c r="E35" s="85"/>
      <c r="F35" s="85"/>
      <c r="G35" s="85"/>
      <c r="H35" s="85"/>
      <c r="I35" s="85"/>
      <c r="J35" s="85"/>
      <c r="K35" s="145"/>
      <c r="L35" s="140"/>
    </row>
    <row r="36" spans="2:12" ht="27.75" customHeight="1" x14ac:dyDescent="0.2">
      <c r="B36" s="374"/>
      <c r="C36" s="26" t="s">
        <v>90</v>
      </c>
      <c r="D36" s="90">
        <v>72</v>
      </c>
      <c r="E36" s="90"/>
      <c r="F36" s="90"/>
      <c r="G36" s="91"/>
      <c r="H36" s="91"/>
      <c r="I36" s="91"/>
      <c r="J36" s="91"/>
      <c r="K36" s="145"/>
      <c r="L36" s="140"/>
    </row>
    <row r="37" spans="2:12" ht="102.75" customHeight="1" x14ac:dyDescent="0.2">
      <c r="B37" s="374"/>
      <c r="C37" s="25" t="s">
        <v>91</v>
      </c>
      <c r="D37" s="87">
        <v>13631.34</v>
      </c>
      <c r="E37" s="158"/>
      <c r="F37" s="87"/>
      <c r="G37" s="87"/>
      <c r="H37" s="87"/>
      <c r="I37" s="87"/>
      <c r="J37" s="87"/>
      <c r="K37" s="242"/>
      <c r="L37" s="243"/>
    </row>
    <row r="38" spans="2:12" ht="48" customHeight="1" x14ac:dyDescent="0.2">
      <c r="B38" s="374"/>
      <c r="C38" s="25" t="s">
        <v>92</v>
      </c>
      <c r="D38" s="97">
        <f>IFERROR(D37*VLOOKUP(D33,'DATOS INICIALES'!$A$12:$B$50,2,0),"0")</f>
        <v>8396905440</v>
      </c>
      <c r="E38" s="97" t="str">
        <f>IFERROR(E37*VLOOKUP(E33,'DATOS INICIALES'!$A$12:$B$50,2,0),"0")</f>
        <v>0</v>
      </c>
      <c r="F38" s="97" t="str">
        <f>IFERROR(F37*VLOOKUP(F33,'DATOS INICIALES'!$A$12:$B$50,2,0),"0")</f>
        <v>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0.17</v>
      </c>
      <c r="E39" s="88"/>
      <c r="F39" s="88"/>
      <c r="G39" s="88"/>
      <c r="H39" s="88"/>
      <c r="I39" s="88"/>
      <c r="J39" s="88"/>
      <c r="K39" s="145"/>
      <c r="L39" s="140"/>
    </row>
    <row r="40" spans="2:12" ht="48.75" customHeight="1" x14ac:dyDescent="0.2">
      <c r="B40" s="374"/>
      <c r="C40" s="25" t="s">
        <v>94</v>
      </c>
      <c r="D40" s="97">
        <f t="shared" ref="D40:J40" si="0">IF(D26="","0",D39*D38)</f>
        <v>1427473924.8000002</v>
      </c>
      <c r="E40" s="97" t="str">
        <f t="shared" si="0"/>
        <v>0</v>
      </c>
      <c r="F40" s="97" t="str">
        <f t="shared" si="0"/>
        <v>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2317.3278</v>
      </c>
      <c r="E41" s="98">
        <f t="shared" si="1"/>
        <v>0</v>
      </c>
      <c r="F41" s="98">
        <f t="shared" si="1"/>
        <v>0</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2317.3278</v>
      </c>
      <c r="E48" s="98">
        <f t="shared" ref="E48:G48" si="6">+E41+E44+E47</f>
        <v>0</v>
      </c>
      <c r="F48" s="98">
        <f t="shared" si="6"/>
        <v>0</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N/A</v>
      </c>
      <c r="F55" s="18" t="str">
        <f t="shared" si="8"/>
        <v>N/A</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N/A</v>
      </c>
      <c r="F67" s="18" t="str">
        <f>IF(F26="","N/A",IF(AND(F49="CUMPLE",F55="CUMPLE",OR(F56="CUMPLE",F56="N/A"),OR(F59="CUMPLE",F59="N/A"),F62="CUMPLE",F63="CUMPLE",OR(F64="CUMPLE",F64="N/A"),F65="CUMPLE",OR(F66="CUMPLE",F66="N/A")),"CUMPLE","NO CUMPLE"))</f>
        <v>N/A</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4449" priority="69" operator="equal">
      <formula>"CUMPLE"</formula>
    </cfRule>
    <cfRule type="containsBlanks" dxfId="4448" priority="66">
      <formula>LEN(TRIM(D71))=0</formula>
    </cfRule>
    <cfRule type="notContainsErrors" dxfId="4447" priority="67">
      <formula>NOT(ISERROR(D71))</formula>
    </cfRule>
    <cfRule type="cellIs" dxfId="4446" priority="68" operator="equal">
      <formula>"NO CUMPLE"</formula>
    </cfRule>
  </conditionalFormatting>
  <conditionalFormatting sqref="D72">
    <cfRule type="cellIs" dxfId="4445" priority="71" operator="equal">
      <formula>"CUMPLE"</formula>
    </cfRule>
    <cfRule type="cellIs" dxfId="4444" priority="70" operator="equal">
      <formula>"N/A"</formula>
    </cfRule>
    <cfRule type="cellIs" dxfId="4443" priority="73" operator="equal">
      <formula>"""CUMPLE"""</formula>
    </cfRule>
    <cfRule type="cellIs" dxfId="4442" priority="72" operator="equal">
      <formula>"NO CUMPLE"</formula>
    </cfRule>
  </conditionalFormatting>
  <conditionalFormatting sqref="D26:J37">
    <cfRule type="notContainsErrors" dxfId="4441" priority="4">
      <formula>NOT(ISERROR(D26))</formula>
    </cfRule>
    <cfRule type="containsBlanks" dxfId="4440" priority="3">
      <formula>LEN(TRIM(D26))=0</formula>
    </cfRule>
  </conditionalFormatting>
  <conditionalFormatting sqref="D36:J36">
    <cfRule type="notContainsErrors" dxfId="4439" priority="6">
      <formula>NOT(ISERROR(D36))</formula>
    </cfRule>
    <cfRule type="containsBlanks" dxfId="4438" priority="5">
      <formula>LEN(TRIM(D36))=0</formula>
    </cfRule>
  </conditionalFormatting>
  <conditionalFormatting sqref="D39:J39">
    <cfRule type="containsBlanks" dxfId="4437" priority="1">
      <formula>LEN(TRIM(D39))=0</formula>
    </cfRule>
    <cfRule type="notContainsErrors" dxfId="4436" priority="2">
      <formula>NOT(ISERROR(D39))</formula>
    </cfRule>
  </conditionalFormatting>
  <conditionalFormatting sqref="D42:J42 D45:J45">
    <cfRule type="notContainsErrors" dxfId="4435" priority="38">
      <formula>NOT(ISERROR(D42))</formula>
    </cfRule>
    <cfRule type="containsBlanks" dxfId="4434" priority="37">
      <formula>LEN(TRIM(D42))=0</formula>
    </cfRule>
  </conditionalFormatting>
  <conditionalFormatting sqref="D49:J54">
    <cfRule type="cellIs" dxfId="4433" priority="17" operator="equal">
      <formula>"NO CUMPLE"</formula>
    </cfRule>
    <cfRule type="cellIs" dxfId="4432" priority="18" operator="equal">
      <formula>"CUMPLE"</formula>
    </cfRule>
    <cfRule type="containsBlanks" dxfId="4431" priority="19">
      <formula>LEN(TRIM(D49))=0</formula>
    </cfRule>
    <cfRule type="notContainsErrors" dxfId="4430" priority="20">
      <formula>NOT(ISERROR(D49))</formula>
    </cfRule>
  </conditionalFormatting>
  <conditionalFormatting sqref="D55:J55">
    <cfRule type="cellIs" dxfId="4429" priority="28" operator="equal">
      <formula>"CUMPLE"</formula>
    </cfRule>
    <cfRule type="cellIs" dxfId="4428" priority="30" operator="equal">
      <formula>"""CUMPLE"""</formula>
    </cfRule>
    <cfRule type="cellIs" dxfId="4427" priority="29" operator="equal">
      <formula>"NO CUMPLE"</formula>
    </cfRule>
    <cfRule type="cellIs" dxfId="4426" priority="27" operator="equal">
      <formula>"N/A"</formula>
    </cfRule>
  </conditionalFormatting>
  <conditionalFormatting sqref="D56:J66">
    <cfRule type="cellIs" dxfId="4425" priority="11" operator="equal">
      <formula>"NO CUMPLE"</formula>
    </cfRule>
    <cfRule type="notContainsErrors" dxfId="4424" priority="14">
      <formula>NOT(ISERROR(D56))</formula>
    </cfRule>
    <cfRule type="containsBlanks" dxfId="4423" priority="13">
      <formula>LEN(TRIM(D56))=0</formula>
    </cfRule>
    <cfRule type="cellIs" dxfId="4422" priority="12" operator="equal">
      <formula>"CUMPLE"</formula>
    </cfRule>
  </conditionalFormatting>
  <conditionalFormatting sqref="D67:J67">
    <cfRule type="cellIs" dxfId="4421" priority="23" operator="equal">
      <formula>"N/A"</formula>
    </cfRule>
    <cfRule type="cellIs" dxfId="4420" priority="24" operator="equal">
      <formula>"CUMPLE"</formula>
    </cfRule>
    <cfRule type="cellIs" dxfId="4419" priority="26" operator="equal">
      <formula>"""CUMPLE"""</formula>
    </cfRule>
    <cfRule type="cellIs" dxfId="4418" priority="25" operator="equal">
      <formula>"NO CUMPLE"</formula>
    </cfRule>
  </conditionalFormatting>
  <conditionalFormatting sqref="D62:K66">
    <cfRule type="containsBlanks" dxfId="4417" priority="15">
      <formula>LEN(TRIM(D62))=0</formula>
    </cfRule>
    <cfRule type="notContainsErrors" dxfId="4416" priority="16">
      <formula>NOT(ISERROR(D62))</formula>
    </cfRule>
  </conditionalFormatting>
  <conditionalFormatting sqref="E71:E72">
    <cfRule type="notContainsErrors" dxfId="4415" priority="65">
      <formula>NOT(ISERROR(E71))</formula>
    </cfRule>
    <cfRule type="containsBlanks" dxfId="4414" priority="64">
      <formula>LEN(TRIM(E71))=0</formula>
    </cfRule>
  </conditionalFormatting>
  <conditionalFormatting sqref="F22:H22">
    <cfRule type="cellIs" dxfId="4413" priority="92" operator="equal">
      <formula>"NO CUMPLE"</formula>
    </cfRule>
    <cfRule type="cellIs" dxfId="4412" priority="93" operator="equal">
      <formula>"""CUMPLE"""</formula>
    </cfRule>
    <cfRule type="cellIs" dxfId="4411" priority="91" operator="equal">
      <formula>"CUMPLE"</formula>
    </cfRule>
  </conditionalFormatting>
  <conditionalFormatting sqref="G63:J63">
    <cfRule type="containsBlanks" dxfId="4410" priority="7">
      <formula>LEN(TRIM(G63))=0</formula>
    </cfRule>
    <cfRule type="notContainsErrors" dxfId="4409" priority="8">
      <formula>NOT(ISERROR(G63))</formula>
    </cfRule>
  </conditionalFormatting>
  <conditionalFormatting sqref="I11">
    <cfRule type="containsText" dxfId="4408" priority="97" operator="containsText" text="NO CUMPLE">
      <formula>NOT(ISERROR(SEARCH("NO CUMPLE",I11)))</formula>
    </cfRule>
    <cfRule type="containsText" dxfId="4407" priority="96" operator="containsText" text="HABILITADO">
      <formula>NOT(ISERROR(SEARCH("HABILITADO",I11)))</formula>
    </cfRule>
    <cfRule type="containsText" dxfId="4406" priority="95" operator="containsText" text="HABILITADO">
      <formula>NOT(ISERROR(SEARCH("HABILITADO",I11)))</formula>
    </cfRule>
    <cfRule type="containsText" dxfId="4405" priority="94" operator="containsText" text="INHABILITADO">
      <formula>NOT(ISERROR(SEARCH("INHABILITADO",I11)))</formula>
    </cfRule>
  </conditionalFormatting>
  <conditionalFormatting sqref="K18:K20">
    <cfRule type="cellIs" dxfId="4404" priority="62" operator="equal">
      <formula>"NO CUMPLE"</formula>
    </cfRule>
    <cfRule type="cellIs" dxfId="4403" priority="63" operator="equal">
      <formula>"""CUMPLE"""</formula>
    </cfRule>
    <cfRule type="cellIs" dxfId="4402" priority="61" operator="equal">
      <formula>"CUMPLE"</formula>
    </cfRule>
  </conditionalFormatting>
  <conditionalFormatting sqref="K26:K61 D62:J62">
    <cfRule type="containsBlanks" dxfId="4401" priority="9">
      <formula>LEN(TRIM(D26))=0</formula>
    </cfRule>
    <cfRule type="notContainsErrors" dxfId="4400" priority="10">
      <formula>NOT(ISERROR(D26))</formula>
    </cfRule>
  </conditionalFormatting>
  <conditionalFormatting sqref="K67:L67">
    <cfRule type="containsBlanks" dxfId="4399" priority="21">
      <formula>LEN(TRIM(K67))=0</formula>
    </cfRule>
    <cfRule type="notContainsErrors" dxfId="4398" priority="22">
      <formula>NOT(ISERROR(K67))</formula>
    </cfRule>
  </conditionalFormatting>
  <conditionalFormatting sqref="L14">
    <cfRule type="cellIs" dxfId="4397" priority="90" operator="equal">
      <formula>"""CUMPLE"""</formula>
    </cfRule>
    <cfRule type="cellIs" dxfId="4396" priority="89" operator="equal">
      <formula>"NO CUMPLE"</formula>
    </cfRule>
    <cfRule type="cellIs" dxfId="4395" priority="88" operator="equal">
      <formula>"CUMPLE"</formula>
    </cfRule>
  </conditionalFormatting>
  <dataValidations count="2">
    <dataValidation type="list" allowBlank="1" showInputMessage="1" showErrorMessage="1" sqref="L62:L67" xr:uid="{00000000-0002-0000-1400-000000000000}">
      <formula1>"0,1,2,3,4,5,6"</formula1>
    </dataValidation>
    <dataValidation type="list" allowBlank="1" showInputMessage="1" showErrorMessage="1" sqref="D26:J28" xr:uid="{00000000-0002-0000-14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1400-000002000000}">
          <x14:formula1>
            <xm:f>'DATOS INICIALES'!$A$57:$A$58</xm:f>
          </x14:formula1>
          <xm:sqref>D49:J49</xm:sqref>
        </x14:dataValidation>
        <x14:dataValidation type="list" allowBlank="1" showInputMessage="1" showErrorMessage="1" xr:uid="{00000000-0002-0000-1400-000003000000}">
          <x14:formula1>
            <xm:f>'DATOS INICIALES'!$A$61:$A$67</xm:f>
          </x14:formula1>
          <xm:sqref>J25</xm:sqref>
        </x14:dataValidation>
        <x14:dataValidation type="list" allowBlank="1" showInputMessage="1" showErrorMessage="1" xr:uid="{00000000-0002-0000-1400-000004000000}">
          <x14:formula1>
            <xm:f>'DATOS INICIALES'!$C$52:$C$53</xm:f>
          </x14:formula1>
          <xm:sqref>D53:J54</xm:sqref>
        </x14:dataValidation>
        <x14:dataValidation type="list" allowBlank="1" showInputMessage="1" showErrorMessage="1" xr:uid="{00000000-0002-0000-1400-000005000000}">
          <x14:formula1>
            <xm:f>'DATOS INICIALES'!$A$57:$A$59</xm:f>
          </x14:formula1>
          <xm:sqref>D71 D56:J66</xm:sqref>
        </x14:dataValidation>
        <x14:dataValidation type="list" allowBlank="1" showInputMessage="1" showErrorMessage="1" xr:uid="{00000000-0002-0000-1400-000006000000}">
          <x14:formula1>
            <xm:f>'DATOS INICIALES'!$A$61:$A$66</xm:f>
          </x14:formula1>
          <xm:sqref>D25:I25</xm:sqref>
        </x14:dataValidation>
        <x14:dataValidation type="list" allowBlank="1" showInputMessage="1" showErrorMessage="1" xr:uid="{00000000-0002-0000-1400-000007000000}">
          <x14:formula1>
            <xm:f>'DATOS INICIALES'!$A$13:$A$50</xm:f>
          </x14:formula1>
          <xm:sqref>G33:I33</xm:sqref>
        </x14:dataValidation>
        <x14:dataValidation type="list" allowBlank="1" showInputMessage="1" showErrorMessage="1" xr:uid="{00000000-0002-0000-1400-000008000000}">
          <x14:formula1>
            <xm:f>'DATOS INICIALES'!$D$27:$D$29</xm:f>
          </x14:formula1>
          <xm:sqref>M50:M55</xm:sqref>
        </x14:dataValidation>
        <x14:dataValidation type="list" allowBlank="1" showInputMessage="1" showErrorMessage="1" xr:uid="{00000000-0002-0000-1400-000009000000}">
          <x14:formula1>
            <xm:f>'DATOS INICIALES'!$C$52:$C$54</xm:f>
          </x14:formula1>
          <xm:sqref>D50:J52</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92D050"/>
  </sheetPr>
  <dimension ref="A1:N72"/>
  <sheetViews>
    <sheetView view="pageBreakPreview" topLeftCell="A18" zoomScale="25" zoomScaleNormal="25" zoomScaleSheetLayoutView="25" workbookViewId="0">
      <selection activeCell="K30" sqref="K30:L30"/>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16</v>
      </c>
      <c r="B11" s="2" t="s">
        <v>58</v>
      </c>
      <c r="C11" s="413" t="str">
        <f>VLOOKUP(A11,PROPONENTES!A10:B94,2,FALSE)</f>
        <v>CONSORCIO INTER MALLA USAQUEN</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1</v>
      </c>
      <c r="J14" s="147">
        <f>+L8</f>
        <v>986.3076290832455</v>
      </c>
      <c r="K14" s="147">
        <f>+E22</f>
        <v>2951.0360000000001</v>
      </c>
      <c r="L14" s="18" t="str">
        <f>IF(K14&gt;=J14,"CUMPLE","NO CUMPLE")</f>
        <v>CUMPLE</v>
      </c>
    </row>
    <row r="15" spans="1:12" ht="33.75" customHeight="1" x14ac:dyDescent="0.2">
      <c r="B15" s="382"/>
      <c r="C15" s="92" t="str">
        <f>IF(VLOOKUP(C11,PROPONENTES!B10:N94,2,FALSE)=0,"",VLOOKUP(C11,PROPONENTES!B10:N94,2,FALSE))</f>
        <v>TAKOA CONSULTORÍA S.A.S</v>
      </c>
      <c r="D15" s="93">
        <f>IF(VLOOKUP(C11,PROPONENTES!B10:N94,3,FALSE)=0,"",VLOOKUP(C11,PROPONENTES!B10:N94,3,FALSE))</f>
        <v>0.1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0</v>
      </c>
      <c r="F15" s="95" t="str">
        <f>IF(C15="","",IF(E15&gt;=$J$14*0.5,"SI","NO"))</f>
        <v>NO</v>
      </c>
      <c r="G15" s="96" t="str">
        <f>IF(C15="","",IF(E15&gt;=$J$14*0.05,"SI",IF(E15=0,"NO APORTA EXPERIENCIA",)))</f>
        <v>NO APORTA EXPERIENCIA</v>
      </c>
      <c r="H15" s="96" t="str">
        <f>IF(C15="","",IF(AND(G15="NO APORTA EXPERIENCIA",D15&lt;=10%),"SI",IF(G15="SI","NO APLICA","NO - PORCENTAJE MAYOR AL 10%")))</f>
        <v>SI</v>
      </c>
      <c r="I15" s="162"/>
      <c r="J15" s="162"/>
      <c r="K15" s="162"/>
      <c r="L15" s="173" t="s">
        <v>72</v>
      </c>
    </row>
    <row r="16" spans="1:12" ht="33.75" customHeight="1" x14ac:dyDescent="0.2">
      <c r="B16" s="382"/>
      <c r="C16" s="92" t="str">
        <f>IF(VLOOKUP(C11,PROPONENTES!B10:N94,4,FALSE)=0,"",VLOOKUP(C11,PROPONENTES!B10:N94,4,FALSE))</f>
        <v>VALDOS 22 S.A.S</v>
      </c>
      <c r="D16" s="93">
        <f>IF(VLOOKUP(C11,PROPONENTES!B10:N94,5,FALSE)=0,"",VLOOKUP(C11,PROPONENTES!B10:N94,5,FALSE))</f>
        <v>0.9</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2951.0360000000001</v>
      </c>
      <c r="F16" s="95" t="str">
        <f>IF(C16="","",IF(E16&gt;=$J$14*0.5,"SI","NO"))</f>
        <v>SI</v>
      </c>
      <c r="G16" s="96" t="str">
        <f>IF(C16="","",IF(E16&gt;=$J$14*0.05,"SI",IF(E16=0,"NO APORTA EXPERIENCIA",)))</f>
        <v>SI</v>
      </c>
      <c r="H16" s="96" t="str">
        <f>IF(C16="","",IF(AND(G16="NO APORTA EXPERIENCIA",D16&lt;=10%),"SI",IF(G16="SI","NO APLICA","NO - PORCENTAJE MAYOR AL 10%")))</f>
        <v>NO APLICA</v>
      </c>
      <c r="I16" s="162"/>
      <c r="J16" s="162"/>
      <c r="K16" s="162"/>
      <c r="L16" s="161">
        <f>AVERAGEIF(D67:J67,"CUMPLE",D48:J48)</f>
        <v>2951.0360000000001</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1</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1</v>
      </c>
      <c r="J19" s="128">
        <v>1</v>
      </c>
      <c r="K19" s="387"/>
      <c r="L19" s="388"/>
    </row>
    <row r="20" spans="2:14" ht="50.25" customHeight="1" x14ac:dyDescent="0.2">
      <c r="B20" s="382"/>
      <c r="C20" s="92"/>
      <c r="D20" s="93"/>
      <c r="E20" s="94"/>
      <c r="F20" s="95"/>
      <c r="G20" s="96"/>
      <c r="H20" s="96"/>
      <c r="I20" s="128">
        <f>COUNTIFS(D60:J60,"CUMPLE",D67:J67,"CUMPLE")</f>
        <v>1</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1</v>
      </c>
      <c r="J21" s="128">
        <v>1</v>
      </c>
      <c r="K21" s="389"/>
      <c r="L21" s="390"/>
    </row>
    <row r="22" spans="2:14" ht="84.75" customHeight="1" x14ac:dyDescent="0.2">
      <c r="B22" s="29" t="s">
        <v>75</v>
      </c>
      <c r="C22" s="24">
        <f>+VLOOKUP(C11,PROPONENTES!B10:N94,12,FALSE)</f>
        <v>2</v>
      </c>
      <c r="D22" s="93">
        <f>+VLOOKUP(C11,PROPONENTES!B10:N94,13,FALSE)</f>
        <v>1</v>
      </c>
      <c r="E22" s="32">
        <f>SUM(E15:E21)</f>
        <v>2951.0360000000001</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459</v>
      </c>
      <c r="E26" s="84" t="s">
        <v>459</v>
      </c>
      <c r="F26" s="84"/>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477</v>
      </c>
      <c r="E29" s="85" t="s">
        <v>478</v>
      </c>
      <c r="F29" s="85"/>
      <c r="G29" s="85"/>
      <c r="H29" s="85"/>
      <c r="I29" s="85"/>
      <c r="J29" s="85"/>
      <c r="K29" s="145"/>
      <c r="L29" s="140"/>
    </row>
    <row r="30" spans="2:14" ht="156.75" customHeight="1" x14ac:dyDescent="0.2">
      <c r="B30" s="374"/>
      <c r="C30" s="25" t="s">
        <v>84</v>
      </c>
      <c r="D30" s="85" t="s">
        <v>479</v>
      </c>
      <c r="E30" s="85" t="s">
        <v>480</v>
      </c>
      <c r="F30" s="85"/>
      <c r="G30" s="85"/>
      <c r="H30" s="85"/>
      <c r="I30" s="85"/>
      <c r="J30" s="85"/>
      <c r="K30" s="426" t="s">
        <v>1421</v>
      </c>
      <c r="L30" s="427"/>
    </row>
    <row r="31" spans="2:14" ht="52.5" customHeight="1" x14ac:dyDescent="0.2">
      <c r="B31" s="374"/>
      <c r="C31" s="25" t="s">
        <v>85</v>
      </c>
      <c r="D31" s="89">
        <v>41638</v>
      </c>
      <c r="E31" s="89">
        <v>43269</v>
      </c>
      <c r="F31" s="89"/>
      <c r="G31" s="89"/>
      <c r="H31" s="89"/>
      <c r="I31" s="89"/>
      <c r="J31" s="89"/>
      <c r="K31" s="145"/>
      <c r="L31" s="140"/>
    </row>
    <row r="32" spans="2:14" ht="54.75" customHeight="1" x14ac:dyDescent="0.2">
      <c r="B32" s="374"/>
      <c r="C32" s="25" t="s">
        <v>86</v>
      </c>
      <c r="D32" s="89">
        <v>43099</v>
      </c>
      <c r="E32" s="89">
        <v>43742</v>
      </c>
      <c r="F32" s="89"/>
      <c r="G32" s="89"/>
      <c r="H32" s="89"/>
      <c r="I32" s="89"/>
      <c r="J32" s="89"/>
      <c r="K32" s="145"/>
      <c r="L32" s="140"/>
    </row>
    <row r="33" spans="2:12" ht="41.25" customHeight="1" x14ac:dyDescent="0.2">
      <c r="B33" s="374"/>
      <c r="C33" s="25" t="s">
        <v>87</v>
      </c>
      <c r="D33" s="86">
        <v>2017</v>
      </c>
      <c r="E33" s="86">
        <v>2019</v>
      </c>
      <c r="F33" s="86"/>
      <c r="G33" s="86"/>
      <c r="H33" s="86"/>
      <c r="I33" s="86"/>
      <c r="J33" s="86"/>
      <c r="K33" s="145"/>
      <c r="L33" s="140"/>
    </row>
    <row r="34" spans="2:12" ht="63" customHeight="1" x14ac:dyDescent="0.2">
      <c r="B34" s="374"/>
      <c r="C34" s="25" t="s">
        <v>88</v>
      </c>
      <c r="D34" s="85" t="s">
        <v>481</v>
      </c>
      <c r="E34" s="85" t="s">
        <v>482</v>
      </c>
      <c r="F34" s="85"/>
      <c r="G34" s="85"/>
      <c r="H34" s="85"/>
      <c r="I34" s="85"/>
      <c r="J34" s="85"/>
      <c r="K34" s="145"/>
      <c r="L34" s="140"/>
    </row>
    <row r="35" spans="2:12" ht="46.5" customHeight="1" x14ac:dyDescent="0.2">
      <c r="B35" s="374"/>
      <c r="C35" s="25" t="s">
        <v>89</v>
      </c>
      <c r="D35" s="85" t="s">
        <v>483</v>
      </c>
      <c r="E35" s="85" t="s">
        <v>483</v>
      </c>
      <c r="F35" s="85"/>
      <c r="G35" s="85"/>
      <c r="H35" s="85"/>
      <c r="I35" s="85"/>
      <c r="J35" s="85"/>
      <c r="K35" s="145"/>
      <c r="L35" s="140"/>
    </row>
    <row r="36" spans="2:12" ht="27.75" customHeight="1" x14ac:dyDescent="0.2">
      <c r="B36" s="374"/>
      <c r="C36" s="26" t="s">
        <v>90</v>
      </c>
      <c r="D36" s="90">
        <v>63</v>
      </c>
      <c r="E36" s="90">
        <v>77</v>
      </c>
      <c r="F36" s="90"/>
      <c r="G36" s="91"/>
      <c r="H36" s="91"/>
      <c r="I36" s="91"/>
      <c r="J36" s="91"/>
      <c r="K36" s="145"/>
      <c r="L36" s="140"/>
    </row>
    <row r="37" spans="2:12" ht="102.75" customHeight="1" x14ac:dyDescent="0.2">
      <c r="B37" s="374"/>
      <c r="C37" s="25" t="s">
        <v>91</v>
      </c>
      <c r="D37" s="87">
        <v>7377.59</v>
      </c>
      <c r="E37" s="158">
        <v>2522.5300000000002</v>
      </c>
      <c r="F37" s="87"/>
      <c r="G37" s="87"/>
      <c r="H37" s="87"/>
      <c r="I37" s="87"/>
      <c r="J37" s="87"/>
      <c r="K37" s="242"/>
      <c r="L37" s="243"/>
    </row>
    <row r="38" spans="2:12" ht="48" customHeight="1" x14ac:dyDescent="0.2">
      <c r="B38" s="374"/>
      <c r="C38" s="25" t="s">
        <v>92</v>
      </c>
      <c r="D38" s="97">
        <f>IFERROR(D37*VLOOKUP(D33,'DATOS INICIALES'!$A$12:$B$50,2,0),"0")</f>
        <v>5442573562.0299997</v>
      </c>
      <c r="E38" s="97">
        <f>IFERROR(E37*VLOOKUP(E33,'DATOS INICIALES'!$A$12:$B$50,2,0),"0")</f>
        <v>2088947453.4800003</v>
      </c>
      <c r="F38" s="97" t="str">
        <f>IFERROR(F37*VLOOKUP(F33,'DATOS INICIALES'!$A$12:$B$50,2,0),"0")</f>
        <v>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0.4</v>
      </c>
      <c r="E39" s="88">
        <v>0.52</v>
      </c>
      <c r="F39" s="88"/>
      <c r="G39" s="88"/>
      <c r="H39" s="88"/>
      <c r="I39" s="88"/>
      <c r="J39" s="88"/>
      <c r="K39" s="145"/>
      <c r="L39" s="140"/>
    </row>
    <row r="40" spans="2:12" ht="48.75" customHeight="1" x14ac:dyDescent="0.2">
      <c r="B40" s="374"/>
      <c r="C40" s="25" t="s">
        <v>94</v>
      </c>
      <c r="D40" s="97">
        <f t="shared" ref="D40:J40" si="0">IF(D26="","0",D39*D38)</f>
        <v>2177029424.8119998</v>
      </c>
      <c r="E40" s="97">
        <f t="shared" si="0"/>
        <v>1086252675.8096001</v>
      </c>
      <c r="F40" s="97" t="str">
        <f t="shared" si="0"/>
        <v>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2951.0360000000001</v>
      </c>
      <c r="E41" s="98">
        <f t="shared" si="1"/>
        <v>1311.7156000000002</v>
      </c>
      <c r="F41" s="98">
        <f t="shared" si="1"/>
        <v>0</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2951.0360000000001</v>
      </c>
      <c r="E48" s="98">
        <f t="shared" ref="E48:G48" si="6">+E41+E44+E47</f>
        <v>1311.7156000000002</v>
      </c>
      <c r="F48" s="98">
        <f t="shared" si="6"/>
        <v>0</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N/A</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26</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NO CUMPLE</v>
      </c>
      <c r="F67" s="18" t="str">
        <f>IF(F26="","N/A",IF(AND(F49="CUMPLE",F55="CUMPLE",OR(F56="CUMPLE",F56="N/A"),OR(F59="CUMPLE",F59="N/A"),F62="CUMPLE",F63="CUMPLE",OR(F64="CUMPLE",F64="N/A"),F65="CUMPLE",OR(F66="CUMPLE",F66="N/A")),"CUMPLE","NO CUMPLE"))</f>
        <v>N/A</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2">
    <mergeCell ref="I22:L22"/>
    <mergeCell ref="B66:C66"/>
    <mergeCell ref="B67:C67"/>
    <mergeCell ref="B69:E69"/>
    <mergeCell ref="B70:C70"/>
    <mergeCell ref="B63:C63"/>
    <mergeCell ref="B64:C64"/>
    <mergeCell ref="B65:C65"/>
    <mergeCell ref="B60:C60"/>
    <mergeCell ref="B61:C61"/>
    <mergeCell ref="B62:C62"/>
    <mergeCell ref="B57:C57"/>
    <mergeCell ref="B58:C58"/>
    <mergeCell ref="B59:C59"/>
    <mergeCell ref="B13:H13"/>
    <mergeCell ref="B14:B21"/>
    <mergeCell ref="B26:C26"/>
    <mergeCell ref="B27:C27"/>
    <mergeCell ref="B72:C72"/>
    <mergeCell ref="B71:C71"/>
    <mergeCell ref="B24:L24"/>
    <mergeCell ref="K25:L25"/>
    <mergeCell ref="B56:C56"/>
    <mergeCell ref="B50:B55"/>
    <mergeCell ref="B29:B47"/>
    <mergeCell ref="B28:C28"/>
    <mergeCell ref="K30:L30"/>
    <mergeCell ref="K17:L17"/>
    <mergeCell ref="K18:L21"/>
    <mergeCell ref="B23:L23"/>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4394" priority="79" operator="equal">
      <formula>"CUMPLE"</formula>
    </cfRule>
    <cfRule type="containsBlanks" dxfId="4393" priority="76">
      <formula>LEN(TRIM(D71))=0</formula>
    </cfRule>
    <cfRule type="notContainsErrors" dxfId="4392" priority="77">
      <formula>NOT(ISERROR(D71))</formula>
    </cfRule>
    <cfRule type="cellIs" dxfId="4391" priority="78" operator="equal">
      <formula>"NO CUMPLE"</formula>
    </cfRule>
  </conditionalFormatting>
  <conditionalFormatting sqref="D72">
    <cfRule type="cellIs" dxfId="4390" priority="81" operator="equal">
      <formula>"CUMPLE"</formula>
    </cfRule>
    <cfRule type="cellIs" dxfId="4389" priority="80" operator="equal">
      <formula>"N/A"</formula>
    </cfRule>
    <cfRule type="cellIs" dxfId="4388" priority="83" operator="equal">
      <formula>"""CUMPLE"""</formula>
    </cfRule>
    <cfRule type="cellIs" dxfId="4387" priority="82" operator="equal">
      <formula>"NO CUMPLE"</formula>
    </cfRule>
  </conditionalFormatting>
  <conditionalFormatting sqref="D26:J37">
    <cfRule type="notContainsErrors" dxfId="4386" priority="4">
      <formula>NOT(ISERROR(D26))</formula>
    </cfRule>
    <cfRule type="containsBlanks" dxfId="4385" priority="3">
      <formula>LEN(TRIM(D26))=0</formula>
    </cfRule>
  </conditionalFormatting>
  <conditionalFormatting sqref="D36:J36">
    <cfRule type="notContainsErrors" dxfId="4384" priority="6">
      <formula>NOT(ISERROR(D36))</formula>
    </cfRule>
    <cfRule type="containsBlanks" dxfId="4383" priority="5">
      <formula>LEN(TRIM(D36))=0</formula>
    </cfRule>
  </conditionalFormatting>
  <conditionalFormatting sqref="D39:J39">
    <cfRule type="containsBlanks" dxfId="4382" priority="1">
      <formula>LEN(TRIM(D39))=0</formula>
    </cfRule>
    <cfRule type="notContainsErrors" dxfId="4381" priority="2">
      <formula>NOT(ISERROR(D39))</formula>
    </cfRule>
  </conditionalFormatting>
  <conditionalFormatting sqref="D42:J42 D45:J45">
    <cfRule type="notContainsErrors" dxfId="4380" priority="38">
      <formula>NOT(ISERROR(D42))</formula>
    </cfRule>
    <cfRule type="containsBlanks" dxfId="4379" priority="37">
      <formula>LEN(TRIM(D42))=0</formula>
    </cfRule>
  </conditionalFormatting>
  <conditionalFormatting sqref="D49:J54">
    <cfRule type="cellIs" dxfId="4378" priority="17" operator="equal">
      <formula>"NO CUMPLE"</formula>
    </cfRule>
    <cfRule type="cellIs" dxfId="4377" priority="18" operator="equal">
      <formula>"CUMPLE"</formula>
    </cfRule>
    <cfRule type="containsBlanks" dxfId="4376" priority="19">
      <formula>LEN(TRIM(D49))=0</formula>
    </cfRule>
    <cfRule type="notContainsErrors" dxfId="4375" priority="20">
      <formula>NOT(ISERROR(D49))</formula>
    </cfRule>
  </conditionalFormatting>
  <conditionalFormatting sqref="D55:J55">
    <cfRule type="cellIs" dxfId="4374" priority="28" operator="equal">
      <formula>"CUMPLE"</formula>
    </cfRule>
    <cfRule type="cellIs" dxfId="4373" priority="30" operator="equal">
      <formula>"""CUMPLE"""</formula>
    </cfRule>
    <cfRule type="cellIs" dxfId="4372" priority="29" operator="equal">
      <formula>"NO CUMPLE"</formula>
    </cfRule>
    <cfRule type="cellIs" dxfId="4371" priority="27" operator="equal">
      <formula>"N/A"</formula>
    </cfRule>
  </conditionalFormatting>
  <conditionalFormatting sqref="D56:J66">
    <cfRule type="cellIs" dxfId="4370" priority="11" operator="equal">
      <formula>"NO CUMPLE"</formula>
    </cfRule>
    <cfRule type="notContainsErrors" dxfId="4369" priority="14">
      <formula>NOT(ISERROR(D56))</formula>
    </cfRule>
    <cfRule type="containsBlanks" dxfId="4368" priority="13">
      <formula>LEN(TRIM(D56))=0</formula>
    </cfRule>
    <cfRule type="cellIs" dxfId="4367" priority="12" operator="equal">
      <formula>"CUMPLE"</formula>
    </cfRule>
  </conditionalFormatting>
  <conditionalFormatting sqref="D67:J67">
    <cfRule type="cellIs" dxfId="4366" priority="23" operator="equal">
      <formula>"N/A"</formula>
    </cfRule>
    <cfRule type="cellIs" dxfId="4365" priority="24" operator="equal">
      <formula>"CUMPLE"</formula>
    </cfRule>
    <cfRule type="cellIs" dxfId="4364" priority="26" operator="equal">
      <formula>"""CUMPLE"""</formula>
    </cfRule>
    <cfRule type="cellIs" dxfId="4363" priority="25" operator="equal">
      <formula>"NO CUMPLE"</formula>
    </cfRule>
  </conditionalFormatting>
  <conditionalFormatting sqref="D62:K66">
    <cfRule type="containsBlanks" dxfId="4362" priority="15">
      <formula>LEN(TRIM(D62))=0</formula>
    </cfRule>
    <cfRule type="notContainsErrors" dxfId="4361" priority="16">
      <formula>NOT(ISERROR(D62))</formula>
    </cfRule>
  </conditionalFormatting>
  <conditionalFormatting sqref="E71:E72">
    <cfRule type="notContainsErrors" dxfId="4360" priority="75">
      <formula>NOT(ISERROR(E71))</formula>
    </cfRule>
    <cfRule type="containsBlanks" dxfId="4359" priority="74">
      <formula>LEN(TRIM(E71))=0</formula>
    </cfRule>
  </conditionalFormatting>
  <conditionalFormatting sqref="F22:H22">
    <cfRule type="cellIs" dxfId="4358" priority="102" operator="equal">
      <formula>"NO CUMPLE"</formula>
    </cfRule>
    <cfRule type="cellIs" dxfId="4357" priority="103" operator="equal">
      <formula>"""CUMPLE"""</formula>
    </cfRule>
    <cfRule type="cellIs" dxfId="4356" priority="101" operator="equal">
      <formula>"CUMPLE"</formula>
    </cfRule>
  </conditionalFormatting>
  <conditionalFormatting sqref="G63:J63">
    <cfRule type="containsBlanks" dxfId="4355" priority="7">
      <formula>LEN(TRIM(G63))=0</formula>
    </cfRule>
    <cfRule type="notContainsErrors" dxfId="4354" priority="8">
      <formula>NOT(ISERROR(G63))</formula>
    </cfRule>
  </conditionalFormatting>
  <conditionalFormatting sqref="I11">
    <cfRule type="containsText" dxfId="4353" priority="107" operator="containsText" text="NO CUMPLE">
      <formula>NOT(ISERROR(SEARCH("NO CUMPLE",I11)))</formula>
    </cfRule>
    <cfRule type="containsText" dxfId="4352" priority="106" operator="containsText" text="HABILITADO">
      <formula>NOT(ISERROR(SEARCH("HABILITADO",I11)))</formula>
    </cfRule>
    <cfRule type="containsText" dxfId="4351" priority="105" operator="containsText" text="HABILITADO">
      <formula>NOT(ISERROR(SEARCH("HABILITADO",I11)))</formula>
    </cfRule>
    <cfRule type="containsText" dxfId="4350" priority="104" operator="containsText" text="INHABILITADO">
      <formula>NOT(ISERROR(SEARCH("INHABILITADO",I11)))</formula>
    </cfRule>
  </conditionalFormatting>
  <conditionalFormatting sqref="K18:K20">
    <cfRule type="cellIs" dxfId="4349" priority="72" operator="equal">
      <formula>"NO CUMPLE"</formula>
    </cfRule>
    <cfRule type="cellIs" dxfId="4348" priority="73" operator="equal">
      <formula>"""CUMPLE"""</formula>
    </cfRule>
    <cfRule type="cellIs" dxfId="4347" priority="71" operator="equal">
      <formula>"CUMPLE"</formula>
    </cfRule>
  </conditionalFormatting>
  <conditionalFormatting sqref="K26:K61 D62:J62">
    <cfRule type="containsBlanks" dxfId="4346" priority="9">
      <formula>LEN(TRIM(D26))=0</formula>
    </cfRule>
    <cfRule type="notContainsErrors" dxfId="4345" priority="10">
      <formula>NOT(ISERROR(D26))</formula>
    </cfRule>
  </conditionalFormatting>
  <conditionalFormatting sqref="K67:L67">
    <cfRule type="containsBlanks" dxfId="4344" priority="21">
      <formula>LEN(TRIM(K67))=0</formula>
    </cfRule>
    <cfRule type="notContainsErrors" dxfId="4343" priority="22">
      <formula>NOT(ISERROR(K67))</formula>
    </cfRule>
  </conditionalFormatting>
  <conditionalFormatting sqref="L14">
    <cfRule type="cellIs" dxfId="4342" priority="100" operator="equal">
      <formula>"""CUMPLE"""</formula>
    </cfRule>
    <cfRule type="cellIs" dxfId="4341" priority="99" operator="equal">
      <formula>"NO CUMPLE"</formula>
    </cfRule>
    <cfRule type="cellIs" dxfId="4340" priority="98" operator="equal">
      <formula>"CUMPLE"</formula>
    </cfRule>
  </conditionalFormatting>
  <dataValidations count="2">
    <dataValidation type="list" allowBlank="1" showInputMessage="1" showErrorMessage="1" sqref="D26:J28" xr:uid="{00000000-0002-0000-1500-000000000000}">
      <formula1>$C$15:$C$21</formula1>
    </dataValidation>
    <dataValidation type="list" allowBlank="1" showInputMessage="1" showErrorMessage="1" sqref="L62:L67" xr:uid="{00000000-0002-0000-15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1500-000002000000}">
          <x14:formula1>
            <xm:f>'DATOS INICIALES'!$A$13:$A$50</xm:f>
          </x14:formula1>
          <xm:sqref>G33:I33</xm:sqref>
        </x14:dataValidation>
        <x14:dataValidation type="list" allowBlank="1" showInputMessage="1" showErrorMessage="1" xr:uid="{00000000-0002-0000-1500-000003000000}">
          <x14:formula1>
            <xm:f>'DATOS INICIALES'!$A$61:$A$66</xm:f>
          </x14:formula1>
          <xm:sqref>D25:I25</xm:sqref>
        </x14:dataValidation>
        <x14:dataValidation type="list" allowBlank="1" showInputMessage="1" showErrorMessage="1" xr:uid="{00000000-0002-0000-1500-000004000000}">
          <x14:formula1>
            <xm:f>'DATOS INICIALES'!$A$57:$A$59</xm:f>
          </x14:formula1>
          <xm:sqref>D71 D56:J66</xm:sqref>
        </x14:dataValidation>
        <x14:dataValidation type="list" allowBlank="1" showInputMessage="1" showErrorMessage="1" xr:uid="{00000000-0002-0000-1500-000005000000}">
          <x14:formula1>
            <xm:f>'DATOS INICIALES'!$C$52:$C$53</xm:f>
          </x14:formula1>
          <xm:sqref>D53:J54</xm:sqref>
        </x14:dataValidation>
        <x14:dataValidation type="list" allowBlank="1" showInputMessage="1" showErrorMessage="1" xr:uid="{00000000-0002-0000-1500-000006000000}">
          <x14:formula1>
            <xm:f>'DATOS INICIALES'!$A$61:$A$67</xm:f>
          </x14:formula1>
          <xm:sqref>J25</xm:sqref>
        </x14:dataValidation>
        <x14:dataValidation type="list" allowBlank="1" showInputMessage="1" showErrorMessage="1" xr:uid="{00000000-0002-0000-1500-000007000000}">
          <x14:formula1>
            <xm:f>'DATOS INICIALES'!$A$57:$A$58</xm:f>
          </x14:formula1>
          <xm:sqref>D49:J49</xm:sqref>
        </x14:dataValidation>
        <x14:dataValidation type="list" allowBlank="1" showInputMessage="1" showErrorMessage="1" xr:uid="{00000000-0002-0000-1500-000008000000}">
          <x14:formula1>
            <xm:f>'DATOS INICIALES'!$D$27:$D$29</xm:f>
          </x14:formula1>
          <xm:sqref>M50:M55</xm:sqref>
        </x14:dataValidation>
        <x14:dataValidation type="list" allowBlank="1" showInputMessage="1" showErrorMessage="1" xr:uid="{00000000-0002-0000-1500-000009000000}">
          <x14:formula1>
            <xm:f>'DATOS INICIALES'!$C$52:$C$54</xm:f>
          </x14:formula1>
          <xm:sqref>D50:J52</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92D050"/>
  </sheetPr>
  <dimension ref="A1:N72"/>
  <sheetViews>
    <sheetView view="pageBreakPreview" topLeftCell="A19" zoomScale="40" zoomScaleNormal="25" zoomScaleSheetLayoutView="40" workbookViewId="0">
      <selection activeCell="G39" sqref="G39"/>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17</v>
      </c>
      <c r="B11" s="2" t="s">
        <v>58</v>
      </c>
      <c r="C11" s="413" t="str">
        <f>VLOOKUP(A11,PROPONENTES!A10:B94,2,FALSE)</f>
        <v>GAVINCO INGENIEROS CONSULTORES SAS</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3</v>
      </c>
      <c r="J14" s="147">
        <f>+L8</f>
        <v>986.3076290832455</v>
      </c>
      <c r="K14" s="147">
        <f>+E22</f>
        <v>7359.9240000000009</v>
      </c>
      <c r="L14" s="18" t="str">
        <f>IF(K14&gt;=J14,"CUMPLE","NO CUMPLE")</f>
        <v>CUMPLE</v>
      </c>
    </row>
    <row r="15" spans="1:12" ht="33.75" customHeight="1" x14ac:dyDescent="0.2">
      <c r="B15" s="382"/>
      <c r="C15" s="92" t="str">
        <f>IF(VLOOKUP(C11,PROPONENTES!B10:N94,2,FALSE)=0,"",VLOOKUP(C11,PROPONENTES!B10:N94,2,FALSE))</f>
        <v>GAVINCO INGENIEROS CONSULTORES SAS</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7359.9240000000009</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2453.3080000000004</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3</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3</v>
      </c>
      <c r="J19" s="128">
        <v>1</v>
      </c>
      <c r="K19" s="387"/>
      <c r="L19" s="388"/>
    </row>
    <row r="20" spans="2:14" ht="50.25" customHeight="1" x14ac:dyDescent="0.2">
      <c r="B20" s="382"/>
      <c r="C20" s="92"/>
      <c r="D20" s="93"/>
      <c r="E20" s="94"/>
      <c r="F20" s="95"/>
      <c r="G20" s="96"/>
      <c r="H20" s="96"/>
      <c r="I20" s="128">
        <f>COUNTIFS(D60:J60,"CUMPLE",D67:J67,"CUMPLE")</f>
        <v>3</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3</v>
      </c>
      <c r="J21" s="128">
        <v>1</v>
      </c>
      <c r="K21" s="389"/>
      <c r="L21" s="390"/>
    </row>
    <row r="22" spans="2:14" ht="84.75" customHeight="1" x14ac:dyDescent="0.2">
      <c r="B22" s="29" t="s">
        <v>75</v>
      </c>
      <c r="C22" s="24">
        <f>+VLOOKUP(C11,PROPONENTES!B10:N94,12,FALSE)</f>
        <v>1</v>
      </c>
      <c r="D22" s="93">
        <f>+VLOOKUP(C11,PROPONENTES!B10:N94,13,FALSE)</f>
        <v>1</v>
      </c>
      <c r="E22" s="32">
        <f>SUM(E15:E21)</f>
        <v>7359.9240000000009</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222</v>
      </c>
      <c r="E26" s="84" t="s">
        <v>222</v>
      </c>
      <c r="F26" s="84" t="s">
        <v>222</v>
      </c>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484</v>
      </c>
      <c r="E29" s="85" t="s">
        <v>485</v>
      </c>
      <c r="F29" s="85" t="s">
        <v>486</v>
      </c>
      <c r="G29" s="85"/>
      <c r="H29" s="85"/>
      <c r="I29" s="85"/>
      <c r="J29" s="85"/>
      <c r="K29" s="145"/>
      <c r="L29" s="140"/>
    </row>
    <row r="30" spans="2:14" ht="156.75" customHeight="1" x14ac:dyDescent="0.2">
      <c r="B30" s="374"/>
      <c r="C30" s="25" t="s">
        <v>84</v>
      </c>
      <c r="D30" s="85" t="s">
        <v>487</v>
      </c>
      <c r="E30" s="85" t="s">
        <v>488</v>
      </c>
      <c r="F30" s="85" t="s">
        <v>489</v>
      </c>
      <c r="G30" s="85"/>
      <c r="H30" s="85"/>
      <c r="I30" s="85"/>
      <c r="J30" s="85"/>
      <c r="K30" s="242"/>
      <c r="L30" s="243"/>
    </row>
    <row r="31" spans="2:14" ht="52.5" customHeight="1" x14ac:dyDescent="0.2">
      <c r="B31" s="374"/>
      <c r="C31" s="25" t="s">
        <v>85</v>
      </c>
      <c r="D31" s="89" t="s">
        <v>490</v>
      </c>
      <c r="E31" s="89" t="s">
        <v>491</v>
      </c>
      <c r="F31" s="89">
        <v>42699</v>
      </c>
      <c r="G31" s="89"/>
      <c r="H31" s="89"/>
      <c r="I31" s="89"/>
      <c r="J31" s="89"/>
      <c r="K31" s="145"/>
      <c r="L31" s="140"/>
    </row>
    <row r="32" spans="2:14" ht="54.75" customHeight="1" x14ac:dyDescent="0.2">
      <c r="B32" s="374"/>
      <c r="C32" s="25" t="s">
        <v>86</v>
      </c>
      <c r="D32" s="89" t="s">
        <v>492</v>
      </c>
      <c r="E32" s="89">
        <v>43411</v>
      </c>
      <c r="F32" s="89" t="s">
        <v>493</v>
      </c>
      <c r="G32" s="89"/>
      <c r="H32" s="89"/>
      <c r="I32" s="89"/>
      <c r="J32" s="89"/>
      <c r="K32" s="145"/>
      <c r="L32" s="140"/>
    </row>
    <row r="33" spans="2:12" ht="41.25" customHeight="1" x14ac:dyDescent="0.2">
      <c r="B33" s="374"/>
      <c r="C33" s="25" t="s">
        <v>87</v>
      </c>
      <c r="D33" s="86">
        <v>2018</v>
      </c>
      <c r="E33" s="86">
        <v>2018</v>
      </c>
      <c r="F33" s="86">
        <v>2020</v>
      </c>
      <c r="G33" s="86"/>
      <c r="H33" s="86"/>
      <c r="I33" s="86"/>
      <c r="J33" s="86"/>
      <c r="K33" s="145"/>
      <c r="L33" s="140"/>
    </row>
    <row r="34" spans="2:12" ht="63" customHeight="1" x14ac:dyDescent="0.2">
      <c r="B34" s="374"/>
      <c r="C34" s="25" t="s">
        <v>88</v>
      </c>
      <c r="D34" s="85" t="s">
        <v>494</v>
      </c>
      <c r="E34" s="85" t="s">
        <v>495</v>
      </c>
      <c r="F34" s="85" t="s">
        <v>496</v>
      </c>
      <c r="G34" s="85"/>
      <c r="H34" s="85"/>
      <c r="I34" s="85"/>
      <c r="J34" s="85"/>
      <c r="K34" s="145"/>
      <c r="L34" s="140"/>
    </row>
    <row r="35" spans="2:12" ht="46.5" customHeight="1" x14ac:dyDescent="0.2">
      <c r="B35" s="374"/>
      <c r="C35" s="25" t="s">
        <v>89</v>
      </c>
      <c r="D35" s="85" t="s">
        <v>497</v>
      </c>
      <c r="E35" s="85" t="s">
        <v>498</v>
      </c>
      <c r="F35" s="85" t="s">
        <v>499</v>
      </c>
      <c r="G35" s="85"/>
      <c r="H35" s="85"/>
      <c r="I35" s="85"/>
      <c r="J35" s="85"/>
      <c r="K35" s="145"/>
      <c r="L35" s="140"/>
    </row>
    <row r="36" spans="2:12" ht="27.75" customHeight="1" x14ac:dyDescent="0.2">
      <c r="B36" s="374"/>
      <c r="C36" s="26" t="s">
        <v>90</v>
      </c>
      <c r="D36" s="90">
        <v>110</v>
      </c>
      <c r="E36" s="90">
        <v>118</v>
      </c>
      <c r="F36" s="90">
        <v>140</v>
      </c>
      <c r="G36" s="91"/>
      <c r="H36" s="91"/>
      <c r="I36" s="91"/>
      <c r="J36" s="91"/>
      <c r="K36" s="145"/>
      <c r="L36" s="140"/>
    </row>
    <row r="37" spans="2:12" ht="102.75" customHeight="1" x14ac:dyDescent="0.2">
      <c r="B37" s="374"/>
      <c r="C37" s="25" t="s">
        <v>91</v>
      </c>
      <c r="D37" s="87">
        <v>2391.5</v>
      </c>
      <c r="E37" s="158">
        <v>1610.42</v>
      </c>
      <c r="F37" s="87">
        <v>9569.34</v>
      </c>
      <c r="G37" s="87"/>
      <c r="H37" s="87"/>
      <c r="I37" s="87"/>
      <c r="J37" s="87"/>
      <c r="K37" s="242"/>
      <c r="L37" s="243"/>
    </row>
    <row r="38" spans="2:12" ht="48" customHeight="1" x14ac:dyDescent="0.2">
      <c r="B38" s="374"/>
      <c r="C38" s="25" t="s">
        <v>92</v>
      </c>
      <c r="D38" s="97">
        <f>IFERROR(D37*VLOOKUP(D33,'DATOS INICIALES'!$A$12:$B$50,2,0),"0")</f>
        <v>1868340243</v>
      </c>
      <c r="E38" s="97">
        <f>IFERROR(E37*VLOOKUP(E33,'DATOS INICIALES'!$A$12:$B$50,2,0),"0")</f>
        <v>1258127741.6400001</v>
      </c>
      <c r="F38" s="97">
        <f>IFERROR(F37*VLOOKUP(F33,'DATOS INICIALES'!$A$12:$B$50,2,0),"0")</f>
        <v>8399995360.0200005</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0.34</v>
      </c>
      <c r="E39" s="88">
        <v>0.5</v>
      </c>
      <c r="F39" s="88">
        <v>0.6</v>
      </c>
      <c r="G39" s="88"/>
      <c r="H39" s="88"/>
      <c r="I39" s="88"/>
      <c r="J39" s="88"/>
      <c r="K39" s="145"/>
      <c r="L39" s="140"/>
    </row>
    <row r="40" spans="2:12" ht="48.75" customHeight="1" x14ac:dyDescent="0.2">
      <c r="B40" s="374"/>
      <c r="C40" s="25" t="s">
        <v>94</v>
      </c>
      <c r="D40" s="97">
        <f t="shared" ref="D40:J40" si="0">IF(D26="","0",D39*D38)</f>
        <v>635235682.62</v>
      </c>
      <c r="E40" s="97">
        <f t="shared" si="0"/>
        <v>629063870.82000005</v>
      </c>
      <c r="F40" s="97">
        <f t="shared" si="0"/>
        <v>5039997216.0120001</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813.11</v>
      </c>
      <c r="E41" s="98">
        <f t="shared" si="1"/>
        <v>805.21</v>
      </c>
      <c r="F41" s="98">
        <f t="shared" si="1"/>
        <v>5741.6040000000003</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813.11</v>
      </c>
      <c r="E48" s="98">
        <f t="shared" ref="E48:G48" si="6">+E41+E44+E47</f>
        <v>805.21</v>
      </c>
      <c r="F48" s="98">
        <f t="shared" si="6"/>
        <v>5741.6040000000003</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4339" priority="77" operator="equal">
      <formula>"CUMPLE"</formula>
    </cfRule>
    <cfRule type="containsBlanks" dxfId="4338" priority="74">
      <formula>LEN(TRIM(D71))=0</formula>
    </cfRule>
    <cfRule type="notContainsErrors" dxfId="4337" priority="75">
      <formula>NOT(ISERROR(D71))</formula>
    </cfRule>
    <cfRule type="cellIs" dxfId="4336" priority="76" operator="equal">
      <formula>"NO CUMPLE"</formula>
    </cfRule>
  </conditionalFormatting>
  <conditionalFormatting sqref="D72">
    <cfRule type="cellIs" dxfId="4335" priority="79" operator="equal">
      <formula>"CUMPLE"</formula>
    </cfRule>
    <cfRule type="cellIs" dxfId="4334" priority="78" operator="equal">
      <formula>"N/A"</formula>
    </cfRule>
    <cfRule type="cellIs" dxfId="4333" priority="81" operator="equal">
      <formula>"""CUMPLE"""</formula>
    </cfRule>
    <cfRule type="cellIs" dxfId="4332" priority="80" operator="equal">
      <formula>"NO CUMPLE"</formula>
    </cfRule>
  </conditionalFormatting>
  <conditionalFormatting sqref="D26:J37">
    <cfRule type="notContainsErrors" dxfId="4331" priority="4">
      <formula>NOT(ISERROR(D26))</formula>
    </cfRule>
    <cfRule type="containsBlanks" dxfId="4330" priority="3">
      <formula>LEN(TRIM(D26))=0</formula>
    </cfRule>
  </conditionalFormatting>
  <conditionalFormatting sqref="D36:J36">
    <cfRule type="notContainsErrors" dxfId="4329" priority="6">
      <formula>NOT(ISERROR(D36))</formula>
    </cfRule>
    <cfRule type="containsBlanks" dxfId="4328" priority="5">
      <formula>LEN(TRIM(D36))=0</formula>
    </cfRule>
  </conditionalFormatting>
  <conditionalFormatting sqref="D39:J39">
    <cfRule type="containsBlanks" dxfId="4327" priority="1">
      <formula>LEN(TRIM(D39))=0</formula>
    </cfRule>
    <cfRule type="notContainsErrors" dxfId="4326" priority="2">
      <formula>NOT(ISERROR(D39))</formula>
    </cfRule>
  </conditionalFormatting>
  <conditionalFormatting sqref="D42:J42 D45:J45">
    <cfRule type="notContainsErrors" dxfId="4325" priority="38">
      <formula>NOT(ISERROR(D42))</formula>
    </cfRule>
    <cfRule type="containsBlanks" dxfId="4324" priority="37">
      <formula>LEN(TRIM(D42))=0</formula>
    </cfRule>
  </conditionalFormatting>
  <conditionalFormatting sqref="D49:J54">
    <cfRule type="cellIs" dxfId="4323" priority="17" operator="equal">
      <formula>"NO CUMPLE"</formula>
    </cfRule>
    <cfRule type="cellIs" dxfId="4322" priority="18" operator="equal">
      <formula>"CUMPLE"</formula>
    </cfRule>
    <cfRule type="containsBlanks" dxfId="4321" priority="19">
      <formula>LEN(TRIM(D49))=0</formula>
    </cfRule>
    <cfRule type="notContainsErrors" dxfId="4320" priority="20">
      <formula>NOT(ISERROR(D49))</formula>
    </cfRule>
  </conditionalFormatting>
  <conditionalFormatting sqref="D55:J55">
    <cfRule type="cellIs" dxfId="4319" priority="28" operator="equal">
      <formula>"CUMPLE"</formula>
    </cfRule>
    <cfRule type="cellIs" dxfId="4318" priority="30" operator="equal">
      <formula>"""CUMPLE"""</formula>
    </cfRule>
    <cfRule type="cellIs" dxfId="4317" priority="29" operator="equal">
      <formula>"NO CUMPLE"</formula>
    </cfRule>
    <cfRule type="cellIs" dxfId="4316" priority="27" operator="equal">
      <formula>"N/A"</formula>
    </cfRule>
  </conditionalFormatting>
  <conditionalFormatting sqref="D56:J66">
    <cfRule type="cellIs" dxfId="4315" priority="11" operator="equal">
      <formula>"NO CUMPLE"</formula>
    </cfRule>
    <cfRule type="notContainsErrors" dxfId="4314" priority="14">
      <formula>NOT(ISERROR(D56))</formula>
    </cfRule>
    <cfRule type="containsBlanks" dxfId="4313" priority="13">
      <formula>LEN(TRIM(D56))=0</formula>
    </cfRule>
    <cfRule type="cellIs" dxfId="4312" priority="12" operator="equal">
      <formula>"CUMPLE"</formula>
    </cfRule>
  </conditionalFormatting>
  <conditionalFormatting sqref="D67:J67">
    <cfRule type="cellIs" dxfId="4311" priority="23" operator="equal">
      <formula>"N/A"</formula>
    </cfRule>
    <cfRule type="cellIs" dxfId="4310" priority="24" operator="equal">
      <formula>"CUMPLE"</formula>
    </cfRule>
    <cfRule type="cellIs" dxfId="4309" priority="26" operator="equal">
      <formula>"""CUMPLE"""</formula>
    </cfRule>
    <cfRule type="cellIs" dxfId="4308" priority="25" operator="equal">
      <formula>"NO CUMPLE"</formula>
    </cfRule>
  </conditionalFormatting>
  <conditionalFormatting sqref="D62:K66">
    <cfRule type="containsBlanks" dxfId="4307" priority="15">
      <formula>LEN(TRIM(D62))=0</formula>
    </cfRule>
    <cfRule type="notContainsErrors" dxfId="4306" priority="16">
      <formula>NOT(ISERROR(D62))</formula>
    </cfRule>
  </conditionalFormatting>
  <conditionalFormatting sqref="E71:E72">
    <cfRule type="notContainsErrors" dxfId="4305" priority="73">
      <formula>NOT(ISERROR(E71))</formula>
    </cfRule>
    <cfRule type="containsBlanks" dxfId="4304" priority="72">
      <formula>LEN(TRIM(E71))=0</formula>
    </cfRule>
  </conditionalFormatting>
  <conditionalFormatting sqref="F22:H22">
    <cfRule type="cellIs" dxfId="4303" priority="100" operator="equal">
      <formula>"NO CUMPLE"</formula>
    </cfRule>
    <cfRule type="cellIs" dxfId="4302" priority="101" operator="equal">
      <formula>"""CUMPLE"""</formula>
    </cfRule>
    <cfRule type="cellIs" dxfId="4301" priority="99" operator="equal">
      <formula>"CUMPLE"</formula>
    </cfRule>
  </conditionalFormatting>
  <conditionalFormatting sqref="G63:J63">
    <cfRule type="containsBlanks" dxfId="4300" priority="7">
      <formula>LEN(TRIM(G63))=0</formula>
    </cfRule>
    <cfRule type="notContainsErrors" dxfId="4299" priority="8">
      <formula>NOT(ISERROR(G63))</formula>
    </cfRule>
  </conditionalFormatting>
  <conditionalFormatting sqref="I11">
    <cfRule type="containsText" dxfId="4298" priority="105" operator="containsText" text="NO CUMPLE">
      <formula>NOT(ISERROR(SEARCH("NO CUMPLE",I11)))</formula>
    </cfRule>
    <cfRule type="containsText" dxfId="4297" priority="104" operator="containsText" text="HABILITADO">
      <formula>NOT(ISERROR(SEARCH("HABILITADO",I11)))</formula>
    </cfRule>
    <cfRule type="containsText" dxfId="4296" priority="103" operator="containsText" text="HABILITADO">
      <formula>NOT(ISERROR(SEARCH("HABILITADO",I11)))</formula>
    </cfRule>
    <cfRule type="containsText" dxfId="4295" priority="102" operator="containsText" text="INHABILITADO">
      <formula>NOT(ISERROR(SEARCH("INHABILITADO",I11)))</formula>
    </cfRule>
  </conditionalFormatting>
  <conditionalFormatting sqref="K18:K20">
    <cfRule type="cellIs" dxfId="4294" priority="70" operator="equal">
      <formula>"NO CUMPLE"</formula>
    </cfRule>
    <cfRule type="cellIs" dxfId="4293" priority="71" operator="equal">
      <formula>"""CUMPLE"""</formula>
    </cfRule>
    <cfRule type="cellIs" dxfId="4292" priority="69" operator="equal">
      <formula>"CUMPLE"</formula>
    </cfRule>
  </conditionalFormatting>
  <conditionalFormatting sqref="K26:K61 D62:J62">
    <cfRule type="containsBlanks" dxfId="4291" priority="9">
      <formula>LEN(TRIM(D26))=0</formula>
    </cfRule>
    <cfRule type="notContainsErrors" dxfId="4290" priority="10">
      <formula>NOT(ISERROR(D26))</formula>
    </cfRule>
  </conditionalFormatting>
  <conditionalFormatting sqref="K67:L67">
    <cfRule type="containsBlanks" dxfId="4289" priority="21">
      <formula>LEN(TRIM(K67))=0</formula>
    </cfRule>
    <cfRule type="notContainsErrors" dxfId="4288" priority="22">
      <formula>NOT(ISERROR(K67))</formula>
    </cfRule>
  </conditionalFormatting>
  <conditionalFormatting sqref="L14">
    <cfRule type="cellIs" dxfId="4287" priority="98" operator="equal">
      <formula>"""CUMPLE"""</formula>
    </cfRule>
    <cfRule type="cellIs" dxfId="4286" priority="97" operator="equal">
      <formula>"NO CUMPLE"</formula>
    </cfRule>
    <cfRule type="cellIs" dxfId="4285" priority="96" operator="equal">
      <formula>"CUMPLE"</formula>
    </cfRule>
  </conditionalFormatting>
  <dataValidations count="2">
    <dataValidation type="list" allowBlank="1" showInputMessage="1" showErrorMessage="1" sqref="L62:L67" xr:uid="{00000000-0002-0000-1600-000000000000}">
      <formula1>"0,1,2,3,4,5,6"</formula1>
    </dataValidation>
    <dataValidation type="list" allowBlank="1" showInputMessage="1" showErrorMessage="1" sqref="D26:J28" xr:uid="{00000000-0002-0000-16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1600-000002000000}">
          <x14:formula1>
            <xm:f>'DATOS INICIALES'!$A$57:$A$58</xm:f>
          </x14:formula1>
          <xm:sqref>D49:J49</xm:sqref>
        </x14:dataValidation>
        <x14:dataValidation type="list" allowBlank="1" showInputMessage="1" showErrorMessage="1" xr:uid="{00000000-0002-0000-1600-000003000000}">
          <x14:formula1>
            <xm:f>'DATOS INICIALES'!$A$61:$A$67</xm:f>
          </x14:formula1>
          <xm:sqref>J25</xm:sqref>
        </x14:dataValidation>
        <x14:dataValidation type="list" allowBlank="1" showInputMessage="1" showErrorMessage="1" xr:uid="{00000000-0002-0000-1600-000004000000}">
          <x14:formula1>
            <xm:f>'DATOS INICIALES'!$C$52:$C$53</xm:f>
          </x14:formula1>
          <xm:sqref>D53:J54</xm:sqref>
        </x14:dataValidation>
        <x14:dataValidation type="list" allowBlank="1" showInputMessage="1" showErrorMessage="1" xr:uid="{00000000-0002-0000-1600-000005000000}">
          <x14:formula1>
            <xm:f>'DATOS INICIALES'!$A$57:$A$59</xm:f>
          </x14:formula1>
          <xm:sqref>D71 D56:J66</xm:sqref>
        </x14:dataValidation>
        <x14:dataValidation type="list" allowBlank="1" showInputMessage="1" showErrorMessage="1" xr:uid="{00000000-0002-0000-1600-000006000000}">
          <x14:formula1>
            <xm:f>'DATOS INICIALES'!$A$61:$A$66</xm:f>
          </x14:formula1>
          <xm:sqref>D25:I25</xm:sqref>
        </x14:dataValidation>
        <x14:dataValidation type="list" allowBlank="1" showInputMessage="1" showErrorMessage="1" xr:uid="{00000000-0002-0000-1600-000007000000}">
          <x14:formula1>
            <xm:f>'DATOS INICIALES'!$A$13:$A$50</xm:f>
          </x14:formula1>
          <xm:sqref>G33:I33</xm:sqref>
        </x14:dataValidation>
        <x14:dataValidation type="list" allowBlank="1" showInputMessage="1" showErrorMessage="1" xr:uid="{00000000-0002-0000-1600-000008000000}">
          <x14:formula1>
            <xm:f>'DATOS INICIALES'!$D$27:$D$29</xm:f>
          </x14:formula1>
          <xm:sqref>M50:M55</xm:sqref>
        </x14:dataValidation>
        <x14:dataValidation type="list" allowBlank="1" showInputMessage="1" showErrorMessage="1" xr:uid="{00000000-0002-0000-1600-000009000000}">
          <x14:formula1>
            <xm:f>'DATOS INICIALES'!$C$52:$C$54</xm:f>
          </x14:formula1>
          <xm:sqref>D50:J52</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92D050"/>
  </sheetPr>
  <dimension ref="A1:N72"/>
  <sheetViews>
    <sheetView view="pageBreakPreview" topLeftCell="A13" zoomScale="40" zoomScaleNormal="25" zoomScaleSheetLayoutView="40" workbookViewId="0">
      <selection activeCell="K48" sqref="K48"/>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6" width="49.6640625" customWidth="1"/>
    <col min="7" max="7" width="54.83203125" customWidth="1"/>
    <col min="8"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18</v>
      </c>
      <c r="B11" s="2" t="s">
        <v>58</v>
      </c>
      <c r="C11" s="413" t="str">
        <f>VLOOKUP(A11,PROPONENTES!A10:B94,2,FALSE)</f>
        <v>INGEOCILCON S.A.S.</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2</v>
      </c>
      <c r="J14" s="147">
        <f>+L8</f>
        <v>986.3076290832455</v>
      </c>
      <c r="K14" s="147">
        <f>+E22</f>
        <v>2907.31</v>
      </c>
      <c r="L14" s="18" t="str">
        <f>IF(K14&gt;=J14,"CUMPLE","NO CUMPLE")</f>
        <v>CUMPLE</v>
      </c>
    </row>
    <row r="15" spans="1:12" ht="33.75" customHeight="1" x14ac:dyDescent="0.2">
      <c r="B15" s="382"/>
      <c r="C15" s="92" t="str">
        <f>IF(VLOOKUP(C11,PROPONENTES!B10:N94,2,FALSE)=0,"",VLOOKUP(C11,PROPONENTES!B10:N94,2,FALSE))</f>
        <v>INGEOCILCON S.A.S.</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2907.31</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1453.655</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2</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2</v>
      </c>
      <c r="J19" s="128">
        <v>1</v>
      </c>
      <c r="K19" s="387"/>
      <c r="L19" s="388"/>
    </row>
    <row r="20" spans="2:14" ht="50.25" customHeight="1" x14ac:dyDescent="0.2">
      <c r="B20" s="382"/>
      <c r="C20" s="92"/>
      <c r="D20" s="93"/>
      <c r="E20" s="94"/>
      <c r="F20" s="95"/>
      <c r="G20" s="96"/>
      <c r="H20" s="96"/>
      <c r="I20" s="128">
        <f>COUNTIFS(D60:J60,"CUMPLE",D67:J67,"CUMPLE")</f>
        <v>2</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2</v>
      </c>
      <c r="J21" s="128">
        <v>1</v>
      </c>
      <c r="K21" s="389"/>
      <c r="L21" s="390"/>
    </row>
    <row r="22" spans="2:14" ht="84.75" customHeight="1" x14ac:dyDescent="0.2">
      <c r="B22" s="29" t="s">
        <v>75</v>
      </c>
      <c r="C22" s="24">
        <f>+VLOOKUP(C11,PROPONENTES!B10:N94,12,FALSE)</f>
        <v>1</v>
      </c>
      <c r="D22" s="93">
        <f>+VLOOKUP(C11,PROPONENTES!B10:N94,13,FALSE)</f>
        <v>1</v>
      </c>
      <c r="E22" s="32">
        <f>SUM(E15:E21)</f>
        <v>2907.31</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223</v>
      </c>
      <c r="E26" s="84" t="s">
        <v>223</v>
      </c>
      <c r="F26" s="84"/>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500</v>
      </c>
      <c r="E29" s="85" t="s">
        <v>501</v>
      </c>
      <c r="F29" s="85"/>
      <c r="G29" s="85"/>
      <c r="H29" s="85"/>
      <c r="I29" s="85"/>
      <c r="J29" s="85"/>
      <c r="K29" s="145"/>
      <c r="L29" s="140"/>
    </row>
    <row r="30" spans="2:14" ht="241.25" customHeight="1" x14ac:dyDescent="0.2">
      <c r="B30" s="374"/>
      <c r="C30" s="25" t="s">
        <v>84</v>
      </c>
      <c r="D30" s="85" t="s">
        <v>502</v>
      </c>
      <c r="E30" s="85" t="s">
        <v>503</v>
      </c>
      <c r="F30" s="85"/>
      <c r="G30" s="85"/>
      <c r="H30" s="85"/>
      <c r="I30" s="85"/>
      <c r="J30" s="85"/>
      <c r="K30" s="145"/>
      <c r="L30" s="140"/>
    </row>
    <row r="31" spans="2:14" ht="52.5" customHeight="1" x14ac:dyDescent="0.2">
      <c r="B31" s="374"/>
      <c r="C31" s="25" t="s">
        <v>85</v>
      </c>
      <c r="D31" s="89">
        <v>44883</v>
      </c>
      <c r="E31" s="89">
        <v>41863</v>
      </c>
      <c r="F31" s="89"/>
      <c r="G31" s="89"/>
      <c r="H31" s="89"/>
      <c r="I31" s="89"/>
      <c r="J31" s="89"/>
      <c r="K31" s="145"/>
      <c r="L31" s="140"/>
    </row>
    <row r="32" spans="2:14" ht="54.75" customHeight="1" x14ac:dyDescent="0.2">
      <c r="B32" s="374"/>
      <c r="C32" s="25" t="s">
        <v>86</v>
      </c>
      <c r="D32" s="89">
        <v>45522</v>
      </c>
      <c r="E32" s="89">
        <v>42640</v>
      </c>
      <c r="F32" s="89"/>
      <c r="G32" s="89"/>
      <c r="H32" s="89"/>
      <c r="I32" s="89"/>
      <c r="J32" s="89"/>
      <c r="K32" s="145"/>
      <c r="L32" s="140"/>
    </row>
    <row r="33" spans="2:12" ht="41.25" customHeight="1" x14ac:dyDescent="0.2">
      <c r="B33" s="374"/>
      <c r="C33" s="25" t="s">
        <v>87</v>
      </c>
      <c r="D33" s="86">
        <v>2024</v>
      </c>
      <c r="E33" s="86">
        <v>2016</v>
      </c>
      <c r="F33" s="86"/>
      <c r="G33" s="86"/>
      <c r="H33" s="86"/>
      <c r="I33" s="86"/>
      <c r="J33" s="86"/>
      <c r="K33" s="145"/>
      <c r="L33" s="140"/>
    </row>
    <row r="34" spans="2:12" ht="63" customHeight="1" x14ac:dyDescent="0.2">
      <c r="B34" s="374"/>
      <c r="C34" s="25" t="s">
        <v>88</v>
      </c>
      <c r="D34" s="85" t="s">
        <v>504</v>
      </c>
      <c r="E34" s="85" t="s">
        <v>505</v>
      </c>
      <c r="F34" s="85"/>
      <c r="G34" s="85"/>
      <c r="H34" s="85"/>
      <c r="I34" s="85"/>
      <c r="J34" s="85"/>
      <c r="K34" s="145"/>
      <c r="L34" s="140"/>
    </row>
    <row r="35" spans="2:12" ht="46.5" customHeight="1" x14ac:dyDescent="0.2">
      <c r="B35" s="374"/>
      <c r="C35" s="25" t="s">
        <v>89</v>
      </c>
      <c r="D35" s="85" t="s">
        <v>506</v>
      </c>
      <c r="E35" s="85" t="s">
        <v>506</v>
      </c>
      <c r="F35" s="85"/>
      <c r="G35" s="85"/>
      <c r="H35" s="85"/>
      <c r="I35" s="85"/>
      <c r="J35" s="85"/>
      <c r="K35" s="145"/>
      <c r="L35" s="140"/>
    </row>
    <row r="36" spans="2:12" ht="27.75" customHeight="1" x14ac:dyDescent="0.2">
      <c r="B36" s="374"/>
      <c r="C36" s="26" t="s">
        <v>90</v>
      </c>
      <c r="D36" s="90">
        <v>74</v>
      </c>
      <c r="E36" s="90">
        <v>46</v>
      </c>
      <c r="F36" s="90"/>
      <c r="G36" s="91"/>
      <c r="H36" s="91"/>
      <c r="I36" s="91"/>
      <c r="J36" s="91"/>
      <c r="K36" s="145"/>
      <c r="L36" s="140"/>
    </row>
    <row r="37" spans="2:12" ht="102.75" customHeight="1" x14ac:dyDescent="0.2">
      <c r="B37" s="374"/>
      <c r="C37" s="25" t="s">
        <v>91</v>
      </c>
      <c r="D37" s="87">
        <v>959.02</v>
      </c>
      <c r="E37" s="158">
        <v>1948.29</v>
      </c>
      <c r="F37" s="87"/>
      <c r="G37" s="87"/>
      <c r="H37" s="87"/>
      <c r="I37" s="87"/>
      <c r="J37" s="87"/>
      <c r="K37" s="242"/>
      <c r="L37" s="243"/>
    </row>
    <row r="38" spans="2:12" ht="48" customHeight="1" x14ac:dyDescent="0.2">
      <c r="B38" s="374"/>
      <c r="C38" s="25" t="s">
        <v>92</v>
      </c>
      <c r="D38" s="97">
        <f>IFERROR(D37*VLOOKUP(D33,'DATOS INICIALES'!$A$12:$B$50,2,0),"0")</f>
        <v>1246726000</v>
      </c>
      <c r="E38" s="97">
        <f>IFERROR(E37*VLOOKUP(E33,'DATOS INICIALES'!$A$12:$B$50,2,0),"0")</f>
        <v>1343258281.95</v>
      </c>
      <c r="F38" s="97" t="str">
        <f>IFERROR(F37*VLOOKUP(F33,'DATOS INICIALES'!$A$12:$B$50,2,0),"0")</f>
        <v>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1</v>
      </c>
      <c r="E39" s="88">
        <v>1</v>
      </c>
      <c r="F39" s="88"/>
      <c r="G39" s="88"/>
      <c r="H39" s="88"/>
      <c r="I39" s="88"/>
      <c r="J39" s="88"/>
      <c r="K39" s="145"/>
      <c r="L39" s="140"/>
    </row>
    <row r="40" spans="2:12" ht="48.75" customHeight="1" x14ac:dyDescent="0.2">
      <c r="B40" s="374"/>
      <c r="C40" s="25" t="s">
        <v>94</v>
      </c>
      <c r="D40" s="97">
        <f t="shared" ref="D40:J40" si="0">IF(D26="","0",D39*D38)</f>
        <v>1246726000</v>
      </c>
      <c r="E40" s="97">
        <f t="shared" si="0"/>
        <v>1343258281.95</v>
      </c>
      <c r="F40" s="97" t="str">
        <f t="shared" si="0"/>
        <v>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959.02</v>
      </c>
      <c r="E41" s="98">
        <f t="shared" si="1"/>
        <v>1948.29</v>
      </c>
      <c r="F41" s="98">
        <f t="shared" si="1"/>
        <v>0</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959.02</v>
      </c>
      <c r="E48" s="98">
        <f t="shared" ref="E48:G48" si="6">+E41+E44+E47</f>
        <v>1948.29</v>
      </c>
      <c r="F48" s="98">
        <f t="shared" si="6"/>
        <v>0</v>
      </c>
      <c r="G48" s="98">
        <f t="shared" si="6"/>
        <v>0</v>
      </c>
      <c r="H48" s="98">
        <f>+H41+H44+H47</f>
        <v>0</v>
      </c>
      <c r="I48" s="98">
        <f t="shared" ref="I48:J48" si="7">+I41+I44+I47</f>
        <v>0</v>
      </c>
      <c r="J48" s="98">
        <f t="shared" si="7"/>
        <v>0</v>
      </c>
      <c r="K48" s="313"/>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N/A</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N/A</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4284" priority="77" operator="equal">
      <formula>"CUMPLE"</formula>
    </cfRule>
    <cfRule type="containsBlanks" dxfId="4283" priority="74">
      <formula>LEN(TRIM(D71))=0</formula>
    </cfRule>
    <cfRule type="notContainsErrors" dxfId="4282" priority="75">
      <formula>NOT(ISERROR(D71))</formula>
    </cfRule>
    <cfRule type="cellIs" dxfId="4281" priority="76" operator="equal">
      <formula>"NO CUMPLE"</formula>
    </cfRule>
  </conditionalFormatting>
  <conditionalFormatting sqref="D72">
    <cfRule type="cellIs" dxfId="4280" priority="79" operator="equal">
      <formula>"CUMPLE"</formula>
    </cfRule>
    <cfRule type="cellIs" dxfId="4279" priority="78" operator="equal">
      <formula>"N/A"</formula>
    </cfRule>
    <cfRule type="cellIs" dxfId="4278" priority="81" operator="equal">
      <formula>"""CUMPLE"""</formula>
    </cfRule>
    <cfRule type="cellIs" dxfId="4277" priority="80" operator="equal">
      <formula>"NO CUMPLE"</formula>
    </cfRule>
  </conditionalFormatting>
  <conditionalFormatting sqref="D26:J37">
    <cfRule type="notContainsErrors" dxfId="4276" priority="4">
      <formula>NOT(ISERROR(D26))</formula>
    </cfRule>
    <cfRule type="containsBlanks" dxfId="4275" priority="3">
      <formula>LEN(TRIM(D26))=0</formula>
    </cfRule>
  </conditionalFormatting>
  <conditionalFormatting sqref="D36:J36">
    <cfRule type="notContainsErrors" dxfId="4274" priority="6">
      <formula>NOT(ISERROR(D36))</formula>
    </cfRule>
    <cfRule type="containsBlanks" dxfId="4273" priority="5">
      <formula>LEN(TRIM(D36))=0</formula>
    </cfRule>
  </conditionalFormatting>
  <conditionalFormatting sqref="D39:J39">
    <cfRule type="containsBlanks" dxfId="4272" priority="1">
      <formula>LEN(TRIM(D39))=0</formula>
    </cfRule>
    <cfRule type="notContainsErrors" dxfId="4271" priority="2">
      <formula>NOT(ISERROR(D39))</formula>
    </cfRule>
  </conditionalFormatting>
  <conditionalFormatting sqref="D42:J42 D45:J45">
    <cfRule type="notContainsErrors" dxfId="4270" priority="38">
      <formula>NOT(ISERROR(D42))</formula>
    </cfRule>
    <cfRule type="containsBlanks" dxfId="4269" priority="37">
      <formula>LEN(TRIM(D42))=0</formula>
    </cfRule>
  </conditionalFormatting>
  <conditionalFormatting sqref="D49:J54">
    <cfRule type="cellIs" dxfId="4268" priority="17" operator="equal">
      <formula>"NO CUMPLE"</formula>
    </cfRule>
    <cfRule type="cellIs" dxfId="4267" priority="18" operator="equal">
      <formula>"CUMPLE"</formula>
    </cfRule>
    <cfRule type="containsBlanks" dxfId="4266" priority="19">
      <formula>LEN(TRIM(D49))=0</formula>
    </cfRule>
    <cfRule type="notContainsErrors" dxfId="4265" priority="20">
      <formula>NOT(ISERROR(D49))</formula>
    </cfRule>
  </conditionalFormatting>
  <conditionalFormatting sqref="D55:J55">
    <cfRule type="cellIs" dxfId="4264" priority="28" operator="equal">
      <formula>"CUMPLE"</formula>
    </cfRule>
    <cfRule type="cellIs" dxfId="4263" priority="30" operator="equal">
      <formula>"""CUMPLE"""</formula>
    </cfRule>
    <cfRule type="cellIs" dxfId="4262" priority="29" operator="equal">
      <formula>"NO CUMPLE"</formula>
    </cfRule>
    <cfRule type="cellIs" dxfId="4261" priority="27" operator="equal">
      <formula>"N/A"</formula>
    </cfRule>
  </conditionalFormatting>
  <conditionalFormatting sqref="D56:J66">
    <cfRule type="cellIs" dxfId="4260" priority="11" operator="equal">
      <formula>"NO CUMPLE"</formula>
    </cfRule>
    <cfRule type="notContainsErrors" dxfId="4259" priority="14">
      <formula>NOT(ISERROR(D56))</formula>
    </cfRule>
    <cfRule type="containsBlanks" dxfId="4258" priority="13">
      <formula>LEN(TRIM(D56))=0</formula>
    </cfRule>
    <cfRule type="cellIs" dxfId="4257" priority="12" operator="equal">
      <formula>"CUMPLE"</formula>
    </cfRule>
  </conditionalFormatting>
  <conditionalFormatting sqref="D67:J67">
    <cfRule type="cellIs" dxfId="4256" priority="23" operator="equal">
      <formula>"N/A"</formula>
    </cfRule>
    <cfRule type="cellIs" dxfId="4255" priority="24" operator="equal">
      <formula>"CUMPLE"</formula>
    </cfRule>
    <cfRule type="cellIs" dxfId="4254" priority="26" operator="equal">
      <formula>"""CUMPLE"""</formula>
    </cfRule>
    <cfRule type="cellIs" dxfId="4253" priority="25" operator="equal">
      <formula>"NO CUMPLE"</formula>
    </cfRule>
  </conditionalFormatting>
  <conditionalFormatting sqref="D62:K66">
    <cfRule type="containsBlanks" dxfId="4252" priority="15">
      <formula>LEN(TRIM(D62))=0</formula>
    </cfRule>
    <cfRule type="notContainsErrors" dxfId="4251" priority="16">
      <formula>NOT(ISERROR(D62))</formula>
    </cfRule>
  </conditionalFormatting>
  <conditionalFormatting sqref="E71:E72">
    <cfRule type="notContainsErrors" dxfId="4250" priority="73">
      <formula>NOT(ISERROR(E71))</formula>
    </cfRule>
    <cfRule type="containsBlanks" dxfId="4249" priority="72">
      <formula>LEN(TRIM(E71))=0</formula>
    </cfRule>
  </conditionalFormatting>
  <conditionalFormatting sqref="F22:H22">
    <cfRule type="cellIs" dxfId="4248" priority="100" operator="equal">
      <formula>"NO CUMPLE"</formula>
    </cfRule>
    <cfRule type="cellIs" dxfId="4247" priority="101" operator="equal">
      <formula>"""CUMPLE"""</formula>
    </cfRule>
    <cfRule type="cellIs" dxfId="4246" priority="99" operator="equal">
      <formula>"CUMPLE"</formula>
    </cfRule>
  </conditionalFormatting>
  <conditionalFormatting sqref="G63:J63">
    <cfRule type="containsBlanks" dxfId="4245" priority="7">
      <formula>LEN(TRIM(G63))=0</formula>
    </cfRule>
    <cfRule type="notContainsErrors" dxfId="4244" priority="8">
      <formula>NOT(ISERROR(G63))</formula>
    </cfRule>
  </conditionalFormatting>
  <conditionalFormatting sqref="I11">
    <cfRule type="containsText" dxfId="4243" priority="105" operator="containsText" text="NO CUMPLE">
      <formula>NOT(ISERROR(SEARCH("NO CUMPLE",I11)))</formula>
    </cfRule>
    <cfRule type="containsText" dxfId="4242" priority="104" operator="containsText" text="HABILITADO">
      <formula>NOT(ISERROR(SEARCH("HABILITADO",I11)))</formula>
    </cfRule>
    <cfRule type="containsText" dxfId="4241" priority="103" operator="containsText" text="HABILITADO">
      <formula>NOT(ISERROR(SEARCH("HABILITADO",I11)))</formula>
    </cfRule>
    <cfRule type="containsText" dxfId="4240" priority="102" operator="containsText" text="INHABILITADO">
      <formula>NOT(ISERROR(SEARCH("INHABILITADO",I11)))</formula>
    </cfRule>
  </conditionalFormatting>
  <conditionalFormatting sqref="K18:K20">
    <cfRule type="cellIs" dxfId="4239" priority="70" operator="equal">
      <formula>"NO CUMPLE"</formula>
    </cfRule>
    <cfRule type="cellIs" dxfId="4238" priority="71" operator="equal">
      <formula>"""CUMPLE"""</formula>
    </cfRule>
    <cfRule type="cellIs" dxfId="4237" priority="69" operator="equal">
      <formula>"CUMPLE"</formula>
    </cfRule>
  </conditionalFormatting>
  <conditionalFormatting sqref="K26:K61 D62:J62">
    <cfRule type="containsBlanks" dxfId="4236" priority="9">
      <formula>LEN(TRIM(D26))=0</formula>
    </cfRule>
    <cfRule type="notContainsErrors" dxfId="4235" priority="10">
      <formula>NOT(ISERROR(D26))</formula>
    </cfRule>
  </conditionalFormatting>
  <conditionalFormatting sqref="K67:L67">
    <cfRule type="containsBlanks" dxfId="4234" priority="21">
      <formula>LEN(TRIM(K67))=0</formula>
    </cfRule>
    <cfRule type="notContainsErrors" dxfId="4233" priority="22">
      <formula>NOT(ISERROR(K67))</formula>
    </cfRule>
  </conditionalFormatting>
  <conditionalFormatting sqref="L14">
    <cfRule type="cellIs" dxfId="4232" priority="98" operator="equal">
      <formula>"""CUMPLE"""</formula>
    </cfRule>
    <cfRule type="cellIs" dxfId="4231" priority="97" operator="equal">
      <formula>"NO CUMPLE"</formula>
    </cfRule>
    <cfRule type="cellIs" dxfId="4230" priority="96" operator="equal">
      <formula>"CUMPLE"</formula>
    </cfRule>
  </conditionalFormatting>
  <dataValidations count="2">
    <dataValidation type="list" allowBlank="1" showInputMessage="1" showErrorMessage="1" sqref="D26:J28" xr:uid="{00000000-0002-0000-1700-000000000000}">
      <formula1>$C$15:$C$21</formula1>
    </dataValidation>
    <dataValidation type="list" allowBlank="1" showInputMessage="1" showErrorMessage="1" sqref="L62:L67" xr:uid="{00000000-0002-0000-17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1700-000002000000}">
          <x14:formula1>
            <xm:f>'DATOS INICIALES'!$A$13:$A$50</xm:f>
          </x14:formula1>
          <xm:sqref>G33:I33</xm:sqref>
        </x14:dataValidation>
        <x14:dataValidation type="list" allowBlank="1" showInputMessage="1" showErrorMessage="1" xr:uid="{00000000-0002-0000-1700-000003000000}">
          <x14:formula1>
            <xm:f>'DATOS INICIALES'!$A$61:$A$66</xm:f>
          </x14:formula1>
          <xm:sqref>D25:I25</xm:sqref>
        </x14:dataValidation>
        <x14:dataValidation type="list" allowBlank="1" showInputMessage="1" showErrorMessage="1" xr:uid="{00000000-0002-0000-1700-000004000000}">
          <x14:formula1>
            <xm:f>'DATOS INICIALES'!$A$57:$A$59</xm:f>
          </x14:formula1>
          <xm:sqref>D71 D56:J66</xm:sqref>
        </x14:dataValidation>
        <x14:dataValidation type="list" allowBlank="1" showInputMessage="1" showErrorMessage="1" xr:uid="{00000000-0002-0000-1700-000005000000}">
          <x14:formula1>
            <xm:f>'DATOS INICIALES'!$C$52:$C$53</xm:f>
          </x14:formula1>
          <xm:sqref>D53:J54</xm:sqref>
        </x14:dataValidation>
        <x14:dataValidation type="list" allowBlank="1" showInputMessage="1" showErrorMessage="1" xr:uid="{00000000-0002-0000-1700-000006000000}">
          <x14:formula1>
            <xm:f>'DATOS INICIALES'!$A$61:$A$67</xm:f>
          </x14:formula1>
          <xm:sqref>J25</xm:sqref>
        </x14:dataValidation>
        <x14:dataValidation type="list" allowBlank="1" showInputMessage="1" showErrorMessage="1" xr:uid="{00000000-0002-0000-1700-000007000000}">
          <x14:formula1>
            <xm:f>'DATOS INICIALES'!$A$57:$A$58</xm:f>
          </x14:formula1>
          <xm:sqref>D49:J49</xm:sqref>
        </x14:dataValidation>
        <x14:dataValidation type="list" allowBlank="1" showInputMessage="1" showErrorMessage="1" xr:uid="{00000000-0002-0000-1700-000008000000}">
          <x14:formula1>
            <xm:f>'DATOS INICIALES'!$D$27:$D$29</xm:f>
          </x14:formula1>
          <xm:sqref>M50:M55</xm:sqref>
        </x14:dataValidation>
        <x14:dataValidation type="list" allowBlank="1" showInputMessage="1" showErrorMessage="1" xr:uid="{00000000-0002-0000-1700-000009000000}">
          <x14:formula1>
            <xm:f>'DATOS INICIALES'!$C$52:$C$54</xm:f>
          </x14:formula1>
          <xm:sqref>D50:J52</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92D050"/>
  </sheetPr>
  <dimension ref="A1:N72"/>
  <sheetViews>
    <sheetView view="pageBreakPreview" topLeftCell="A7" zoomScale="25" zoomScaleNormal="25" zoomScaleSheetLayoutView="25" workbookViewId="0">
      <selection activeCell="L28" sqref="L28"/>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6" width="41.1640625" customWidth="1"/>
    <col min="7" max="7" width="36.83203125" customWidth="1"/>
    <col min="8" max="8" width="40.83203125" customWidth="1"/>
    <col min="9"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thickBot="1" x14ac:dyDescent="0.25">
      <c r="B10" s="216" t="s">
        <v>57</v>
      </c>
      <c r="C10" s="497">
        <f>C9/'DATOS INICIALES'!B50</f>
        <v>986.3076290832455</v>
      </c>
      <c r="D10" s="498"/>
      <c r="E10" s="498"/>
      <c r="F10" s="498"/>
      <c r="G10" s="498"/>
      <c r="H10" s="498"/>
      <c r="I10" s="498"/>
      <c r="J10" s="217"/>
      <c r="K10" s="218"/>
      <c r="L10" s="219"/>
    </row>
    <row r="11" spans="1:12" ht="59.25" customHeight="1" thickBot="1" x14ac:dyDescent="0.25">
      <c r="A11" s="14">
        <v>19</v>
      </c>
      <c r="B11" s="220" t="s">
        <v>58</v>
      </c>
      <c r="C11" s="499" t="str">
        <f>VLOOKUP(A11,PROPONENTES!A10:B94,2,FALSE)</f>
        <v>CONSORCIO TORCA</v>
      </c>
      <c r="D11" s="499"/>
      <c r="E11" s="499"/>
      <c r="F11" s="499"/>
      <c r="G11" s="499"/>
      <c r="H11" s="221" t="s">
        <v>59</v>
      </c>
      <c r="I11" s="500" t="str">
        <f>IF(AND(F22="CUMPLE",G22="CUMPLE",H22="CUMPLE",L14="CUMPLE",D72="CUMPLE",K18="CUMPLE"),"CUMPLE","NO CUMPLE")</f>
        <v>CUMPLE</v>
      </c>
      <c r="J11" s="500"/>
      <c r="K11" s="500"/>
      <c r="L11" s="501"/>
    </row>
    <row r="12" spans="1:12" ht="9.75" customHeight="1" thickBot="1" x14ac:dyDescent="0.25">
      <c r="B12" s="494"/>
      <c r="C12" s="495"/>
      <c r="D12" s="495"/>
      <c r="E12" s="495"/>
      <c r="F12" s="495"/>
      <c r="G12" s="495"/>
      <c r="H12" s="495"/>
      <c r="I12" s="495"/>
      <c r="J12" s="495"/>
      <c r="K12" s="495"/>
      <c r="L12" s="496"/>
    </row>
    <row r="13" spans="1:12" s="127" customFormat="1" ht="48.75" customHeight="1" thickBot="1" x14ac:dyDescent="0.25">
      <c r="B13" s="509" t="s">
        <v>60</v>
      </c>
      <c r="C13" s="510"/>
      <c r="D13" s="510"/>
      <c r="E13" s="510"/>
      <c r="F13" s="510"/>
      <c r="G13" s="510"/>
      <c r="H13" s="511"/>
      <c r="I13" s="208" t="s">
        <v>61</v>
      </c>
      <c r="J13" s="206" t="s">
        <v>62</v>
      </c>
      <c r="K13" s="206" t="s">
        <v>63</v>
      </c>
      <c r="L13" s="207" t="s">
        <v>64</v>
      </c>
    </row>
    <row r="14" spans="1:12" ht="69" customHeight="1" x14ac:dyDescent="0.2">
      <c r="B14" s="512" t="s">
        <v>65</v>
      </c>
      <c r="C14" s="202" t="s">
        <v>66</v>
      </c>
      <c r="D14" s="202" t="s">
        <v>67</v>
      </c>
      <c r="E14" s="203" t="s">
        <v>68</v>
      </c>
      <c r="F14" s="203" t="s">
        <v>69</v>
      </c>
      <c r="G14" s="203" t="s">
        <v>70</v>
      </c>
      <c r="H14" s="209" t="s">
        <v>71</v>
      </c>
      <c r="I14" s="212">
        <f>COUNTIF(D67:J67,"CUMPLE")</f>
        <v>6</v>
      </c>
      <c r="J14" s="204">
        <f>+L8</f>
        <v>986.3076290832455</v>
      </c>
      <c r="K14" s="204">
        <f>+E22</f>
        <v>12974.035</v>
      </c>
      <c r="L14" s="205" t="str">
        <f>IF(K14&gt;=J14,"CUMPLE","NO CUMPLE")</f>
        <v>CUMPLE</v>
      </c>
    </row>
    <row r="15" spans="1:12" ht="33.75" customHeight="1" x14ac:dyDescent="0.2">
      <c r="B15" s="513"/>
      <c r="C15" s="92" t="str">
        <f>IF(VLOOKUP(C11,PROPONENTES!B10:N94,2,FALSE)=0,"",VLOOKUP(C11,PROPONENTES!B10:N94,2,FALSE))</f>
        <v xml:space="preserve">PROCIVING SAS </v>
      </c>
      <c r="D15" s="93">
        <f>IF(VLOOKUP(C11,PROPONENTES!B10:N94,3,FALSE)=0,"",VLOOKUP(C11,PROPONENTES!B10:N94,3,FALSE))</f>
        <v>0.65</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103.129</v>
      </c>
      <c r="F15" s="95" t="str">
        <f>IF(C15="","",IF(E15&gt;=$J$14*0.5,"SI","NO"))</f>
        <v>NO</v>
      </c>
      <c r="G15" s="96" t="str">
        <f>IF(C15="","",IF(E15&gt;=$J$14*0.05,"SI",IF(E15=0,"NO APORTA EXPERIENCIA",)))</f>
        <v>SI</v>
      </c>
      <c r="H15" s="210" t="str">
        <f>IF(C15="","",IF(AND(G15="NO APORTA EXPERIENCIA",D15&lt;=10%),"SI",IF(G15="SI","NO APLICA","NO - PORCENTAJE MAYOR AL 10%")))</f>
        <v>NO APLICA</v>
      </c>
      <c r="I15" s="213"/>
      <c r="J15" s="162"/>
      <c r="K15" s="162"/>
      <c r="L15" s="198" t="s">
        <v>72</v>
      </c>
    </row>
    <row r="16" spans="1:12" ht="33.75" customHeight="1" x14ac:dyDescent="0.2">
      <c r="B16" s="513"/>
      <c r="C16" s="92" t="str">
        <f>IF(VLOOKUP(C11,PROPONENTES!B10:N94,4,FALSE)=0,"",VLOOKUP(C11,PROPONENTES!B10:N94,4,FALSE))</f>
        <v xml:space="preserve">CIAF LTDA INGENIERIA </v>
      </c>
      <c r="D16" s="93">
        <f>IF(VLOOKUP(C11,PROPONENTES!B10:N94,5,FALSE)=0,"",VLOOKUP(C11,PROPONENTES!B10:N94,5,FALSE))</f>
        <v>0.25</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12870.905999999999</v>
      </c>
      <c r="F16" s="95" t="str">
        <f>IF(C16="","",IF(E16&gt;=$J$14*0.5,"SI","NO"))</f>
        <v>SI</v>
      </c>
      <c r="G16" s="96" t="str">
        <f>IF(C16="","",IF(E16&gt;=$J$14*0.05,"SI",IF(E16=0,"NO APORTA EXPERIENCIA",)))</f>
        <v>SI</v>
      </c>
      <c r="H16" s="210" t="str">
        <f>IF(C16="","",IF(AND(G16="NO APORTA EXPERIENCIA",D16&lt;=10%),"SI",IF(G16="SI","NO APLICA","NO - PORCENTAJE MAYOR AL 10%")))</f>
        <v>NO APLICA</v>
      </c>
      <c r="I16" s="213"/>
      <c r="J16" s="162"/>
      <c r="K16" s="162"/>
      <c r="L16" s="199">
        <f>AVERAGEIF(D67:J67,"CUMPLE",D48:J48)</f>
        <v>2162.3391666666662</v>
      </c>
    </row>
    <row r="17" spans="2:14" ht="33.75" customHeight="1" x14ac:dyDescent="0.2">
      <c r="B17" s="513"/>
      <c r="C17" s="92" t="str">
        <f>IF(VLOOKUP(C11,PROPONENTES!B10:N94,6,FALSE)=0,"",VLOOKUP(C11,PROPONENTES!B10:N94,6,FALSE))</f>
        <v xml:space="preserve">HIDROTECNIA INGENIERIA LTDA </v>
      </c>
      <c r="D17" s="93">
        <f>IF(VLOOKUP(C11,PROPONENTES!B10:N94,7,FALSE)=0,"",VLOOKUP(C11,PROPONENTES!B10:N94,7,FALSE))</f>
        <v>0.1</v>
      </c>
      <c r="E17" s="94">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0</v>
      </c>
      <c r="F17" s="95" t="str">
        <f>IF(C17="","",IF(E17&gt;=$J$14*0.5,"SI","NO"))</f>
        <v>NO</v>
      </c>
      <c r="G17" s="96" t="str">
        <f>IF(C17="","",IF(E17&gt;=$J$14*0.05,"SI",IF(E17=0,"NO APORTA EXPERIENCIA",)))</f>
        <v>NO APORTA EXPERIENCIA</v>
      </c>
      <c r="H17" s="210" t="str">
        <f>IF(C17="","",IF(AND(G17="NO APORTA EXPERIENCIA",D17&lt;=10%),"SI",IF(G17="SI","NO APLICA","NO - PORCENTAJE MAYOR AL 10%")))</f>
        <v>SI</v>
      </c>
      <c r="I17" s="214" t="s">
        <v>73</v>
      </c>
      <c r="J17" s="173" t="s">
        <v>74</v>
      </c>
      <c r="K17" s="383" t="s">
        <v>64</v>
      </c>
      <c r="L17" s="502"/>
    </row>
    <row r="18" spans="2:14" ht="50.25" customHeight="1" x14ac:dyDescent="0.2">
      <c r="B18" s="513"/>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210" t="str">
        <f>IF(C18="","",IF(AND(G18="NO APORTA EXPERIENCIA",D18&lt;=10%),"SI",IF(G18="SI","NO APLICA","NO - PORCENTAJE MAYOR AL 10%")))</f>
        <v/>
      </c>
      <c r="I18" s="215">
        <f>COUNTIFS(D57:J57,"CUMPLE",D67:J67,"CUMPLE")</f>
        <v>6</v>
      </c>
      <c r="J18" s="128">
        <v>1</v>
      </c>
      <c r="K18" s="385" t="str">
        <f>IF(AND(I18&gt;=J18,I19&gt;=J19,I20&gt;=J20,I21&gt;=J21),"CUMPLE","NO CUMPLE")</f>
        <v>CUMPLE</v>
      </c>
      <c r="L18" s="503"/>
    </row>
    <row r="19" spans="2:14" ht="50.25" customHeight="1" x14ac:dyDescent="0.2">
      <c r="B19" s="513"/>
      <c r="C19" s="92"/>
      <c r="D19" s="93"/>
      <c r="E19" s="94"/>
      <c r="F19" s="95"/>
      <c r="G19" s="96"/>
      <c r="H19" s="210"/>
      <c r="I19" s="215">
        <f>COUNTIFS(D58:J58,"CUMPLE",D67:J67,"CUMPLE")</f>
        <v>6</v>
      </c>
      <c r="J19" s="128">
        <v>1</v>
      </c>
      <c r="K19" s="387"/>
      <c r="L19" s="504"/>
    </row>
    <row r="20" spans="2:14" ht="50.25" customHeight="1" x14ac:dyDescent="0.2">
      <c r="B20" s="513"/>
      <c r="C20" s="92"/>
      <c r="D20" s="93"/>
      <c r="E20" s="94"/>
      <c r="F20" s="95"/>
      <c r="G20" s="96"/>
      <c r="H20" s="210"/>
      <c r="I20" s="215">
        <f>COUNTIFS(D60:J60,"CUMPLE",D67:J67,"CUMPLE")</f>
        <v>6</v>
      </c>
      <c r="J20" s="128">
        <v>1</v>
      </c>
      <c r="K20" s="387"/>
      <c r="L20" s="504"/>
    </row>
    <row r="21" spans="2:14" ht="33.75" customHeight="1" x14ac:dyDescent="0.2">
      <c r="B21" s="513"/>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210" t="str">
        <f>IF(C21="","",IF(AND(G21="NO APORTA EXPERIENCIA",D21&lt;=10%),"SI",IF(G21="SI","NO APLICA","NO - PORCENTAJE MAYOR AL 10%")))</f>
        <v/>
      </c>
      <c r="I21" s="215">
        <f>COUNTIFS(D61:J61,"CUMPLE",D67:J67,"CUMPLE")</f>
        <v>6</v>
      </c>
      <c r="J21" s="128">
        <v>1</v>
      </c>
      <c r="K21" s="389"/>
      <c r="L21" s="505"/>
    </row>
    <row r="22" spans="2:14" ht="84.75" customHeight="1" thickBot="1" x14ac:dyDescent="0.25">
      <c r="B22" s="200" t="s">
        <v>75</v>
      </c>
      <c r="C22" s="45">
        <f>+VLOOKUP(C11,PROPONENTES!B10:N94,12,FALSE)</f>
        <v>3</v>
      </c>
      <c r="D22" s="201">
        <f>+VLOOKUP(C11,PROPONENTES!B10:N94,13,FALSE)</f>
        <v>1</v>
      </c>
      <c r="E22" s="49">
        <f>SUM(E15:E21)</f>
        <v>12974.035</v>
      </c>
      <c r="F22" s="148" t="str">
        <f>IF(F15="SI","CUMPLE",IF(F16="SI","CUMPLE",IF(F17="SI","CUMPLE",IF(F18="SI","CUMPLE",IF(F21="SI","CUMPLE","NO CUMPLE")))))</f>
        <v>CUMPLE</v>
      </c>
      <c r="G22" s="14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211" t="str">
        <f>IF(COUNTIF(E15:E21,0)&gt;1,"NO CUMPLE, HAY MAS DE UN (1) INTEGRANTE QUE NO APORTA EXPERIENCIA",IF(AND(OR(H15="NO APLICA",H15="SI",H15=""),OR(H16="NO APLICA",H16="SI",H16=""),OR(H17="NO APLICA",H17="SI",H17=""),OR(H18="NO APLICA",H18="SI",H18=""),OR(H21="NO APLICA",H21="SI",H21="")),"CUMPLE","NO CUMPLE"))</f>
        <v>CUMPLE</v>
      </c>
      <c r="I22" s="514" t="str">
        <f>+D72</f>
        <v>CUMPLE</v>
      </c>
      <c r="J22" s="515"/>
      <c r="K22" s="515"/>
      <c r="L22" s="516"/>
      <c r="N22" s="65"/>
    </row>
    <row r="23" spans="2:14" ht="10.5" customHeight="1" thickBot="1" x14ac:dyDescent="0.25">
      <c r="B23" s="506"/>
      <c r="C23" s="507"/>
      <c r="D23" s="507"/>
      <c r="E23" s="507"/>
      <c r="F23" s="507"/>
      <c r="G23" s="507"/>
      <c r="H23" s="507"/>
      <c r="I23" s="507"/>
      <c r="J23" s="507"/>
      <c r="K23" s="507"/>
      <c r="L23" s="50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461</v>
      </c>
      <c r="E26" s="84" t="s">
        <v>461</v>
      </c>
      <c r="F26" s="84" t="s">
        <v>461</v>
      </c>
      <c r="G26" s="84" t="s">
        <v>461</v>
      </c>
      <c r="H26" s="84" t="s">
        <v>460</v>
      </c>
      <c r="I26" s="84" t="s">
        <v>460</v>
      </c>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507</v>
      </c>
      <c r="E29" s="85" t="s">
        <v>508</v>
      </c>
      <c r="F29" s="85" t="s">
        <v>477</v>
      </c>
      <c r="G29" s="85" t="s">
        <v>509</v>
      </c>
      <c r="H29" s="85" t="s">
        <v>510</v>
      </c>
      <c r="I29" s="85" t="s">
        <v>511</v>
      </c>
      <c r="J29" s="85"/>
      <c r="K29" s="145"/>
      <c r="L29" s="140"/>
    </row>
    <row r="30" spans="2:14" ht="279.5" customHeight="1" x14ac:dyDescent="0.2">
      <c r="B30" s="374"/>
      <c r="C30" s="25" t="s">
        <v>84</v>
      </c>
      <c r="D30" s="85" t="s">
        <v>512</v>
      </c>
      <c r="E30" s="85" t="s">
        <v>513</v>
      </c>
      <c r="F30" s="85" t="s">
        <v>514</v>
      </c>
      <c r="G30" s="85" t="s">
        <v>515</v>
      </c>
      <c r="H30" s="85" t="s">
        <v>516</v>
      </c>
      <c r="I30" s="85" t="s">
        <v>517</v>
      </c>
      <c r="J30" s="85"/>
      <c r="K30" s="244"/>
      <c r="L30" s="245"/>
    </row>
    <row r="31" spans="2:14" ht="52.5" customHeight="1" x14ac:dyDescent="0.2">
      <c r="B31" s="374"/>
      <c r="C31" s="25" t="s">
        <v>85</v>
      </c>
      <c r="D31" s="89" t="s">
        <v>518</v>
      </c>
      <c r="E31" s="89" t="s">
        <v>518</v>
      </c>
      <c r="F31" s="89" t="s">
        <v>519</v>
      </c>
      <c r="G31" s="89" t="s">
        <v>520</v>
      </c>
      <c r="H31" s="89">
        <v>45274</v>
      </c>
      <c r="I31" s="89">
        <v>44960</v>
      </c>
      <c r="J31" s="89"/>
      <c r="K31" s="145"/>
      <c r="L31" s="140"/>
    </row>
    <row r="32" spans="2:14" ht="54.75" customHeight="1" x14ac:dyDescent="0.2">
      <c r="B32" s="374"/>
      <c r="C32" s="25" t="s">
        <v>86</v>
      </c>
      <c r="D32" s="89" t="s">
        <v>521</v>
      </c>
      <c r="E32" s="89" t="s">
        <v>522</v>
      </c>
      <c r="F32" s="89">
        <v>43099</v>
      </c>
      <c r="G32" s="89" t="s">
        <v>523</v>
      </c>
      <c r="H32" s="89" t="s">
        <v>524</v>
      </c>
      <c r="I32" s="89" t="s">
        <v>525</v>
      </c>
      <c r="J32" s="89"/>
      <c r="K32" s="145"/>
      <c r="L32" s="140"/>
    </row>
    <row r="33" spans="2:12" ht="41.25" customHeight="1" x14ac:dyDescent="0.2">
      <c r="B33" s="374"/>
      <c r="C33" s="25" t="s">
        <v>87</v>
      </c>
      <c r="D33" s="86">
        <v>2009</v>
      </c>
      <c r="E33" s="86">
        <v>2009</v>
      </c>
      <c r="F33" s="86">
        <v>2017</v>
      </c>
      <c r="G33" s="86">
        <v>2024</v>
      </c>
      <c r="H33" s="86">
        <v>2024</v>
      </c>
      <c r="I33" s="86">
        <v>2024</v>
      </c>
      <c r="J33" s="86"/>
      <c r="K33" s="145"/>
      <c r="L33" s="140"/>
    </row>
    <row r="34" spans="2:12" ht="63" customHeight="1" x14ac:dyDescent="0.2">
      <c r="B34" s="374"/>
      <c r="C34" s="25" t="s">
        <v>88</v>
      </c>
      <c r="D34" s="85" t="s">
        <v>526</v>
      </c>
      <c r="E34" s="85" t="s">
        <v>527</v>
      </c>
      <c r="F34" s="85" t="s">
        <v>527</v>
      </c>
      <c r="G34" s="85" t="s">
        <v>528</v>
      </c>
      <c r="H34" s="85" t="s">
        <v>529</v>
      </c>
      <c r="I34" s="85" t="s">
        <v>529</v>
      </c>
      <c r="J34" s="85"/>
      <c r="K34" s="145"/>
      <c r="L34" s="140"/>
    </row>
    <row r="35" spans="2:12" ht="46.5" customHeight="1" x14ac:dyDescent="0.2">
      <c r="B35" s="374"/>
      <c r="C35" s="25" t="s">
        <v>89</v>
      </c>
      <c r="D35" s="85" t="s">
        <v>530</v>
      </c>
      <c r="E35" s="85" t="s">
        <v>531</v>
      </c>
      <c r="F35" s="85" t="s">
        <v>526</v>
      </c>
      <c r="G35" s="85" t="s">
        <v>526</v>
      </c>
      <c r="H35" s="85" t="s">
        <v>532</v>
      </c>
      <c r="I35" s="85" t="s">
        <v>533</v>
      </c>
      <c r="J35" s="85"/>
      <c r="K35" s="145"/>
      <c r="L35" s="140"/>
    </row>
    <row r="36" spans="2:12" ht="27.75" customHeight="1" x14ac:dyDescent="0.2">
      <c r="B36" s="374"/>
      <c r="C36" s="26" t="s">
        <v>90</v>
      </c>
      <c r="D36" s="90">
        <v>3</v>
      </c>
      <c r="E36" s="90">
        <v>18</v>
      </c>
      <c r="F36" s="90">
        <v>28</v>
      </c>
      <c r="G36" s="91">
        <v>54</v>
      </c>
      <c r="H36" s="91">
        <v>26</v>
      </c>
      <c r="I36" s="91">
        <v>25</v>
      </c>
      <c r="J36" s="91"/>
      <c r="K36" s="145"/>
      <c r="L36" s="140"/>
    </row>
    <row r="37" spans="2:12" ht="102.75" customHeight="1" x14ac:dyDescent="0.2">
      <c r="B37" s="374"/>
      <c r="C37" s="25" t="s">
        <v>91</v>
      </c>
      <c r="D37" s="87">
        <v>6037.42</v>
      </c>
      <c r="E37" s="158">
        <v>4420.34</v>
      </c>
      <c r="F37" s="87">
        <v>7377.59</v>
      </c>
      <c r="G37" s="87">
        <v>4153.1000000000004</v>
      </c>
      <c r="H37" s="87">
        <v>43.13</v>
      </c>
      <c r="I37" s="87">
        <v>599.99</v>
      </c>
      <c r="J37" s="87"/>
      <c r="K37" s="242"/>
      <c r="L37" s="243"/>
    </row>
    <row r="38" spans="2:12" ht="48" customHeight="1" x14ac:dyDescent="0.2">
      <c r="B38" s="374"/>
      <c r="C38" s="25" t="s">
        <v>92</v>
      </c>
      <c r="D38" s="97">
        <f>IFERROR(D37*VLOOKUP(D33,'DATOS INICIALES'!$A$12:$B$50,2,0),"0")</f>
        <v>2999993998</v>
      </c>
      <c r="E38" s="97">
        <f>IFERROR(E37*VLOOKUP(E33,'DATOS INICIALES'!$A$12:$B$50,2,0),"0")</f>
        <v>2196466946</v>
      </c>
      <c r="F38" s="97">
        <f>IFERROR(F37*VLOOKUP(F33,'DATOS INICIALES'!$A$12:$B$50,2,0),"0")</f>
        <v>5442573562.0299997</v>
      </c>
      <c r="G38" s="97">
        <f>IFERROR(G37*VLOOKUP(G33,'DATOS INICIALES'!$A$12:$B$50,2,0),"0")</f>
        <v>5399030000</v>
      </c>
      <c r="H38" s="97">
        <f>IFERROR(H37*VLOOKUP(H33,'DATOS INICIALES'!$A$12:$B$50,2,0),"0")</f>
        <v>56069000</v>
      </c>
      <c r="I38" s="97">
        <f>IFERROR(I37*VLOOKUP(I33,'DATOS INICIALES'!$A$12:$B$50,2,0),"0")</f>
        <v>779987000</v>
      </c>
      <c r="J38" s="97" t="str">
        <f>IFERROR(J37*VLOOKUP(J33,'DATOS INICIALES'!$A$12:$B$50,2,0),"0")</f>
        <v>0</v>
      </c>
      <c r="K38" s="145"/>
      <c r="L38" s="140"/>
    </row>
    <row r="39" spans="2:12" ht="33.75" customHeight="1" x14ac:dyDescent="0.2">
      <c r="B39" s="374"/>
      <c r="C39" s="25" t="s">
        <v>93</v>
      </c>
      <c r="D39" s="88">
        <v>0.75</v>
      </c>
      <c r="E39" s="88">
        <v>0.75</v>
      </c>
      <c r="F39" s="88">
        <v>0.4</v>
      </c>
      <c r="G39" s="88">
        <v>0.5</v>
      </c>
      <c r="H39" s="88">
        <v>1</v>
      </c>
      <c r="I39" s="88">
        <v>0.1</v>
      </c>
      <c r="J39" s="88"/>
      <c r="K39" s="145"/>
      <c r="L39" s="140"/>
    </row>
    <row r="40" spans="2:12" ht="48.75" customHeight="1" x14ac:dyDescent="0.2">
      <c r="B40" s="374"/>
      <c r="C40" s="25" t="s">
        <v>94</v>
      </c>
      <c r="D40" s="97">
        <f t="shared" ref="D40:J40" si="0">IF(D26="","0",D39*D38)</f>
        <v>2249995498.5</v>
      </c>
      <c r="E40" s="97">
        <f t="shared" si="0"/>
        <v>1647350209.5</v>
      </c>
      <c r="F40" s="97">
        <f t="shared" si="0"/>
        <v>2177029424.8119998</v>
      </c>
      <c r="G40" s="97">
        <f t="shared" si="0"/>
        <v>2699515000</v>
      </c>
      <c r="H40" s="97">
        <f t="shared" si="0"/>
        <v>56069000</v>
      </c>
      <c r="I40" s="97">
        <f t="shared" si="0"/>
        <v>77998700</v>
      </c>
      <c r="J40" s="97" t="str">
        <f t="shared" si="0"/>
        <v>0</v>
      </c>
      <c r="K40" s="145"/>
      <c r="L40" s="140"/>
    </row>
    <row r="41" spans="2:12" ht="65.25" customHeight="1" x14ac:dyDescent="0.2">
      <c r="B41" s="374"/>
      <c r="C41" s="25" t="s">
        <v>95</v>
      </c>
      <c r="D41" s="98">
        <f t="shared" ref="D41:J41" si="1">IFERROR(D37*D39,"0")</f>
        <v>4528.0650000000005</v>
      </c>
      <c r="E41" s="98">
        <f t="shared" si="1"/>
        <v>3315.2550000000001</v>
      </c>
      <c r="F41" s="98">
        <f t="shared" si="1"/>
        <v>2951.0360000000001</v>
      </c>
      <c r="G41" s="98">
        <f t="shared" si="1"/>
        <v>2076.5500000000002</v>
      </c>
      <c r="H41" s="98">
        <f t="shared" si="1"/>
        <v>43.13</v>
      </c>
      <c r="I41" s="98">
        <f t="shared" si="1"/>
        <v>59.999000000000002</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4528.0650000000005</v>
      </c>
      <c r="E48" s="98">
        <f t="shared" ref="E48:G48" si="6">+E41+E44+E47</f>
        <v>3315.2550000000001</v>
      </c>
      <c r="F48" s="98">
        <f t="shared" si="6"/>
        <v>2951.0360000000001</v>
      </c>
      <c r="G48" s="98">
        <f t="shared" si="6"/>
        <v>2076.5500000000002</v>
      </c>
      <c r="H48" s="98">
        <f>+H41+H44+H47</f>
        <v>43.13</v>
      </c>
      <c r="I48" s="98">
        <f t="shared" ref="I48:J48" si="7">+I41+I44+I47</f>
        <v>59.999000000000002</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CUMPLE</v>
      </c>
      <c r="H55" s="18" t="str">
        <f t="shared" si="8"/>
        <v>CUMPLE</v>
      </c>
      <c r="I55" s="18" t="str">
        <f t="shared" si="8"/>
        <v>CUMPLE</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CUMPLE</v>
      </c>
      <c r="H67" s="18" t="str">
        <f t="shared" ref="H67:J67" si="9">IF(H26="","N/A",IF(AND(H49="CUMPLE",H55="CUMPLE",OR(H56="CUMPLE",H56="N/A"),OR(H59="CUMPLE",H59="N/A"),H62="CUMPLE",H63="CUMPLE",OR(H64="CUMPLE",H64="N/A"),H65="CUMPLE",OR(H66="CUMPLE",H66="N/A")),"CUMPLE","NO CUMPLE"))</f>
        <v>CUMPLE</v>
      </c>
      <c r="I67" s="18" t="str">
        <f t="shared" si="9"/>
        <v>CUMPLE</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4229" priority="77" operator="equal">
      <formula>"CUMPLE"</formula>
    </cfRule>
    <cfRule type="containsBlanks" dxfId="4228" priority="74">
      <formula>LEN(TRIM(D71))=0</formula>
    </cfRule>
    <cfRule type="notContainsErrors" dxfId="4227" priority="75">
      <formula>NOT(ISERROR(D71))</formula>
    </cfRule>
    <cfRule type="cellIs" dxfId="4226" priority="76" operator="equal">
      <formula>"NO CUMPLE"</formula>
    </cfRule>
  </conditionalFormatting>
  <conditionalFormatting sqref="D72">
    <cfRule type="cellIs" dxfId="4225" priority="79" operator="equal">
      <formula>"CUMPLE"</formula>
    </cfRule>
    <cfRule type="cellIs" dxfId="4224" priority="78" operator="equal">
      <formula>"N/A"</formula>
    </cfRule>
    <cfRule type="cellIs" dxfId="4223" priority="81" operator="equal">
      <formula>"""CUMPLE"""</formula>
    </cfRule>
    <cfRule type="cellIs" dxfId="4222" priority="80" operator="equal">
      <formula>"NO CUMPLE"</formula>
    </cfRule>
  </conditionalFormatting>
  <conditionalFormatting sqref="D26:J37">
    <cfRule type="notContainsErrors" dxfId="4221" priority="4">
      <formula>NOT(ISERROR(D26))</formula>
    </cfRule>
    <cfRule type="containsBlanks" dxfId="4220" priority="3">
      <formula>LEN(TRIM(D26))=0</formula>
    </cfRule>
  </conditionalFormatting>
  <conditionalFormatting sqref="D36:J36">
    <cfRule type="notContainsErrors" dxfId="4219" priority="6">
      <formula>NOT(ISERROR(D36))</formula>
    </cfRule>
    <cfRule type="containsBlanks" dxfId="4218" priority="5">
      <formula>LEN(TRIM(D36))=0</formula>
    </cfRule>
  </conditionalFormatting>
  <conditionalFormatting sqref="D39:J39">
    <cfRule type="containsBlanks" dxfId="4217" priority="1">
      <formula>LEN(TRIM(D39))=0</formula>
    </cfRule>
    <cfRule type="notContainsErrors" dxfId="4216" priority="2">
      <formula>NOT(ISERROR(D39))</formula>
    </cfRule>
  </conditionalFormatting>
  <conditionalFormatting sqref="D42:J42 D45:J45">
    <cfRule type="notContainsErrors" dxfId="4215" priority="38">
      <formula>NOT(ISERROR(D42))</formula>
    </cfRule>
    <cfRule type="containsBlanks" dxfId="4214" priority="37">
      <formula>LEN(TRIM(D42))=0</formula>
    </cfRule>
  </conditionalFormatting>
  <conditionalFormatting sqref="D49:J54">
    <cfRule type="cellIs" dxfId="4213" priority="17" operator="equal">
      <formula>"NO CUMPLE"</formula>
    </cfRule>
    <cfRule type="cellIs" dxfId="4212" priority="18" operator="equal">
      <formula>"CUMPLE"</formula>
    </cfRule>
    <cfRule type="containsBlanks" dxfId="4211" priority="19">
      <formula>LEN(TRIM(D49))=0</formula>
    </cfRule>
    <cfRule type="notContainsErrors" dxfId="4210" priority="20">
      <formula>NOT(ISERROR(D49))</formula>
    </cfRule>
  </conditionalFormatting>
  <conditionalFormatting sqref="D55:J55">
    <cfRule type="cellIs" dxfId="4209" priority="28" operator="equal">
      <formula>"CUMPLE"</formula>
    </cfRule>
    <cfRule type="cellIs" dxfId="4208" priority="30" operator="equal">
      <formula>"""CUMPLE"""</formula>
    </cfRule>
    <cfRule type="cellIs" dxfId="4207" priority="29" operator="equal">
      <formula>"NO CUMPLE"</formula>
    </cfRule>
    <cfRule type="cellIs" dxfId="4206" priority="27" operator="equal">
      <formula>"N/A"</formula>
    </cfRule>
  </conditionalFormatting>
  <conditionalFormatting sqref="D56:J66">
    <cfRule type="cellIs" dxfId="4205" priority="11" operator="equal">
      <formula>"NO CUMPLE"</formula>
    </cfRule>
    <cfRule type="notContainsErrors" dxfId="4204" priority="14">
      <formula>NOT(ISERROR(D56))</formula>
    </cfRule>
    <cfRule type="containsBlanks" dxfId="4203" priority="13">
      <formula>LEN(TRIM(D56))=0</formula>
    </cfRule>
    <cfRule type="cellIs" dxfId="4202" priority="12" operator="equal">
      <formula>"CUMPLE"</formula>
    </cfRule>
  </conditionalFormatting>
  <conditionalFormatting sqref="D67:J67">
    <cfRule type="cellIs" dxfId="4201" priority="23" operator="equal">
      <formula>"N/A"</formula>
    </cfRule>
    <cfRule type="cellIs" dxfId="4200" priority="24" operator="equal">
      <formula>"CUMPLE"</formula>
    </cfRule>
    <cfRule type="cellIs" dxfId="4199" priority="26" operator="equal">
      <formula>"""CUMPLE"""</formula>
    </cfRule>
    <cfRule type="cellIs" dxfId="4198" priority="25" operator="equal">
      <formula>"NO CUMPLE"</formula>
    </cfRule>
  </conditionalFormatting>
  <conditionalFormatting sqref="D62:K66">
    <cfRule type="containsBlanks" dxfId="4197" priority="15">
      <formula>LEN(TRIM(D62))=0</formula>
    </cfRule>
    <cfRule type="notContainsErrors" dxfId="4196" priority="16">
      <formula>NOT(ISERROR(D62))</formula>
    </cfRule>
  </conditionalFormatting>
  <conditionalFormatting sqref="E71:E72">
    <cfRule type="notContainsErrors" dxfId="4195" priority="73">
      <formula>NOT(ISERROR(E71))</formula>
    </cfRule>
    <cfRule type="containsBlanks" dxfId="4194" priority="72">
      <formula>LEN(TRIM(E71))=0</formula>
    </cfRule>
  </conditionalFormatting>
  <conditionalFormatting sqref="F22:H22">
    <cfRule type="cellIs" dxfId="4193" priority="100" operator="equal">
      <formula>"NO CUMPLE"</formula>
    </cfRule>
    <cfRule type="cellIs" dxfId="4192" priority="101" operator="equal">
      <formula>"""CUMPLE"""</formula>
    </cfRule>
    <cfRule type="cellIs" dxfId="4191" priority="99" operator="equal">
      <formula>"CUMPLE"</formula>
    </cfRule>
  </conditionalFormatting>
  <conditionalFormatting sqref="G63:J63">
    <cfRule type="containsBlanks" dxfId="4190" priority="7">
      <formula>LEN(TRIM(G63))=0</formula>
    </cfRule>
    <cfRule type="notContainsErrors" dxfId="4189" priority="8">
      <formula>NOT(ISERROR(G63))</formula>
    </cfRule>
  </conditionalFormatting>
  <conditionalFormatting sqref="I11">
    <cfRule type="containsText" dxfId="4188" priority="105" operator="containsText" text="NO CUMPLE">
      <formula>NOT(ISERROR(SEARCH("NO CUMPLE",I11)))</formula>
    </cfRule>
    <cfRule type="containsText" dxfId="4187" priority="104" operator="containsText" text="HABILITADO">
      <formula>NOT(ISERROR(SEARCH("HABILITADO",I11)))</formula>
    </cfRule>
    <cfRule type="containsText" dxfId="4186" priority="103" operator="containsText" text="HABILITADO">
      <formula>NOT(ISERROR(SEARCH("HABILITADO",I11)))</formula>
    </cfRule>
    <cfRule type="containsText" dxfId="4185" priority="102" operator="containsText" text="INHABILITADO">
      <formula>NOT(ISERROR(SEARCH("INHABILITADO",I11)))</formula>
    </cfRule>
  </conditionalFormatting>
  <conditionalFormatting sqref="K18:K20">
    <cfRule type="cellIs" dxfId="4184" priority="70" operator="equal">
      <formula>"NO CUMPLE"</formula>
    </cfRule>
    <cfRule type="cellIs" dxfId="4183" priority="71" operator="equal">
      <formula>"""CUMPLE"""</formula>
    </cfRule>
    <cfRule type="cellIs" dxfId="4182" priority="69" operator="equal">
      <formula>"CUMPLE"</formula>
    </cfRule>
  </conditionalFormatting>
  <conditionalFormatting sqref="K26:K61 D62:J62">
    <cfRule type="containsBlanks" dxfId="4181" priority="9">
      <formula>LEN(TRIM(D26))=0</formula>
    </cfRule>
    <cfRule type="notContainsErrors" dxfId="4180" priority="10">
      <formula>NOT(ISERROR(D26))</formula>
    </cfRule>
  </conditionalFormatting>
  <conditionalFormatting sqref="K67:L67">
    <cfRule type="containsBlanks" dxfId="4179" priority="21">
      <formula>LEN(TRIM(K67))=0</formula>
    </cfRule>
    <cfRule type="notContainsErrors" dxfId="4178" priority="22">
      <formula>NOT(ISERROR(K67))</formula>
    </cfRule>
  </conditionalFormatting>
  <conditionalFormatting sqref="L14">
    <cfRule type="cellIs" dxfId="4177" priority="98" operator="equal">
      <formula>"""CUMPLE"""</formula>
    </cfRule>
    <cfRule type="cellIs" dxfId="4176" priority="97" operator="equal">
      <formula>"NO CUMPLE"</formula>
    </cfRule>
    <cfRule type="cellIs" dxfId="4175" priority="96" operator="equal">
      <formula>"CUMPLE"</formula>
    </cfRule>
  </conditionalFormatting>
  <dataValidations count="2">
    <dataValidation type="list" allowBlank="1" showInputMessage="1" showErrorMessage="1" sqref="D26:J28" xr:uid="{00000000-0002-0000-1800-000000000000}">
      <formula1>$C$15:$C$21</formula1>
    </dataValidation>
    <dataValidation type="list" allowBlank="1" showInputMessage="1" showErrorMessage="1" sqref="L62:L67" xr:uid="{00000000-0002-0000-18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1800-000002000000}">
          <x14:formula1>
            <xm:f>'DATOS INICIALES'!$A$61:$A$66</xm:f>
          </x14:formula1>
          <xm:sqref>D25:I25</xm:sqref>
        </x14:dataValidation>
        <x14:dataValidation type="list" allowBlank="1" showInputMessage="1" showErrorMessage="1" xr:uid="{00000000-0002-0000-1800-000003000000}">
          <x14:formula1>
            <xm:f>'DATOS INICIALES'!$A$57:$A$59</xm:f>
          </x14:formula1>
          <xm:sqref>D71 D56:J66</xm:sqref>
        </x14:dataValidation>
        <x14:dataValidation type="list" allowBlank="1" showInputMessage="1" showErrorMessage="1" xr:uid="{00000000-0002-0000-1800-000004000000}">
          <x14:formula1>
            <xm:f>'DATOS INICIALES'!$C$52:$C$53</xm:f>
          </x14:formula1>
          <xm:sqref>D53:J54</xm:sqref>
        </x14:dataValidation>
        <x14:dataValidation type="list" allowBlank="1" showInputMessage="1" showErrorMessage="1" xr:uid="{00000000-0002-0000-1800-000005000000}">
          <x14:formula1>
            <xm:f>'DATOS INICIALES'!$A$61:$A$67</xm:f>
          </x14:formula1>
          <xm:sqref>J25</xm:sqref>
        </x14:dataValidation>
        <x14:dataValidation type="list" allowBlank="1" showInputMessage="1" showErrorMessage="1" xr:uid="{00000000-0002-0000-1800-000006000000}">
          <x14:formula1>
            <xm:f>'DATOS INICIALES'!$A$57:$A$58</xm:f>
          </x14:formula1>
          <xm:sqref>D49:J49</xm:sqref>
        </x14:dataValidation>
        <x14:dataValidation type="list" allowBlank="1" showInputMessage="1" showErrorMessage="1" xr:uid="{00000000-0002-0000-1800-000007000000}">
          <x14:formula1>
            <xm:f>'DATOS INICIALES'!$D$27:$D$29</xm:f>
          </x14:formula1>
          <xm:sqref>M50:M55</xm:sqref>
        </x14:dataValidation>
        <x14:dataValidation type="list" allowBlank="1" showInputMessage="1" showErrorMessage="1" xr:uid="{00000000-0002-0000-1800-000008000000}">
          <x14:formula1>
            <xm:f>'DATOS INICIALES'!$C$52:$C$54</xm:f>
          </x14:formula1>
          <xm:sqref>D50:J52</xm:sqref>
        </x14:dataValidation>
        <x14:dataValidation type="list" allowBlank="1" showInputMessage="1" showErrorMessage="1" xr:uid="{00000000-0002-0000-1800-000009000000}">
          <x14:formula1>
            <xm:f>'/Users/ldrr/Desktop/SDDE/REVISION DE CARPETAS/C:\Users\ASUS\OneDrive\Escritorio\alcaldia local de usaquen\2025\16. EVALUACION DE PROCESOS\INTERVENTORIA DE VIAS\consolidado equipo\[Juliana_ 15 A 24_Evaluación_Tecnica_fdlusa-CMA-003-2025.xlsx]DATOS INICIALES'!#REF!</xm:f>
          </x14:formula1>
          <xm:sqref>G33:I33</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92D050"/>
  </sheetPr>
  <dimension ref="A1:N72"/>
  <sheetViews>
    <sheetView view="pageBreakPreview" topLeftCell="A19" zoomScale="40" zoomScaleNormal="25" zoomScaleSheetLayoutView="40" workbookViewId="0">
      <selection activeCell="F37" sqref="F37"/>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20</v>
      </c>
      <c r="B11" s="2" t="s">
        <v>58</v>
      </c>
      <c r="C11" s="413" t="str">
        <f>VLOOKUP(A11,PROPONENTES!A10:B94,2,FALSE)</f>
        <v>CONSORCIO INTER USAQUEN JGK</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1</v>
      </c>
      <c r="J14" s="147">
        <f>+L8</f>
        <v>986.3076290832455</v>
      </c>
      <c r="K14" s="147">
        <f>+E22</f>
        <v>1439.02</v>
      </c>
      <c r="L14" s="18" t="str">
        <f>IF(K14&gt;=J14,"CUMPLE","NO CUMPLE")</f>
        <v>CUMPLE</v>
      </c>
    </row>
    <row r="15" spans="1:12" ht="33.75" customHeight="1" x14ac:dyDescent="0.2">
      <c r="B15" s="382"/>
      <c r="C15" s="92" t="str">
        <f>IF(VLOOKUP(C11,PROPONENTES!B10:N94,2,FALSE)=0,"",VLOOKUP(C11,PROPONENTES!B10:N94,2,FALSE))</f>
        <v xml:space="preserve">JESAK S.A.S </v>
      </c>
      <c r="D15" s="93">
        <f>IF(VLOOKUP(C11,PROPONENTES!B10:N94,3,FALSE)=0,"",VLOOKUP(C11,PROPONENTES!B10:N94,3,FALSE))</f>
        <v>0.9</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1439.02</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xml:space="preserve">JGF SERVICIOS S.A.S </v>
      </c>
      <c r="D16" s="93">
        <f>IF(VLOOKUP(C11,PROPONENTES!B10:N94,5,FALSE)=0,"",VLOOKUP(C11,PROPONENTES!B10:N94,5,FALSE))</f>
        <v>0.1</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0</v>
      </c>
      <c r="F16" s="95" t="str">
        <f>IF(C16="","",IF(E16&gt;=$J$14*0.5,"SI","NO"))</f>
        <v>NO</v>
      </c>
      <c r="G16" s="96" t="str">
        <f>IF(C16="","",IF(E16&gt;=$J$14*0.05,"SI",IF(E16=0,"NO APORTA EXPERIENCIA",)))</f>
        <v>NO APORTA EXPERIENCIA</v>
      </c>
      <c r="H16" s="96" t="str">
        <f>IF(C16="","",IF(AND(G16="NO APORTA EXPERIENCIA",D16&lt;=10%),"SI",IF(G16="SI","NO APLICA","NO - PORCENTAJE MAYOR AL 10%")))</f>
        <v>SI</v>
      </c>
      <c r="I16" s="162"/>
      <c r="J16" s="162"/>
      <c r="K16" s="162"/>
      <c r="L16" s="161">
        <f>AVERAGEIF(D67:J67,"CUMPLE",D48:J48)</f>
        <v>1439.02</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1</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1</v>
      </c>
      <c r="J19" s="128">
        <v>1</v>
      </c>
      <c r="K19" s="387"/>
      <c r="L19" s="388"/>
    </row>
    <row r="20" spans="2:14" ht="50.25" customHeight="1" x14ac:dyDescent="0.2">
      <c r="B20" s="382"/>
      <c r="C20" s="92"/>
      <c r="D20" s="93"/>
      <c r="E20" s="94"/>
      <c r="F20" s="95"/>
      <c r="G20" s="96"/>
      <c r="H20" s="96"/>
      <c r="I20" s="128">
        <f>COUNTIFS(D60:J60,"CUMPLE",D67:J67,"CUMPLE")</f>
        <v>1</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1</v>
      </c>
      <c r="J21" s="128">
        <v>1</v>
      </c>
      <c r="K21" s="389"/>
      <c r="L21" s="390"/>
    </row>
    <row r="22" spans="2:14" ht="84.75" customHeight="1" x14ac:dyDescent="0.2">
      <c r="B22" s="29" t="s">
        <v>75</v>
      </c>
      <c r="C22" s="24">
        <f>+VLOOKUP(C11,PROPONENTES!B10:N94,12,FALSE)</f>
        <v>2</v>
      </c>
      <c r="D22" s="93">
        <f>+VLOOKUP(C11,PROPONENTES!B10:N94,13,FALSE)</f>
        <v>1</v>
      </c>
      <c r="E22" s="32">
        <f>SUM(E15:E21)</f>
        <v>1439.02</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463</v>
      </c>
      <c r="E26" s="84"/>
      <c r="F26" s="84"/>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534</v>
      </c>
      <c r="E29" s="85"/>
      <c r="F29" s="85"/>
      <c r="G29" s="85"/>
      <c r="H29" s="85"/>
      <c r="I29" s="85"/>
      <c r="J29" s="85"/>
      <c r="K29" s="145"/>
      <c r="L29" s="140"/>
    </row>
    <row r="30" spans="2:14" ht="156.75" customHeight="1" x14ac:dyDescent="0.2">
      <c r="B30" s="374"/>
      <c r="C30" s="25" t="s">
        <v>84</v>
      </c>
      <c r="D30" s="85" t="s">
        <v>535</v>
      </c>
      <c r="E30" s="85"/>
      <c r="F30" s="85"/>
      <c r="G30" s="85"/>
      <c r="H30" s="85"/>
      <c r="I30" s="85"/>
      <c r="J30" s="85"/>
      <c r="K30" s="145"/>
      <c r="L30" s="140"/>
    </row>
    <row r="31" spans="2:14" ht="52.5" customHeight="1" x14ac:dyDescent="0.2">
      <c r="B31" s="374"/>
      <c r="C31" s="25" t="s">
        <v>85</v>
      </c>
      <c r="D31" s="89" t="s">
        <v>536</v>
      </c>
      <c r="E31" s="89"/>
      <c r="F31" s="89"/>
      <c r="G31" s="89"/>
      <c r="H31" s="89"/>
      <c r="I31" s="89"/>
      <c r="J31" s="89"/>
      <c r="K31" s="145"/>
      <c r="L31" s="140"/>
    </row>
    <row r="32" spans="2:14" ht="54.75" customHeight="1" x14ac:dyDescent="0.2">
      <c r="B32" s="374"/>
      <c r="C32" s="25" t="s">
        <v>86</v>
      </c>
      <c r="D32" s="89" t="s">
        <v>537</v>
      </c>
      <c r="E32" s="89"/>
      <c r="F32" s="89"/>
      <c r="G32" s="89"/>
      <c r="H32" s="89"/>
      <c r="I32" s="89"/>
      <c r="J32" s="89"/>
      <c r="K32" s="145"/>
      <c r="L32" s="140"/>
    </row>
    <row r="33" spans="2:12" ht="41.25" customHeight="1" x14ac:dyDescent="0.2">
      <c r="B33" s="374"/>
      <c r="C33" s="25" t="s">
        <v>87</v>
      </c>
      <c r="D33" s="86">
        <v>2015</v>
      </c>
      <c r="E33" s="86"/>
      <c r="F33" s="86"/>
      <c r="G33" s="86"/>
      <c r="H33" s="86"/>
      <c r="I33" s="86"/>
      <c r="J33" s="86"/>
      <c r="K33" s="145"/>
      <c r="L33" s="140"/>
    </row>
    <row r="34" spans="2:12" ht="63" customHeight="1" x14ac:dyDescent="0.2">
      <c r="B34" s="374"/>
      <c r="C34" s="25" t="s">
        <v>88</v>
      </c>
      <c r="D34" s="85" t="s">
        <v>298</v>
      </c>
      <c r="E34" s="85"/>
      <c r="F34" s="85"/>
      <c r="G34" s="85"/>
      <c r="H34" s="85"/>
      <c r="I34" s="85"/>
      <c r="J34" s="85"/>
      <c r="K34" s="145"/>
      <c r="L34" s="140"/>
    </row>
    <row r="35" spans="2:12" ht="46.5" customHeight="1" x14ac:dyDescent="0.2">
      <c r="B35" s="374"/>
      <c r="C35" s="25" t="s">
        <v>89</v>
      </c>
      <c r="D35" s="85" t="s">
        <v>538</v>
      </c>
      <c r="E35" s="85"/>
      <c r="F35" s="85"/>
      <c r="G35" s="85"/>
      <c r="H35" s="85"/>
      <c r="I35" s="85"/>
      <c r="J35" s="85"/>
      <c r="K35" s="145"/>
      <c r="L35" s="140"/>
    </row>
    <row r="36" spans="2:12" ht="27.75" customHeight="1" x14ac:dyDescent="0.2">
      <c r="B36" s="374"/>
      <c r="C36" s="26" t="s">
        <v>90</v>
      </c>
      <c r="D36" s="90">
        <v>22</v>
      </c>
      <c r="E36" s="90"/>
      <c r="F36" s="90"/>
      <c r="G36" s="91"/>
      <c r="H36" s="91"/>
      <c r="I36" s="91"/>
      <c r="J36" s="91"/>
      <c r="K36" s="145"/>
      <c r="L36" s="140"/>
    </row>
    <row r="37" spans="2:12" ht="102.75" customHeight="1" x14ac:dyDescent="0.2">
      <c r="B37" s="374"/>
      <c r="C37" s="25" t="s">
        <v>91</v>
      </c>
      <c r="D37" s="87">
        <v>1439.02</v>
      </c>
      <c r="E37" s="158"/>
      <c r="F37" s="87"/>
      <c r="G37" s="87"/>
      <c r="H37" s="87"/>
      <c r="I37" s="87"/>
      <c r="J37" s="87"/>
      <c r="K37" s="242"/>
      <c r="L37" s="243"/>
    </row>
    <row r="38" spans="2:12" ht="48" customHeight="1" x14ac:dyDescent="0.2">
      <c r="B38" s="374"/>
      <c r="C38" s="25" t="s">
        <v>92</v>
      </c>
      <c r="D38" s="97">
        <f>IFERROR(D37*VLOOKUP(D33,'DATOS INICIALES'!$A$12:$B$50,2,0),"0")</f>
        <v>927232537</v>
      </c>
      <c r="E38" s="97" t="str">
        <f>IFERROR(E37*VLOOKUP(E33,'DATOS INICIALES'!$A$12:$B$50,2,0),"0")</f>
        <v>0</v>
      </c>
      <c r="F38" s="97" t="str">
        <f>IFERROR(F37*VLOOKUP(F33,'DATOS INICIALES'!$A$12:$B$50,2,0),"0")</f>
        <v>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1</v>
      </c>
      <c r="E39" s="88"/>
      <c r="F39" s="88"/>
      <c r="G39" s="88"/>
      <c r="H39" s="88"/>
      <c r="I39" s="88"/>
      <c r="J39" s="88"/>
      <c r="K39" s="145"/>
      <c r="L39" s="140"/>
    </row>
    <row r="40" spans="2:12" ht="48.75" customHeight="1" x14ac:dyDescent="0.2">
      <c r="B40" s="374"/>
      <c r="C40" s="25" t="s">
        <v>94</v>
      </c>
      <c r="D40" s="97">
        <f t="shared" ref="D40:J40" si="0">IF(D26="","0",D39*D38)</f>
        <v>927232537</v>
      </c>
      <c r="E40" s="97" t="str">
        <f t="shared" si="0"/>
        <v>0</v>
      </c>
      <c r="F40" s="97" t="str">
        <f t="shared" si="0"/>
        <v>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1439.02</v>
      </c>
      <c r="E41" s="98">
        <f t="shared" si="1"/>
        <v>0</v>
      </c>
      <c r="F41" s="98">
        <f t="shared" si="1"/>
        <v>0</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1439.02</v>
      </c>
      <c r="E48" s="98">
        <f t="shared" ref="E48:G48" si="6">+E41+E44+E47</f>
        <v>0</v>
      </c>
      <c r="F48" s="98">
        <f t="shared" si="6"/>
        <v>0</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N/A</v>
      </c>
      <c r="F55" s="18" t="str">
        <f t="shared" si="8"/>
        <v>N/A</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N/A</v>
      </c>
      <c r="F67" s="18" t="str">
        <f>IF(F26="","N/A",IF(AND(F49="CUMPLE",F55="CUMPLE",OR(F56="CUMPLE",F56="N/A"),OR(F59="CUMPLE",F59="N/A"),F62="CUMPLE",F63="CUMPLE",OR(F64="CUMPLE",F64="N/A"),F65="CUMPLE",OR(F66="CUMPLE",F66="N/A")),"CUMPLE","NO CUMPLE"))</f>
        <v>N/A</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4174" priority="77" operator="equal">
      <formula>"CUMPLE"</formula>
    </cfRule>
    <cfRule type="containsBlanks" dxfId="4173" priority="74">
      <formula>LEN(TRIM(D71))=0</formula>
    </cfRule>
    <cfRule type="notContainsErrors" dxfId="4172" priority="75">
      <formula>NOT(ISERROR(D71))</formula>
    </cfRule>
    <cfRule type="cellIs" dxfId="4171" priority="76" operator="equal">
      <formula>"NO CUMPLE"</formula>
    </cfRule>
  </conditionalFormatting>
  <conditionalFormatting sqref="D72">
    <cfRule type="cellIs" dxfId="4170" priority="79" operator="equal">
      <formula>"CUMPLE"</formula>
    </cfRule>
    <cfRule type="cellIs" dxfId="4169" priority="78" operator="equal">
      <formula>"N/A"</formula>
    </cfRule>
    <cfRule type="cellIs" dxfId="4168" priority="81" operator="equal">
      <formula>"""CUMPLE"""</formula>
    </cfRule>
    <cfRule type="cellIs" dxfId="4167" priority="80" operator="equal">
      <formula>"NO CUMPLE"</formula>
    </cfRule>
  </conditionalFormatting>
  <conditionalFormatting sqref="D26:J37">
    <cfRule type="notContainsErrors" dxfId="4166" priority="4">
      <formula>NOT(ISERROR(D26))</formula>
    </cfRule>
    <cfRule type="containsBlanks" dxfId="4165" priority="3">
      <formula>LEN(TRIM(D26))=0</formula>
    </cfRule>
  </conditionalFormatting>
  <conditionalFormatting sqref="D36:J36">
    <cfRule type="notContainsErrors" dxfId="4164" priority="6">
      <formula>NOT(ISERROR(D36))</formula>
    </cfRule>
    <cfRule type="containsBlanks" dxfId="4163" priority="5">
      <formula>LEN(TRIM(D36))=0</formula>
    </cfRule>
  </conditionalFormatting>
  <conditionalFormatting sqref="D39:J39">
    <cfRule type="containsBlanks" dxfId="4162" priority="1">
      <formula>LEN(TRIM(D39))=0</formula>
    </cfRule>
    <cfRule type="notContainsErrors" dxfId="4161" priority="2">
      <formula>NOT(ISERROR(D39))</formula>
    </cfRule>
  </conditionalFormatting>
  <conditionalFormatting sqref="D42:J42 D45:J45">
    <cfRule type="notContainsErrors" dxfId="4160" priority="38">
      <formula>NOT(ISERROR(D42))</formula>
    </cfRule>
    <cfRule type="containsBlanks" dxfId="4159" priority="37">
      <formula>LEN(TRIM(D42))=0</formula>
    </cfRule>
  </conditionalFormatting>
  <conditionalFormatting sqref="D49:J54">
    <cfRule type="cellIs" dxfId="4158" priority="17" operator="equal">
      <formula>"NO CUMPLE"</formula>
    </cfRule>
    <cfRule type="cellIs" dxfId="4157" priority="18" operator="equal">
      <formula>"CUMPLE"</formula>
    </cfRule>
    <cfRule type="containsBlanks" dxfId="4156" priority="19">
      <formula>LEN(TRIM(D49))=0</formula>
    </cfRule>
    <cfRule type="notContainsErrors" dxfId="4155" priority="20">
      <formula>NOT(ISERROR(D49))</formula>
    </cfRule>
  </conditionalFormatting>
  <conditionalFormatting sqref="D55:J55">
    <cfRule type="cellIs" dxfId="4154" priority="28" operator="equal">
      <formula>"CUMPLE"</formula>
    </cfRule>
    <cfRule type="cellIs" dxfId="4153" priority="30" operator="equal">
      <formula>"""CUMPLE"""</formula>
    </cfRule>
    <cfRule type="cellIs" dxfId="4152" priority="29" operator="equal">
      <formula>"NO CUMPLE"</formula>
    </cfRule>
    <cfRule type="cellIs" dxfId="4151" priority="27" operator="equal">
      <formula>"N/A"</formula>
    </cfRule>
  </conditionalFormatting>
  <conditionalFormatting sqref="D56:J66">
    <cfRule type="cellIs" dxfId="4150" priority="11" operator="equal">
      <formula>"NO CUMPLE"</formula>
    </cfRule>
    <cfRule type="notContainsErrors" dxfId="4149" priority="14">
      <formula>NOT(ISERROR(D56))</formula>
    </cfRule>
    <cfRule type="containsBlanks" dxfId="4148" priority="13">
      <formula>LEN(TRIM(D56))=0</formula>
    </cfRule>
    <cfRule type="cellIs" dxfId="4147" priority="12" operator="equal">
      <formula>"CUMPLE"</formula>
    </cfRule>
  </conditionalFormatting>
  <conditionalFormatting sqref="D67:J67">
    <cfRule type="cellIs" dxfId="4146" priority="23" operator="equal">
      <formula>"N/A"</formula>
    </cfRule>
    <cfRule type="cellIs" dxfId="4145" priority="24" operator="equal">
      <formula>"CUMPLE"</formula>
    </cfRule>
    <cfRule type="cellIs" dxfId="4144" priority="26" operator="equal">
      <formula>"""CUMPLE"""</formula>
    </cfRule>
    <cfRule type="cellIs" dxfId="4143" priority="25" operator="equal">
      <formula>"NO CUMPLE"</formula>
    </cfRule>
  </conditionalFormatting>
  <conditionalFormatting sqref="D62:K66">
    <cfRule type="containsBlanks" dxfId="4142" priority="15">
      <formula>LEN(TRIM(D62))=0</formula>
    </cfRule>
    <cfRule type="notContainsErrors" dxfId="4141" priority="16">
      <formula>NOT(ISERROR(D62))</formula>
    </cfRule>
  </conditionalFormatting>
  <conditionalFormatting sqref="E71:E72">
    <cfRule type="notContainsErrors" dxfId="4140" priority="73">
      <formula>NOT(ISERROR(E71))</formula>
    </cfRule>
    <cfRule type="containsBlanks" dxfId="4139" priority="72">
      <formula>LEN(TRIM(E71))=0</formula>
    </cfRule>
  </conditionalFormatting>
  <conditionalFormatting sqref="F22:H22">
    <cfRule type="cellIs" dxfId="4138" priority="100" operator="equal">
      <formula>"NO CUMPLE"</formula>
    </cfRule>
    <cfRule type="cellIs" dxfId="4137" priority="101" operator="equal">
      <formula>"""CUMPLE"""</formula>
    </cfRule>
    <cfRule type="cellIs" dxfId="4136" priority="99" operator="equal">
      <formula>"CUMPLE"</formula>
    </cfRule>
  </conditionalFormatting>
  <conditionalFormatting sqref="G63:J63">
    <cfRule type="containsBlanks" dxfId="4135" priority="7">
      <formula>LEN(TRIM(G63))=0</formula>
    </cfRule>
    <cfRule type="notContainsErrors" dxfId="4134" priority="8">
      <formula>NOT(ISERROR(G63))</formula>
    </cfRule>
  </conditionalFormatting>
  <conditionalFormatting sqref="I11">
    <cfRule type="containsText" dxfId="4133" priority="105" operator="containsText" text="NO CUMPLE">
      <formula>NOT(ISERROR(SEARCH("NO CUMPLE",I11)))</formula>
    </cfRule>
    <cfRule type="containsText" dxfId="4132" priority="104" operator="containsText" text="HABILITADO">
      <formula>NOT(ISERROR(SEARCH("HABILITADO",I11)))</formula>
    </cfRule>
    <cfRule type="containsText" dxfId="4131" priority="103" operator="containsText" text="HABILITADO">
      <formula>NOT(ISERROR(SEARCH("HABILITADO",I11)))</formula>
    </cfRule>
    <cfRule type="containsText" dxfId="4130" priority="102" operator="containsText" text="INHABILITADO">
      <formula>NOT(ISERROR(SEARCH("INHABILITADO",I11)))</formula>
    </cfRule>
  </conditionalFormatting>
  <conditionalFormatting sqref="K18:K20">
    <cfRule type="cellIs" dxfId="4129" priority="70" operator="equal">
      <formula>"NO CUMPLE"</formula>
    </cfRule>
    <cfRule type="cellIs" dxfId="4128" priority="71" operator="equal">
      <formula>"""CUMPLE"""</formula>
    </cfRule>
    <cfRule type="cellIs" dxfId="4127" priority="69" operator="equal">
      <formula>"CUMPLE"</formula>
    </cfRule>
  </conditionalFormatting>
  <conditionalFormatting sqref="K26:K61 D62:J62">
    <cfRule type="containsBlanks" dxfId="4126" priority="9">
      <formula>LEN(TRIM(D26))=0</formula>
    </cfRule>
    <cfRule type="notContainsErrors" dxfId="4125" priority="10">
      <formula>NOT(ISERROR(D26))</formula>
    </cfRule>
  </conditionalFormatting>
  <conditionalFormatting sqref="K67:L67">
    <cfRule type="containsBlanks" dxfId="4124" priority="21">
      <formula>LEN(TRIM(K67))=0</formula>
    </cfRule>
    <cfRule type="notContainsErrors" dxfId="4123" priority="22">
      <formula>NOT(ISERROR(K67))</formula>
    </cfRule>
  </conditionalFormatting>
  <conditionalFormatting sqref="L14">
    <cfRule type="cellIs" dxfId="4122" priority="98" operator="equal">
      <formula>"""CUMPLE"""</formula>
    </cfRule>
    <cfRule type="cellIs" dxfId="4121" priority="97" operator="equal">
      <formula>"NO CUMPLE"</formula>
    </cfRule>
    <cfRule type="cellIs" dxfId="4120" priority="96" operator="equal">
      <formula>"CUMPLE"</formula>
    </cfRule>
  </conditionalFormatting>
  <dataValidations count="2">
    <dataValidation type="list" allowBlank="1" showInputMessage="1" showErrorMessage="1" sqref="L62:L67" xr:uid="{00000000-0002-0000-1900-000000000000}">
      <formula1>"0,1,2,3,4,5,6"</formula1>
    </dataValidation>
    <dataValidation type="list" allowBlank="1" showInputMessage="1" showErrorMessage="1" sqref="D26:J28" xr:uid="{00000000-0002-0000-19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1900-000002000000}">
          <x14:formula1>
            <xm:f>'DATOS INICIALES'!$A$57:$A$58</xm:f>
          </x14:formula1>
          <xm:sqref>D49:J49</xm:sqref>
        </x14:dataValidation>
        <x14:dataValidation type="list" allowBlank="1" showInputMessage="1" showErrorMessage="1" xr:uid="{00000000-0002-0000-1900-000003000000}">
          <x14:formula1>
            <xm:f>'DATOS INICIALES'!$A$61:$A$67</xm:f>
          </x14:formula1>
          <xm:sqref>J25</xm:sqref>
        </x14:dataValidation>
        <x14:dataValidation type="list" allowBlank="1" showInputMessage="1" showErrorMessage="1" xr:uid="{00000000-0002-0000-1900-000004000000}">
          <x14:formula1>
            <xm:f>'DATOS INICIALES'!$C$52:$C$53</xm:f>
          </x14:formula1>
          <xm:sqref>D53:J54</xm:sqref>
        </x14:dataValidation>
        <x14:dataValidation type="list" allowBlank="1" showInputMessage="1" showErrorMessage="1" xr:uid="{00000000-0002-0000-1900-000005000000}">
          <x14:formula1>
            <xm:f>'DATOS INICIALES'!$A$57:$A$59</xm:f>
          </x14:formula1>
          <xm:sqref>D71 D56:J66</xm:sqref>
        </x14:dataValidation>
        <x14:dataValidation type="list" allowBlank="1" showInputMessage="1" showErrorMessage="1" xr:uid="{00000000-0002-0000-1900-000006000000}">
          <x14:formula1>
            <xm:f>'DATOS INICIALES'!$A$61:$A$66</xm:f>
          </x14:formula1>
          <xm:sqref>D25:I25</xm:sqref>
        </x14:dataValidation>
        <x14:dataValidation type="list" allowBlank="1" showInputMessage="1" showErrorMessage="1" xr:uid="{00000000-0002-0000-1900-000007000000}">
          <x14:formula1>
            <xm:f>'DATOS INICIALES'!$A$13:$A$50</xm:f>
          </x14:formula1>
          <xm:sqref>G33:I33</xm:sqref>
        </x14:dataValidation>
        <x14:dataValidation type="list" allowBlank="1" showInputMessage="1" showErrorMessage="1" xr:uid="{00000000-0002-0000-1900-000008000000}">
          <x14:formula1>
            <xm:f>'DATOS INICIALES'!$D$27:$D$29</xm:f>
          </x14:formula1>
          <xm:sqref>M50:M55</xm:sqref>
        </x14:dataValidation>
        <x14:dataValidation type="list" allowBlank="1" showInputMessage="1" showErrorMessage="1" xr:uid="{00000000-0002-0000-1900-000009000000}">
          <x14:formula1>
            <xm:f>'DATOS INICIALES'!$C$52:$C$54</xm:f>
          </x14:formula1>
          <xm:sqref>D50:J52</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92D050"/>
  </sheetPr>
  <dimension ref="A1:N72"/>
  <sheetViews>
    <sheetView view="pageBreakPreview" zoomScale="55" zoomScaleNormal="25" zoomScaleSheetLayoutView="55" workbookViewId="0">
      <selection activeCell="D39" sqref="D39:H39"/>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21</v>
      </c>
      <c r="B11" s="2" t="s">
        <v>58</v>
      </c>
      <c r="C11" s="413" t="str">
        <f>VLOOKUP(A11,PROPONENTES!A10:B94,2,FALSE)</f>
        <v>CONSORCIO LGI USAQUÉN</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5</v>
      </c>
      <c r="J14" s="147">
        <f>+L8</f>
        <v>986.3076290832455</v>
      </c>
      <c r="K14" s="147">
        <f>+E22</f>
        <v>10834.130999999999</v>
      </c>
      <c r="L14" s="18" t="str">
        <f>IF(K14&gt;=J14,"CUMPLE","NO CUMPLE")</f>
        <v>CUMPLE</v>
      </c>
    </row>
    <row r="15" spans="1:12" ht="33.75" customHeight="1" x14ac:dyDescent="0.2">
      <c r="B15" s="382"/>
      <c r="C15" s="92" t="str">
        <f>IF(VLOOKUP(C11,PROPONENTES!B10:N94,2,FALSE)=0,"",VLOOKUP(C11,PROPONENTES!B10:N94,2,FALSE))</f>
        <v>GEOTECNIA Y CIMIENTOS INGEOCIM S. A. S.</v>
      </c>
      <c r="D15" s="93">
        <f>IF(VLOOKUP(C11,PROPONENTES!B10:N94,3,FALSE)=0,"",VLOOKUP(C11,PROPONENTES!B10:N94,3,FALSE))</f>
        <v>0.5</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1325.35</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LÍNEA GLOBAL INGENIERÍA S. A. S.</v>
      </c>
      <c r="D16" s="93">
        <f>IF(VLOOKUP(C11,PROPONENTES!B10:N94,5,FALSE)=0,"",VLOOKUP(C11,PROPONENTES!B10:N94,5,FALSE))</f>
        <v>0.5</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9508.780999999999</v>
      </c>
      <c r="F16" s="95" t="str">
        <f>IF(C16="","",IF(E16&gt;=$J$14*0.5,"SI","NO"))</f>
        <v>SI</v>
      </c>
      <c r="G16" s="96" t="str">
        <f>IF(C16="","",IF(E16&gt;=$J$14*0.05,"SI",IF(E16=0,"NO APORTA EXPERIENCIA",)))</f>
        <v>SI</v>
      </c>
      <c r="H16" s="96" t="str">
        <f>IF(C16="","",IF(AND(G16="NO APORTA EXPERIENCIA",D16&lt;=10%),"SI",IF(G16="SI","NO APLICA","NO - PORCENTAJE MAYOR AL 10%")))</f>
        <v>NO APLICA</v>
      </c>
      <c r="I16" s="162"/>
      <c r="J16" s="162"/>
      <c r="K16" s="162"/>
      <c r="L16" s="161">
        <f>AVERAGEIF(D67:J67,"CUMPLE",D48:J48)</f>
        <v>2166.8262000000004</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5</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5</v>
      </c>
      <c r="J19" s="128">
        <v>1</v>
      </c>
      <c r="K19" s="387"/>
      <c r="L19" s="388"/>
    </row>
    <row r="20" spans="2:14" ht="50.25" customHeight="1" x14ac:dyDescent="0.2">
      <c r="B20" s="382"/>
      <c r="C20" s="92"/>
      <c r="D20" s="93"/>
      <c r="E20" s="94"/>
      <c r="F20" s="95"/>
      <c r="G20" s="96"/>
      <c r="H20" s="96"/>
      <c r="I20" s="128">
        <f>COUNTIFS(D60:J60,"CUMPLE",D67:J67,"CUMPLE")</f>
        <v>5</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5</v>
      </c>
      <c r="J21" s="128">
        <v>1</v>
      </c>
      <c r="K21" s="389"/>
      <c r="L21" s="390"/>
    </row>
    <row r="22" spans="2:14" ht="84.75" customHeight="1" x14ac:dyDescent="0.2">
      <c r="B22" s="29" t="s">
        <v>75</v>
      </c>
      <c r="C22" s="24">
        <f>+VLOOKUP(C11,PROPONENTES!B10:N94,12,FALSE)</f>
        <v>2</v>
      </c>
      <c r="D22" s="93">
        <f>+VLOOKUP(C11,PROPONENTES!B10:N94,13,FALSE)</f>
        <v>1</v>
      </c>
      <c r="E22" s="32">
        <f>SUM(E15:E21)</f>
        <v>10834.130999999999</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73.75" customHeight="1" x14ac:dyDescent="0.2">
      <c r="B26" s="371" t="s">
        <v>79</v>
      </c>
      <c r="C26" s="372"/>
      <c r="D26" s="84" t="s">
        <v>465</v>
      </c>
      <c r="E26" s="84" t="s">
        <v>465</v>
      </c>
      <c r="F26" s="84" t="s">
        <v>466</v>
      </c>
      <c r="G26" s="84" t="s">
        <v>466</v>
      </c>
      <c r="H26" s="84" t="s">
        <v>466</v>
      </c>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539</v>
      </c>
      <c r="E29" s="85" t="s">
        <v>540</v>
      </c>
      <c r="F29" s="85" t="s">
        <v>541</v>
      </c>
      <c r="G29" s="85" t="s">
        <v>542</v>
      </c>
      <c r="H29" s="85" t="s">
        <v>543</v>
      </c>
      <c r="I29" s="85"/>
      <c r="J29" s="85"/>
      <c r="K29" s="145"/>
      <c r="L29" s="140"/>
    </row>
    <row r="30" spans="2:14" ht="156.75" customHeight="1" x14ac:dyDescent="0.2">
      <c r="B30" s="374"/>
      <c r="C30" s="25" t="s">
        <v>84</v>
      </c>
      <c r="D30" s="85" t="s">
        <v>544</v>
      </c>
      <c r="E30" s="85" t="s">
        <v>545</v>
      </c>
      <c r="F30" s="85" t="s">
        <v>546</v>
      </c>
      <c r="G30" s="85" t="s">
        <v>547</v>
      </c>
      <c r="H30" s="85" t="s">
        <v>548</v>
      </c>
      <c r="I30" s="85"/>
      <c r="J30" s="85"/>
      <c r="K30" s="145"/>
      <c r="L30" s="140"/>
    </row>
    <row r="31" spans="2:14" ht="52.5" customHeight="1" x14ac:dyDescent="0.2">
      <c r="B31" s="374"/>
      <c r="C31" s="25" t="s">
        <v>85</v>
      </c>
      <c r="D31" s="89">
        <v>41974</v>
      </c>
      <c r="E31" s="89">
        <v>41390</v>
      </c>
      <c r="F31" s="89">
        <v>40371</v>
      </c>
      <c r="G31" s="89" t="s">
        <v>549</v>
      </c>
      <c r="H31" s="89" t="s">
        <v>550</v>
      </c>
      <c r="I31" s="89"/>
      <c r="J31" s="89"/>
      <c r="K31" s="145"/>
      <c r="L31" s="140"/>
    </row>
    <row r="32" spans="2:14" ht="54.75" customHeight="1" x14ac:dyDescent="0.2">
      <c r="B32" s="374"/>
      <c r="C32" s="25" t="s">
        <v>86</v>
      </c>
      <c r="D32" s="89" t="s">
        <v>551</v>
      </c>
      <c r="E32" s="89" t="s">
        <v>552</v>
      </c>
      <c r="F32" s="89" t="s">
        <v>553</v>
      </c>
      <c r="G32" s="89" t="s">
        <v>554</v>
      </c>
      <c r="H32" s="89">
        <v>44301</v>
      </c>
      <c r="I32" s="89"/>
      <c r="J32" s="89"/>
      <c r="K32" s="145"/>
      <c r="L32" s="140"/>
    </row>
    <row r="33" spans="2:12" ht="41.25" customHeight="1" x14ac:dyDescent="0.2">
      <c r="B33" s="374"/>
      <c r="C33" s="25" t="s">
        <v>87</v>
      </c>
      <c r="D33" s="86">
        <v>2015</v>
      </c>
      <c r="E33" s="86">
        <v>2014</v>
      </c>
      <c r="F33" s="86">
        <v>2012</v>
      </c>
      <c r="G33" s="86">
        <v>2018</v>
      </c>
      <c r="H33" s="86">
        <v>2021</v>
      </c>
      <c r="I33" s="86"/>
      <c r="J33" s="86"/>
      <c r="K33" s="145"/>
      <c r="L33" s="140"/>
    </row>
    <row r="34" spans="2:12" ht="63" customHeight="1" x14ac:dyDescent="0.2">
      <c r="B34" s="374"/>
      <c r="C34" s="25" t="s">
        <v>88</v>
      </c>
      <c r="D34" s="85" t="s">
        <v>555</v>
      </c>
      <c r="E34" s="85" t="s">
        <v>556</v>
      </c>
      <c r="F34" s="85" t="s">
        <v>557</v>
      </c>
      <c r="G34" s="85" t="s">
        <v>558</v>
      </c>
      <c r="H34" s="85" t="s">
        <v>559</v>
      </c>
      <c r="I34" s="85"/>
      <c r="J34" s="85"/>
      <c r="K34" s="145"/>
      <c r="L34" s="140"/>
    </row>
    <row r="35" spans="2:12" ht="46.5" customHeight="1" x14ac:dyDescent="0.2">
      <c r="B35" s="374"/>
      <c r="C35" s="25" t="s">
        <v>89</v>
      </c>
      <c r="D35" s="85" t="s">
        <v>560</v>
      </c>
      <c r="E35" s="85" t="s">
        <v>561</v>
      </c>
      <c r="F35" s="85" t="s">
        <v>562</v>
      </c>
      <c r="G35" s="85" t="s">
        <v>563</v>
      </c>
      <c r="H35" s="85" t="s">
        <v>564</v>
      </c>
      <c r="I35" s="85"/>
      <c r="J35" s="85"/>
      <c r="K35" s="145"/>
      <c r="L35" s="140"/>
    </row>
    <row r="36" spans="2:12" ht="27.75" customHeight="1" x14ac:dyDescent="0.2">
      <c r="B36" s="374"/>
      <c r="C36" s="26" t="s">
        <v>90</v>
      </c>
      <c r="D36" s="90">
        <v>69</v>
      </c>
      <c r="E36" s="90">
        <v>76</v>
      </c>
      <c r="F36" s="90">
        <v>53</v>
      </c>
      <c r="G36" s="91">
        <v>114</v>
      </c>
      <c r="H36" s="91">
        <v>166</v>
      </c>
      <c r="I36" s="91"/>
      <c r="J36" s="91"/>
      <c r="K36" s="145"/>
      <c r="L36" s="140"/>
    </row>
    <row r="37" spans="2:12" ht="102.75" customHeight="1" x14ac:dyDescent="0.2">
      <c r="B37" s="374"/>
      <c r="C37" s="25" t="s">
        <v>91</v>
      </c>
      <c r="D37" s="87">
        <v>1461.46</v>
      </c>
      <c r="E37" s="158">
        <v>1189.24</v>
      </c>
      <c r="F37" s="87">
        <v>6236.19</v>
      </c>
      <c r="G37" s="87">
        <v>2590.4299999999998</v>
      </c>
      <c r="H37" s="87">
        <v>11438.18</v>
      </c>
      <c r="I37" s="87"/>
      <c r="J37" s="87"/>
      <c r="K37" s="242"/>
      <c r="L37" s="243"/>
    </row>
    <row r="38" spans="2:12" ht="48" customHeight="1" x14ac:dyDescent="0.2">
      <c r="B38" s="374"/>
      <c r="C38" s="25" t="s">
        <v>92</v>
      </c>
      <c r="D38" s="97">
        <f>IFERROR(D37*VLOOKUP(D33,'DATOS INICIALES'!$A$12:$B$50,2,0),"0")</f>
        <v>941691751</v>
      </c>
      <c r="E38" s="97">
        <f>IFERROR(E37*VLOOKUP(E33,'DATOS INICIALES'!$A$12:$B$50,2,0),"0")</f>
        <v>732571840</v>
      </c>
      <c r="F38" s="97">
        <f>IFERROR(F37*VLOOKUP(F33,'DATOS INICIALES'!$A$12:$B$50,2,0),"0")</f>
        <v>3534048873</v>
      </c>
      <c r="G38" s="97">
        <f>IFERROR(G37*VLOOKUP(G33,'DATOS INICIALES'!$A$12:$B$50,2,0),"0")</f>
        <v>2023752714.0599999</v>
      </c>
      <c r="H38" s="97">
        <f>IFERROR(H37*VLOOKUP(H33,'DATOS INICIALES'!$A$12:$B$50,2,0),"0")</f>
        <v>10391883922.68</v>
      </c>
      <c r="I38" s="97" t="str">
        <f>IFERROR(I37*VLOOKUP(I33,'DATOS INICIALES'!$A$12:$B$50,2,0),"0")</f>
        <v>0</v>
      </c>
      <c r="J38" s="97" t="str">
        <f>IFERROR(J37*VLOOKUP(J33,'DATOS INICIALES'!$A$12:$B$50,2,0),"0")</f>
        <v>0</v>
      </c>
      <c r="K38" s="145"/>
      <c r="L38" s="140"/>
    </row>
    <row r="39" spans="2:12" ht="33.75" customHeight="1" x14ac:dyDescent="0.2">
      <c r="B39" s="374"/>
      <c r="C39" s="25" t="s">
        <v>93</v>
      </c>
      <c r="D39" s="88">
        <v>0.5</v>
      </c>
      <c r="E39" s="88">
        <v>0.5</v>
      </c>
      <c r="F39" s="88">
        <v>0.4</v>
      </c>
      <c r="G39" s="88">
        <v>0.5</v>
      </c>
      <c r="H39" s="88">
        <v>0.5</v>
      </c>
      <c r="I39" s="88"/>
      <c r="J39" s="88"/>
      <c r="K39" s="145"/>
      <c r="L39" s="140"/>
    </row>
    <row r="40" spans="2:12" ht="48.75" customHeight="1" x14ac:dyDescent="0.2">
      <c r="B40" s="374"/>
      <c r="C40" s="25" t="s">
        <v>94</v>
      </c>
      <c r="D40" s="97">
        <f t="shared" ref="D40:J40" si="0">IF(D26="","0",D39*D38)</f>
        <v>470845875.5</v>
      </c>
      <c r="E40" s="97">
        <f t="shared" si="0"/>
        <v>366285920</v>
      </c>
      <c r="F40" s="97">
        <f t="shared" si="0"/>
        <v>1413619549.2</v>
      </c>
      <c r="G40" s="97">
        <f t="shared" si="0"/>
        <v>1011876357.03</v>
      </c>
      <c r="H40" s="97">
        <f t="shared" si="0"/>
        <v>5195941961.3400002</v>
      </c>
      <c r="I40" s="97" t="str">
        <f t="shared" si="0"/>
        <v>0</v>
      </c>
      <c r="J40" s="97" t="str">
        <f t="shared" si="0"/>
        <v>0</v>
      </c>
      <c r="K40" s="145"/>
      <c r="L40" s="140"/>
    </row>
    <row r="41" spans="2:12" ht="65.25" customHeight="1" x14ac:dyDescent="0.2">
      <c r="B41" s="374"/>
      <c r="C41" s="25" t="s">
        <v>95</v>
      </c>
      <c r="D41" s="98">
        <f t="shared" ref="D41:J41" si="1">IFERROR(D37*D39,"0")</f>
        <v>730.73</v>
      </c>
      <c r="E41" s="98">
        <f t="shared" si="1"/>
        <v>594.62</v>
      </c>
      <c r="F41" s="98">
        <f t="shared" si="1"/>
        <v>2494.4760000000001</v>
      </c>
      <c r="G41" s="98">
        <f t="shared" si="1"/>
        <v>1295.2149999999999</v>
      </c>
      <c r="H41" s="98">
        <f t="shared" si="1"/>
        <v>5719.09</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730.73</v>
      </c>
      <c r="E48" s="98">
        <f t="shared" ref="E48:G48" si="6">+E41+E44+E47</f>
        <v>594.62</v>
      </c>
      <c r="F48" s="98">
        <f t="shared" si="6"/>
        <v>2494.4760000000001</v>
      </c>
      <c r="G48" s="98">
        <f t="shared" si="6"/>
        <v>1295.2149999999999</v>
      </c>
      <c r="H48" s="98">
        <f>+H41+H44+H47</f>
        <v>5719.09</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CUMPLE</v>
      </c>
      <c r="H55" s="18" t="str">
        <f t="shared" si="8"/>
        <v>CUMPLE</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CUMPLE</v>
      </c>
      <c r="H67" s="18" t="str">
        <f t="shared" ref="H67:J67" si="9">IF(H26="","N/A",IF(AND(H49="CUMPLE",H55="CUMPLE",OR(H56="CUMPLE",H56="N/A"),OR(H59="CUMPLE",H59="N/A"),H62="CUMPLE",H63="CUMPLE",OR(H64="CUMPLE",H64="N/A"),H65="CUMPLE",OR(H66="CUMPLE",H66="N/A")),"CUMPLE","NO CUMPLE"))</f>
        <v>CUMPLE</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4119" priority="75" operator="equal">
      <formula>"CUMPLE"</formula>
    </cfRule>
    <cfRule type="containsBlanks" dxfId="4118" priority="72">
      <formula>LEN(TRIM(D71))=0</formula>
    </cfRule>
    <cfRule type="notContainsErrors" dxfId="4117" priority="73">
      <formula>NOT(ISERROR(D71))</formula>
    </cfRule>
    <cfRule type="cellIs" dxfId="4116" priority="74" operator="equal">
      <formula>"NO CUMPLE"</formula>
    </cfRule>
  </conditionalFormatting>
  <conditionalFormatting sqref="D72">
    <cfRule type="cellIs" dxfId="4115" priority="77" operator="equal">
      <formula>"CUMPLE"</formula>
    </cfRule>
    <cfRule type="cellIs" dxfId="4114" priority="76" operator="equal">
      <formula>"N/A"</formula>
    </cfRule>
    <cfRule type="cellIs" dxfId="4113" priority="79" operator="equal">
      <formula>"""CUMPLE"""</formula>
    </cfRule>
    <cfRule type="cellIs" dxfId="4112" priority="78" operator="equal">
      <formula>"NO CUMPLE"</formula>
    </cfRule>
  </conditionalFormatting>
  <conditionalFormatting sqref="D26:J37">
    <cfRule type="notContainsErrors" dxfId="4111" priority="4">
      <formula>NOT(ISERROR(D26))</formula>
    </cfRule>
    <cfRule type="containsBlanks" dxfId="4110" priority="3">
      <formula>LEN(TRIM(D26))=0</formula>
    </cfRule>
  </conditionalFormatting>
  <conditionalFormatting sqref="D36:J36">
    <cfRule type="notContainsErrors" dxfId="4109" priority="6">
      <formula>NOT(ISERROR(D36))</formula>
    </cfRule>
    <cfRule type="containsBlanks" dxfId="4108" priority="5">
      <formula>LEN(TRIM(D36))=0</formula>
    </cfRule>
  </conditionalFormatting>
  <conditionalFormatting sqref="D39:J39">
    <cfRule type="containsBlanks" dxfId="4107" priority="1">
      <formula>LEN(TRIM(D39))=0</formula>
    </cfRule>
    <cfRule type="notContainsErrors" dxfId="4106" priority="2">
      <formula>NOT(ISERROR(D39))</formula>
    </cfRule>
  </conditionalFormatting>
  <conditionalFormatting sqref="D42:J42 D45:J45">
    <cfRule type="notContainsErrors" dxfId="4105" priority="38">
      <formula>NOT(ISERROR(D42))</formula>
    </cfRule>
    <cfRule type="containsBlanks" dxfId="4104" priority="37">
      <formula>LEN(TRIM(D42))=0</formula>
    </cfRule>
  </conditionalFormatting>
  <conditionalFormatting sqref="D49:J54">
    <cfRule type="cellIs" dxfId="4103" priority="17" operator="equal">
      <formula>"NO CUMPLE"</formula>
    </cfRule>
    <cfRule type="cellIs" dxfId="4102" priority="18" operator="equal">
      <formula>"CUMPLE"</formula>
    </cfRule>
    <cfRule type="containsBlanks" dxfId="4101" priority="19">
      <formula>LEN(TRIM(D49))=0</formula>
    </cfRule>
    <cfRule type="notContainsErrors" dxfId="4100" priority="20">
      <formula>NOT(ISERROR(D49))</formula>
    </cfRule>
  </conditionalFormatting>
  <conditionalFormatting sqref="D55:J55">
    <cfRule type="cellIs" dxfId="4099" priority="28" operator="equal">
      <formula>"CUMPLE"</formula>
    </cfRule>
    <cfRule type="cellIs" dxfId="4098" priority="30" operator="equal">
      <formula>"""CUMPLE"""</formula>
    </cfRule>
    <cfRule type="cellIs" dxfId="4097" priority="29" operator="equal">
      <formula>"NO CUMPLE"</formula>
    </cfRule>
    <cfRule type="cellIs" dxfId="4096" priority="27" operator="equal">
      <formula>"N/A"</formula>
    </cfRule>
  </conditionalFormatting>
  <conditionalFormatting sqref="D56:J66">
    <cfRule type="cellIs" dxfId="4095" priority="11" operator="equal">
      <formula>"NO CUMPLE"</formula>
    </cfRule>
    <cfRule type="notContainsErrors" dxfId="4094" priority="14">
      <formula>NOT(ISERROR(D56))</formula>
    </cfRule>
    <cfRule type="containsBlanks" dxfId="4093" priority="13">
      <formula>LEN(TRIM(D56))=0</formula>
    </cfRule>
    <cfRule type="cellIs" dxfId="4092" priority="12" operator="equal">
      <formula>"CUMPLE"</formula>
    </cfRule>
  </conditionalFormatting>
  <conditionalFormatting sqref="D67:J67">
    <cfRule type="cellIs" dxfId="4091" priority="23" operator="equal">
      <formula>"N/A"</formula>
    </cfRule>
    <cfRule type="cellIs" dxfId="4090" priority="24" operator="equal">
      <formula>"CUMPLE"</formula>
    </cfRule>
    <cfRule type="cellIs" dxfId="4089" priority="26" operator="equal">
      <formula>"""CUMPLE"""</formula>
    </cfRule>
    <cfRule type="cellIs" dxfId="4088" priority="25" operator="equal">
      <formula>"NO CUMPLE"</formula>
    </cfRule>
  </conditionalFormatting>
  <conditionalFormatting sqref="D62:K66">
    <cfRule type="containsBlanks" dxfId="4087" priority="15">
      <formula>LEN(TRIM(D62))=0</formula>
    </cfRule>
    <cfRule type="notContainsErrors" dxfId="4086" priority="16">
      <formula>NOT(ISERROR(D62))</formula>
    </cfRule>
  </conditionalFormatting>
  <conditionalFormatting sqref="E71:E72">
    <cfRule type="notContainsErrors" dxfId="4085" priority="71">
      <formula>NOT(ISERROR(E71))</formula>
    </cfRule>
    <cfRule type="containsBlanks" dxfId="4084" priority="70">
      <formula>LEN(TRIM(E71))=0</formula>
    </cfRule>
  </conditionalFormatting>
  <conditionalFormatting sqref="F22:H22">
    <cfRule type="cellIs" dxfId="4083" priority="98" operator="equal">
      <formula>"NO CUMPLE"</formula>
    </cfRule>
    <cfRule type="cellIs" dxfId="4082" priority="99" operator="equal">
      <formula>"""CUMPLE"""</formula>
    </cfRule>
    <cfRule type="cellIs" dxfId="4081" priority="97" operator="equal">
      <formula>"CUMPLE"</formula>
    </cfRule>
  </conditionalFormatting>
  <conditionalFormatting sqref="G63:J63">
    <cfRule type="containsBlanks" dxfId="4080" priority="7">
      <formula>LEN(TRIM(G63))=0</formula>
    </cfRule>
    <cfRule type="notContainsErrors" dxfId="4079" priority="8">
      <formula>NOT(ISERROR(G63))</formula>
    </cfRule>
  </conditionalFormatting>
  <conditionalFormatting sqref="I11">
    <cfRule type="containsText" dxfId="4078" priority="103" operator="containsText" text="NO CUMPLE">
      <formula>NOT(ISERROR(SEARCH("NO CUMPLE",I11)))</formula>
    </cfRule>
    <cfRule type="containsText" dxfId="4077" priority="102" operator="containsText" text="HABILITADO">
      <formula>NOT(ISERROR(SEARCH("HABILITADO",I11)))</formula>
    </cfRule>
    <cfRule type="containsText" dxfId="4076" priority="101" operator="containsText" text="HABILITADO">
      <formula>NOT(ISERROR(SEARCH("HABILITADO",I11)))</formula>
    </cfRule>
    <cfRule type="containsText" dxfId="4075" priority="100" operator="containsText" text="INHABILITADO">
      <formula>NOT(ISERROR(SEARCH("INHABILITADO",I11)))</formula>
    </cfRule>
  </conditionalFormatting>
  <conditionalFormatting sqref="K18:K20">
    <cfRule type="cellIs" dxfId="4074" priority="68" operator="equal">
      <formula>"NO CUMPLE"</formula>
    </cfRule>
    <cfRule type="cellIs" dxfId="4073" priority="69" operator="equal">
      <formula>"""CUMPLE"""</formula>
    </cfRule>
    <cfRule type="cellIs" dxfId="4072" priority="67" operator="equal">
      <formula>"CUMPLE"</formula>
    </cfRule>
  </conditionalFormatting>
  <conditionalFormatting sqref="K26:K61 D62:J62">
    <cfRule type="containsBlanks" dxfId="4071" priority="9">
      <formula>LEN(TRIM(D26))=0</formula>
    </cfRule>
    <cfRule type="notContainsErrors" dxfId="4070" priority="10">
      <formula>NOT(ISERROR(D26))</formula>
    </cfRule>
  </conditionalFormatting>
  <conditionalFormatting sqref="K67:L67">
    <cfRule type="containsBlanks" dxfId="4069" priority="21">
      <formula>LEN(TRIM(K67))=0</formula>
    </cfRule>
    <cfRule type="notContainsErrors" dxfId="4068" priority="22">
      <formula>NOT(ISERROR(K67))</formula>
    </cfRule>
  </conditionalFormatting>
  <conditionalFormatting sqref="L14">
    <cfRule type="cellIs" dxfId="4067" priority="96" operator="equal">
      <formula>"""CUMPLE"""</formula>
    </cfRule>
    <cfRule type="cellIs" dxfId="4066" priority="95" operator="equal">
      <formula>"NO CUMPLE"</formula>
    </cfRule>
    <cfRule type="cellIs" dxfId="4065" priority="94" operator="equal">
      <formula>"CUMPLE"</formula>
    </cfRule>
  </conditionalFormatting>
  <dataValidations count="2">
    <dataValidation type="list" allowBlank="1" showInputMessage="1" showErrorMessage="1" sqref="D26:J28" xr:uid="{00000000-0002-0000-1A00-000000000000}">
      <formula1>$C$15:$C$21</formula1>
    </dataValidation>
    <dataValidation type="list" allowBlank="1" showInputMessage="1" showErrorMessage="1" sqref="L62:L67" xr:uid="{00000000-0002-0000-1A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1A00-000002000000}">
          <x14:formula1>
            <xm:f>'DATOS INICIALES'!$A$13:$A$50</xm:f>
          </x14:formula1>
          <xm:sqref>I33</xm:sqref>
        </x14:dataValidation>
        <x14:dataValidation type="list" allowBlank="1" showInputMessage="1" showErrorMessage="1" xr:uid="{00000000-0002-0000-1A00-000003000000}">
          <x14:formula1>
            <xm:f>'DATOS INICIALES'!$A$61:$A$66</xm:f>
          </x14:formula1>
          <xm:sqref>D25:I25</xm:sqref>
        </x14:dataValidation>
        <x14:dataValidation type="list" allowBlank="1" showInputMessage="1" showErrorMessage="1" xr:uid="{00000000-0002-0000-1A00-000004000000}">
          <x14:formula1>
            <xm:f>'DATOS INICIALES'!$A$57:$A$59</xm:f>
          </x14:formula1>
          <xm:sqref>D71 D56:J66</xm:sqref>
        </x14:dataValidation>
        <x14:dataValidation type="list" allowBlank="1" showInputMessage="1" showErrorMessage="1" xr:uid="{00000000-0002-0000-1A00-000005000000}">
          <x14:formula1>
            <xm:f>'DATOS INICIALES'!$C$52:$C$53</xm:f>
          </x14:formula1>
          <xm:sqref>D53:J54</xm:sqref>
        </x14:dataValidation>
        <x14:dataValidation type="list" allowBlank="1" showInputMessage="1" showErrorMessage="1" xr:uid="{00000000-0002-0000-1A00-000006000000}">
          <x14:formula1>
            <xm:f>'DATOS INICIALES'!$A$61:$A$67</xm:f>
          </x14:formula1>
          <xm:sqref>J25</xm:sqref>
        </x14:dataValidation>
        <x14:dataValidation type="list" allowBlank="1" showInputMessage="1" showErrorMessage="1" xr:uid="{00000000-0002-0000-1A00-000007000000}">
          <x14:formula1>
            <xm:f>'DATOS INICIALES'!$A$57:$A$58</xm:f>
          </x14:formula1>
          <xm:sqref>D49:J49</xm:sqref>
        </x14:dataValidation>
        <x14:dataValidation type="list" allowBlank="1" showInputMessage="1" showErrorMessage="1" xr:uid="{00000000-0002-0000-1A00-000008000000}">
          <x14:formula1>
            <xm:f>'DATOS INICIALES'!$D$27:$D$29</xm:f>
          </x14:formula1>
          <xm:sqref>M50:M55</xm:sqref>
        </x14:dataValidation>
        <x14:dataValidation type="list" allowBlank="1" showInputMessage="1" showErrorMessage="1" xr:uid="{00000000-0002-0000-1A00-000009000000}">
          <x14:formula1>
            <xm:f>'DATOS INICIALES'!$C$52:$C$54</xm:f>
          </x14:formula1>
          <xm:sqref>D50:J52</xm:sqref>
        </x14:dataValidation>
        <x14:dataValidation type="list" allowBlank="1" showInputMessage="1" showErrorMessage="1" xr:uid="{00000000-0002-0000-1A00-00000A000000}">
          <x14:formula1>
            <xm:f>'/Users/ldrr/Desktop/SDDE/REVISION DE CARPETAS/C:\Users\ASUS\OneDrive\Escritorio\alcaldia local de usaquen\2025\16. EVALUACION DE PROCESOS\INTERVENTORIA DE VIAS\consolidado equipo\[Juliana_ 15 A 24_Evaluación_Tecnica_fdlusa-CMA-003-2025.xlsx]DATOS INICIALES'!#REF!</xm:f>
          </x14:formula1>
          <xm:sqref>G33:H33</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92D050"/>
  </sheetPr>
  <dimension ref="A1:N72"/>
  <sheetViews>
    <sheetView view="pageBreakPreview" zoomScale="40" zoomScaleNormal="25" zoomScaleSheetLayoutView="40" workbookViewId="0">
      <selection activeCell="K48" sqref="K48"/>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22</v>
      </c>
      <c r="B11" s="2" t="s">
        <v>58</v>
      </c>
      <c r="C11" s="413" t="str">
        <f>VLOOKUP(A11,PROPONENTES!A10:B94,2,FALSE)</f>
        <v>CONSORCIO INTERDESARROLLO USAQUÉN</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7</v>
      </c>
      <c r="J14" s="147">
        <f>+L8</f>
        <v>986.3076290832455</v>
      </c>
      <c r="K14" s="147">
        <f>+E22</f>
        <v>16471.743999999999</v>
      </c>
      <c r="L14" s="18" t="str">
        <f>IF(K14&gt;=J14,"CUMPLE","NO CUMPLE")</f>
        <v>CUMPLE</v>
      </c>
    </row>
    <row r="15" spans="1:12" ht="33.75" customHeight="1" x14ac:dyDescent="0.2">
      <c r="B15" s="382"/>
      <c r="C15" s="92" t="str">
        <f>IF(VLOOKUP(C11,PROPONENTES!B10:N94,2,FALSE)=0,"",VLOOKUP(C11,PROPONENTES!B10:N94,2,FALSE))</f>
        <v>SERVINC SAS</v>
      </c>
      <c r="D15" s="93">
        <f>IF(VLOOKUP(C11,PROPONENTES!B10:N94,3,FALSE)=0,"",VLOOKUP(C11,PROPONENTES!B10:N94,3,FALSE))</f>
        <v>0.9</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16471.743999999999</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BETMAF SAS</v>
      </c>
      <c r="D16" s="93">
        <f>IF(VLOOKUP(C11,PROPONENTES!B10:N94,5,FALSE)=0,"",VLOOKUP(C11,PROPONENTES!B10:N94,5,FALSE))</f>
        <v>0.1</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0</v>
      </c>
      <c r="F16" s="95" t="str">
        <f>IF(C16="","",IF(E16&gt;=$J$14*0.5,"SI","NO"))</f>
        <v>NO</v>
      </c>
      <c r="G16" s="96" t="str">
        <f>IF(C16="","",IF(E16&gt;=$J$14*0.05,"SI",IF(E16=0,"NO APORTA EXPERIENCIA",)))</f>
        <v>NO APORTA EXPERIENCIA</v>
      </c>
      <c r="H16" s="96" t="str">
        <f>IF(C16="","",IF(AND(G16="NO APORTA EXPERIENCIA",D16&lt;=10%),"SI",IF(G16="SI","NO APLICA","NO - PORCENTAJE MAYOR AL 10%")))</f>
        <v>SI</v>
      </c>
      <c r="I16" s="162"/>
      <c r="J16" s="162"/>
      <c r="K16" s="162"/>
      <c r="L16" s="161">
        <f>AVERAGEIF(D67:J67,"CUMPLE",D48:J48)</f>
        <v>2353.1062857142856</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7</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7</v>
      </c>
      <c r="J19" s="128">
        <v>1</v>
      </c>
      <c r="K19" s="387"/>
      <c r="L19" s="388"/>
    </row>
    <row r="20" spans="2:14" ht="50.25" customHeight="1" x14ac:dyDescent="0.2">
      <c r="B20" s="382"/>
      <c r="C20" s="92"/>
      <c r="D20" s="93"/>
      <c r="E20" s="94"/>
      <c r="F20" s="95"/>
      <c r="G20" s="96"/>
      <c r="H20" s="96"/>
      <c r="I20" s="128">
        <f>COUNTIFS(D60:J60,"CUMPLE",D67:J67,"CUMPLE")</f>
        <v>7</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7</v>
      </c>
      <c r="J21" s="128">
        <v>1</v>
      </c>
      <c r="K21" s="389"/>
      <c r="L21" s="390"/>
    </row>
    <row r="22" spans="2:14" ht="84.75" customHeight="1" x14ac:dyDescent="0.2">
      <c r="B22" s="29" t="s">
        <v>75</v>
      </c>
      <c r="C22" s="24">
        <f>+VLOOKUP(C11,PROPONENTES!B10:N94,12,FALSE)</f>
        <v>2</v>
      </c>
      <c r="D22" s="93">
        <f>+VLOOKUP(C11,PROPONENTES!B10:N94,13,FALSE)</f>
        <v>1</v>
      </c>
      <c r="E22" s="32">
        <f>SUM(E15:E21)</f>
        <v>16471.743999999999</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467</v>
      </c>
      <c r="E26" s="84" t="s">
        <v>467</v>
      </c>
      <c r="F26" s="84" t="s">
        <v>467</v>
      </c>
      <c r="G26" s="84" t="s">
        <v>467</v>
      </c>
      <c r="H26" s="84" t="s">
        <v>467</v>
      </c>
      <c r="I26" s="84" t="s">
        <v>467</v>
      </c>
      <c r="J26" s="84" t="s">
        <v>467</v>
      </c>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565</v>
      </c>
      <c r="E29" s="85" t="s">
        <v>566</v>
      </c>
      <c r="F29" s="85" t="s">
        <v>567</v>
      </c>
      <c r="G29" s="85" t="s">
        <v>568</v>
      </c>
      <c r="H29" s="85" t="s">
        <v>569</v>
      </c>
      <c r="I29" s="85" t="s">
        <v>570</v>
      </c>
      <c r="J29" s="85" t="s">
        <v>571</v>
      </c>
      <c r="K29" s="145"/>
      <c r="L29" s="140"/>
    </row>
    <row r="30" spans="2:14" ht="156.75" customHeight="1" x14ac:dyDescent="0.2">
      <c r="B30" s="374"/>
      <c r="C30" s="25" t="s">
        <v>84</v>
      </c>
      <c r="D30" s="85" t="s">
        <v>572</v>
      </c>
      <c r="E30" s="85" t="s">
        <v>573</v>
      </c>
      <c r="F30" s="85" t="s">
        <v>574</v>
      </c>
      <c r="G30" s="85" t="s">
        <v>575</v>
      </c>
      <c r="H30" s="85" t="s">
        <v>576</v>
      </c>
      <c r="I30" s="85" t="s">
        <v>577</v>
      </c>
      <c r="J30" s="85" t="s">
        <v>578</v>
      </c>
      <c r="K30" s="145"/>
      <c r="L30" s="140"/>
    </row>
    <row r="31" spans="2:14" ht="52.5" customHeight="1" x14ac:dyDescent="0.2">
      <c r="B31" s="374"/>
      <c r="C31" s="25" t="s">
        <v>85</v>
      </c>
      <c r="D31" s="89">
        <v>36717</v>
      </c>
      <c r="E31" s="89" t="s">
        <v>579</v>
      </c>
      <c r="F31" s="89" t="s">
        <v>580</v>
      </c>
      <c r="G31" s="89" t="s">
        <v>581</v>
      </c>
      <c r="H31" s="89" t="s">
        <v>582</v>
      </c>
      <c r="I31" s="89" t="s">
        <v>583</v>
      </c>
      <c r="J31" s="89">
        <v>43067</v>
      </c>
      <c r="K31" s="145"/>
      <c r="L31" s="140"/>
    </row>
    <row r="32" spans="2:14" ht="54.75" customHeight="1" x14ac:dyDescent="0.2">
      <c r="B32" s="374"/>
      <c r="C32" s="25" t="s">
        <v>86</v>
      </c>
      <c r="D32" s="89">
        <v>36991</v>
      </c>
      <c r="E32" s="89" t="s">
        <v>584</v>
      </c>
      <c r="F32" s="89" t="s">
        <v>585</v>
      </c>
      <c r="G32" s="89" t="s">
        <v>586</v>
      </c>
      <c r="H32" s="89">
        <v>42114</v>
      </c>
      <c r="I32" s="89" t="s">
        <v>587</v>
      </c>
      <c r="J32" s="89" t="s">
        <v>588</v>
      </c>
      <c r="K32" s="145"/>
      <c r="L32" s="140"/>
    </row>
    <row r="33" spans="2:12" ht="41.25" customHeight="1" x14ac:dyDescent="0.2">
      <c r="B33" s="374"/>
      <c r="C33" s="25" t="s">
        <v>87</v>
      </c>
      <c r="D33" s="86">
        <v>2001</v>
      </c>
      <c r="E33" s="86">
        <v>2010</v>
      </c>
      <c r="F33" s="86">
        <v>2010</v>
      </c>
      <c r="G33" s="86">
        <v>2013</v>
      </c>
      <c r="H33" s="86">
        <v>2015</v>
      </c>
      <c r="I33" s="86">
        <v>2009</v>
      </c>
      <c r="J33" s="86">
        <v>2018</v>
      </c>
      <c r="K33" s="145"/>
      <c r="L33" s="140"/>
    </row>
    <row r="34" spans="2:12" ht="63" customHeight="1" x14ac:dyDescent="0.2">
      <c r="B34" s="374"/>
      <c r="C34" s="25" t="s">
        <v>88</v>
      </c>
      <c r="D34" s="85" t="s">
        <v>589</v>
      </c>
      <c r="E34" s="85" t="s">
        <v>590</v>
      </c>
      <c r="F34" s="85" t="s">
        <v>556</v>
      </c>
      <c r="G34" s="85" t="s">
        <v>591</v>
      </c>
      <c r="H34" s="85" t="s">
        <v>592</v>
      </c>
      <c r="I34" s="85" t="s">
        <v>593</v>
      </c>
      <c r="J34" s="85" t="s">
        <v>594</v>
      </c>
      <c r="K34" s="145"/>
      <c r="L34" s="140"/>
    </row>
    <row r="35" spans="2:12" ht="46.5" customHeight="1" x14ac:dyDescent="0.2">
      <c r="B35" s="374"/>
      <c r="C35" s="25" t="s">
        <v>89</v>
      </c>
      <c r="D35" s="85" t="s">
        <v>595</v>
      </c>
      <c r="E35" s="85" t="s">
        <v>596</v>
      </c>
      <c r="F35" s="85" t="s">
        <v>597</v>
      </c>
      <c r="G35" s="85" t="s">
        <v>598</v>
      </c>
      <c r="H35" s="85" t="s">
        <v>599</v>
      </c>
      <c r="I35" s="85" t="s">
        <v>600</v>
      </c>
      <c r="J35" s="85" t="s">
        <v>601</v>
      </c>
      <c r="K35" s="145"/>
      <c r="L35" s="140"/>
    </row>
    <row r="36" spans="2:12" ht="27.75" customHeight="1" x14ac:dyDescent="0.2">
      <c r="B36" s="374"/>
      <c r="C36" s="26" t="s">
        <v>90</v>
      </c>
      <c r="D36" s="90">
        <v>30</v>
      </c>
      <c r="E36" s="90">
        <v>19</v>
      </c>
      <c r="F36" s="90">
        <v>12</v>
      </c>
      <c r="G36" s="91">
        <v>91</v>
      </c>
      <c r="H36" s="91">
        <v>11</v>
      </c>
      <c r="I36" s="91">
        <v>85</v>
      </c>
      <c r="J36" s="91">
        <v>117</v>
      </c>
      <c r="K36" s="145"/>
      <c r="L36" s="140"/>
    </row>
    <row r="37" spans="2:12" ht="102.75" customHeight="1" x14ac:dyDescent="0.2">
      <c r="B37" s="374"/>
      <c r="C37" s="25" t="s">
        <v>91</v>
      </c>
      <c r="D37" s="87">
        <v>164.3</v>
      </c>
      <c r="E37" s="158">
        <v>10491.31</v>
      </c>
      <c r="F37" s="87">
        <v>2573.75</v>
      </c>
      <c r="G37" s="87">
        <v>5426.77</v>
      </c>
      <c r="H37" s="87">
        <v>1244.43</v>
      </c>
      <c r="I37" s="87">
        <v>5687.45</v>
      </c>
      <c r="J37" s="87">
        <v>1275.03</v>
      </c>
      <c r="K37" s="242"/>
      <c r="L37" s="243"/>
    </row>
    <row r="38" spans="2:12" ht="48" customHeight="1" x14ac:dyDescent="0.2">
      <c r="B38" s="374"/>
      <c r="C38" s="25" t="s">
        <v>92</v>
      </c>
      <c r="D38" s="97">
        <f>IFERROR(D37*VLOOKUP(D33,'DATOS INICIALES'!$A$12:$B$50,2,0),"0")</f>
        <v>46989800</v>
      </c>
      <c r="E38" s="97">
        <f>IFERROR(E37*VLOOKUP(E33,'DATOS INICIALES'!$A$12:$B$50,2,0),"0")</f>
        <v>5403024650</v>
      </c>
      <c r="F38" s="97">
        <f>IFERROR(F37*VLOOKUP(F33,'DATOS INICIALES'!$A$12:$B$50,2,0),"0")</f>
        <v>1325481250</v>
      </c>
      <c r="G38" s="97">
        <f>IFERROR(G37*VLOOKUP(G33,'DATOS INICIALES'!$A$12:$B$50,2,0),"0")</f>
        <v>3199080915.0000005</v>
      </c>
      <c r="H38" s="97">
        <f>IFERROR(H37*VLOOKUP(H33,'DATOS INICIALES'!$A$12:$B$50,2,0),"0")</f>
        <v>801848470.5</v>
      </c>
      <c r="I38" s="97">
        <f>IFERROR(I37*VLOOKUP(I33,'DATOS INICIALES'!$A$12:$B$50,2,0),"0")</f>
        <v>2826093905</v>
      </c>
      <c r="J38" s="97">
        <f>IFERROR(J37*VLOOKUP(J33,'DATOS INICIALES'!$A$12:$B$50,2,0),"0")</f>
        <v>996106987.25999999</v>
      </c>
      <c r="K38" s="145"/>
      <c r="L38" s="140"/>
    </row>
    <row r="39" spans="2:12" ht="33.75" customHeight="1" x14ac:dyDescent="0.2">
      <c r="B39" s="374"/>
      <c r="C39" s="25" t="s">
        <v>93</v>
      </c>
      <c r="D39" s="88">
        <v>0.5</v>
      </c>
      <c r="E39" s="88">
        <v>1</v>
      </c>
      <c r="F39" s="88">
        <v>0.3</v>
      </c>
      <c r="G39" s="88">
        <v>0.2</v>
      </c>
      <c r="H39" s="88">
        <v>0.3</v>
      </c>
      <c r="I39" s="88">
        <v>0.6</v>
      </c>
      <c r="J39" s="88">
        <v>0.2</v>
      </c>
      <c r="K39" s="145"/>
      <c r="L39" s="140"/>
    </row>
    <row r="40" spans="2:12" ht="48.75" customHeight="1" x14ac:dyDescent="0.2">
      <c r="B40" s="374"/>
      <c r="C40" s="25" t="s">
        <v>94</v>
      </c>
      <c r="D40" s="97">
        <f t="shared" ref="D40:J40" si="0">IF(D26="","0",D39*D38)</f>
        <v>23494900</v>
      </c>
      <c r="E40" s="97">
        <f t="shared" si="0"/>
        <v>5403024650</v>
      </c>
      <c r="F40" s="97">
        <f t="shared" si="0"/>
        <v>397644375</v>
      </c>
      <c r="G40" s="97">
        <f t="shared" si="0"/>
        <v>639816183.00000012</v>
      </c>
      <c r="H40" s="97">
        <f t="shared" si="0"/>
        <v>240554541.15000001</v>
      </c>
      <c r="I40" s="97">
        <f t="shared" si="0"/>
        <v>1695656343</v>
      </c>
      <c r="J40" s="97">
        <f t="shared" si="0"/>
        <v>199221397.45200002</v>
      </c>
      <c r="K40" s="145"/>
      <c r="L40" s="140"/>
    </row>
    <row r="41" spans="2:12" ht="65.25" customHeight="1" x14ac:dyDescent="0.2">
      <c r="B41" s="374"/>
      <c r="C41" s="25" t="s">
        <v>95</v>
      </c>
      <c r="D41" s="98">
        <f t="shared" ref="D41:J41" si="1">IFERROR(D37*D39,"0")</f>
        <v>82.15</v>
      </c>
      <c r="E41" s="98">
        <f t="shared" si="1"/>
        <v>10491.31</v>
      </c>
      <c r="F41" s="98">
        <f t="shared" si="1"/>
        <v>772.125</v>
      </c>
      <c r="G41" s="98">
        <f t="shared" si="1"/>
        <v>1085.354</v>
      </c>
      <c r="H41" s="98">
        <f t="shared" si="1"/>
        <v>373.32900000000001</v>
      </c>
      <c r="I41" s="98">
        <f t="shared" si="1"/>
        <v>3412.47</v>
      </c>
      <c r="J41" s="98">
        <f t="shared" si="1"/>
        <v>255.006</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82.15</v>
      </c>
      <c r="E48" s="98">
        <f t="shared" ref="E48:G48" si="6">+E41+E44+E47</f>
        <v>10491.31</v>
      </c>
      <c r="F48" s="98">
        <f t="shared" si="6"/>
        <v>772.125</v>
      </c>
      <c r="G48" s="98">
        <f t="shared" si="6"/>
        <v>1085.354</v>
      </c>
      <c r="H48" s="98">
        <f>+H41+H44+H47</f>
        <v>373.32900000000001</v>
      </c>
      <c r="I48" s="98">
        <f t="shared" ref="I48:J48" si="7">+I41+I44+I47</f>
        <v>3412.47</v>
      </c>
      <c r="J48" s="98">
        <f t="shared" si="7"/>
        <v>255.006</v>
      </c>
      <c r="K48" s="313"/>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CUMPLE</v>
      </c>
      <c r="H55" s="18" t="str">
        <f t="shared" si="8"/>
        <v>CUMPLE</v>
      </c>
      <c r="I55" s="18" t="str">
        <f t="shared" si="8"/>
        <v>CUMPLE</v>
      </c>
      <c r="J55" s="18" t="str">
        <f t="shared" si="8"/>
        <v>CUMPLE</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CUMPLE</v>
      </c>
      <c r="H67" s="18" t="str">
        <f t="shared" ref="H67:J67" si="9">IF(H26="","N/A",IF(AND(H49="CUMPLE",H55="CUMPLE",OR(H56="CUMPLE",H56="N/A"),OR(H59="CUMPLE",H59="N/A"),H62="CUMPLE",H63="CUMPLE",OR(H64="CUMPLE",H64="N/A"),H65="CUMPLE",OR(H66="CUMPLE",H66="N/A")),"CUMPLE","NO CUMPLE"))</f>
        <v>CUMPLE</v>
      </c>
      <c r="I67" s="18" t="str">
        <f t="shared" si="9"/>
        <v>CUMPLE</v>
      </c>
      <c r="J67" s="18" t="str">
        <f t="shared" si="9"/>
        <v>CUMPLE</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4064" priority="75" operator="equal">
      <formula>"CUMPLE"</formula>
    </cfRule>
    <cfRule type="containsBlanks" dxfId="4063" priority="72">
      <formula>LEN(TRIM(D71))=0</formula>
    </cfRule>
    <cfRule type="notContainsErrors" dxfId="4062" priority="73">
      <formula>NOT(ISERROR(D71))</formula>
    </cfRule>
    <cfRule type="cellIs" dxfId="4061" priority="74" operator="equal">
      <formula>"NO CUMPLE"</formula>
    </cfRule>
  </conditionalFormatting>
  <conditionalFormatting sqref="D72">
    <cfRule type="cellIs" dxfId="4060" priority="77" operator="equal">
      <formula>"CUMPLE"</formula>
    </cfRule>
    <cfRule type="cellIs" dxfId="4059" priority="76" operator="equal">
      <formula>"N/A"</formula>
    </cfRule>
    <cfRule type="cellIs" dxfId="4058" priority="79" operator="equal">
      <formula>"""CUMPLE"""</formula>
    </cfRule>
    <cfRule type="cellIs" dxfId="4057" priority="78" operator="equal">
      <formula>"NO CUMPLE"</formula>
    </cfRule>
  </conditionalFormatting>
  <conditionalFormatting sqref="D26:J37">
    <cfRule type="notContainsErrors" dxfId="4056" priority="4">
      <formula>NOT(ISERROR(D26))</formula>
    </cfRule>
    <cfRule type="containsBlanks" dxfId="4055" priority="3">
      <formula>LEN(TRIM(D26))=0</formula>
    </cfRule>
  </conditionalFormatting>
  <conditionalFormatting sqref="D36:J36">
    <cfRule type="notContainsErrors" dxfId="4054" priority="6">
      <formula>NOT(ISERROR(D36))</formula>
    </cfRule>
    <cfRule type="containsBlanks" dxfId="4053" priority="5">
      <formula>LEN(TRIM(D36))=0</formula>
    </cfRule>
  </conditionalFormatting>
  <conditionalFormatting sqref="D39:J39">
    <cfRule type="containsBlanks" dxfId="4052" priority="1">
      <formula>LEN(TRIM(D39))=0</formula>
    </cfRule>
    <cfRule type="notContainsErrors" dxfId="4051" priority="2">
      <formula>NOT(ISERROR(D39))</formula>
    </cfRule>
  </conditionalFormatting>
  <conditionalFormatting sqref="D42:J42 D45:J45">
    <cfRule type="notContainsErrors" dxfId="4050" priority="38">
      <formula>NOT(ISERROR(D42))</formula>
    </cfRule>
    <cfRule type="containsBlanks" dxfId="4049" priority="37">
      <formula>LEN(TRIM(D42))=0</formula>
    </cfRule>
  </conditionalFormatting>
  <conditionalFormatting sqref="D49:J54">
    <cfRule type="cellIs" dxfId="4048" priority="17" operator="equal">
      <formula>"NO CUMPLE"</formula>
    </cfRule>
    <cfRule type="cellIs" dxfId="4047" priority="18" operator="equal">
      <formula>"CUMPLE"</formula>
    </cfRule>
    <cfRule type="containsBlanks" dxfId="4046" priority="19">
      <formula>LEN(TRIM(D49))=0</formula>
    </cfRule>
    <cfRule type="notContainsErrors" dxfId="4045" priority="20">
      <formula>NOT(ISERROR(D49))</formula>
    </cfRule>
  </conditionalFormatting>
  <conditionalFormatting sqref="D55:J55">
    <cfRule type="cellIs" dxfId="4044" priority="28" operator="equal">
      <formula>"CUMPLE"</formula>
    </cfRule>
    <cfRule type="cellIs" dxfId="4043" priority="30" operator="equal">
      <formula>"""CUMPLE"""</formula>
    </cfRule>
    <cfRule type="cellIs" dxfId="4042" priority="29" operator="equal">
      <formula>"NO CUMPLE"</formula>
    </cfRule>
    <cfRule type="cellIs" dxfId="4041" priority="27" operator="equal">
      <formula>"N/A"</formula>
    </cfRule>
  </conditionalFormatting>
  <conditionalFormatting sqref="D56:J66">
    <cfRule type="cellIs" dxfId="4040" priority="11" operator="equal">
      <formula>"NO CUMPLE"</formula>
    </cfRule>
    <cfRule type="notContainsErrors" dxfId="4039" priority="14">
      <formula>NOT(ISERROR(D56))</formula>
    </cfRule>
    <cfRule type="containsBlanks" dxfId="4038" priority="13">
      <formula>LEN(TRIM(D56))=0</formula>
    </cfRule>
    <cfRule type="cellIs" dxfId="4037" priority="12" operator="equal">
      <formula>"CUMPLE"</formula>
    </cfRule>
  </conditionalFormatting>
  <conditionalFormatting sqref="D67:J67">
    <cfRule type="cellIs" dxfId="4036" priority="23" operator="equal">
      <formula>"N/A"</formula>
    </cfRule>
    <cfRule type="cellIs" dxfId="4035" priority="24" operator="equal">
      <formula>"CUMPLE"</formula>
    </cfRule>
    <cfRule type="cellIs" dxfId="4034" priority="26" operator="equal">
      <formula>"""CUMPLE"""</formula>
    </cfRule>
    <cfRule type="cellIs" dxfId="4033" priority="25" operator="equal">
      <formula>"NO CUMPLE"</formula>
    </cfRule>
  </conditionalFormatting>
  <conditionalFormatting sqref="D62:K66">
    <cfRule type="containsBlanks" dxfId="4032" priority="15">
      <formula>LEN(TRIM(D62))=0</formula>
    </cfRule>
    <cfRule type="notContainsErrors" dxfId="4031" priority="16">
      <formula>NOT(ISERROR(D62))</formula>
    </cfRule>
  </conditionalFormatting>
  <conditionalFormatting sqref="E71:E72">
    <cfRule type="notContainsErrors" dxfId="4030" priority="71">
      <formula>NOT(ISERROR(E71))</formula>
    </cfRule>
    <cfRule type="containsBlanks" dxfId="4029" priority="70">
      <formula>LEN(TRIM(E71))=0</formula>
    </cfRule>
  </conditionalFormatting>
  <conditionalFormatting sqref="F22:H22">
    <cfRule type="cellIs" dxfId="4028" priority="98" operator="equal">
      <formula>"NO CUMPLE"</formula>
    </cfRule>
    <cfRule type="cellIs" dxfId="4027" priority="99" operator="equal">
      <formula>"""CUMPLE"""</formula>
    </cfRule>
    <cfRule type="cellIs" dxfId="4026" priority="97" operator="equal">
      <formula>"CUMPLE"</formula>
    </cfRule>
  </conditionalFormatting>
  <conditionalFormatting sqref="G63:J63">
    <cfRule type="containsBlanks" dxfId="4025" priority="7">
      <formula>LEN(TRIM(G63))=0</formula>
    </cfRule>
    <cfRule type="notContainsErrors" dxfId="4024" priority="8">
      <formula>NOT(ISERROR(G63))</formula>
    </cfRule>
  </conditionalFormatting>
  <conditionalFormatting sqref="I11">
    <cfRule type="containsText" dxfId="4023" priority="103" operator="containsText" text="NO CUMPLE">
      <formula>NOT(ISERROR(SEARCH("NO CUMPLE",I11)))</formula>
    </cfRule>
    <cfRule type="containsText" dxfId="4022" priority="102" operator="containsText" text="HABILITADO">
      <formula>NOT(ISERROR(SEARCH("HABILITADO",I11)))</formula>
    </cfRule>
    <cfRule type="containsText" dxfId="4021" priority="101" operator="containsText" text="HABILITADO">
      <formula>NOT(ISERROR(SEARCH("HABILITADO",I11)))</formula>
    </cfRule>
    <cfRule type="containsText" dxfId="4020" priority="100" operator="containsText" text="INHABILITADO">
      <formula>NOT(ISERROR(SEARCH("INHABILITADO",I11)))</formula>
    </cfRule>
  </conditionalFormatting>
  <conditionalFormatting sqref="K18:K20">
    <cfRule type="cellIs" dxfId="4019" priority="68" operator="equal">
      <formula>"NO CUMPLE"</formula>
    </cfRule>
    <cfRule type="cellIs" dxfId="4018" priority="69" operator="equal">
      <formula>"""CUMPLE"""</formula>
    </cfRule>
    <cfRule type="cellIs" dxfId="4017" priority="67" operator="equal">
      <formula>"CUMPLE"</formula>
    </cfRule>
  </conditionalFormatting>
  <conditionalFormatting sqref="K26:K61 D62:J62">
    <cfRule type="containsBlanks" dxfId="4016" priority="9">
      <formula>LEN(TRIM(D26))=0</formula>
    </cfRule>
    <cfRule type="notContainsErrors" dxfId="4015" priority="10">
      <formula>NOT(ISERROR(D26))</formula>
    </cfRule>
  </conditionalFormatting>
  <conditionalFormatting sqref="K67:L67">
    <cfRule type="containsBlanks" dxfId="4014" priority="21">
      <formula>LEN(TRIM(K67))=0</formula>
    </cfRule>
    <cfRule type="notContainsErrors" dxfId="4013" priority="22">
      <formula>NOT(ISERROR(K67))</formula>
    </cfRule>
  </conditionalFormatting>
  <conditionalFormatting sqref="L14">
    <cfRule type="cellIs" dxfId="4012" priority="96" operator="equal">
      <formula>"""CUMPLE"""</formula>
    </cfRule>
    <cfRule type="cellIs" dxfId="4011" priority="95" operator="equal">
      <formula>"NO CUMPLE"</formula>
    </cfRule>
    <cfRule type="cellIs" dxfId="4010" priority="94" operator="equal">
      <formula>"CUMPLE"</formula>
    </cfRule>
  </conditionalFormatting>
  <dataValidations count="2">
    <dataValidation type="list" allowBlank="1" showInputMessage="1" showErrorMessage="1" sqref="L62:L67" xr:uid="{00000000-0002-0000-1B00-000000000000}">
      <formula1>"0,1,2,3,4,5,6"</formula1>
    </dataValidation>
    <dataValidation type="list" allowBlank="1" showInputMessage="1" showErrorMessage="1" sqref="D26:J28" xr:uid="{00000000-0002-0000-1B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1B00-000002000000}">
          <x14:formula1>
            <xm:f>'DATOS INICIALES'!$A$57:$A$58</xm:f>
          </x14:formula1>
          <xm:sqref>D49:J49</xm:sqref>
        </x14:dataValidation>
        <x14:dataValidation type="list" allowBlank="1" showInputMessage="1" showErrorMessage="1" xr:uid="{00000000-0002-0000-1B00-000003000000}">
          <x14:formula1>
            <xm:f>'DATOS INICIALES'!$A$61:$A$67</xm:f>
          </x14:formula1>
          <xm:sqref>J25</xm:sqref>
        </x14:dataValidation>
        <x14:dataValidation type="list" allowBlank="1" showInputMessage="1" showErrorMessage="1" xr:uid="{00000000-0002-0000-1B00-000004000000}">
          <x14:formula1>
            <xm:f>'DATOS INICIALES'!$C$52:$C$53</xm:f>
          </x14:formula1>
          <xm:sqref>D53:J54</xm:sqref>
        </x14:dataValidation>
        <x14:dataValidation type="list" allowBlank="1" showInputMessage="1" showErrorMessage="1" xr:uid="{00000000-0002-0000-1B00-000005000000}">
          <x14:formula1>
            <xm:f>'DATOS INICIALES'!$A$57:$A$59</xm:f>
          </x14:formula1>
          <xm:sqref>D71 D56:J66</xm:sqref>
        </x14:dataValidation>
        <x14:dataValidation type="list" allowBlank="1" showInputMessage="1" showErrorMessage="1" xr:uid="{00000000-0002-0000-1B00-000006000000}">
          <x14:formula1>
            <xm:f>'DATOS INICIALES'!$A$61:$A$66</xm:f>
          </x14:formula1>
          <xm:sqref>D25:I25</xm:sqref>
        </x14:dataValidation>
        <x14:dataValidation type="list" allowBlank="1" showInputMessage="1" showErrorMessage="1" xr:uid="{00000000-0002-0000-1B00-000007000000}">
          <x14:formula1>
            <xm:f>'DATOS INICIALES'!$D$27:$D$29</xm:f>
          </x14:formula1>
          <xm:sqref>M50:M55</xm:sqref>
        </x14:dataValidation>
        <x14:dataValidation type="list" allowBlank="1" showInputMessage="1" showErrorMessage="1" xr:uid="{00000000-0002-0000-1B00-000008000000}">
          <x14:formula1>
            <xm:f>'DATOS INICIALES'!$C$52:$C$54</xm:f>
          </x14:formula1>
          <xm:sqref>D50:J52</xm:sqref>
        </x14:dataValidation>
        <x14:dataValidation type="list" allowBlank="1" showInputMessage="1" showErrorMessage="1" xr:uid="{00000000-0002-0000-1B00-000009000000}">
          <x14:formula1>
            <xm:f>'/Users/ldrr/Desktop/SDDE/REVISION DE CARPETAS/C:\Users\ASUS\OneDrive\Escritorio\alcaldia local de usaquen\2025\16. EVALUACION DE PROCESOS\INTERVENTORIA DE VIAS\consolidado equipo\[Juliana_ 15 A 24_Evaluación_Tecnica_fdlusa-CMA-003-2025.xlsx]DATOS INICIALES'!#REF!</xm:f>
          </x14:formula1>
          <xm:sqref>G33:I33</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92D050"/>
  </sheetPr>
  <dimension ref="A1:N72"/>
  <sheetViews>
    <sheetView view="pageBreakPreview" topLeftCell="A16" zoomScale="40" zoomScaleNormal="25" zoomScaleSheetLayoutView="40" workbookViewId="0">
      <selection activeCell="I16" sqref="I16"/>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23</v>
      </c>
      <c r="B11" s="2" t="s">
        <v>58</v>
      </c>
      <c r="C11" s="413" t="str">
        <f>VLOOKUP(A11,PROPONENTES!A10:B94,2,FALSE)</f>
        <v>COBA B&amp;C SAS</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5</v>
      </c>
      <c r="J14" s="147">
        <f>+L8</f>
        <v>986.3076290832455</v>
      </c>
      <c r="K14" s="147">
        <f>+E22</f>
        <v>9961.6775000000016</v>
      </c>
      <c r="L14" s="18" t="str">
        <f>IF(K14&gt;=J14,"CUMPLE","NO CUMPLE")</f>
        <v>CUMPLE</v>
      </c>
    </row>
    <row r="15" spans="1:12" ht="33.75" customHeight="1" x14ac:dyDescent="0.2">
      <c r="B15" s="382"/>
      <c r="C15" s="92" t="str">
        <f>IF(VLOOKUP(C11,PROPONENTES!B10:N94,2,FALSE)=0,"",VLOOKUP(C11,PROPONENTES!B10:N94,2,FALSE))</f>
        <v>COBA B&amp;C SAS</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9961.6775000000016</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1992.3355000000004</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5</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5</v>
      </c>
      <c r="J19" s="128">
        <v>1</v>
      </c>
      <c r="K19" s="387"/>
      <c r="L19" s="388"/>
    </row>
    <row r="20" spans="2:14" ht="50.25" customHeight="1" x14ac:dyDescent="0.2">
      <c r="B20" s="382"/>
      <c r="C20" s="92"/>
      <c r="D20" s="93"/>
      <c r="E20" s="94"/>
      <c r="F20" s="95"/>
      <c r="G20" s="96"/>
      <c r="H20" s="96"/>
      <c r="I20" s="128">
        <f>COUNTIFS(D60:J60,"CUMPLE",D67:J67,"CUMPLE")</f>
        <v>5</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5</v>
      </c>
      <c r="J21" s="128">
        <v>1</v>
      </c>
      <c r="K21" s="389"/>
      <c r="L21" s="390"/>
    </row>
    <row r="22" spans="2:14" ht="84.75" customHeight="1" x14ac:dyDescent="0.2">
      <c r="B22" s="29" t="s">
        <v>75</v>
      </c>
      <c r="C22" s="24">
        <f>+VLOOKUP(C11,PROPONENTES!B10:N94,12,FALSE)</f>
        <v>1</v>
      </c>
      <c r="D22" s="93">
        <f>+VLOOKUP(C11,PROPONENTES!B10:N94,13,FALSE)</f>
        <v>1</v>
      </c>
      <c r="E22" s="32">
        <f>SUM(E15:E21)</f>
        <v>9961.6775000000016</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228</v>
      </c>
      <c r="E26" s="84" t="s">
        <v>228</v>
      </c>
      <c r="F26" s="84" t="s">
        <v>228</v>
      </c>
      <c r="G26" s="84" t="s">
        <v>228</v>
      </c>
      <c r="H26" s="84" t="s">
        <v>228</v>
      </c>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263" t="s">
        <v>602</v>
      </c>
      <c r="E29" s="263" t="s">
        <v>603</v>
      </c>
      <c r="F29" s="263" t="s">
        <v>604</v>
      </c>
      <c r="G29" s="263" t="s">
        <v>605</v>
      </c>
      <c r="H29" s="263" t="s">
        <v>606</v>
      </c>
      <c r="I29" s="85"/>
      <c r="J29" s="85"/>
      <c r="K29" s="145"/>
      <c r="L29" s="140"/>
    </row>
    <row r="30" spans="2:14" ht="156.75" customHeight="1" x14ac:dyDescent="0.2">
      <c r="B30" s="374"/>
      <c r="C30" s="25" t="s">
        <v>84</v>
      </c>
      <c r="D30" s="85" t="s">
        <v>607</v>
      </c>
      <c r="E30" s="85" t="s">
        <v>608</v>
      </c>
      <c r="F30" s="85" t="s">
        <v>609</v>
      </c>
      <c r="G30" s="85" t="s">
        <v>610</v>
      </c>
      <c r="H30" s="85" t="s">
        <v>611</v>
      </c>
      <c r="I30" s="85"/>
      <c r="J30" s="85"/>
      <c r="K30" s="145"/>
      <c r="L30" s="140"/>
    </row>
    <row r="31" spans="2:14" ht="52.5" customHeight="1" x14ac:dyDescent="0.2">
      <c r="B31" s="374"/>
      <c r="C31" s="25" t="s">
        <v>85</v>
      </c>
      <c r="D31" s="89">
        <v>38686</v>
      </c>
      <c r="E31" s="89">
        <v>38678</v>
      </c>
      <c r="F31" s="89">
        <v>40778</v>
      </c>
      <c r="G31" s="89">
        <v>35807</v>
      </c>
      <c r="H31" s="89">
        <v>39493</v>
      </c>
      <c r="I31" s="89"/>
      <c r="J31" s="89"/>
      <c r="K31" s="145"/>
      <c r="L31" s="140"/>
    </row>
    <row r="32" spans="2:14" ht="54.75" customHeight="1" x14ac:dyDescent="0.2">
      <c r="B32" s="374"/>
      <c r="C32" s="25" t="s">
        <v>86</v>
      </c>
      <c r="D32" s="89">
        <v>39568</v>
      </c>
      <c r="E32" s="89">
        <v>39568</v>
      </c>
      <c r="F32" s="89">
        <v>41369</v>
      </c>
      <c r="G32" s="89">
        <v>37480</v>
      </c>
      <c r="H32" s="89">
        <v>39903</v>
      </c>
      <c r="I32" s="89"/>
      <c r="J32" s="89"/>
      <c r="K32" s="145"/>
      <c r="L32" s="140"/>
    </row>
    <row r="33" spans="2:12" ht="41.25" customHeight="1" x14ac:dyDescent="0.2">
      <c r="B33" s="374"/>
      <c r="C33" s="25" t="s">
        <v>87</v>
      </c>
      <c r="D33" s="86">
        <v>2008</v>
      </c>
      <c r="E33" s="86">
        <v>2008</v>
      </c>
      <c r="F33" s="86">
        <v>2013</v>
      </c>
      <c r="G33" s="86">
        <v>2022</v>
      </c>
      <c r="H33" s="86">
        <v>2009</v>
      </c>
      <c r="I33" s="86"/>
      <c r="J33" s="86"/>
      <c r="K33" s="145"/>
      <c r="L33" s="140"/>
    </row>
    <row r="34" spans="2:12" ht="63" customHeight="1" x14ac:dyDescent="0.2">
      <c r="B34" s="374"/>
      <c r="C34" s="25" t="s">
        <v>88</v>
      </c>
      <c r="D34" s="85" t="s">
        <v>594</v>
      </c>
      <c r="E34" s="85" t="s">
        <v>594</v>
      </c>
      <c r="F34" s="85" t="s">
        <v>612</v>
      </c>
      <c r="G34" s="85" t="s">
        <v>613</v>
      </c>
      <c r="H34" s="85" t="s">
        <v>614</v>
      </c>
      <c r="I34" s="85"/>
      <c r="J34" s="85"/>
      <c r="K34" s="145"/>
      <c r="L34" s="140"/>
    </row>
    <row r="35" spans="2:12" ht="46.5" customHeight="1" x14ac:dyDescent="0.2">
      <c r="B35" s="374"/>
      <c r="C35" s="25" t="s">
        <v>89</v>
      </c>
      <c r="D35" s="85" t="s">
        <v>615</v>
      </c>
      <c r="E35" s="85" t="s">
        <v>615</v>
      </c>
      <c r="F35" s="85" t="s">
        <v>616</v>
      </c>
      <c r="G35" s="85" t="s">
        <v>617</v>
      </c>
      <c r="H35" s="85" t="s">
        <v>618</v>
      </c>
      <c r="I35" s="85"/>
      <c r="J35" s="85"/>
      <c r="K35" s="145"/>
      <c r="L35" s="140"/>
    </row>
    <row r="36" spans="2:12" ht="27.75" customHeight="1" x14ac:dyDescent="0.2">
      <c r="B36" s="374"/>
      <c r="C36" s="26" t="s">
        <v>90</v>
      </c>
      <c r="D36" s="90">
        <v>190</v>
      </c>
      <c r="E36" s="90">
        <v>191</v>
      </c>
      <c r="F36" s="90">
        <v>213</v>
      </c>
      <c r="G36" s="91">
        <v>148</v>
      </c>
      <c r="H36" s="91">
        <v>199</v>
      </c>
      <c r="I36" s="91"/>
      <c r="J36" s="91"/>
      <c r="K36" s="145"/>
      <c r="L36" s="140"/>
    </row>
    <row r="37" spans="2:12" ht="102.75" customHeight="1" x14ac:dyDescent="0.2">
      <c r="B37" s="374"/>
      <c r="C37" s="25" t="s">
        <v>91</v>
      </c>
      <c r="D37" s="87">
        <v>3494.48</v>
      </c>
      <c r="E37" s="158">
        <v>3816.57</v>
      </c>
      <c r="F37" s="87">
        <v>2004.88</v>
      </c>
      <c r="G37" s="87">
        <v>8076.2</v>
      </c>
      <c r="H37" s="87">
        <v>1053.0899999999999</v>
      </c>
      <c r="I37" s="87"/>
      <c r="J37" s="87"/>
      <c r="K37" s="242"/>
      <c r="L37" s="243"/>
    </row>
    <row r="38" spans="2:12" ht="48" customHeight="1" x14ac:dyDescent="0.2">
      <c r="B38" s="374"/>
      <c r="C38" s="25" t="s">
        <v>92</v>
      </c>
      <c r="D38" s="97">
        <f>IFERROR(D37*VLOOKUP(D33,'DATOS INICIALES'!$A$12:$B$50,2,0),"0")</f>
        <v>1612702520</v>
      </c>
      <c r="E38" s="97">
        <f>IFERROR(E37*VLOOKUP(E33,'DATOS INICIALES'!$A$12:$B$50,2,0),"0")</f>
        <v>1761347055</v>
      </c>
      <c r="F38" s="97">
        <f>IFERROR(F37*VLOOKUP(F33,'DATOS INICIALES'!$A$12:$B$50,2,0),"0")</f>
        <v>1181876760</v>
      </c>
      <c r="G38" s="97">
        <f>IFERROR(G37*VLOOKUP(G33,'DATOS INICIALES'!$A$12:$B$50,2,0),"0")</f>
        <v>8076200000</v>
      </c>
      <c r="H38" s="97">
        <f>IFERROR(H37*VLOOKUP(H33,'DATOS INICIALES'!$A$12:$B$50,2,0),"0")</f>
        <v>523280420.99999994</v>
      </c>
      <c r="I38" s="97" t="str">
        <f>IFERROR(I37*VLOOKUP(I33,'DATOS INICIALES'!$A$12:$B$50,2,0),"0")</f>
        <v>0</v>
      </c>
      <c r="J38" s="97" t="str">
        <f>IFERROR(J37*VLOOKUP(J33,'DATOS INICIALES'!$A$12:$B$50,2,0),"0")</f>
        <v>0</v>
      </c>
      <c r="K38" s="145"/>
      <c r="L38" s="140"/>
    </row>
    <row r="39" spans="2:12" ht="33.75" customHeight="1" x14ac:dyDescent="0.2">
      <c r="B39" s="374"/>
      <c r="C39" s="25" t="s">
        <v>93</v>
      </c>
      <c r="D39" s="88">
        <v>0.75</v>
      </c>
      <c r="E39" s="88">
        <v>0.75</v>
      </c>
      <c r="F39" s="88">
        <v>0.5</v>
      </c>
      <c r="G39" s="88">
        <v>0.3</v>
      </c>
      <c r="H39" s="88">
        <v>1</v>
      </c>
      <c r="I39" s="88"/>
      <c r="J39" s="88"/>
      <c r="K39" s="145"/>
      <c r="L39" s="140"/>
    </row>
    <row r="40" spans="2:12" ht="48.75" customHeight="1" x14ac:dyDescent="0.2">
      <c r="B40" s="374"/>
      <c r="C40" s="25" t="s">
        <v>94</v>
      </c>
      <c r="D40" s="97">
        <f t="shared" ref="D40:J40" si="0">IF(D26="","0",D39*D38)</f>
        <v>1209526890</v>
      </c>
      <c r="E40" s="97">
        <f t="shared" si="0"/>
        <v>1321010291.25</v>
      </c>
      <c r="F40" s="97">
        <f t="shared" si="0"/>
        <v>590938380</v>
      </c>
      <c r="G40" s="97">
        <f t="shared" si="0"/>
        <v>2422860000</v>
      </c>
      <c r="H40" s="97">
        <f t="shared" si="0"/>
        <v>523280420.99999994</v>
      </c>
      <c r="I40" s="97" t="str">
        <f t="shared" si="0"/>
        <v>0</v>
      </c>
      <c r="J40" s="97" t="str">
        <f t="shared" si="0"/>
        <v>0</v>
      </c>
      <c r="K40" s="145"/>
      <c r="L40" s="140"/>
    </row>
    <row r="41" spans="2:12" ht="65.25" customHeight="1" x14ac:dyDescent="0.2">
      <c r="B41" s="374"/>
      <c r="C41" s="25" t="s">
        <v>95</v>
      </c>
      <c r="D41" s="98">
        <f t="shared" ref="D41:J41" si="1">IFERROR(D37*D39,"0")</f>
        <v>2620.86</v>
      </c>
      <c r="E41" s="98">
        <f t="shared" si="1"/>
        <v>2862.4275000000002</v>
      </c>
      <c r="F41" s="98">
        <f t="shared" si="1"/>
        <v>1002.44</v>
      </c>
      <c r="G41" s="98">
        <f t="shared" si="1"/>
        <v>2422.8599999999997</v>
      </c>
      <c r="H41" s="98">
        <f t="shared" si="1"/>
        <v>1053.0899999999999</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2620.86</v>
      </c>
      <c r="E48" s="98">
        <f t="shared" ref="E48:G48" si="6">+E41+E44+E47</f>
        <v>2862.4275000000002</v>
      </c>
      <c r="F48" s="98">
        <f t="shared" si="6"/>
        <v>1002.44</v>
      </c>
      <c r="G48" s="98">
        <f t="shared" si="6"/>
        <v>2422.8599999999997</v>
      </c>
      <c r="H48" s="98">
        <f>+H41+H44+H47</f>
        <v>1053.0899999999999</v>
      </c>
      <c r="I48" s="98">
        <f t="shared" ref="I48:J48" si="7">+I41+I44+I47</f>
        <v>0</v>
      </c>
      <c r="J48" s="98">
        <f t="shared" si="7"/>
        <v>0</v>
      </c>
      <c r="K48" s="313"/>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CUMPLE</v>
      </c>
      <c r="H55" s="18" t="str">
        <f t="shared" si="8"/>
        <v>CUMPLE</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CUMPLE</v>
      </c>
      <c r="H67" s="18" t="str">
        <f t="shared" ref="H67:J67" si="9">IF(H26="","N/A",IF(AND(H49="CUMPLE",H55="CUMPLE",OR(H56="CUMPLE",H56="N/A"),OR(H59="CUMPLE",H59="N/A"),H62="CUMPLE",H63="CUMPLE",OR(H64="CUMPLE",H64="N/A"),H65="CUMPLE",OR(H66="CUMPLE",H66="N/A")),"CUMPLE","NO CUMPLE"))</f>
        <v>CUMPLE</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4009" priority="75" operator="equal">
      <formula>"CUMPLE"</formula>
    </cfRule>
    <cfRule type="containsBlanks" dxfId="4008" priority="72">
      <formula>LEN(TRIM(D71))=0</formula>
    </cfRule>
    <cfRule type="notContainsErrors" dxfId="4007" priority="73">
      <formula>NOT(ISERROR(D71))</formula>
    </cfRule>
    <cfRule type="cellIs" dxfId="4006" priority="74" operator="equal">
      <formula>"NO CUMPLE"</formula>
    </cfRule>
  </conditionalFormatting>
  <conditionalFormatting sqref="D72">
    <cfRule type="cellIs" dxfId="4005" priority="77" operator="equal">
      <formula>"CUMPLE"</formula>
    </cfRule>
    <cfRule type="cellIs" dxfId="4004" priority="76" operator="equal">
      <formula>"N/A"</formula>
    </cfRule>
    <cfRule type="cellIs" dxfId="4003" priority="79" operator="equal">
      <formula>"""CUMPLE"""</formula>
    </cfRule>
    <cfRule type="cellIs" dxfId="4002" priority="78" operator="equal">
      <formula>"NO CUMPLE"</formula>
    </cfRule>
  </conditionalFormatting>
  <conditionalFormatting sqref="D26:J37">
    <cfRule type="notContainsErrors" dxfId="4001" priority="4">
      <formula>NOT(ISERROR(D26))</formula>
    </cfRule>
    <cfRule type="containsBlanks" dxfId="4000" priority="3">
      <formula>LEN(TRIM(D26))=0</formula>
    </cfRule>
  </conditionalFormatting>
  <conditionalFormatting sqref="D36:J36">
    <cfRule type="notContainsErrors" dxfId="3999" priority="6">
      <formula>NOT(ISERROR(D36))</formula>
    </cfRule>
    <cfRule type="containsBlanks" dxfId="3998" priority="5">
      <formula>LEN(TRIM(D36))=0</formula>
    </cfRule>
  </conditionalFormatting>
  <conditionalFormatting sqref="D39:J39">
    <cfRule type="containsBlanks" dxfId="3997" priority="1">
      <formula>LEN(TRIM(D39))=0</formula>
    </cfRule>
    <cfRule type="notContainsErrors" dxfId="3996" priority="2">
      <formula>NOT(ISERROR(D39))</formula>
    </cfRule>
  </conditionalFormatting>
  <conditionalFormatting sqref="D42:J42 D45:J45">
    <cfRule type="notContainsErrors" dxfId="3995" priority="38">
      <formula>NOT(ISERROR(D42))</formula>
    </cfRule>
    <cfRule type="containsBlanks" dxfId="3994" priority="37">
      <formula>LEN(TRIM(D42))=0</formula>
    </cfRule>
  </conditionalFormatting>
  <conditionalFormatting sqref="D49:J54">
    <cfRule type="cellIs" dxfId="3993" priority="17" operator="equal">
      <formula>"NO CUMPLE"</formula>
    </cfRule>
    <cfRule type="cellIs" dxfId="3992" priority="18" operator="equal">
      <formula>"CUMPLE"</formula>
    </cfRule>
    <cfRule type="containsBlanks" dxfId="3991" priority="19">
      <formula>LEN(TRIM(D49))=0</formula>
    </cfRule>
    <cfRule type="notContainsErrors" dxfId="3990" priority="20">
      <formula>NOT(ISERROR(D49))</formula>
    </cfRule>
  </conditionalFormatting>
  <conditionalFormatting sqref="D55:J55">
    <cfRule type="cellIs" dxfId="3989" priority="28" operator="equal">
      <formula>"CUMPLE"</formula>
    </cfRule>
    <cfRule type="cellIs" dxfId="3988" priority="30" operator="equal">
      <formula>"""CUMPLE"""</formula>
    </cfRule>
    <cfRule type="cellIs" dxfId="3987" priority="29" operator="equal">
      <formula>"NO CUMPLE"</formula>
    </cfRule>
    <cfRule type="cellIs" dxfId="3986" priority="27" operator="equal">
      <formula>"N/A"</formula>
    </cfRule>
  </conditionalFormatting>
  <conditionalFormatting sqref="D56:J66">
    <cfRule type="cellIs" dxfId="3985" priority="11" operator="equal">
      <formula>"NO CUMPLE"</formula>
    </cfRule>
    <cfRule type="notContainsErrors" dxfId="3984" priority="14">
      <formula>NOT(ISERROR(D56))</formula>
    </cfRule>
    <cfRule type="containsBlanks" dxfId="3983" priority="13">
      <formula>LEN(TRIM(D56))=0</formula>
    </cfRule>
    <cfRule type="cellIs" dxfId="3982" priority="12" operator="equal">
      <formula>"CUMPLE"</formula>
    </cfRule>
  </conditionalFormatting>
  <conditionalFormatting sqref="D67:J67">
    <cfRule type="cellIs" dxfId="3981" priority="23" operator="equal">
      <formula>"N/A"</formula>
    </cfRule>
    <cfRule type="cellIs" dxfId="3980" priority="24" operator="equal">
      <formula>"CUMPLE"</formula>
    </cfRule>
    <cfRule type="cellIs" dxfId="3979" priority="26" operator="equal">
      <formula>"""CUMPLE"""</formula>
    </cfRule>
    <cfRule type="cellIs" dxfId="3978" priority="25" operator="equal">
      <formula>"NO CUMPLE"</formula>
    </cfRule>
  </conditionalFormatting>
  <conditionalFormatting sqref="D62:K66">
    <cfRule type="containsBlanks" dxfId="3977" priority="15">
      <formula>LEN(TRIM(D62))=0</formula>
    </cfRule>
    <cfRule type="notContainsErrors" dxfId="3976" priority="16">
      <formula>NOT(ISERROR(D62))</formula>
    </cfRule>
  </conditionalFormatting>
  <conditionalFormatting sqref="E71:E72">
    <cfRule type="notContainsErrors" dxfId="3975" priority="71">
      <formula>NOT(ISERROR(E71))</formula>
    </cfRule>
    <cfRule type="containsBlanks" dxfId="3974" priority="70">
      <formula>LEN(TRIM(E71))=0</formula>
    </cfRule>
  </conditionalFormatting>
  <conditionalFormatting sqref="F22:H22">
    <cfRule type="cellIs" dxfId="3973" priority="98" operator="equal">
      <formula>"NO CUMPLE"</formula>
    </cfRule>
    <cfRule type="cellIs" dxfId="3972" priority="99" operator="equal">
      <formula>"""CUMPLE"""</formula>
    </cfRule>
    <cfRule type="cellIs" dxfId="3971" priority="97" operator="equal">
      <formula>"CUMPLE"</formula>
    </cfRule>
  </conditionalFormatting>
  <conditionalFormatting sqref="G63:J63">
    <cfRule type="containsBlanks" dxfId="3970" priority="7">
      <formula>LEN(TRIM(G63))=0</formula>
    </cfRule>
    <cfRule type="notContainsErrors" dxfId="3969" priority="8">
      <formula>NOT(ISERROR(G63))</formula>
    </cfRule>
  </conditionalFormatting>
  <conditionalFormatting sqref="I11">
    <cfRule type="containsText" dxfId="3968" priority="103" operator="containsText" text="NO CUMPLE">
      <formula>NOT(ISERROR(SEARCH("NO CUMPLE",I11)))</formula>
    </cfRule>
    <cfRule type="containsText" dxfId="3967" priority="102" operator="containsText" text="HABILITADO">
      <formula>NOT(ISERROR(SEARCH("HABILITADO",I11)))</formula>
    </cfRule>
    <cfRule type="containsText" dxfId="3966" priority="101" operator="containsText" text="HABILITADO">
      <formula>NOT(ISERROR(SEARCH("HABILITADO",I11)))</formula>
    </cfRule>
    <cfRule type="containsText" dxfId="3965" priority="100" operator="containsText" text="INHABILITADO">
      <formula>NOT(ISERROR(SEARCH("INHABILITADO",I11)))</formula>
    </cfRule>
  </conditionalFormatting>
  <conditionalFormatting sqref="K18:K20">
    <cfRule type="cellIs" dxfId="3964" priority="68" operator="equal">
      <formula>"NO CUMPLE"</formula>
    </cfRule>
    <cfRule type="cellIs" dxfId="3963" priority="69" operator="equal">
      <formula>"""CUMPLE"""</formula>
    </cfRule>
    <cfRule type="cellIs" dxfId="3962" priority="67" operator="equal">
      <formula>"CUMPLE"</formula>
    </cfRule>
  </conditionalFormatting>
  <conditionalFormatting sqref="K26:K61 D62:J62">
    <cfRule type="containsBlanks" dxfId="3961" priority="9">
      <formula>LEN(TRIM(D26))=0</formula>
    </cfRule>
    <cfRule type="notContainsErrors" dxfId="3960" priority="10">
      <formula>NOT(ISERROR(D26))</formula>
    </cfRule>
  </conditionalFormatting>
  <conditionalFormatting sqref="K67:L67">
    <cfRule type="containsBlanks" dxfId="3959" priority="21">
      <formula>LEN(TRIM(K67))=0</formula>
    </cfRule>
    <cfRule type="notContainsErrors" dxfId="3958" priority="22">
      <formula>NOT(ISERROR(K67))</formula>
    </cfRule>
  </conditionalFormatting>
  <conditionalFormatting sqref="L14">
    <cfRule type="cellIs" dxfId="3957" priority="96" operator="equal">
      <formula>"""CUMPLE"""</formula>
    </cfRule>
    <cfRule type="cellIs" dxfId="3956" priority="95" operator="equal">
      <formula>"NO CUMPLE"</formula>
    </cfRule>
    <cfRule type="cellIs" dxfId="3955" priority="94" operator="equal">
      <formula>"CUMPLE"</formula>
    </cfRule>
  </conditionalFormatting>
  <dataValidations count="2">
    <dataValidation type="list" allowBlank="1" showInputMessage="1" showErrorMessage="1" sqref="D26:J28" xr:uid="{00000000-0002-0000-1C00-000000000000}">
      <formula1>$C$15:$C$21</formula1>
    </dataValidation>
    <dataValidation type="list" allowBlank="1" showInputMessage="1" showErrorMessage="1" sqref="L62:L67" xr:uid="{00000000-0002-0000-1C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1C00-000002000000}">
          <x14:formula1>
            <xm:f>'DATOS INICIALES'!$A$13:$A$50</xm:f>
          </x14:formula1>
          <xm:sqref>I33</xm:sqref>
        </x14:dataValidation>
        <x14:dataValidation type="list" allowBlank="1" showInputMessage="1" showErrorMessage="1" xr:uid="{00000000-0002-0000-1C00-000003000000}">
          <x14:formula1>
            <xm:f>'DATOS INICIALES'!$A$61:$A$66</xm:f>
          </x14:formula1>
          <xm:sqref>D25:I25</xm:sqref>
        </x14:dataValidation>
        <x14:dataValidation type="list" allowBlank="1" showInputMessage="1" showErrorMessage="1" xr:uid="{00000000-0002-0000-1C00-000004000000}">
          <x14:formula1>
            <xm:f>'DATOS INICIALES'!$A$57:$A$59</xm:f>
          </x14:formula1>
          <xm:sqref>D71 D56:J66</xm:sqref>
        </x14:dataValidation>
        <x14:dataValidation type="list" allowBlank="1" showInputMessage="1" showErrorMessage="1" xr:uid="{00000000-0002-0000-1C00-000005000000}">
          <x14:formula1>
            <xm:f>'DATOS INICIALES'!$C$52:$C$53</xm:f>
          </x14:formula1>
          <xm:sqref>D53:J54</xm:sqref>
        </x14:dataValidation>
        <x14:dataValidation type="list" allowBlank="1" showInputMessage="1" showErrorMessage="1" xr:uid="{00000000-0002-0000-1C00-000006000000}">
          <x14:formula1>
            <xm:f>'DATOS INICIALES'!$A$61:$A$67</xm:f>
          </x14:formula1>
          <xm:sqref>J25</xm:sqref>
        </x14:dataValidation>
        <x14:dataValidation type="list" allowBlank="1" showInputMessage="1" showErrorMessage="1" xr:uid="{00000000-0002-0000-1C00-000007000000}">
          <x14:formula1>
            <xm:f>'DATOS INICIALES'!$A$57:$A$58</xm:f>
          </x14:formula1>
          <xm:sqref>D49:J49</xm:sqref>
        </x14:dataValidation>
        <x14:dataValidation type="list" allowBlank="1" showInputMessage="1" showErrorMessage="1" xr:uid="{00000000-0002-0000-1C00-000008000000}">
          <x14:formula1>
            <xm:f>'DATOS INICIALES'!$D$27:$D$29</xm:f>
          </x14:formula1>
          <xm:sqref>M50:M55</xm:sqref>
        </x14:dataValidation>
        <x14:dataValidation type="list" allowBlank="1" showInputMessage="1" showErrorMessage="1" xr:uid="{00000000-0002-0000-1C00-000009000000}">
          <x14:formula1>
            <xm:f>'DATOS INICIALES'!$C$52:$C$54</xm:f>
          </x14:formula1>
          <xm:sqref>D50:J52</xm:sqref>
        </x14:dataValidation>
        <x14:dataValidation type="list" allowBlank="1" showInputMessage="1" showErrorMessage="1" xr:uid="{00000000-0002-0000-1C00-00000A000000}">
          <x14:formula1>
            <xm:f>'/Users/ldrr/Desktop/SDDE/REVISION DE CARPETAS/C:\Users\ASUS\OneDrive\Escritorio\alcaldia local de usaquen\2025\16. EVALUACION DE PROCESOS\INTERVENTORIA DE VIAS\consolidado equipo\[Juliana_ 15 A 24_Evaluación_Tecnica_fdlusa-CMA-003-2025.xlsx]DATOS INICIALES'!#REF!</xm:f>
          </x14:formula1>
          <xm:sqref>G33:H33</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92D050"/>
  </sheetPr>
  <dimension ref="A1:N72"/>
  <sheetViews>
    <sheetView view="pageBreakPreview" topLeftCell="A40" zoomScale="55" zoomScaleNormal="25" zoomScaleSheetLayoutView="55" workbookViewId="0">
      <selection activeCell="K48" sqref="K48"/>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24</v>
      </c>
      <c r="B11" s="2" t="s">
        <v>58</v>
      </c>
      <c r="C11" s="413" t="str">
        <f>VLOOKUP(A11,PROPONENTES!A10:B94,2,FALSE)</f>
        <v>CONSORCIO USAQUEN 3M</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7</v>
      </c>
      <c r="J14" s="147">
        <f>+L8</f>
        <v>986.3076290832455</v>
      </c>
      <c r="K14" s="147">
        <f>+E22</f>
        <v>13406.615000000002</v>
      </c>
      <c r="L14" s="18" t="str">
        <f>IF(K14&gt;=J14,"CUMPLE","NO CUMPLE")</f>
        <v>CUMPLE</v>
      </c>
    </row>
    <row r="15" spans="1:12" ht="33.75" customHeight="1" x14ac:dyDescent="0.2">
      <c r="B15" s="382"/>
      <c r="C15" s="92" t="str">
        <f>IF(VLOOKUP(C11,PROPONENTES!B10:N94,2,FALSE)=0,"",VLOOKUP(C11,PROPONENTES!B10:N94,2,FALSE))</f>
        <v xml:space="preserve">MAB INGENIERÍA DE VALOR S.A. </v>
      </c>
      <c r="D15" s="93">
        <f>IF(VLOOKUP(C11,PROPONENTES!B10:N94,3,FALSE)=0,"",VLOOKUP(C11,PROPONENTES!B10:N94,3,FALSE))</f>
        <v>0.5</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8807.5450000000001</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MAB SERVICIOS S.A.S.</v>
      </c>
      <c r="D16" s="93">
        <f>IF(VLOOKUP(C11,PROPONENTES!B10:N94,5,FALSE)=0,"",VLOOKUP(C11,PROPONENTES!B10:N94,5,FALSE))</f>
        <v>0.3</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2136.96</v>
      </c>
      <c r="F16" s="95" t="str">
        <f>IF(C16="","",IF(E16&gt;=$J$14*0.5,"SI","NO"))</f>
        <v>SI</v>
      </c>
      <c r="G16" s="96" t="str">
        <f>IF(C16="","",IF(E16&gt;=$J$14*0.05,"SI",IF(E16=0,"NO APORTA EXPERIENCIA",)))</f>
        <v>SI</v>
      </c>
      <c r="H16" s="96" t="str">
        <f>IF(C16="","",IF(AND(G16="NO APORTA EXPERIENCIA",D16&lt;=10%),"SI",IF(G16="SI","NO APLICA","NO - PORCENTAJE MAYOR AL 10%")))</f>
        <v>NO APLICA</v>
      </c>
      <c r="I16" s="162"/>
      <c r="J16" s="162"/>
      <c r="K16" s="162"/>
      <c r="L16" s="161">
        <f>AVERAGEIF(D67:J67,"CUMPLE",D48:J48)</f>
        <v>1915.2307142857142</v>
      </c>
    </row>
    <row r="17" spans="2:14" ht="33.75" customHeight="1" x14ac:dyDescent="0.2">
      <c r="B17" s="382"/>
      <c r="C17" s="92" t="str">
        <f>IF(VLOOKUP(C11,PROPONENTES!B10:N94,6,FALSE)=0,"",VLOOKUP(C11,PROPONENTES!B10:N94,6,FALSE))</f>
        <v xml:space="preserve">MAB INFRAESTRUCTURA S.A.S. </v>
      </c>
      <c r="D17" s="93">
        <f>IF(VLOOKUP(C11,PROPONENTES!B10:N94,7,FALSE)=0,"",VLOOKUP(C11,PROPONENTES!B10:N94,7,FALSE))</f>
        <v>0.2</v>
      </c>
      <c r="E17" s="94">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2462.11</v>
      </c>
      <c r="F17" s="95" t="str">
        <f>IF(C17="","",IF(E17&gt;=$J$14*0.5,"SI","NO"))</f>
        <v>SI</v>
      </c>
      <c r="G17" s="96" t="str">
        <f>IF(C17="","",IF(E17&gt;=$J$14*0.05,"SI",IF(E17=0,"NO APORTA EXPERIENCIA",)))</f>
        <v>SI</v>
      </c>
      <c r="H17" s="96" t="str">
        <f>IF(C17="","",IF(AND(G17="NO APORTA EXPERIENCIA",D17&lt;=10%),"SI",IF(G17="SI","NO APLICA","NO - PORCENTAJE MAYOR AL 10%")))</f>
        <v>NO APLICA</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7</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7</v>
      </c>
      <c r="J19" s="128">
        <v>1</v>
      </c>
      <c r="K19" s="387"/>
      <c r="L19" s="388"/>
    </row>
    <row r="20" spans="2:14" ht="50.25" customHeight="1" x14ac:dyDescent="0.2">
      <c r="B20" s="382"/>
      <c r="C20" s="92"/>
      <c r="D20" s="93"/>
      <c r="E20" s="94"/>
      <c r="F20" s="95"/>
      <c r="G20" s="96"/>
      <c r="H20" s="96"/>
      <c r="I20" s="128">
        <f>COUNTIFS(D60:J60,"CUMPLE",D67:J67,"CUMPLE")</f>
        <v>7</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7</v>
      </c>
      <c r="J21" s="128">
        <v>1</v>
      </c>
      <c r="K21" s="389"/>
      <c r="L21" s="390"/>
    </row>
    <row r="22" spans="2:14" ht="84.75" customHeight="1" x14ac:dyDescent="0.2">
      <c r="B22" s="29" t="s">
        <v>75</v>
      </c>
      <c r="C22" s="24">
        <f>+VLOOKUP(C11,PROPONENTES!B10:N94,12,FALSE)</f>
        <v>3</v>
      </c>
      <c r="D22" s="93">
        <f>+VLOOKUP(C11,PROPONENTES!B10:N94,13,FALSE)</f>
        <v>1</v>
      </c>
      <c r="E22" s="32">
        <f>SUM(E15:E21)</f>
        <v>13406.615000000002</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470</v>
      </c>
      <c r="E26" s="84" t="s">
        <v>471</v>
      </c>
      <c r="F26" s="84" t="s">
        <v>469</v>
      </c>
      <c r="G26" s="84" t="s">
        <v>469</v>
      </c>
      <c r="H26" s="84" t="s">
        <v>469</v>
      </c>
      <c r="I26" s="84" t="s">
        <v>470</v>
      </c>
      <c r="J26" s="84" t="s">
        <v>469</v>
      </c>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619</v>
      </c>
      <c r="E29" s="85" t="s">
        <v>620</v>
      </c>
      <c r="F29" s="85" t="s">
        <v>621</v>
      </c>
      <c r="G29" s="85" t="s">
        <v>622</v>
      </c>
      <c r="H29" s="85" t="s">
        <v>623</v>
      </c>
      <c r="I29" s="85" t="s">
        <v>624</v>
      </c>
      <c r="J29" s="85" t="s">
        <v>625</v>
      </c>
      <c r="K29" s="145"/>
      <c r="L29" s="140"/>
    </row>
    <row r="30" spans="2:14" ht="156.75" customHeight="1" x14ac:dyDescent="0.2">
      <c r="B30" s="374"/>
      <c r="C30" s="25" t="s">
        <v>84</v>
      </c>
      <c r="D30" s="85" t="s">
        <v>626</v>
      </c>
      <c r="E30" s="85" t="s">
        <v>627</v>
      </c>
      <c r="F30" s="85" t="s">
        <v>628</v>
      </c>
      <c r="G30" s="85" t="s">
        <v>629</v>
      </c>
      <c r="H30" s="85" t="s">
        <v>630</v>
      </c>
      <c r="I30" s="85" t="s">
        <v>631</v>
      </c>
      <c r="J30" s="85" t="s">
        <v>632</v>
      </c>
      <c r="K30" s="145"/>
      <c r="L30" s="140"/>
    </row>
    <row r="31" spans="2:14" ht="52.5" customHeight="1" x14ac:dyDescent="0.2">
      <c r="B31" s="374"/>
      <c r="C31" s="25" t="s">
        <v>85</v>
      </c>
      <c r="D31" s="89" t="s">
        <v>633</v>
      </c>
      <c r="E31" s="89" t="s">
        <v>634</v>
      </c>
      <c r="F31" s="89" t="s">
        <v>635</v>
      </c>
      <c r="G31" s="89" t="s">
        <v>636</v>
      </c>
      <c r="H31" s="89" t="s">
        <v>637</v>
      </c>
      <c r="I31" s="89" t="s">
        <v>638</v>
      </c>
      <c r="J31" s="89" t="s">
        <v>639</v>
      </c>
      <c r="K31" s="145"/>
      <c r="L31" s="140"/>
    </row>
    <row r="32" spans="2:14" ht="54.75" customHeight="1" x14ac:dyDescent="0.2">
      <c r="B32" s="374"/>
      <c r="C32" s="25" t="s">
        <v>86</v>
      </c>
      <c r="D32" s="89" t="s">
        <v>640</v>
      </c>
      <c r="E32" s="89" t="s">
        <v>641</v>
      </c>
      <c r="F32" s="89" t="s">
        <v>642</v>
      </c>
      <c r="G32" s="89" t="s">
        <v>643</v>
      </c>
      <c r="H32" s="89" t="s">
        <v>644</v>
      </c>
      <c r="I32" s="89" t="s">
        <v>645</v>
      </c>
      <c r="J32" s="89" t="s">
        <v>646</v>
      </c>
      <c r="K32" s="145"/>
      <c r="L32" s="140"/>
    </row>
    <row r="33" spans="2:12" ht="41.25" customHeight="1" x14ac:dyDescent="0.2">
      <c r="B33" s="374"/>
      <c r="C33" s="25" t="s">
        <v>87</v>
      </c>
      <c r="D33" s="86">
        <v>2013</v>
      </c>
      <c r="E33" s="86">
        <v>2015</v>
      </c>
      <c r="F33" s="86">
        <v>2016</v>
      </c>
      <c r="G33" s="86">
        <v>2015</v>
      </c>
      <c r="H33" s="86">
        <v>2012</v>
      </c>
      <c r="I33" s="86">
        <v>2010</v>
      </c>
      <c r="J33" s="86">
        <v>2011</v>
      </c>
      <c r="K33" s="145"/>
      <c r="L33" s="140"/>
    </row>
    <row r="34" spans="2:12" ht="63" customHeight="1" x14ac:dyDescent="0.2">
      <c r="B34" s="374"/>
      <c r="C34" s="25" t="s">
        <v>88</v>
      </c>
      <c r="D34" s="85" t="s">
        <v>647</v>
      </c>
      <c r="E34" s="85" t="s">
        <v>648</v>
      </c>
      <c r="F34" s="85" t="s">
        <v>649</v>
      </c>
      <c r="G34" s="85" t="s">
        <v>650</v>
      </c>
      <c r="H34" s="85" t="s">
        <v>651</v>
      </c>
      <c r="I34" s="85" t="s">
        <v>652</v>
      </c>
      <c r="J34" s="85" t="s">
        <v>653</v>
      </c>
      <c r="K34" s="145"/>
      <c r="L34" s="140"/>
    </row>
    <row r="35" spans="2:12" ht="46.5" customHeight="1" x14ac:dyDescent="0.2">
      <c r="B35" s="374"/>
      <c r="C35" s="25" t="s">
        <v>89</v>
      </c>
      <c r="D35" s="85" t="s">
        <v>654</v>
      </c>
      <c r="E35" s="85" t="s">
        <v>655</v>
      </c>
      <c r="F35" s="85" t="s">
        <v>656</v>
      </c>
      <c r="G35" s="85" t="s">
        <v>657</v>
      </c>
      <c r="H35" s="85" t="s">
        <v>658</v>
      </c>
      <c r="I35" s="85" t="s">
        <v>659</v>
      </c>
      <c r="J35" s="85" t="s">
        <v>660</v>
      </c>
      <c r="K35" s="145"/>
      <c r="L35" s="140"/>
    </row>
    <row r="36" spans="2:12" ht="27.75" customHeight="1" x14ac:dyDescent="0.2">
      <c r="B36" s="374"/>
      <c r="C36" s="26" t="s">
        <v>90</v>
      </c>
      <c r="D36" s="90">
        <v>17</v>
      </c>
      <c r="E36" s="90">
        <v>19</v>
      </c>
      <c r="F36" s="90">
        <v>112</v>
      </c>
      <c r="G36" s="91">
        <v>75</v>
      </c>
      <c r="H36" s="91">
        <v>2</v>
      </c>
      <c r="I36" s="91">
        <v>8</v>
      </c>
      <c r="J36" s="91">
        <v>39</v>
      </c>
      <c r="K36" s="145"/>
      <c r="L36" s="140"/>
    </row>
    <row r="37" spans="2:12" ht="102.75" customHeight="1" x14ac:dyDescent="0.2">
      <c r="B37" s="374"/>
      <c r="C37" s="25" t="s">
        <v>91</v>
      </c>
      <c r="D37" s="87">
        <v>935.05</v>
      </c>
      <c r="E37" s="158">
        <v>2462.11</v>
      </c>
      <c r="F37" s="87">
        <v>3115.33</v>
      </c>
      <c r="G37" s="87">
        <v>2984.06</v>
      </c>
      <c r="H37" s="87">
        <v>6565.94</v>
      </c>
      <c r="I37" s="87">
        <v>2403.8200000000002</v>
      </c>
      <c r="J37" s="87">
        <v>343.02</v>
      </c>
      <c r="K37" s="242"/>
      <c r="L37" s="243"/>
    </row>
    <row r="38" spans="2:12" ht="48" customHeight="1" x14ac:dyDescent="0.2">
      <c r="B38" s="374"/>
      <c r="C38" s="25" t="s">
        <v>92</v>
      </c>
      <c r="D38" s="97">
        <f>IFERROR(D37*VLOOKUP(D33,'DATOS INICIALES'!$A$12:$B$50,2,0),"0")</f>
        <v>551211975</v>
      </c>
      <c r="E38" s="97">
        <f>IFERROR(E37*VLOOKUP(E33,'DATOS INICIALES'!$A$12:$B$50,2,0),"0")</f>
        <v>1586460578.5</v>
      </c>
      <c r="F38" s="97">
        <f>IFERROR(F37*VLOOKUP(F33,'DATOS INICIALES'!$A$12:$B$50,2,0),"0")</f>
        <v>2147879845.1500001</v>
      </c>
      <c r="G38" s="97">
        <f>IFERROR(G37*VLOOKUP(G33,'DATOS INICIALES'!$A$12:$B$50,2,0),"0")</f>
        <v>1922779061</v>
      </c>
      <c r="H38" s="97">
        <f>IFERROR(H37*VLOOKUP(H33,'DATOS INICIALES'!$A$12:$B$50,2,0),"0")</f>
        <v>3720918198</v>
      </c>
      <c r="I38" s="97">
        <f>IFERROR(I37*VLOOKUP(I33,'DATOS INICIALES'!$A$12:$B$50,2,0),"0")</f>
        <v>1237967300</v>
      </c>
      <c r="J38" s="97">
        <f>IFERROR(J37*VLOOKUP(J33,'DATOS INICIALES'!$A$12:$B$50,2,0),"0")</f>
        <v>183721512</v>
      </c>
      <c r="K38" s="145"/>
      <c r="L38" s="140"/>
    </row>
    <row r="39" spans="2:12" ht="33.75" customHeight="1" x14ac:dyDescent="0.2">
      <c r="B39" s="374"/>
      <c r="C39" s="25" t="s">
        <v>93</v>
      </c>
      <c r="D39" s="88">
        <v>1</v>
      </c>
      <c r="E39" s="88">
        <v>1</v>
      </c>
      <c r="F39" s="88">
        <v>0.6</v>
      </c>
      <c r="G39" s="88">
        <v>1</v>
      </c>
      <c r="H39" s="88">
        <v>0.55000000000000004</v>
      </c>
      <c r="I39" s="88">
        <v>0.5</v>
      </c>
      <c r="J39" s="88">
        <v>1</v>
      </c>
      <c r="K39" s="145"/>
      <c r="L39" s="140"/>
    </row>
    <row r="40" spans="2:12" ht="48.75" customHeight="1" x14ac:dyDescent="0.2">
      <c r="B40" s="374"/>
      <c r="C40" s="25" t="s">
        <v>94</v>
      </c>
      <c r="D40" s="97">
        <f t="shared" ref="D40:J40" si="0">IF(D26="","0",D39*D38)</f>
        <v>551211975</v>
      </c>
      <c r="E40" s="97">
        <f t="shared" si="0"/>
        <v>1586460578.5</v>
      </c>
      <c r="F40" s="97">
        <f t="shared" si="0"/>
        <v>1288727907.0899999</v>
      </c>
      <c r="G40" s="97">
        <f t="shared" si="0"/>
        <v>1922779061</v>
      </c>
      <c r="H40" s="97">
        <f t="shared" si="0"/>
        <v>2046505008.9000001</v>
      </c>
      <c r="I40" s="97">
        <f t="shared" si="0"/>
        <v>618983650</v>
      </c>
      <c r="J40" s="97">
        <f t="shared" si="0"/>
        <v>183721512</v>
      </c>
      <c r="K40" s="145"/>
      <c r="L40" s="140"/>
    </row>
    <row r="41" spans="2:12" ht="65.25" customHeight="1" x14ac:dyDescent="0.2">
      <c r="B41" s="374"/>
      <c r="C41" s="25" t="s">
        <v>95</v>
      </c>
      <c r="D41" s="98">
        <f t="shared" ref="D41:J41" si="1">IFERROR(D37*D39,"0")</f>
        <v>935.05</v>
      </c>
      <c r="E41" s="98">
        <f t="shared" si="1"/>
        <v>2462.11</v>
      </c>
      <c r="F41" s="98">
        <f t="shared" si="1"/>
        <v>1869.1979999999999</v>
      </c>
      <c r="G41" s="98">
        <f t="shared" si="1"/>
        <v>2984.06</v>
      </c>
      <c r="H41" s="98">
        <f t="shared" si="1"/>
        <v>3611.2670000000003</v>
      </c>
      <c r="I41" s="98">
        <f t="shared" si="1"/>
        <v>1201.9100000000001</v>
      </c>
      <c r="J41" s="98">
        <f t="shared" si="1"/>
        <v>343.02</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935.05</v>
      </c>
      <c r="E48" s="98">
        <f t="shared" ref="E48:G48" si="6">+E41+E44+E47</f>
        <v>2462.11</v>
      </c>
      <c r="F48" s="98">
        <f t="shared" si="6"/>
        <v>1869.1979999999999</v>
      </c>
      <c r="G48" s="98">
        <f t="shared" si="6"/>
        <v>2984.06</v>
      </c>
      <c r="H48" s="98">
        <f>+H41+H44+H47</f>
        <v>3611.2670000000003</v>
      </c>
      <c r="I48" s="98">
        <f t="shared" ref="I48:J48" si="7">+I41+I44+I47</f>
        <v>1201.9100000000001</v>
      </c>
      <c r="J48" s="98">
        <f t="shared" si="7"/>
        <v>343.02</v>
      </c>
      <c r="K48" s="313"/>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CUMPLE</v>
      </c>
      <c r="H55" s="18" t="str">
        <f t="shared" si="8"/>
        <v>CUMPLE</v>
      </c>
      <c r="I55" s="18" t="str">
        <f t="shared" si="8"/>
        <v>CUMPLE</v>
      </c>
      <c r="J55" s="18" t="str">
        <f t="shared" si="8"/>
        <v>CUMPLE</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CUMPLE</v>
      </c>
      <c r="H67" s="18" t="str">
        <f t="shared" ref="H67:J67" si="9">IF(H26="","N/A",IF(AND(H49="CUMPLE",H55="CUMPLE",OR(H56="CUMPLE",H56="N/A"),OR(H59="CUMPLE",H59="N/A"),H62="CUMPLE",H63="CUMPLE",OR(H64="CUMPLE",H64="N/A"),H65="CUMPLE",OR(H66="CUMPLE",H66="N/A")),"CUMPLE","NO CUMPLE"))</f>
        <v>CUMPLE</v>
      </c>
      <c r="I67" s="18" t="str">
        <f t="shared" si="9"/>
        <v>CUMPLE</v>
      </c>
      <c r="J67" s="18" t="str">
        <f t="shared" si="9"/>
        <v>CUMPLE</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3954" priority="77" operator="equal">
      <formula>"CUMPLE"</formula>
    </cfRule>
    <cfRule type="containsBlanks" dxfId="3953" priority="74">
      <formula>LEN(TRIM(D71))=0</formula>
    </cfRule>
    <cfRule type="notContainsErrors" dxfId="3952" priority="75">
      <formula>NOT(ISERROR(D71))</formula>
    </cfRule>
    <cfRule type="cellIs" dxfId="3951" priority="76" operator="equal">
      <formula>"NO CUMPLE"</formula>
    </cfRule>
  </conditionalFormatting>
  <conditionalFormatting sqref="D72">
    <cfRule type="cellIs" dxfId="3950" priority="79" operator="equal">
      <formula>"CUMPLE"</formula>
    </cfRule>
    <cfRule type="cellIs" dxfId="3949" priority="78" operator="equal">
      <formula>"N/A"</formula>
    </cfRule>
    <cfRule type="cellIs" dxfId="3948" priority="81" operator="equal">
      <formula>"""CUMPLE"""</formula>
    </cfRule>
    <cfRule type="cellIs" dxfId="3947" priority="80" operator="equal">
      <formula>"NO CUMPLE"</formula>
    </cfRule>
  </conditionalFormatting>
  <conditionalFormatting sqref="D26:J37">
    <cfRule type="notContainsErrors" dxfId="3946" priority="4">
      <formula>NOT(ISERROR(D26))</formula>
    </cfRule>
    <cfRule type="containsBlanks" dxfId="3945" priority="3">
      <formula>LEN(TRIM(D26))=0</formula>
    </cfRule>
  </conditionalFormatting>
  <conditionalFormatting sqref="D36:J36">
    <cfRule type="notContainsErrors" dxfId="3944" priority="6">
      <formula>NOT(ISERROR(D36))</formula>
    </cfRule>
    <cfRule type="containsBlanks" dxfId="3943" priority="5">
      <formula>LEN(TRIM(D36))=0</formula>
    </cfRule>
  </conditionalFormatting>
  <conditionalFormatting sqref="D39:J39">
    <cfRule type="containsBlanks" dxfId="3942" priority="1">
      <formula>LEN(TRIM(D39))=0</formula>
    </cfRule>
    <cfRule type="notContainsErrors" dxfId="3941" priority="2">
      <formula>NOT(ISERROR(D39))</formula>
    </cfRule>
  </conditionalFormatting>
  <conditionalFormatting sqref="D42:J42 D45:J45">
    <cfRule type="notContainsErrors" dxfId="3940" priority="38">
      <formula>NOT(ISERROR(D42))</formula>
    </cfRule>
    <cfRule type="containsBlanks" dxfId="3939" priority="37">
      <formula>LEN(TRIM(D42))=0</formula>
    </cfRule>
  </conditionalFormatting>
  <conditionalFormatting sqref="D49:J54">
    <cfRule type="cellIs" dxfId="3938" priority="17" operator="equal">
      <formula>"NO CUMPLE"</formula>
    </cfRule>
    <cfRule type="cellIs" dxfId="3937" priority="18" operator="equal">
      <formula>"CUMPLE"</formula>
    </cfRule>
    <cfRule type="containsBlanks" dxfId="3936" priority="19">
      <formula>LEN(TRIM(D49))=0</formula>
    </cfRule>
    <cfRule type="notContainsErrors" dxfId="3935" priority="20">
      <formula>NOT(ISERROR(D49))</formula>
    </cfRule>
  </conditionalFormatting>
  <conditionalFormatting sqref="D55:J55">
    <cfRule type="cellIs" dxfId="3934" priority="28" operator="equal">
      <formula>"CUMPLE"</formula>
    </cfRule>
    <cfRule type="cellIs" dxfId="3933" priority="30" operator="equal">
      <formula>"""CUMPLE"""</formula>
    </cfRule>
    <cfRule type="cellIs" dxfId="3932" priority="29" operator="equal">
      <formula>"NO CUMPLE"</formula>
    </cfRule>
    <cfRule type="cellIs" dxfId="3931" priority="27" operator="equal">
      <formula>"N/A"</formula>
    </cfRule>
  </conditionalFormatting>
  <conditionalFormatting sqref="D56:J66">
    <cfRule type="cellIs" dxfId="3930" priority="11" operator="equal">
      <formula>"NO CUMPLE"</formula>
    </cfRule>
    <cfRule type="notContainsErrors" dxfId="3929" priority="14">
      <formula>NOT(ISERROR(D56))</formula>
    </cfRule>
    <cfRule type="containsBlanks" dxfId="3928" priority="13">
      <formula>LEN(TRIM(D56))=0</formula>
    </cfRule>
    <cfRule type="cellIs" dxfId="3927" priority="12" operator="equal">
      <formula>"CUMPLE"</formula>
    </cfRule>
  </conditionalFormatting>
  <conditionalFormatting sqref="D67:J67">
    <cfRule type="cellIs" dxfId="3926" priority="23" operator="equal">
      <formula>"N/A"</formula>
    </cfRule>
    <cfRule type="cellIs" dxfId="3925" priority="24" operator="equal">
      <formula>"CUMPLE"</formula>
    </cfRule>
    <cfRule type="cellIs" dxfId="3924" priority="26" operator="equal">
      <formula>"""CUMPLE"""</formula>
    </cfRule>
    <cfRule type="cellIs" dxfId="3923" priority="25" operator="equal">
      <formula>"NO CUMPLE"</formula>
    </cfRule>
  </conditionalFormatting>
  <conditionalFormatting sqref="D62:K66">
    <cfRule type="containsBlanks" dxfId="3922" priority="15">
      <formula>LEN(TRIM(D62))=0</formula>
    </cfRule>
    <cfRule type="notContainsErrors" dxfId="3921" priority="16">
      <formula>NOT(ISERROR(D62))</formula>
    </cfRule>
  </conditionalFormatting>
  <conditionalFormatting sqref="E71:E72">
    <cfRule type="notContainsErrors" dxfId="3920" priority="73">
      <formula>NOT(ISERROR(E71))</formula>
    </cfRule>
    <cfRule type="containsBlanks" dxfId="3919" priority="72">
      <formula>LEN(TRIM(E71))=0</formula>
    </cfRule>
  </conditionalFormatting>
  <conditionalFormatting sqref="F22:H22">
    <cfRule type="cellIs" dxfId="3918" priority="100" operator="equal">
      <formula>"NO CUMPLE"</formula>
    </cfRule>
    <cfRule type="cellIs" dxfId="3917" priority="101" operator="equal">
      <formula>"""CUMPLE"""</formula>
    </cfRule>
    <cfRule type="cellIs" dxfId="3916" priority="99" operator="equal">
      <formula>"CUMPLE"</formula>
    </cfRule>
  </conditionalFormatting>
  <conditionalFormatting sqref="G63:J63">
    <cfRule type="containsBlanks" dxfId="3915" priority="7">
      <formula>LEN(TRIM(G63))=0</formula>
    </cfRule>
    <cfRule type="notContainsErrors" dxfId="3914" priority="8">
      <formula>NOT(ISERROR(G63))</formula>
    </cfRule>
  </conditionalFormatting>
  <conditionalFormatting sqref="I11">
    <cfRule type="containsText" dxfId="3913" priority="105" operator="containsText" text="NO CUMPLE">
      <formula>NOT(ISERROR(SEARCH("NO CUMPLE",I11)))</formula>
    </cfRule>
    <cfRule type="containsText" dxfId="3912" priority="104" operator="containsText" text="HABILITADO">
      <formula>NOT(ISERROR(SEARCH("HABILITADO",I11)))</formula>
    </cfRule>
    <cfRule type="containsText" dxfId="3911" priority="103" operator="containsText" text="HABILITADO">
      <formula>NOT(ISERROR(SEARCH("HABILITADO",I11)))</formula>
    </cfRule>
    <cfRule type="containsText" dxfId="3910" priority="102" operator="containsText" text="INHABILITADO">
      <formula>NOT(ISERROR(SEARCH("INHABILITADO",I11)))</formula>
    </cfRule>
  </conditionalFormatting>
  <conditionalFormatting sqref="K18:K20">
    <cfRule type="cellIs" dxfId="3909" priority="70" operator="equal">
      <formula>"NO CUMPLE"</formula>
    </cfRule>
    <cfRule type="cellIs" dxfId="3908" priority="71" operator="equal">
      <formula>"""CUMPLE"""</formula>
    </cfRule>
    <cfRule type="cellIs" dxfId="3907" priority="69" operator="equal">
      <formula>"CUMPLE"</formula>
    </cfRule>
  </conditionalFormatting>
  <conditionalFormatting sqref="K26:K61 D62:J62">
    <cfRule type="containsBlanks" dxfId="3906" priority="9">
      <formula>LEN(TRIM(D26))=0</formula>
    </cfRule>
    <cfRule type="notContainsErrors" dxfId="3905" priority="10">
      <formula>NOT(ISERROR(D26))</formula>
    </cfRule>
  </conditionalFormatting>
  <conditionalFormatting sqref="K67:L67">
    <cfRule type="containsBlanks" dxfId="3904" priority="21">
      <formula>LEN(TRIM(K67))=0</formula>
    </cfRule>
    <cfRule type="notContainsErrors" dxfId="3903" priority="22">
      <formula>NOT(ISERROR(K67))</formula>
    </cfRule>
  </conditionalFormatting>
  <conditionalFormatting sqref="L14">
    <cfRule type="cellIs" dxfId="3902" priority="98" operator="equal">
      <formula>"""CUMPLE"""</formula>
    </cfRule>
    <cfRule type="cellIs" dxfId="3901" priority="97" operator="equal">
      <formula>"NO CUMPLE"</formula>
    </cfRule>
    <cfRule type="cellIs" dxfId="3900" priority="96" operator="equal">
      <formula>"CUMPLE"</formula>
    </cfRule>
  </conditionalFormatting>
  <dataValidations count="2">
    <dataValidation type="list" allowBlank="1" showInputMessage="1" showErrorMessage="1" sqref="L62:L67" xr:uid="{00000000-0002-0000-1D00-000000000000}">
      <formula1>"0,1,2,3,4,5,6"</formula1>
    </dataValidation>
    <dataValidation type="list" allowBlank="1" showInputMessage="1" showErrorMessage="1" sqref="D26:J28" xr:uid="{00000000-0002-0000-1D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1D00-000002000000}">
          <x14:formula1>
            <xm:f>'DATOS INICIALES'!$A$57:$A$58</xm:f>
          </x14:formula1>
          <xm:sqref>D49:J49</xm:sqref>
        </x14:dataValidation>
        <x14:dataValidation type="list" allowBlank="1" showInputMessage="1" showErrorMessage="1" xr:uid="{00000000-0002-0000-1D00-000003000000}">
          <x14:formula1>
            <xm:f>'DATOS INICIALES'!$A$61:$A$67</xm:f>
          </x14:formula1>
          <xm:sqref>J25</xm:sqref>
        </x14:dataValidation>
        <x14:dataValidation type="list" allowBlank="1" showInputMessage="1" showErrorMessage="1" xr:uid="{00000000-0002-0000-1D00-000004000000}">
          <x14:formula1>
            <xm:f>'DATOS INICIALES'!$C$52:$C$53</xm:f>
          </x14:formula1>
          <xm:sqref>D53:J54</xm:sqref>
        </x14:dataValidation>
        <x14:dataValidation type="list" allowBlank="1" showInputMessage="1" showErrorMessage="1" xr:uid="{00000000-0002-0000-1D00-000005000000}">
          <x14:formula1>
            <xm:f>'DATOS INICIALES'!$A$57:$A$59</xm:f>
          </x14:formula1>
          <xm:sqref>D71 D56:J66</xm:sqref>
        </x14:dataValidation>
        <x14:dataValidation type="list" allowBlank="1" showInputMessage="1" showErrorMessage="1" xr:uid="{00000000-0002-0000-1D00-000006000000}">
          <x14:formula1>
            <xm:f>'DATOS INICIALES'!$A$61:$A$66</xm:f>
          </x14:formula1>
          <xm:sqref>D25:I25</xm:sqref>
        </x14:dataValidation>
        <x14:dataValidation type="list" allowBlank="1" showInputMessage="1" showErrorMessage="1" xr:uid="{00000000-0002-0000-1D00-000007000000}">
          <x14:formula1>
            <xm:f>'DATOS INICIALES'!$D$27:$D$29</xm:f>
          </x14:formula1>
          <xm:sqref>M50:M55</xm:sqref>
        </x14:dataValidation>
        <x14:dataValidation type="list" allowBlank="1" showInputMessage="1" showErrorMessage="1" xr:uid="{00000000-0002-0000-1D00-000008000000}">
          <x14:formula1>
            <xm:f>'DATOS INICIALES'!$C$52:$C$54</xm:f>
          </x14:formula1>
          <xm:sqref>D50:J52</xm:sqref>
        </x14:dataValidation>
        <x14:dataValidation type="list" allowBlank="1" showInputMessage="1" showErrorMessage="1" xr:uid="{00000000-0002-0000-1D00-000009000000}">
          <x14:formula1>
            <xm:f>'/Users/ldrr/Desktop/SDDE/REVISION DE CARPETAS/C:\Users\ASUS\OneDrive\Escritorio\alcaldia local de usaquen\2025\16. EVALUACION DE PROCESOS\INTERVENTORIA DE VIAS\consolidado equipo\[Juliana_ 15 A 24_Evaluación_Tecnica_fdlusa-CMA-003-2025.xlsx]DATOS INICIALES'!#REF!</xm:f>
          </x14:formula1>
          <xm:sqref>G33:I33</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92D050"/>
  </sheetPr>
  <dimension ref="A1:N72"/>
  <sheetViews>
    <sheetView view="pageBreakPreview" topLeftCell="A13" zoomScale="40" zoomScaleNormal="25" zoomScaleSheetLayoutView="40" workbookViewId="0">
      <selection activeCell="K48" sqref="K48"/>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25</v>
      </c>
      <c r="B11" s="2" t="s">
        <v>58</v>
      </c>
      <c r="C11" s="413" t="str">
        <f>VLOOKUP(A11,PROPONENTES!A10:B94,2,FALSE)</f>
        <v>CB INGENIEROS SAS</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4</v>
      </c>
      <c r="J14" s="147">
        <f>+L8</f>
        <v>986.3076290832455</v>
      </c>
      <c r="K14" s="147">
        <f>+E22</f>
        <v>8299.1270000000004</v>
      </c>
      <c r="L14" s="18" t="str">
        <f>IF(K14&gt;=J14,"CUMPLE","NO CUMPLE")</f>
        <v>CUMPLE</v>
      </c>
    </row>
    <row r="15" spans="1:12" ht="33.75" customHeight="1" x14ac:dyDescent="0.2">
      <c r="B15" s="382"/>
      <c r="C15" s="92" t="str">
        <f>IF(VLOOKUP(C11,PROPONENTES!B10:N94,2,FALSE)=0,"",VLOOKUP(C11,PROPONENTES!B10:N94,2,FALSE))</f>
        <v>CB INGENIEROS SAS</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8299.1270000000004</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2074.7817500000001</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3</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4</v>
      </c>
      <c r="J19" s="128">
        <v>1</v>
      </c>
      <c r="K19" s="387"/>
      <c r="L19" s="388"/>
    </row>
    <row r="20" spans="2:14" ht="50.25" customHeight="1" x14ac:dyDescent="0.2">
      <c r="B20" s="382"/>
      <c r="C20" s="92"/>
      <c r="D20" s="93"/>
      <c r="E20" s="94"/>
      <c r="F20" s="95"/>
      <c r="G20" s="96"/>
      <c r="H20" s="96"/>
      <c r="I20" s="128">
        <f>COUNTIFS(D60:J60,"CUMPLE",D67:J67,"CUMPLE")</f>
        <v>4</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4</v>
      </c>
      <c r="J21" s="128">
        <v>1</v>
      </c>
      <c r="K21" s="389"/>
      <c r="L21" s="390"/>
    </row>
    <row r="22" spans="2:14" ht="84.75" customHeight="1" x14ac:dyDescent="0.2">
      <c r="B22" s="29" t="s">
        <v>75</v>
      </c>
      <c r="C22" s="24">
        <f>+VLOOKUP(C11,PROPONENTES!B10:N94,12,FALSE)</f>
        <v>1</v>
      </c>
      <c r="D22" s="93">
        <f>+VLOOKUP(C11,PROPONENTES!B10:N94,13,FALSE)</f>
        <v>1</v>
      </c>
      <c r="E22" s="32">
        <f>SUM(E15:E21)</f>
        <v>8299.1270000000004</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230</v>
      </c>
      <c r="E26" s="84" t="s">
        <v>230</v>
      </c>
      <c r="F26" s="84" t="s">
        <v>230</v>
      </c>
      <c r="G26" s="84" t="s">
        <v>230</v>
      </c>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680</v>
      </c>
      <c r="E29" s="85" t="s">
        <v>681</v>
      </c>
      <c r="F29" s="85" t="s">
        <v>682</v>
      </c>
      <c r="G29" s="85" t="s">
        <v>683</v>
      </c>
      <c r="H29" s="85"/>
      <c r="I29" s="85"/>
      <c r="J29" s="85"/>
      <c r="K29" s="145"/>
      <c r="L29" s="140"/>
    </row>
    <row r="30" spans="2:14" ht="156.75" customHeight="1" x14ac:dyDescent="0.2">
      <c r="B30" s="374"/>
      <c r="C30" s="25" t="s">
        <v>84</v>
      </c>
      <c r="D30" s="85" t="s">
        <v>684</v>
      </c>
      <c r="E30" s="85" t="s">
        <v>685</v>
      </c>
      <c r="F30" s="85" t="s">
        <v>686</v>
      </c>
      <c r="G30" s="85" t="s">
        <v>687</v>
      </c>
      <c r="H30" s="85"/>
      <c r="I30" s="85"/>
      <c r="J30" s="85"/>
      <c r="K30" s="145"/>
      <c r="L30" s="140"/>
    </row>
    <row r="31" spans="2:14" ht="52.5" customHeight="1" x14ac:dyDescent="0.2">
      <c r="B31" s="374"/>
      <c r="C31" s="25" t="s">
        <v>85</v>
      </c>
      <c r="D31" s="89">
        <v>40079</v>
      </c>
      <c r="E31" s="89">
        <v>41256</v>
      </c>
      <c r="F31" s="89">
        <v>35177</v>
      </c>
      <c r="G31" s="89">
        <v>36311</v>
      </c>
      <c r="H31" s="89"/>
      <c r="I31" s="89"/>
      <c r="J31" s="89"/>
      <c r="K31" s="145"/>
      <c r="L31" s="140"/>
    </row>
    <row r="32" spans="2:14" ht="54.75" customHeight="1" x14ac:dyDescent="0.2">
      <c r="B32" s="374"/>
      <c r="C32" s="25" t="s">
        <v>86</v>
      </c>
      <c r="D32" s="89">
        <v>42094</v>
      </c>
      <c r="E32" s="89">
        <v>41805</v>
      </c>
      <c r="F32" s="89">
        <v>35563</v>
      </c>
      <c r="G32" s="89">
        <v>36556</v>
      </c>
      <c r="H32" s="89"/>
      <c r="I32" s="89"/>
      <c r="J32" s="89"/>
      <c r="K32" s="145"/>
      <c r="L32" s="140"/>
    </row>
    <row r="33" spans="2:12" ht="41.25" customHeight="1" x14ac:dyDescent="0.2">
      <c r="B33" s="374"/>
      <c r="C33" s="25" t="s">
        <v>87</v>
      </c>
      <c r="D33" s="86">
        <v>2015</v>
      </c>
      <c r="E33" s="86">
        <v>2014</v>
      </c>
      <c r="F33" s="86">
        <v>1997</v>
      </c>
      <c r="G33" s="86">
        <v>2000</v>
      </c>
      <c r="H33" s="86"/>
      <c r="I33" s="86"/>
      <c r="J33" s="86"/>
      <c r="K33" s="145"/>
      <c r="L33" s="140"/>
    </row>
    <row r="34" spans="2:12" ht="63" customHeight="1" x14ac:dyDescent="0.2">
      <c r="B34" s="374"/>
      <c r="C34" s="25" t="s">
        <v>88</v>
      </c>
      <c r="D34" s="85" t="s">
        <v>688</v>
      </c>
      <c r="E34" s="85" t="s">
        <v>688</v>
      </c>
      <c r="F34" s="85" t="s">
        <v>689</v>
      </c>
      <c r="G34" s="85" t="s">
        <v>689</v>
      </c>
      <c r="H34" s="85"/>
      <c r="I34" s="85"/>
      <c r="J34" s="85"/>
      <c r="K34" s="145"/>
      <c r="L34" s="140"/>
    </row>
    <row r="35" spans="2:12" ht="46.5" customHeight="1" x14ac:dyDescent="0.2">
      <c r="B35" s="374"/>
      <c r="C35" s="25" t="s">
        <v>89</v>
      </c>
      <c r="D35" s="85" t="s">
        <v>230</v>
      </c>
      <c r="E35" s="85" t="s">
        <v>230</v>
      </c>
      <c r="F35" s="85" t="s">
        <v>230</v>
      </c>
      <c r="G35" s="85" t="s">
        <v>230</v>
      </c>
      <c r="H35" s="85"/>
      <c r="I35" s="85"/>
      <c r="J35" s="85"/>
      <c r="K35" s="145"/>
      <c r="L35" s="140"/>
    </row>
    <row r="36" spans="2:12" ht="27.75" customHeight="1" x14ac:dyDescent="0.2">
      <c r="B36" s="374"/>
      <c r="C36" s="26" t="s">
        <v>90</v>
      </c>
      <c r="D36" s="90">
        <v>76</v>
      </c>
      <c r="E36" s="90">
        <v>75</v>
      </c>
      <c r="F36" s="90">
        <v>8</v>
      </c>
      <c r="G36" s="91">
        <v>12</v>
      </c>
      <c r="H36" s="91"/>
      <c r="I36" s="91"/>
      <c r="J36" s="91"/>
      <c r="K36" s="145"/>
      <c r="L36" s="140"/>
    </row>
    <row r="37" spans="2:12" ht="102.75" customHeight="1" x14ac:dyDescent="0.2">
      <c r="B37" s="374"/>
      <c r="C37" s="25" t="s">
        <v>91</v>
      </c>
      <c r="D37" s="87">
        <v>21741.25</v>
      </c>
      <c r="E37" s="87">
        <v>2417.29</v>
      </c>
      <c r="F37" s="87">
        <v>2236.7600000000002</v>
      </c>
      <c r="G37" s="87">
        <v>988.93</v>
      </c>
      <c r="H37" s="87"/>
      <c r="I37" s="87"/>
      <c r="J37" s="87"/>
      <c r="K37" s="242"/>
      <c r="L37" s="243"/>
    </row>
    <row r="38" spans="2:12" ht="48" customHeight="1" x14ac:dyDescent="0.2">
      <c r="B38" s="374"/>
      <c r="C38" s="25" t="s">
        <v>92</v>
      </c>
      <c r="D38" s="97">
        <f>IFERROR(D37*VLOOKUP(D33,'DATOS INICIALES'!$A$12:$B$50,2,0),"0")</f>
        <v>14008974437.5</v>
      </c>
      <c r="E38" s="97">
        <f>IFERROR(E37*VLOOKUP(E33,'DATOS INICIALES'!$A$12:$B$50,2,0),"0")</f>
        <v>1489050640</v>
      </c>
      <c r="F38" s="97">
        <f>IFERROR(F37*VLOOKUP(F33,'DATOS INICIALES'!$A$12:$B$50,2,0),"0")</f>
        <v>384733903.80000001</v>
      </c>
      <c r="G38" s="97">
        <f>IFERROR(G37*VLOOKUP(G33,'DATOS INICIALES'!$A$12:$B$50,2,0),"0")</f>
        <v>257220693</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0.2</v>
      </c>
      <c r="E39" s="88">
        <v>0.3</v>
      </c>
      <c r="F39" s="88">
        <v>1</v>
      </c>
      <c r="G39" s="88">
        <v>1</v>
      </c>
      <c r="H39" s="88"/>
      <c r="I39" s="88"/>
      <c r="J39" s="88"/>
      <c r="K39" s="145"/>
      <c r="L39" s="140"/>
    </row>
    <row r="40" spans="2:12" ht="48.75" customHeight="1" x14ac:dyDescent="0.2">
      <c r="B40" s="374"/>
      <c r="C40" s="25" t="s">
        <v>94</v>
      </c>
      <c r="D40" s="97">
        <f t="shared" ref="D40:J40" si="0">IF(D26="","0",D39*D38)</f>
        <v>2801794887.5</v>
      </c>
      <c r="E40" s="97">
        <f t="shared" si="0"/>
        <v>446715192</v>
      </c>
      <c r="F40" s="97">
        <f t="shared" si="0"/>
        <v>384733903.80000001</v>
      </c>
      <c r="G40" s="97">
        <f t="shared" si="0"/>
        <v>257220693</v>
      </c>
      <c r="H40" s="97" t="str">
        <f t="shared" si="0"/>
        <v>0</v>
      </c>
      <c r="I40" s="97" t="str">
        <f t="shared" si="0"/>
        <v>0</v>
      </c>
      <c r="J40" s="97" t="str">
        <f t="shared" si="0"/>
        <v>0</v>
      </c>
      <c r="K40" s="145"/>
      <c r="L40" s="140"/>
    </row>
    <row r="41" spans="2:12" ht="65.25" customHeight="1" x14ac:dyDescent="0.2">
      <c r="B41" s="374"/>
      <c r="C41" s="25" t="s">
        <v>95</v>
      </c>
      <c r="D41" s="98">
        <f t="shared" ref="D41:J41" si="1">IFERROR(D37*D39,"0")</f>
        <v>4348.25</v>
      </c>
      <c r="E41" s="98">
        <f t="shared" si="1"/>
        <v>725.18700000000001</v>
      </c>
      <c r="F41" s="98">
        <f t="shared" si="1"/>
        <v>2236.7600000000002</v>
      </c>
      <c r="G41" s="98">
        <f t="shared" si="1"/>
        <v>988.93</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4348.25</v>
      </c>
      <c r="E48" s="98">
        <f t="shared" ref="E48:G48" si="6">+E41+E44+E47</f>
        <v>725.18700000000001</v>
      </c>
      <c r="F48" s="98">
        <f t="shared" si="6"/>
        <v>2236.7600000000002</v>
      </c>
      <c r="G48" s="98">
        <f t="shared" si="6"/>
        <v>988.93</v>
      </c>
      <c r="H48" s="98">
        <f>+H41+H44+H47</f>
        <v>0</v>
      </c>
      <c r="I48" s="98">
        <f t="shared" ref="I48:J48" si="7">+I41+I44+I47</f>
        <v>0</v>
      </c>
      <c r="J48" s="98">
        <f t="shared" si="7"/>
        <v>0</v>
      </c>
      <c r="K48" s="313"/>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CUMPLE</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517"/>
      <c r="L56" s="518"/>
    </row>
    <row r="57" spans="2:12" ht="50.25" customHeight="1" x14ac:dyDescent="0.2">
      <c r="B57" s="431" t="s">
        <v>177</v>
      </c>
      <c r="C57" s="432"/>
      <c r="D57" s="84" t="s">
        <v>24</v>
      </c>
      <c r="E57" s="84" t="s">
        <v>24</v>
      </c>
      <c r="F57" s="84" t="s">
        <v>26</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CUMPLE</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2">
    <mergeCell ref="I22:L22"/>
    <mergeCell ref="B66:C66"/>
    <mergeCell ref="B67:C67"/>
    <mergeCell ref="B69:E69"/>
    <mergeCell ref="B70:C70"/>
    <mergeCell ref="B63:C63"/>
    <mergeCell ref="B64:C64"/>
    <mergeCell ref="B65:C65"/>
    <mergeCell ref="B60:C60"/>
    <mergeCell ref="B61:C61"/>
    <mergeCell ref="B62:C62"/>
    <mergeCell ref="B57:C57"/>
    <mergeCell ref="B58:C58"/>
    <mergeCell ref="B59:C59"/>
    <mergeCell ref="B13:H13"/>
    <mergeCell ref="B14:B21"/>
    <mergeCell ref="B26:C26"/>
    <mergeCell ref="B27:C27"/>
    <mergeCell ref="B72:C72"/>
    <mergeCell ref="B71:C71"/>
    <mergeCell ref="B24:L24"/>
    <mergeCell ref="K25:L25"/>
    <mergeCell ref="B56:C56"/>
    <mergeCell ref="B50:B55"/>
    <mergeCell ref="B29:B47"/>
    <mergeCell ref="B28:C28"/>
    <mergeCell ref="K56:L56"/>
    <mergeCell ref="K17:L17"/>
    <mergeCell ref="K18:L21"/>
    <mergeCell ref="B23:L23"/>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3899" priority="77" operator="equal">
      <formula>"CUMPLE"</formula>
    </cfRule>
    <cfRule type="cellIs" dxfId="3898" priority="76" operator="equal">
      <formula>"NO CUMPLE"</formula>
    </cfRule>
    <cfRule type="containsBlanks" dxfId="3897" priority="74">
      <formula>LEN(TRIM(D71))=0</formula>
    </cfRule>
    <cfRule type="notContainsErrors" dxfId="3896" priority="75">
      <formula>NOT(ISERROR(D71))</formula>
    </cfRule>
  </conditionalFormatting>
  <conditionalFormatting sqref="D72">
    <cfRule type="cellIs" dxfId="3895" priority="78" operator="equal">
      <formula>"N/A"</formula>
    </cfRule>
    <cfRule type="cellIs" dxfId="3894" priority="80" operator="equal">
      <formula>"NO CUMPLE"</formula>
    </cfRule>
    <cfRule type="cellIs" dxfId="3893" priority="79" operator="equal">
      <formula>"CUMPLE"</formula>
    </cfRule>
    <cfRule type="cellIs" dxfId="3892" priority="81" operator="equal">
      <formula>"""CUMPLE"""</formula>
    </cfRule>
  </conditionalFormatting>
  <conditionalFormatting sqref="D26:J37">
    <cfRule type="notContainsErrors" dxfId="3891" priority="6">
      <formula>NOT(ISERROR(D26))</formula>
    </cfRule>
    <cfRule type="containsBlanks" dxfId="3890" priority="5">
      <formula>LEN(TRIM(D26))=0</formula>
    </cfRule>
  </conditionalFormatting>
  <conditionalFormatting sqref="D36:J36">
    <cfRule type="notContainsErrors" dxfId="3889" priority="8">
      <formula>NOT(ISERROR(D36))</formula>
    </cfRule>
    <cfRule type="containsBlanks" dxfId="3888" priority="7">
      <formula>LEN(TRIM(D36))=0</formula>
    </cfRule>
  </conditionalFormatting>
  <conditionalFormatting sqref="D39:J39">
    <cfRule type="containsBlanks" dxfId="3887" priority="3">
      <formula>LEN(TRIM(D39))=0</formula>
    </cfRule>
    <cfRule type="notContainsErrors" dxfId="3886" priority="4">
      <formula>NOT(ISERROR(D39))</formula>
    </cfRule>
  </conditionalFormatting>
  <conditionalFormatting sqref="D42:J42 D45:J45">
    <cfRule type="notContainsErrors" dxfId="3885" priority="40">
      <formula>NOT(ISERROR(D42))</formula>
    </cfRule>
    <cfRule type="containsBlanks" dxfId="3884" priority="39">
      <formula>LEN(TRIM(D42))=0</formula>
    </cfRule>
  </conditionalFormatting>
  <conditionalFormatting sqref="D49:J54">
    <cfRule type="notContainsErrors" dxfId="3883" priority="22">
      <formula>NOT(ISERROR(D49))</formula>
    </cfRule>
    <cfRule type="containsBlanks" dxfId="3882" priority="21">
      <formula>LEN(TRIM(D49))=0</formula>
    </cfRule>
    <cfRule type="cellIs" dxfId="3881" priority="19" operator="equal">
      <formula>"NO CUMPLE"</formula>
    </cfRule>
    <cfRule type="cellIs" dxfId="3880" priority="20" operator="equal">
      <formula>"CUMPLE"</formula>
    </cfRule>
  </conditionalFormatting>
  <conditionalFormatting sqref="D55:J55">
    <cfRule type="cellIs" dxfId="3879" priority="31" operator="equal">
      <formula>"NO CUMPLE"</formula>
    </cfRule>
    <cfRule type="cellIs" dxfId="3878" priority="32" operator="equal">
      <formula>"""CUMPLE"""</formula>
    </cfRule>
    <cfRule type="cellIs" dxfId="3877" priority="29" operator="equal">
      <formula>"N/A"</formula>
    </cfRule>
    <cfRule type="cellIs" dxfId="3876" priority="30" operator="equal">
      <formula>"CUMPLE"</formula>
    </cfRule>
  </conditionalFormatting>
  <conditionalFormatting sqref="D56:J66">
    <cfRule type="cellIs" dxfId="3875" priority="14" operator="equal">
      <formula>"CUMPLE"</formula>
    </cfRule>
    <cfRule type="cellIs" dxfId="3874" priority="13" operator="equal">
      <formula>"NO CUMPLE"</formula>
    </cfRule>
    <cfRule type="containsBlanks" dxfId="3873" priority="15">
      <formula>LEN(TRIM(D56))=0</formula>
    </cfRule>
    <cfRule type="notContainsErrors" dxfId="3872" priority="16">
      <formula>NOT(ISERROR(D56))</formula>
    </cfRule>
  </conditionalFormatting>
  <conditionalFormatting sqref="D62:J62">
    <cfRule type="notContainsErrors" dxfId="3871" priority="12">
      <formula>NOT(ISERROR(D62))</formula>
    </cfRule>
    <cfRule type="containsBlanks" dxfId="3870" priority="11">
      <formula>LEN(TRIM(D62))=0</formula>
    </cfRule>
  </conditionalFormatting>
  <conditionalFormatting sqref="D67:J67">
    <cfRule type="cellIs" dxfId="3869" priority="26" operator="equal">
      <formula>"CUMPLE"</formula>
    </cfRule>
    <cfRule type="cellIs" dxfId="3868" priority="25" operator="equal">
      <formula>"N/A"</formula>
    </cfRule>
    <cfRule type="cellIs" dxfId="3867" priority="27" operator="equal">
      <formula>"NO CUMPLE"</formula>
    </cfRule>
    <cfRule type="cellIs" dxfId="3866" priority="28" operator="equal">
      <formula>"""CUMPLE"""</formula>
    </cfRule>
  </conditionalFormatting>
  <conditionalFormatting sqref="D62:K66">
    <cfRule type="containsBlanks" dxfId="3865" priority="17">
      <formula>LEN(TRIM(D62))=0</formula>
    </cfRule>
    <cfRule type="notContainsErrors" dxfId="3864" priority="18">
      <formula>NOT(ISERROR(D62))</formula>
    </cfRule>
  </conditionalFormatting>
  <conditionalFormatting sqref="E71:E72">
    <cfRule type="notContainsErrors" dxfId="3863" priority="73">
      <formula>NOT(ISERROR(E71))</formula>
    </cfRule>
    <cfRule type="containsBlanks" dxfId="3862" priority="72">
      <formula>LEN(TRIM(E71))=0</formula>
    </cfRule>
  </conditionalFormatting>
  <conditionalFormatting sqref="F22:H22">
    <cfRule type="cellIs" dxfId="3861" priority="100" operator="equal">
      <formula>"NO CUMPLE"</formula>
    </cfRule>
    <cfRule type="cellIs" dxfId="3860" priority="99" operator="equal">
      <formula>"CUMPLE"</formula>
    </cfRule>
    <cfRule type="cellIs" dxfId="3859" priority="101" operator="equal">
      <formula>"""CUMPLE"""</formula>
    </cfRule>
  </conditionalFormatting>
  <conditionalFormatting sqref="G63:J63">
    <cfRule type="containsBlanks" dxfId="3858" priority="9">
      <formula>LEN(TRIM(G63))=0</formula>
    </cfRule>
    <cfRule type="notContainsErrors" dxfId="3857" priority="10">
      <formula>NOT(ISERROR(G63))</formula>
    </cfRule>
  </conditionalFormatting>
  <conditionalFormatting sqref="I11">
    <cfRule type="containsText" dxfId="3856" priority="105" operator="containsText" text="NO CUMPLE">
      <formula>NOT(ISERROR(SEARCH("NO CUMPLE",I11)))</formula>
    </cfRule>
    <cfRule type="containsText" dxfId="3855" priority="104" operator="containsText" text="HABILITADO">
      <formula>NOT(ISERROR(SEARCH("HABILITADO",I11)))</formula>
    </cfRule>
    <cfRule type="containsText" dxfId="3854" priority="103" operator="containsText" text="HABILITADO">
      <formula>NOT(ISERROR(SEARCH("HABILITADO",I11)))</formula>
    </cfRule>
    <cfRule type="containsText" dxfId="3853" priority="102" operator="containsText" text="INHABILITADO">
      <formula>NOT(ISERROR(SEARCH("INHABILITADO",I11)))</formula>
    </cfRule>
  </conditionalFormatting>
  <conditionalFormatting sqref="K18:K20">
    <cfRule type="cellIs" dxfId="3852" priority="70" operator="equal">
      <formula>"NO CUMPLE"</formula>
    </cfRule>
    <cfRule type="cellIs" dxfId="3851" priority="69" operator="equal">
      <formula>"CUMPLE"</formula>
    </cfRule>
    <cfRule type="cellIs" dxfId="3850" priority="71" operator="equal">
      <formula>"""CUMPLE"""</formula>
    </cfRule>
  </conditionalFormatting>
  <conditionalFormatting sqref="K26:K61">
    <cfRule type="containsBlanks" dxfId="3849" priority="1">
      <formula>LEN(TRIM(K26))=0</formula>
    </cfRule>
    <cfRule type="notContainsErrors" dxfId="3848" priority="2">
      <formula>NOT(ISERROR(K26))</formula>
    </cfRule>
  </conditionalFormatting>
  <conditionalFormatting sqref="K67:L67">
    <cfRule type="containsBlanks" dxfId="3847" priority="23">
      <formula>LEN(TRIM(K67))=0</formula>
    </cfRule>
    <cfRule type="notContainsErrors" dxfId="3846" priority="24">
      <formula>NOT(ISERROR(K67))</formula>
    </cfRule>
  </conditionalFormatting>
  <conditionalFormatting sqref="L14">
    <cfRule type="cellIs" dxfId="3845" priority="98" operator="equal">
      <formula>"""CUMPLE"""</formula>
    </cfRule>
    <cfRule type="cellIs" dxfId="3844" priority="97" operator="equal">
      <formula>"NO CUMPLE"</formula>
    </cfRule>
    <cfRule type="cellIs" dxfId="3843" priority="96" operator="equal">
      <formula>"CUMPLE"</formula>
    </cfRule>
  </conditionalFormatting>
  <dataValidations count="2">
    <dataValidation type="list" allowBlank="1" showInputMessage="1" showErrorMessage="1" sqref="L62:L67" xr:uid="{00000000-0002-0000-1E00-000000000000}">
      <formula1>"0,1,2,3,4,5,6"</formula1>
    </dataValidation>
    <dataValidation type="list" allowBlank="1" showInputMessage="1" showErrorMessage="1" sqref="D26:J28" xr:uid="{00000000-0002-0000-1E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1E00-000002000000}">
          <x14:formula1>
            <xm:f>'DATOS INICIALES'!$A$57:$A$58</xm:f>
          </x14:formula1>
          <xm:sqref>D49:J49</xm:sqref>
        </x14:dataValidation>
        <x14:dataValidation type="list" allowBlank="1" showInputMessage="1" showErrorMessage="1" xr:uid="{00000000-0002-0000-1E00-000003000000}">
          <x14:formula1>
            <xm:f>'DATOS INICIALES'!$A$61:$A$67</xm:f>
          </x14:formula1>
          <xm:sqref>J25</xm:sqref>
        </x14:dataValidation>
        <x14:dataValidation type="list" allowBlank="1" showInputMessage="1" showErrorMessage="1" xr:uid="{00000000-0002-0000-1E00-000004000000}">
          <x14:formula1>
            <xm:f>'DATOS INICIALES'!$C$52:$C$53</xm:f>
          </x14:formula1>
          <xm:sqref>D53:J54</xm:sqref>
        </x14:dataValidation>
        <x14:dataValidation type="list" allowBlank="1" showInputMessage="1" showErrorMessage="1" xr:uid="{00000000-0002-0000-1E00-000005000000}">
          <x14:formula1>
            <xm:f>'DATOS INICIALES'!$A$57:$A$59</xm:f>
          </x14:formula1>
          <xm:sqref>D71 D56:J66</xm:sqref>
        </x14:dataValidation>
        <x14:dataValidation type="list" allowBlank="1" showInputMessage="1" showErrorMessage="1" xr:uid="{00000000-0002-0000-1E00-000006000000}">
          <x14:formula1>
            <xm:f>'DATOS INICIALES'!$A$61:$A$66</xm:f>
          </x14:formula1>
          <xm:sqref>D25:I25</xm:sqref>
        </x14:dataValidation>
        <x14:dataValidation type="list" allowBlank="1" showInputMessage="1" showErrorMessage="1" xr:uid="{00000000-0002-0000-1E00-000007000000}">
          <x14:formula1>
            <xm:f>'DATOS INICIALES'!$A$13:$A$50</xm:f>
          </x14:formula1>
          <xm:sqref>H33:I33</xm:sqref>
        </x14:dataValidation>
        <x14:dataValidation type="list" allowBlank="1" showInputMessage="1" showErrorMessage="1" xr:uid="{00000000-0002-0000-1E00-000008000000}">
          <x14:formula1>
            <xm:f>'DATOS INICIALES'!$D$27:$D$29</xm:f>
          </x14:formula1>
          <xm:sqref>M50:M55</xm:sqref>
        </x14:dataValidation>
        <x14:dataValidation type="list" allowBlank="1" showInputMessage="1" showErrorMessage="1" xr:uid="{00000000-0002-0000-1E00-000009000000}">
          <x14:formula1>
            <xm:f>'DATOS INICIALES'!$C$52:$C$54</xm:f>
          </x14:formula1>
          <xm:sqref>D50:J52</xm:sqref>
        </x14:dataValidation>
        <x14:dataValidation type="list" allowBlank="1" showInputMessage="1" showErrorMessage="1" xr:uid="{00000000-0002-0000-1E00-00000A000000}">
          <x14:formula1>
            <xm:f>'/Users/ldrr/Desktop/SDDE/REVISION DE CARPETAS/C:\Users\ASUS\OneDrive\Escritorio\alcaldia local de usaquen\2025\16. EVALUACION DE PROCESOS\INTERVENTORIA DE VIAS\consolidado equipo\[Edgar_ Evaluación_Tecnica_fdlusa-CMA-003-2025 - 25A34.xlsx]DATOS INICIALES'!#REF!</xm:f>
          </x14:formula1>
          <xm:sqref>G33</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92D050"/>
  </sheetPr>
  <dimension ref="A1:N72"/>
  <sheetViews>
    <sheetView view="pageBreakPreview" topLeftCell="A10" zoomScale="40" zoomScaleNormal="25" zoomScaleSheetLayoutView="40" workbookViewId="0">
      <selection activeCell="G56" sqref="G56"/>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8" width="26.1640625" customWidth="1"/>
    <col min="9" max="9" width="41.6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26</v>
      </c>
      <c r="B11" s="2" t="s">
        <v>58</v>
      </c>
      <c r="C11" s="413" t="str">
        <f>VLOOKUP(A11,PROPONENTES!A10:B94,2,FALSE)</f>
        <v>PD USAQUEN</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4</v>
      </c>
      <c r="J14" s="147">
        <f>+L8</f>
        <v>986.3076290832455</v>
      </c>
      <c r="K14" s="147">
        <f>+E22</f>
        <v>9822.5069999999996</v>
      </c>
      <c r="L14" s="18" t="str">
        <f>IF(K14&gt;=J14,"CUMPLE","NO CUMPLE")</f>
        <v>CUMPLE</v>
      </c>
    </row>
    <row r="15" spans="1:12" ht="33.75" customHeight="1" x14ac:dyDescent="0.2">
      <c r="B15" s="382"/>
      <c r="C15" s="92" t="str">
        <f>IF(VLOOKUP(C11,PROPONENTES!B10:N94,2,FALSE)=0,"",VLOOKUP(C11,PROPONENTES!B10:N94,2,FALSE))</f>
        <v>PROYECTISTAS DE COLOMBIA &amp; CIA. S.A.S PROYECTCOL S.A.S</v>
      </c>
      <c r="D15" s="93">
        <f>IF(VLOOKUP(C11,PROPONENTES!B10:N94,3,FALSE)=0,"",VLOOKUP(C11,PROPONENTES!B10:N94,3,FALSE))</f>
        <v>0.4</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1665.5920000000001</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DISEÑOS INTERVENTORÍAS Y SERVICIOS S.A.S. DIS S.A.S</v>
      </c>
      <c r="D16" s="93">
        <f>IF(VLOOKUP(C11,PROPONENTES!B10:N94,5,FALSE)=0,"",VLOOKUP(C11,PROPONENTES!B10:N94,5,FALSE))</f>
        <v>0.6</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8156.915</v>
      </c>
      <c r="F16" s="95" t="str">
        <f>IF(C16="","",IF(E16&gt;=$J$14*0.5,"SI","NO"))</f>
        <v>SI</v>
      </c>
      <c r="G16" s="96" t="str">
        <f>IF(C16="","",IF(E16&gt;=$J$14*0.05,"SI",IF(E16=0,"NO APORTA EXPERIENCIA",)))</f>
        <v>SI</v>
      </c>
      <c r="H16" s="96" t="str">
        <f>IF(C16="","",IF(AND(G16="NO APORTA EXPERIENCIA",D16&lt;=10%),"SI",IF(G16="SI","NO APLICA","NO - PORCENTAJE MAYOR AL 10%")))</f>
        <v>NO APLICA</v>
      </c>
      <c r="I16" s="162"/>
      <c r="J16" s="162"/>
      <c r="K16" s="162"/>
      <c r="L16" s="161">
        <f>AVERAGEIF(D67:J67,"CUMPLE",D48:J48)</f>
        <v>2455.6267499999999</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2</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4</v>
      </c>
      <c r="J19" s="128">
        <v>1</v>
      </c>
      <c r="K19" s="387"/>
      <c r="L19" s="388"/>
    </row>
    <row r="20" spans="2:14" ht="50.25" customHeight="1" x14ac:dyDescent="0.2">
      <c r="B20" s="382"/>
      <c r="C20" s="92"/>
      <c r="D20" s="93"/>
      <c r="E20" s="94"/>
      <c r="F20" s="95"/>
      <c r="G20" s="96"/>
      <c r="H20" s="96"/>
      <c r="I20" s="128">
        <f>COUNTIFS(D60:J60,"CUMPLE",D67:J67,"CUMPLE")</f>
        <v>4</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4</v>
      </c>
      <c r="J21" s="128">
        <v>1</v>
      </c>
      <c r="K21" s="389"/>
      <c r="L21" s="390"/>
    </row>
    <row r="22" spans="2:14" ht="84.75" customHeight="1" x14ac:dyDescent="0.2">
      <c r="B22" s="29" t="s">
        <v>75</v>
      </c>
      <c r="C22" s="24">
        <f>+VLOOKUP(C11,PROPONENTES!B10:N94,12,FALSE)</f>
        <v>2</v>
      </c>
      <c r="D22" s="93">
        <f>+VLOOKUP(C11,PROPONENTES!B10:N94,13,FALSE)</f>
        <v>1</v>
      </c>
      <c r="E22" s="32">
        <f>SUM(E15:E21)</f>
        <v>9822.5069999999996</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661</v>
      </c>
      <c r="E26" s="84" t="s">
        <v>662</v>
      </c>
      <c r="F26" s="84" t="s">
        <v>662</v>
      </c>
      <c r="G26" s="84" t="s">
        <v>661</v>
      </c>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690</v>
      </c>
      <c r="E29" s="85" t="s">
        <v>691</v>
      </c>
      <c r="F29" s="85" t="s">
        <v>692</v>
      </c>
      <c r="G29" s="85" t="s">
        <v>693</v>
      </c>
      <c r="H29" s="85"/>
      <c r="I29" s="85"/>
      <c r="J29" s="85"/>
      <c r="K29" s="145"/>
      <c r="L29" s="140"/>
    </row>
    <row r="30" spans="2:14" ht="156.75" customHeight="1" x14ac:dyDescent="0.2">
      <c r="B30" s="374"/>
      <c r="C30" s="25" t="s">
        <v>84</v>
      </c>
      <c r="D30" s="85" t="s">
        <v>694</v>
      </c>
      <c r="E30" s="85" t="s">
        <v>695</v>
      </c>
      <c r="F30" s="85" t="s">
        <v>696</v>
      </c>
      <c r="G30" s="85" t="s">
        <v>697</v>
      </c>
      <c r="H30" s="85"/>
      <c r="I30" s="85"/>
      <c r="J30" s="85"/>
      <c r="K30" s="145"/>
      <c r="L30" s="140"/>
    </row>
    <row r="31" spans="2:14" ht="52.5" customHeight="1" x14ac:dyDescent="0.2">
      <c r="B31" s="374"/>
      <c r="C31" s="25" t="s">
        <v>85</v>
      </c>
      <c r="D31" s="89">
        <v>39169</v>
      </c>
      <c r="E31" s="89">
        <v>38673</v>
      </c>
      <c r="F31" s="89">
        <v>40441</v>
      </c>
      <c r="G31" s="89">
        <v>42220</v>
      </c>
      <c r="H31" s="89"/>
      <c r="I31" s="89"/>
      <c r="J31" s="89"/>
      <c r="K31" s="145"/>
      <c r="L31" s="140"/>
    </row>
    <row r="32" spans="2:14" ht="54.75" customHeight="1" x14ac:dyDescent="0.2">
      <c r="B32" s="374"/>
      <c r="C32" s="25" t="s">
        <v>86</v>
      </c>
      <c r="D32" s="89">
        <v>39595</v>
      </c>
      <c r="E32" s="89">
        <v>40084</v>
      </c>
      <c r="F32" s="89">
        <v>41475</v>
      </c>
      <c r="G32" s="89">
        <v>42613</v>
      </c>
      <c r="H32" s="89"/>
      <c r="I32" s="89"/>
      <c r="J32" s="89"/>
      <c r="K32" s="145"/>
      <c r="L32" s="140"/>
    </row>
    <row r="33" spans="2:12" ht="41.25" customHeight="1" x14ac:dyDescent="0.2">
      <c r="B33" s="374"/>
      <c r="C33" s="25" t="s">
        <v>87</v>
      </c>
      <c r="D33" s="86">
        <v>2008</v>
      </c>
      <c r="E33" s="86">
        <v>2009</v>
      </c>
      <c r="F33" s="86">
        <v>2013</v>
      </c>
      <c r="G33" s="86">
        <v>2016</v>
      </c>
      <c r="H33" s="86"/>
      <c r="I33" s="86"/>
      <c r="J33" s="86"/>
      <c r="K33" s="145"/>
      <c r="L33" s="140"/>
    </row>
    <row r="34" spans="2:12" ht="63" customHeight="1" x14ac:dyDescent="0.2">
      <c r="B34" s="374"/>
      <c r="C34" s="25" t="s">
        <v>88</v>
      </c>
      <c r="D34" s="85" t="s">
        <v>321</v>
      </c>
      <c r="E34" s="85" t="s">
        <v>322</v>
      </c>
      <c r="F34" s="85" t="s">
        <v>698</v>
      </c>
      <c r="G34" s="85" t="s">
        <v>699</v>
      </c>
      <c r="H34" s="85"/>
      <c r="I34" s="85"/>
      <c r="J34" s="85"/>
      <c r="K34" s="145"/>
      <c r="L34" s="140"/>
    </row>
    <row r="35" spans="2:12" ht="46.5" customHeight="1" x14ac:dyDescent="0.2">
      <c r="B35" s="374"/>
      <c r="C35" s="25" t="s">
        <v>89</v>
      </c>
      <c r="D35" s="85" t="s">
        <v>661</v>
      </c>
      <c r="E35" s="85" t="s">
        <v>662</v>
      </c>
      <c r="F35" s="85" t="s">
        <v>662</v>
      </c>
      <c r="G35" s="85" t="s">
        <v>661</v>
      </c>
      <c r="H35" s="85"/>
      <c r="I35" s="85"/>
      <c r="J35" s="85"/>
      <c r="K35" s="145"/>
      <c r="L35" s="140"/>
    </row>
    <row r="36" spans="2:12" ht="27.75" customHeight="1" x14ac:dyDescent="0.2">
      <c r="B36" s="374"/>
      <c r="C36" s="26" t="s">
        <v>90</v>
      </c>
      <c r="D36" s="90">
        <v>2</v>
      </c>
      <c r="E36" s="90">
        <v>27</v>
      </c>
      <c r="F36" s="90">
        <v>2</v>
      </c>
      <c r="G36" s="91">
        <v>30</v>
      </c>
      <c r="H36" s="91"/>
      <c r="I36" s="91"/>
      <c r="J36" s="91"/>
      <c r="K36" s="145"/>
      <c r="L36" s="140"/>
    </row>
    <row r="37" spans="2:12" ht="102.75" customHeight="1" x14ac:dyDescent="0.2">
      <c r="B37" s="374"/>
      <c r="C37" s="25" t="s">
        <v>91</v>
      </c>
      <c r="D37" s="87">
        <v>2275.0300000000002</v>
      </c>
      <c r="E37" s="87">
        <v>5503.67</v>
      </c>
      <c r="F37" s="87">
        <v>5306.49</v>
      </c>
      <c r="G37" s="87">
        <v>755.58</v>
      </c>
      <c r="H37" s="87"/>
      <c r="I37" s="87"/>
      <c r="J37" s="87"/>
      <c r="K37" s="242"/>
      <c r="L37" s="243"/>
    </row>
    <row r="38" spans="2:12" ht="48" customHeight="1" x14ac:dyDescent="0.2">
      <c r="B38" s="374"/>
      <c r="C38" s="25" t="s">
        <v>92</v>
      </c>
      <c r="D38" s="97">
        <f>IFERROR(D37*VLOOKUP(D33,'DATOS INICIALES'!$A$12:$B$50,2,0),"0")</f>
        <v>1049926345.0000001</v>
      </c>
      <c r="E38" s="97">
        <f>IFERROR(E37*VLOOKUP(E33,'DATOS INICIALES'!$A$12:$B$50,2,0),"0")</f>
        <v>2734773623</v>
      </c>
      <c r="F38" s="97">
        <f>IFERROR(F37*VLOOKUP(F33,'DATOS INICIALES'!$A$12:$B$50,2,0),"0")</f>
        <v>3128175855</v>
      </c>
      <c r="G38" s="97">
        <f>IFERROR(G37*VLOOKUP(G33,'DATOS INICIALES'!$A$12:$B$50,2,0),"0")</f>
        <v>520938408.90000004</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0.4</v>
      </c>
      <c r="E39" s="88">
        <v>1</v>
      </c>
      <c r="F39" s="88">
        <v>0.5</v>
      </c>
      <c r="G39" s="88">
        <v>1</v>
      </c>
      <c r="H39" s="88"/>
      <c r="I39" s="88"/>
      <c r="J39" s="88"/>
      <c r="K39" s="145"/>
      <c r="L39" s="140"/>
    </row>
    <row r="40" spans="2:12" ht="48.75" customHeight="1" x14ac:dyDescent="0.2">
      <c r="B40" s="374"/>
      <c r="C40" s="25" t="s">
        <v>94</v>
      </c>
      <c r="D40" s="97">
        <f t="shared" ref="D40:J40" si="0">IF(D26="","0",D39*D38)</f>
        <v>419970538.00000006</v>
      </c>
      <c r="E40" s="97">
        <f t="shared" si="0"/>
        <v>2734773623</v>
      </c>
      <c r="F40" s="97">
        <f t="shared" si="0"/>
        <v>1564087927.5</v>
      </c>
      <c r="G40" s="97">
        <f t="shared" si="0"/>
        <v>520938408.90000004</v>
      </c>
      <c r="H40" s="97" t="str">
        <f t="shared" si="0"/>
        <v>0</v>
      </c>
      <c r="I40" s="97" t="str">
        <f t="shared" si="0"/>
        <v>0</v>
      </c>
      <c r="J40" s="97" t="str">
        <f t="shared" si="0"/>
        <v>0</v>
      </c>
      <c r="K40" s="145"/>
      <c r="L40" s="140"/>
    </row>
    <row r="41" spans="2:12" ht="65.25" customHeight="1" x14ac:dyDescent="0.2">
      <c r="B41" s="374"/>
      <c r="C41" s="25" t="s">
        <v>95</v>
      </c>
      <c r="D41" s="98">
        <f t="shared" ref="D41:J41" si="1">IFERROR(D37*D39,"0")</f>
        <v>910.01200000000017</v>
      </c>
      <c r="E41" s="98">
        <f t="shared" si="1"/>
        <v>5503.67</v>
      </c>
      <c r="F41" s="98">
        <f t="shared" si="1"/>
        <v>2653.2449999999999</v>
      </c>
      <c r="G41" s="98">
        <f t="shared" si="1"/>
        <v>755.58</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910.01200000000017</v>
      </c>
      <c r="E48" s="98">
        <f t="shared" ref="E48:G48" si="6">+E41+E44+E47</f>
        <v>5503.67</v>
      </c>
      <c r="F48" s="98">
        <f t="shared" si="6"/>
        <v>2653.2449999999999</v>
      </c>
      <c r="G48" s="98">
        <f t="shared" si="6"/>
        <v>755.58</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CUMPLE</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26</v>
      </c>
      <c r="G57" s="84" t="s">
        <v>26</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CUMPLE</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3842" priority="77" operator="equal">
      <formula>"CUMPLE"</formula>
    </cfRule>
    <cfRule type="containsBlanks" dxfId="3841" priority="74">
      <formula>LEN(TRIM(D71))=0</formula>
    </cfRule>
    <cfRule type="notContainsErrors" dxfId="3840" priority="75">
      <formula>NOT(ISERROR(D71))</formula>
    </cfRule>
    <cfRule type="cellIs" dxfId="3839" priority="76" operator="equal">
      <formula>"NO CUMPLE"</formula>
    </cfRule>
  </conditionalFormatting>
  <conditionalFormatting sqref="D72">
    <cfRule type="cellIs" dxfId="3838" priority="79" operator="equal">
      <formula>"CUMPLE"</formula>
    </cfRule>
    <cfRule type="cellIs" dxfId="3837" priority="78" operator="equal">
      <formula>"N/A"</formula>
    </cfRule>
    <cfRule type="cellIs" dxfId="3836" priority="81" operator="equal">
      <formula>"""CUMPLE"""</formula>
    </cfRule>
    <cfRule type="cellIs" dxfId="3835" priority="80" operator="equal">
      <formula>"NO CUMPLE"</formula>
    </cfRule>
  </conditionalFormatting>
  <conditionalFormatting sqref="D26:J37">
    <cfRule type="notContainsErrors" dxfId="3834" priority="4">
      <formula>NOT(ISERROR(D26))</formula>
    </cfRule>
    <cfRule type="containsBlanks" dxfId="3833" priority="3">
      <formula>LEN(TRIM(D26))=0</formula>
    </cfRule>
  </conditionalFormatting>
  <conditionalFormatting sqref="D36:J36">
    <cfRule type="notContainsErrors" dxfId="3832" priority="6">
      <formula>NOT(ISERROR(D36))</formula>
    </cfRule>
    <cfRule type="containsBlanks" dxfId="3831" priority="5">
      <formula>LEN(TRIM(D36))=0</formula>
    </cfRule>
  </conditionalFormatting>
  <conditionalFormatting sqref="D39:J39">
    <cfRule type="containsBlanks" dxfId="3830" priority="1">
      <formula>LEN(TRIM(D39))=0</formula>
    </cfRule>
    <cfRule type="notContainsErrors" dxfId="3829" priority="2">
      <formula>NOT(ISERROR(D39))</formula>
    </cfRule>
  </conditionalFormatting>
  <conditionalFormatting sqref="D42:J42 D45:J45">
    <cfRule type="notContainsErrors" dxfId="3828" priority="38">
      <formula>NOT(ISERROR(D42))</formula>
    </cfRule>
    <cfRule type="containsBlanks" dxfId="3827" priority="37">
      <formula>LEN(TRIM(D42))=0</formula>
    </cfRule>
  </conditionalFormatting>
  <conditionalFormatting sqref="D49:J54">
    <cfRule type="cellIs" dxfId="3826" priority="17" operator="equal">
      <formula>"NO CUMPLE"</formula>
    </cfRule>
    <cfRule type="cellIs" dxfId="3825" priority="18" operator="equal">
      <formula>"CUMPLE"</formula>
    </cfRule>
    <cfRule type="containsBlanks" dxfId="3824" priority="19">
      <formula>LEN(TRIM(D49))=0</formula>
    </cfRule>
    <cfRule type="notContainsErrors" dxfId="3823" priority="20">
      <formula>NOT(ISERROR(D49))</formula>
    </cfRule>
  </conditionalFormatting>
  <conditionalFormatting sqref="D55:J55">
    <cfRule type="cellIs" dxfId="3822" priority="28" operator="equal">
      <formula>"CUMPLE"</formula>
    </cfRule>
    <cfRule type="cellIs" dxfId="3821" priority="30" operator="equal">
      <formula>"""CUMPLE"""</formula>
    </cfRule>
    <cfRule type="cellIs" dxfId="3820" priority="29" operator="equal">
      <formula>"NO CUMPLE"</formula>
    </cfRule>
    <cfRule type="cellIs" dxfId="3819" priority="27" operator="equal">
      <formula>"N/A"</formula>
    </cfRule>
  </conditionalFormatting>
  <conditionalFormatting sqref="D56:J66">
    <cfRule type="cellIs" dxfId="3818" priority="11" operator="equal">
      <formula>"NO CUMPLE"</formula>
    </cfRule>
    <cfRule type="notContainsErrors" dxfId="3817" priority="14">
      <formula>NOT(ISERROR(D56))</formula>
    </cfRule>
    <cfRule type="containsBlanks" dxfId="3816" priority="13">
      <formula>LEN(TRIM(D56))=0</formula>
    </cfRule>
    <cfRule type="cellIs" dxfId="3815" priority="12" operator="equal">
      <formula>"CUMPLE"</formula>
    </cfRule>
  </conditionalFormatting>
  <conditionalFormatting sqref="D67:J67">
    <cfRule type="cellIs" dxfId="3814" priority="23" operator="equal">
      <formula>"N/A"</formula>
    </cfRule>
    <cfRule type="cellIs" dxfId="3813" priority="24" operator="equal">
      <formula>"CUMPLE"</formula>
    </cfRule>
    <cfRule type="cellIs" dxfId="3812" priority="26" operator="equal">
      <formula>"""CUMPLE"""</formula>
    </cfRule>
    <cfRule type="cellIs" dxfId="3811" priority="25" operator="equal">
      <formula>"NO CUMPLE"</formula>
    </cfRule>
  </conditionalFormatting>
  <conditionalFormatting sqref="D62:K66">
    <cfRule type="containsBlanks" dxfId="3810" priority="15">
      <formula>LEN(TRIM(D62))=0</formula>
    </cfRule>
    <cfRule type="notContainsErrors" dxfId="3809" priority="16">
      <formula>NOT(ISERROR(D62))</formula>
    </cfRule>
  </conditionalFormatting>
  <conditionalFormatting sqref="E71:E72">
    <cfRule type="notContainsErrors" dxfId="3808" priority="73">
      <formula>NOT(ISERROR(E71))</formula>
    </cfRule>
    <cfRule type="containsBlanks" dxfId="3807" priority="72">
      <formula>LEN(TRIM(E71))=0</formula>
    </cfRule>
  </conditionalFormatting>
  <conditionalFormatting sqref="F22:H22">
    <cfRule type="cellIs" dxfId="3806" priority="100" operator="equal">
      <formula>"NO CUMPLE"</formula>
    </cfRule>
    <cfRule type="cellIs" dxfId="3805" priority="101" operator="equal">
      <formula>"""CUMPLE"""</formula>
    </cfRule>
    <cfRule type="cellIs" dxfId="3804" priority="99" operator="equal">
      <formula>"CUMPLE"</formula>
    </cfRule>
  </conditionalFormatting>
  <conditionalFormatting sqref="G63:J63">
    <cfRule type="containsBlanks" dxfId="3803" priority="7">
      <formula>LEN(TRIM(G63))=0</formula>
    </cfRule>
    <cfRule type="notContainsErrors" dxfId="3802" priority="8">
      <formula>NOT(ISERROR(G63))</formula>
    </cfRule>
  </conditionalFormatting>
  <conditionalFormatting sqref="I11">
    <cfRule type="containsText" dxfId="3801" priority="105" operator="containsText" text="NO CUMPLE">
      <formula>NOT(ISERROR(SEARCH("NO CUMPLE",I11)))</formula>
    </cfRule>
    <cfRule type="containsText" dxfId="3800" priority="104" operator="containsText" text="HABILITADO">
      <formula>NOT(ISERROR(SEARCH("HABILITADO",I11)))</formula>
    </cfRule>
    <cfRule type="containsText" dxfId="3799" priority="103" operator="containsText" text="HABILITADO">
      <formula>NOT(ISERROR(SEARCH("HABILITADO",I11)))</formula>
    </cfRule>
    <cfRule type="containsText" dxfId="3798" priority="102" operator="containsText" text="INHABILITADO">
      <formula>NOT(ISERROR(SEARCH("INHABILITADO",I11)))</formula>
    </cfRule>
  </conditionalFormatting>
  <conditionalFormatting sqref="K18:K20">
    <cfRule type="cellIs" dxfId="3797" priority="70" operator="equal">
      <formula>"NO CUMPLE"</formula>
    </cfRule>
    <cfRule type="cellIs" dxfId="3796" priority="71" operator="equal">
      <formula>"""CUMPLE"""</formula>
    </cfRule>
    <cfRule type="cellIs" dxfId="3795" priority="69" operator="equal">
      <formula>"CUMPLE"</formula>
    </cfRule>
  </conditionalFormatting>
  <conditionalFormatting sqref="K26:K61 D62:J62">
    <cfRule type="containsBlanks" dxfId="3794" priority="9">
      <formula>LEN(TRIM(D26))=0</formula>
    </cfRule>
    <cfRule type="notContainsErrors" dxfId="3793" priority="10">
      <formula>NOT(ISERROR(D26))</formula>
    </cfRule>
  </conditionalFormatting>
  <conditionalFormatting sqref="K67:L67">
    <cfRule type="containsBlanks" dxfId="3792" priority="21">
      <formula>LEN(TRIM(K67))=0</formula>
    </cfRule>
    <cfRule type="notContainsErrors" dxfId="3791" priority="22">
      <formula>NOT(ISERROR(K67))</formula>
    </cfRule>
  </conditionalFormatting>
  <conditionalFormatting sqref="L14">
    <cfRule type="cellIs" dxfId="3790" priority="98" operator="equal">
      <formula>"""CUMPLE"""</formula>
    </cfRule>
    <cfRule type="cellIs" dxfId="3789" priority="97" operator="equal">
      <formula>"NO CUMPLE"</formula>
    </cfRule>
    <cfRule type="cellIs" dxfId="3788" priority="96" operator="equal">
      <formula>"CUMPLE"</formula>
    </cfRule>
  </conditionalFormatting>
  <dataValidations count="2">
    <dataValidation type="list" allowBlank="1" showInputMessage="1" showErrorMessage="1" sqref="D26:J28" xr:uid="{00000000-0002-0000-1F00-000000000000}">
      <formula1>$C$15:$C$21</formula1>
    </dataValidation>
    <dataValidation type="list" allowBlank="1" showInputMessage="1" showErrorMessage="1" sqref="L62:L67" xr:uid="{00000000-0002-0000-1F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1F00-000002000000}">
          <x14:formula1>
            <xm:f>'DATOS INICIALES'!$A$61:$A$66</xm:f>
          </x14:formula1>
          <xm:sqref>D25:I25</xm:sqref>
        </x14:dataValidation>
        <x14:dataValidation type="list" allowBlank="1" showInputMessage="1" showErrorMessage="1" xr:uid="{00000000-0002-0000-1F00-000003000000}">
          <x14:formula1>
            <xm:f>'DATOS INICIALES'!$A$57:$A$59</xm:f>
          </x14:formula1>
          <xm:sqref>D71 D56:J66</xm:sqref>
        </x14:dataValidation>
        <x14:dataValidation type="list" allowBlank="1" showInputMessage="1" showErrorMessage="1" xr:uid="{00000000-0002-0000-1F00-000004000000}">
          <x14:formula1>
            <xm:f>'DATOS INICIALES'!$C$52:$C$53</xm:f>
          </x14:formula1>
          <xm:sqref>D53:J54</xm:sqref>
        </x14:dataValidation>
        <x14:dataValidation type="list" allowBlank="1" showInputMessage="1" showErrorMessage="1" xr:uid="{00000000-0002-0000-1F00-000005000000}">
          <x14:formula1>
            <xm:f>'DATOS INICIALES'!$A$61:$A$67</xm:f>
          </x14:formula1>
          <xm:sqref>J25</xm:sqref>
        </x14:dataValidation>
        <x14:dataValidation type="list" allowBlank="1" showInputMessage="1" showErrorMessage="1" xr:uid="{00000000-0002-0000-1F00-000006000000}">
          <x14:formula1>
            <xm:f>'DATOS INICIALES'!$A$57:$A$58</xm:f>
          </x14:formula1>
          <xm:sqref>D49:J49</xm:sqref>
        </x14:dataValidation>
        <x14:dataValidation type="list" allowBlank="1" showInputMessage="1" showErrorMessage="1" xr:uid="{00000000-0002-0000-1F00-000007000000}">
          <x14:formula1>
            <xm:f>'DATOS INICIALES'!$D$27:$D$29</xm:f>
          </x14:formula1>
          <xm:sqref>M50:M55</xm:sqref>
        </x14:dataValidation>
        <x14:dataValidation type="list" allowBlank="1" showInputMessage="1" showErrorMessage="1" xr:uid="{00000000-0002-0000-1F00-000008000000}">
          <x14:formula1>
            <xm:f>'DATOS INICIALES'!$A$13:$A$50</xm:f>
          </x14:formula1>
          <xm:sqref>H33:I33</xm:sqref>
        </x14:dataValidation>
        <x14:dataValidation type="list" allowBlank="1" showInputMessage="1" showErrorMessage="1" xr:uid="{00000000-0002-0000-1F00-000009000000}">
          <x14:formula1>
            <xm:f>'DATOS INICIALES'!$C$52:$C$54</xm:f>
          </x14:formula1>
          <xm:sqref>D50:J52</xm:sqref>
        </x14:dataValidation>
        <x14:dataValidation type="list" allowBlank="1" showInputMessage="1" showErrorMessage="1" xr:uid="{00000000-0002-0000-1F00-00000A000000}">
          <x14:formula1>
            <xm:f>'/Users/ldrr/Desktop/SDDE/REVISION DE CARPETAS/C:\Users\ASUS\OneDrive\Escritorio\alcaldia local de usaquen\2025\16. EVALUACION DE PROCESOS\INTERVENTORIA DE VIAS\consolidado equipo\[Edgar_ Evaluación_Tecnica_fdlusa-CMA-003-2025 - 25A34.xlsx]DATOS INICIALES'!#REF!</xm:f>
          </x14:formula1>
          <xm:sqref>G33</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92D050"/>
  </sheetPr>
  <dimension ref="A1:N72"/>
  <sheetViews>
    <sheetView view="pageBreakPreview" topLeftCell="A25" zoomScale="40" zoomScaleNormal="25" zoomScaleSheetLayoutView="40" workbookViewId="0">
      <selection activeCell="F56" sqref="F56"/>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27</v>
      </c>
      <c r="B11" s="2" t="s">
        <v>58</v>
      </c>
      <c r="C11" s="413" t="str">
        <f>VLOOKUP(A11,PROPONENTES!A10:B94,2,FALSE)</f>
        <v>VICOS USAQUEN</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3</v>
      </c>
      <c r="J14" s="147">
        <f>+L8</f>
        <v>986.3076290832455</v>
      </c>
      <c r="K14" s="147">
        <f>+E22</f>
        <v>4695.4120000000003</v>
      </c>
      <c r="L14" s="18" t="str">
        <f>IF(K14&gt;=J14,"CUMPLE","NO CUMPLE")</f>
        <v>CUMPLE</v>
      </c>
    </row>
    <row r="15" spans="1:12" ht="33.75" customHeight="1" x14ac:dyDescent="0.2">
      <c r="B15" s="382"/>
      <c r="C15" s="92" t="str">
        <f>IF(VLOOKUP(C11,PROPONENTES!B10:N94,2,FALSE)=0,"",VLOOKUP(C11,PROPONENTES!B10:N94,2,FALSE))</f>
        <v xml:space="preserve">OSAC SAS </v>
      </c>
      <c r="D15" s="93">
        <f>IF(VLOOKUP(C11,PROPONENTES!B10:N94,3,FALSE)=0,"",VLOOKUP(C11,PROPONENTES!B10:N94,3,FALSE))</f>
        <v>0.5</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1823.4480000000001</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ORGANIZACIÓN VICAN SAS</v>
      </c>
      <c r="D16" s="93">
        <f>IF(VLOOKUP(C11,PROPONENTES!B10:N94,5,FALSE)=0,"",VLOOKUP(C11,PROPONENTES!B10:N94,5,FALSE))</f>
        <v>0.3</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563.1640000000001</v>
      </c>
      <c r="F16" s="95" t="str">
        <f>IF(C16="","",IF(E16&gt;=$J$14*0.5,"SI","NO"))</f>
        <v>SI</v>
      </c>
      <c r="G16" s="96" t="str">
        <f>IF(C16="","",IF(E16&gt;=$J$14*0.05,"SI",IF(E16=0,"NO APORTA EXPERIENCIA",)))</f>
        <v>SI</v>
      </c>
      <c r="H16" s="96" t="str">
        <f>IF(C16="","",IF(AND(G16="NO APORTA EXPERIENCIA",D16&lt;=10%),"SI",IF(G16="SI","NO APLICA","NO - PORCENTAJE MAYOR AL 10%")))</f>
        <v>NO APLICA</v>
      </c>
      <c r="I16" s="162"/>
      <c r="J16" s="162"/>
      <c r="K16" s="162"/>
      <c r="L16" s="161">
        <f>AVERAGEIF(D67:J67,"CUMPLE",D48:J48)</f>
        <v>1565.1373333333333</v>
      </c>
    </row>
    <row r="17" spans="2:14" ht="33.75" customHeight="1" x14ac:dyDescent="0.2">
      <c r="B17" s="382"/>
      <c r="C17" s="92" t="str">
        <f>IF(VLOOKUP(C11,PROPONENTES!B10:N94,6,FALSE)=0,"",VLOOKUP(C11,PROPONENTES!B10:N94,6,FALSE))</f>
        <v>VICTOR ARBOLEDA CÓRDOBA</v>
      </c>
      <c r="D17" s="93">
        <f>IF(VLOOKUP(C11,PROPONENTES!B10:N94,7,FALSE)=0,"",VLOOKUP(C11,PROPONENTES!B10:N94,7,FALSE))</f>
        <v>0.2</v>
      </c>
      <c r="E17" s="94">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2308.8000000000002</v>
      </c>
      <c r="F17" s="95" t="str">
        <f>IF(C17="","",IF(E17&gt;=$J$14*0.5,"SI","NO"))</f>
        <v>SI</v>
      </c>
      <c r="G17" s="96" t="str">
        <f>IF(C17="","",IF(E17&gt;=$J$14*0.05,"SI",IF(E17=0,"NO APORTA EXPERIENCIA",)))</f>
        <v>SI</v>
      </c>
      <c r="H17" s="96" t="str">
        <f>IF(C17="","",IF(AND(G17="NO APORTA EXPERIENCIA",D17&lt;=10%),"SI",IF(G17="SI","NO APLICA","NO - PORCENTAJE MAYOR AL 10%")))</f>
        <v>NO APLICA</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2</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3</v>
      </c>
      <c r="J19" s="128">
        <v>1</v>
      </c>
      <c r="K19" s="387"/>
      <c r="L19" s="388"/>
    </row>
    <row r="20" spans="2:14" ht="50.25" customHeight="1" x14ac:dyDescent="0.2">
      <c r="B20" s="382"/>
      <c r="C20" s="92"/>
      <c r="D20" s="93"/>
      <c r="E20" s="94"/>
      <c r="F20" s="95"/>
      <c r="G20" s="96"/>
      <c r="H20" s="96"/>
      <c r="I20" s="128">
        <f>COUNTIFS(D60:J60,"CUMPLE",D67:J67,"CUMPLE")</f>
        <v>3</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3</v>
      </c>
      <c r="J21" s="128">
        <v>1</v>
      </c>
      <c r="K21" s="389"/>
      <c r="L21" s="390"/>
    </row>
    <row r="22" spans="2:14" ht="84.75" customHeight="1" x14ac:dyDescent="0.2">
      <c r="B22" s="29" t="s">
        <v>75</v>
      </c>
      <c r="C22" s="24">
        <f>+VLOOKUP(C11,PROPONENTES!B10:N94,12,FALSE)</f>
        <v>3</v>
      </c>
      <c r="D22" s="93">
        <f>+VLOOKUP(C11,PROPONENTES!B10:N94,13,FALSE)</f>
        <v>1</v>
      </c>
      <c r="E22" s="32">
        <f>SUM(E15:E21)</f>
        <v>4695.4120000000003</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663</v>
      </c>
      <c r="E26" s="84" t="s">
        <v>665</v>
      </c>
      <c r="F26" s="84" t="s">
        <v>664</v>
      </c>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700</v>
      </c>
      <c r="E29" s="85" t="s">
        <v>701</v>
      </c>
      <c r="F29" s="85" t="s">
        <v>702</v>
      </c>
      <c r="G29" s="85"/>
      <c r="H29" s="85"/>
      <c r="I29" s="85"/>
      <c r="J29" s="85"/>
      <c r="K29" s="145"/>
      <c r="L29" s="140"/>
    </row>
    <row r="30" spans="2:14" ht="156.75" customHeight="1" x14ac:dyDescent="0.2">
      <c r="B30" s="374"/>
      <c r="C30" s="25" t="s">
        <v>84</v>
      </c>
      <c r="D30" s="85" t="s">
        <v>703</v>
      </c>
      <c r="E30" s="85" t="s">
        <v>704</v>
      </c>
      <c r="F30" s="85" t="s">
        <v>705</v>
      </c>
      <c r="G30" s="85"/>
      <c r="H30" s="85"/>
      <c r="I30" s="85"/>
      <c r="J30" s="85"/>
      <c r="K30" s="145"/>
      <c r="L30" s="140"/>
    </row>
    <row r="31" spans="2:14" ht="52.5" customHeight="1" x14ac:dyDescent="0.2">
      <c r="B31" s="374"/>
      <c r="C31" s="25" t="s">
        <v>85</v>
      </c>
      <c r="D31" s="89">
        <v>41618</v>
      </c>
      <c r="E31" s="89">
        <v>40798</v>
      </c>
      <c r="F31" s="89">
        <v>43815</v>
      </c>
      <c r="G31" s="89"/>
      <c r="H31" s="89"/>
      <c r="I31" s="89"/>
      <c r="J31" s="89"/>
      <c r="K31" s="145"/>
      <c r="L31" s="140"/>
    </row>
    <row r="32" spans="2:14" ht="54.75" customHeight="1" x14ac:dyDescent="0.2">
      <c r="B32" s="374"/>
      <c r="C32" s="25" t="s">
        <v>86</v>
      </c>
      <c r="D32" s="89">
        <v>42368</v>
      </c>
      <c r="E32" s="89">
        <v>41151</v>
      </c>
      <c r="F32" s="89">
        <v>44270</v>
      </c>
      <c r="G32" s="89"/>
      <c r="H32" s="89"/>
      <c r="I32" s="89"/>
      <c r="J32" s="89"/>
      <c r="K32" s="145"/>
      <c r="L32" s="140"/>
    </row>
    <row r="33" spans="2:12" ht="41.25" customHeight="1" x14ac:dyDescent="0.2">
      <c r="B33" s="374"/>
      <c r="C33" s="25" t="s">
        <v>87</v>
      </c>
      <c r="D33" s="86">
        <v>2015</v>
      </c>
      <c r="E33" s="86">
        <v>2012</v>
      </c>
      <c r="F33" s="86">
        <v>2021</v>
      </c>
      <c r="G33" s="86"/>
      <c r="H33" s="86"/>
      <c r="I33" s="86"/>
      <c r="J33" s="86"/>
      <c r="K33" s="145"/>
      <c r="L33" s="140"/>
    </row>
    <row r="34" spans="2:12" ht="63" customHeight="1" x14ac:dyDescent="0.2">
      <c r="B34" s="374"/>
      <c r="C34" s="25" t="s">
        <v>88</v>
      </c>
      <c r="D34" s="85" t="s">
        <v>322</v>
      </c>
      <c r="E34" s="85" t="s">
        <v>322</v>
      </c>
      <c r="F34" s="85" t="s">
        <v>322</v>
      </c>
      <c r="G34" s="85"/>
      <c r="H34" s="85"/>
      <c r="I34" s="85"/>
      <c r="J34" s="85"/>
      <c r="K34" s="145"/>
      <c r="L34" s="140"/>
    </row>
    <row r="35" spans="2:12" ht="46.5" customHeight="1" x14ac:dyDescent="0.2">
      <c r="B35" s="374"/>
      <c r="C35" s="25" t="s">
        <v>89</v>
      </c>
      <c r="D35" s="85" t="s">
        <v>663</v>
      </c>
      <c r="E35" s="85" t="s">
        <v>665</v>
      </c>
      <c r="F35" s="85" t="s">
        <v>664</v>
      </c>
      <c r="G35" s="85"/>
      <c r="H35" s="85"/>
      <c r="I35" s="85"/>
      <c r="J35" s="85"/>
      <c r="K35" s="145"/>
      <c r="L35" s="140"/>
    </row>
    <row r="36" spans="2:12" ht="27.75" customHeight="1" x14ac:dyDescent="0.2">
      <c r="B36" s="374"/>
      <c r="C36" s="26" t="s">
        <v>90</v>
      </c>
      <c r="D36" s="90">
        <v>24</v>
      </c>
      <c r="E36" s="90">
        <v>22</v>
      </c>
      <c r="F36" s="90">
        <v>40</v>
      </c>
      <c r="G36" s="91"/>
      <c r="H36" s="91"/>
      <c r="I36" s="91"/>
      <c r="J36" s="91"/>
      <c r="K36" s="145"/>
      <c r="L36" s="140"/>
    </row>
    <row r="37" spans="2:12" ht="102.75" customHeight="1" x14ac:dyDescent="0.2">
      <c r="B37" s="374"/>
      <c r="C37" s="25" t="s">
        <v>91</v>
      </c>
      <c r="D37" s="87">
        <v>4558.62</v>
      </c>
      <c r="E37" s="87">
        <v>2308.8000000000002</v>
      </c>
      <c r="F37" s="87">
        <v>1407.91</v>
      </c>
      <c r="G37" s="87"/>
      <c r="H37" s="87"/>
      <c r="I37" s="87"/>
      <c r="J37" s="87"/>
      <c r="K37" s="242"/>
      <c r="L37" s="243"/>
    </row>
    <row r="38" spans="2:12" ht="48" customHeight="1" x14ac:dyDescent="0.2">
      <c r="B38" s="374"/>
      <c r="C38" s="25" t="s">
        <v>92</v>
      </c>
      <c r="D38" s="97">
        <f>IFERROR(D37*VLOOKUP(D33,'DATOS INICIALES'!$A$12:$B$50,2,0),"0")</f>
        <v>2937346797</v>
      </c>
      <c r="E38" s="97">
        <f>IFERROR(E37*VLOOKUP(E33,'DATOS INICIALES'!$A$12:$B$50,2,0),"0")</f>
        <v>1308396960</v>
      </c>
      <c r="F38" s="97">
        <f>IFERROR(F37*VLOOKUP(F33,'DATOS INICIALES'!$A$12:$B$50,2,0),"0")</f>
        <v>1279122840.6600001</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0.4</v>
      </c>
      <c r="E39" s="88">
        <v>1</v>
      </c>
      <c r="F39" s="88">
        <v>0.4</v>
      </c>
      <c r="G39" s="88"/>
      <c r="H39" s="88"/>
      <c r="I39" s="88"/>
      <c r="J39" s="88"/>
      <c r="K39" s="145"/>
      <c r="L39" s="140"/>
    </row>
    <row r="40" spans="2:12" ht="48.75" customHeight="1" x14ac:dyDescent="0.2">
      <c r="B40" s="374"/>
      <c r="C40" s="25" t="s">
        <v>94</v>
      </c>
      <c r="D40" s="97">
        <f t="shared" ref="D40:J40" si="0">IF(D26="","0",D39*D38)</f>
        <v>1174938718.8</v>
      </c>
      <c r="E40" s="97">
        <f t="shared" si="0"/>
        <v>1308396960</v>
      </c>
      <c r="F40" s="97">
        <f t="shared" si="0"/>
        <v>511649136.26400006</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1823.4480000000001</v>
      </c>
      <c r="E41" s="98">
        <f t="shared" si="1"/>
        <v>2308.8000000000002</v>
      </c>
      <c r="F41" s="98">
        <f t="shared" si="1"/>
        <v>563.1640000000001</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1823.4480000000001</v>
      </c>
      <c r="E48" s="98">
        <f t="shared" ref="E48:G48" si="6">+E41+E44+E47</f>
        <v>2308.8000000000002</v>
      </c>
      <c r="F48" s="98">
        <f t="shared" si="6"/>
        <v>563.1640000000001</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26</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3787" priority="75" operator="equal">
      <formula>"CUMPLE"</formula>
    </cfRule>
    <cfRule type="containsBlanks" dxfId="3786" priority="72">
      <formula>LEN(TRIM(D71))=0</formula>
    </cfRule>
    <cfRule type="notContainsErrors" dxfId="3785" priority="73">
      <formula>NOT(ISERROR(D71))</formula>
    </cfRule>
    <cfRule type="cellIs" dxfId="3784" priority="74" operator="equal">
      <formula>"NO CUMPLE"</formula>
    </cfRule>
  </conditionalFormatting>
  <conditionalFormatting sqref="D72">
    <cfRule type="cellIs" dxfId="3783" priority="77" operator="equal">
      <formula>"CUMPLE"</formula>
    </cfRule>
    <cfRule type="cellIs" dxfId="3782" priority="76" operator="equal">
      <formula>"N/A"</formula>
    </cfRule>
    <cfRule type="cellIs" dxfId="3781" priority="79" operator="equal">
      <formula>"""CUMPLE"""</formula>
    </cfRule>
    <cfRule type="cellIs" dxfId="3780" priority="78" operator="equal">
      <formula>"NO CUMPLE"</formula>
    </cfRule>
  </conditionalFormatting>
  <conditionalFormatting sqref="D26:J37">
    <cfRule type="notContainsErrors" dxfId="3779" priority="4">
      <formula>NOT(ISERROR(D26))</formula>
    </cfRule>
    <cfRule type="containsBlanks" dxfId="3778" priority="3">
      <formula>LEN(TRIM(D26))=0</formula>
    </cfRule>
  </conditionalFormatting>
  <conditionalFormatting sqref="D36:J36">
    <cfRule type="notContainsErrors" dxfId="3777" priority="6">
      <formula>NOT(ISERROR(D36))</formula>
    </cfRule>
    <cfRule type="containsBlanks" dxfId="3776" priority="5">
      <formula>LEN(TRIM(D36))=0</formula>
    </cfRule>
  </conditionalFormatting>
  <conditionalFormatting sqref="D39:J39">
    <cfRule type="containsBlanks" dxfId="3775" priority="1">
      <formula>LEN(TRIM(D39))=0</formula>
    </cfRule>
    <cfRule type="notContainsErrors" dxfId="3774" priority="2">
      <formula>NOT(ISERROR(D39))</formula>
    </cfRule>
  </conditionalFormatting>
  <conditionalFormatting sqref="D42:J42 D45:J45">
    <cfRule type="notContainsErrors" dxfId="3773" priority="38">
      <formula>NOT(ISERROR(D42))</formula>
    </cfRule>
    <cfRule type="containsBlanks" dxfId="3772" priority="37">
      <formula>LEN(TRIM(D42))=0</formula>
    </cfRule>
  </conditionalFormatting>
  <conditionalFormatting sqref="D49:J54">
    <cfRule type="cellIs" dxfId="3771" priority="17" operator="equal">
      <formula>"NO CUMPLE"</formula>
    </cfRule>
    <cfRule type="cellIs" dxfId="3770" priority="18" operator="equal">
      <formula>"CUMPLE"</formula>
    </cfRule>
    <cfRule type="containsBlanks" dxfId="3769" priority="19">
      <formula>LEN(TRIM(D49))=0</formula>
    </cfRule>
    <cfRule type="notContainsErrors" dxfId="3768" priority="20">
      <formula>NOT(ISERROR(D49))</formula>
    </cfRule>
  </conditionalFormatting>
  <conditionalFormatting sqref="D55:J55">
    <cfRule type="cellIs" dxfId="3767" priority="28" operator="equal">
      <formula>"CUMPLE"</formula>
    </cfRule>
    <cfRule type="cellIs" dxfId="3766" priority="30" operator="equal">
      <formula>"""CUMPLE"""</formula>
    </cfRule>
    <cfRule type="cellIs" dxfId="3765" priority="29" operator="equal">
      <formula>"NO CUMPLE"</formula>
    </cfRule>
    <cfRule type="cellIs" dxfId="3764" priority="27" operator="equal">
      <formula>"N/A"</formula>
    </cfRule>
  </conditionalFormatting>
  <conditionalFormatting sqref="D56:J66">
    <cfRule type="cellIs" dxfId="3763" priority="11" operator="equal">
      <formula>"NO CUMPLE"</formula>
    </cfRule>
    <cfRule type="notContainsErrors" dxfId="3762" priority="14">
      <formula>NOT(ISERROR(D56))</formula>
    </cfRule>
    <cfRule type="containsBlanks" dxfId="3761" priority="13">
      <formula>LEN(TRIM(D56))=0</formula>
    </cfRule>
    <cfRule type="cellIs" dxfId="3760" priority="12" operator="equal">
      <formula>"CUMPLE"</formula>
    </cfRule>
  </conditionalFormatting>
  <conditionalFormatting sqref="D67:J67">
    <cfRule type="cellIs" dxfId="3759" priority="23" operator="equal">
      <formula>"N/A"</formula>
    </cfRule>
    <cfRule type="cellIs" dxfId="3758" priority="24" operator="equal">
      <formula>"CUMPLE"</formula>
    </cfRule>
    <cfRule type="cellIs" dxfId="3757" priority="26" operator="equal">
      <formula>"""CUMPLE"""</formula>
    </cfRule>
    <cfRule type="cellIs" dxfId="3756" priority="25" operator="equal">
      <formula>"NO CUMPLE"</formula>
    </cfRule>
  </conditionalFormatting>
  <conditionalFormatting sqref="D62:K66">
    <cfRule type="containsBlanks" dxfId="3755" priority="15">
      <formula>LEN(TRIM(D62))=0</formula>
    </cfRule>
    <cfRule type="notContainsErrors" dxfId="3754" priority="16">
      <formula>NOT(ISERROR(D62))</formula>
    </cfRule>
  </conditionalFormatting>
  <conditionalFormatting sqref="E71:E72">
    <cfRule type="notContainsErrors" dxfId="3753" priority="71">
      <formula>NOT(ISERROR(E71))</formula>
    </cfRule>
    <cfRule type="containsBlanks" dxfId="3752" priority="70">
      <formula>LEN(TRIM(E71))=0</formula>
    </cfRule>
  </conditionalFormatting>
  <conditionalFormatting sqref="F22:H22">
    <cfRule type="cellIs" dxfId="3751" priority="98" operator="equal">
      <formula>"NO CUMPLE"</formula>
    </cfRule>
    <cfRule type="cellIs" dxfId="3750" priority="99" operator="equal">
      <formula>"""CUMPLE"""</formula>
    </cfRule>
    <cfRule type="cellIs" dxfId="3749" priority="97" operator="equal">
      <formula>"CUMPLE"</formula>
    </cfRule>
  </conditionalFormatting>
  <conditionalFormatting sqref="G63:J63">
    <cfRule type="containsBlanks" dxfId="3748" priority="7">
      <formula>LEN(TRIM(G63))=0</formula>
    </cfRule>
    <cfRule type="notContainsErrors" dxfId="3747" priority="8">
      <formula>NOT(ISERROR(G63))</formula>
    </cfRule>
  </conditionalFormatting>
  <conditionalFormatting sqref="I11">
    <cfRule type="containsText" dxfId="3746" priority="103" operator="containsText" text="NO CUMPLE">
      <formula>NOT(ISERROR(SEARCH("NO CUMPLE",I11)))</formula>
    </cfRule>
    <cfRule type="containsText" dxfId="3745" priority="102" operator="containsText" text="HABILITADO">
      <formula>NOT(ISERROR(SEARCH("HABILITADO",I11)))</formula>
    </cfRule>
    <cfRule type="containsText" dxfId="3744" priority="101" operator="containsText" text="HABILITADO">
      <formula>NOT(ISERROR(SEARCH("HABILITADO",I11)))</formula>
    </cfRule>
    <cfRule type="containsText" dxfId="3743" priority="100" operator="containsText" text="INHABILITADO">
      <formula>NOT(ISERROR(SEARCH("INHABILITADO",I11)))</formula>
    </cfRule>
  </conditionalFormatting>
  <conditionalFormatting sqref="K18:K20">
    <cfRule type="cellIs" dxfId="3742" priority="68" operator="equal">
      <formula>"NO CUMPLE"</formula>
    </cfRule>
    <cfRule type="cellIs" dxfId="3741" priority="69" operator="equal">
      <formula>"""CUMPLE"""</formula>
    </cfRule>
    <cfRule type="cellIs" dxfId="3740" priority="67" operator="equal">
      <formula>"CUMPLE"</formula>
    </cfRule>
  </conditionalFormatting>
  <conditionalFormatting sqref="K26:K61 D62:J62">
    <cfRule type="containsBlanks" dxfId="3739" priority="9">
      <formula>LEN(TRIM(D26))=0</formula>
    </cfRule>
    <cfRule type="notContainsErrors" dxfId="3738" priority="10">
      <formula>NOT(ISERROR(D26))</formula>
    </cfRule>
  </conditionalFormatting>
  <conditionalFormatting sqref="K67:L67">
    <cfRule type="containsBlanks" dxfId="3737" priority="21">
      <formula>LEN(TRIM(K67))=0</formula>
    </cfRule>
    <cfRule type="notContainsErrors" dxfId="3736" priority="22">
      <formula>NOT(ISERROR(K67))</formula>
    </cfRule>
  </conditionalFormatting>
  <conditionalFormatting sqref="L14">
    <cfRule type="cellIs" dxfId="3735" priority="96" operator="equal">
      <formula>"""CUMPLE"""</formula>
    </cfRule>
    <cfRule type="cellIs" dxfId="3734" priority="95" operator="equal">
      <formula>"NO CUMPLE"</formula>
    </cfRule>
    <cfRule type="cellIs" dxfId="3733" priority="94" operator="equal">
      <formula>"CUMPLE"</formula>
    </cfRule>
  </conditionalFormatting>
  <dataValidations count="2">
    <dataValidation type="list" allowBlank="1" showInputMessage="1" showErrorMessage="1" sqref="L62:L67" xr:uid="{00000000-0002-0000-2000-000000000000}">
      <formula1>"0,1,2,3,4,5,6"</formula1>
    </dataValidation>
    <dataValidation type="list" allowBlank="1" showInputMessage="1" showErrorMessage="1" sqref="D26:J28" xr:uid="{00000000-0002-0000-20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2000-000002000000}">
          <x14:formula1>
            <xm:f>'DATOS INICIALES'!$A$57:$A$58</xm:f>
          </x14:formula1>
          <xm:sqref>D49:J49</xm:sqref>
        </x14:dataValidation>
        <x14:dataValidation type="list" allowBlank="1" showInputMessage="1" showErrorMessage="1" xr:uid="{00000000-0002-0000-2000-000003000000}">
          <x14:formula1>
            <xm:f>'DATOS INICIALES'!$A$61:$A$67</xm:f>
          </x14:formula1>
          <xm:sqref>J25</xm:sqref>
        </x14:dataValidation>
        <x14:dataValidation type="list" allowBlank="1" showInputMessage="1" showErrorMessage="1" xr:uid="{00000000-0002-0000-2000-000004000000}">
          <x14:formula1>
            <xm:f>'DATOS INICIALES'!$C$52:$C$53</xm:f>
          </x14:formula1>
          <xm:sqref>D53:J54</xm:sqref>
        </x14:dataValidation>
        <x14:dataValidation type="list" allowBlank="1" showInputMessage="1" showErrorMessage="1" xr:uid="{00000000-0002-0000-2000-000005000000}">
          <x14:formula1>
            <xm:f>'DATOS INICIALES'!$A$57:$A$59</xm:f>
          </x14:formula1>
          <xm:sqref>D71 D56:J66</xm:sqref>
        </x14:dataValidation>
        <x14:dataValidation type="list" allowBlank="1" showInputMessage="1" showErrorMessage="1" xr:uid="{00000000-0002-0000-2000-000006000000}">
          <x14:formula1>
            <xm:f>'DATOS INICIALES'!$A$61:$A$66</xm:f>
          </x14:formula1>
          <xm:sqref>D25:I25</xm:sqref>
        </x14:dataValidation>
        <x14:dataValidation type="list" allowBlank="1" showInputMessage="1" showErrorMessage="1" xr:uid="{00000000-0002-0000-2000-000007000000}">
          <x14:formula1>
            <xm:f>'DATOS INICIALES'!$A$13:$A$50</xm:f>
          </x14:formula1>
          <xm:sqref>G33:I33</xm:sqref>
        </x14:dataValidation>
        <x14:dataValidation type="list" allowBlank="1" showInputMessage="1" showErrorMessage="1" xr:uid="{00000000-0002-0000-2000-000008000000}">
          <x14:formula1>
            <xm:f>'DATOS INICIALES'!$D$27:$D$29</xm:f>
          </x14:formula1>
          <xm:sqref>M50:M55</xm:sqref>
        </x14:dataValidation>
        <x14:dataValidation type="list" allowBlank="1" showInputMessage="1" showErrorMessage="1" xr:uid="{00000000-0002-0000-2000-000009000000}">
          <x14:formula1>
            <xm:f>'DATOS INICIALES'!$C$52:$C$54</xm:f>
          </x14:formula1>
          <xm:sqref>D50:J52</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92D050"/>
  </sheetPr>
  <dimension ref="A1:N72"/>
  <sheetViews>
    <sheetView view="pageBreakPreview" topLeftCell="A19" zoomScale="40" zoomScaleNormal="25" zoomScaleSheetLayoutView="40" workbookViewId="0">
      <selection activeCell="E35" sqref="E35"/>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28</v>
      </c>
      <c r="B11" s="2" t="s">
        <v>58</v>
      </c>
      <c r="C11" s="413" t="str">
        <f>VLOOKUP(A11,PROPONENTES!A10:B94,2,FALSE)</f>
        <v>CONSORCIO INTERVENTORIA COANDINA</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1</v>
      </c>
      <c r="J14" s="147">
        <f>+L8</f>
        <v>986.3076290832455</v>
      </c>
      <c r="K14" s="147">
        <f>+E22</f>
        <v>2007.3</v>
      </c>
      <c r="L14" s="18" t="str">
        <f>IF(K14&gt;=J14,"CUMPLE","NO CUMPLE")</f>
        <v>CUMPLE</v>
      </c>
    </row>
    <row r="15" spans="1:12" ht="33.75" customHeight="1" x14ac:dyDescent="0.2">
      <c r="B15" s="382"/>
      <c r="C15" s="92" t="str">
        <f>IF(VLOOKUP(C11,PROPONENTES!B10:N94,2,FALSE)=0,"",VLOOKUP(C11,PROPONENTES!B10:N94,2,FALSE))</f>
        <v>ANDINA DE CONSULTORIA Y  CONSTRUCCIONES S.A.S</v>
      </c>
      <c r="D15" s="93">
        <f>IF(VLOOKUP(C11,PROPONENTES!B10:N94,3,FALSE)=0,"",VLOOKUP(C11,PROPONENTES!B10:N94,3,FALSE))</f>
        <v>0.1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0</v>
      </c>
      <c r="F15" s="95" t="str">
        <f>IF(C15="","",IF(E15&gt;=$J$14*0.5,"SI","NO"))</f>
        <v>NO</v>
      </c>
      <c r="G15" s="96" t="str">
        <f>IF(C15="","",IF(E15&gt;=$J$14*0.05,"SI",IF(E15=0,"NO APORTA EXPERIENCIA",)))</f>
        <v>NO APORTA EXPERIENCIA</v>
      </c>
      <c r="H15" s="96" t="str">
        <f>IF(C15="","",IF(AND(G15="NO APORTA EXPERIENCIA",D15&lt;=10%),"SI",IF(G15="SI","NO APLICA","NO - PORCENTAJE MAYOR AL 10%")))</f>
        <v>SI</v>
      </c>
      <c r="I15" s="162"/>
      <c r="J15" s="162"/>
      <c r="K15" s="162"/>
      <c r="L15" s="173" t="s">
        <v>72</v>
      </c>
    </row>
    <row r="16" spans="1:12" ht="33.75" customHeight="1" x14ac:dyDescent="0.2">
      <c r="B16" s="382"/>
      <c r="C16" s="92" t="str">
        <f>IF(VLOOKUP(C11,PROPONENTES!B10:N94,4,FALSE)=0,"",VLOOKUP(C11,PROPONENTES!B10:N94,4,FALSE))</f>
        <v>COINCO DE COLOMBIA S.A.S</v>
      </c>
      <c r="D16" s="93">
        <f>IF(VLOOKUP(C11,PROPONENTES!B10:N94,5,FALSE)=0,"",VLOOKUP(C11,PROPONENTES!B10:N94,5,FALSE))</f>
        <v>0.9</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2007.3</v>
      </c>
      <c r="F16" s="95" t="str">
        <f>IF(C16="","",IF(E16&gt;=$J$14*0.5,"SI","NO"))</f>
        <v>SI</v>
      </c>
      <c r="G16" s="96" t="str">
        <f>IF(C16="","",IF(E16&gt;=$J$14*0.05,"SI",IF(E16=0,"NO APORTA EXPERIENCIA",)))</f>
        <v>SI</v>
      </c>
      <c r="H16" s="96" t="str">
        <f>IF(C16="","",IF(AND(G16="NO APORTA EXPERIENCIA",D16&lt;=10%),"SI",IF(G16="SI","NO APLICA","NO - PORCENTAJE MAYOR AL 10%")))</f>
        <v>NO APLICA</v>
      </c>
      <c r="I16" s="162"/>
      <c r="J16" s="162"/>
      <c r="K16" s="162"/>
      <c r="L16" s="161">
        <f>AVERAGEIF(D67:J67,"CUMPLE",D48:J48)</f>
        <v>2007.3</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1</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1</v>
      </c>
      <c r="J19" s="128">
        <v>1</v>
      </c>
      <c r="K19" s="387"/>
      <c r="L19" s="388"/>
    </row>
    <row r="20" spans="2:14" ht="50.25" customHeight="1" x14ac:dyDescent="0.2">
      <c r="B20" s="382"/>
      <c r="C20" s="92"/>
      <c r="D20" s="93"/>
      <c r="E20" s="94"/>
      <c r="F20" s="95"/>
      <c r="G20" s="96"/>
      <c r="H20" s="96"/>
      <c r="I20" s="128">
        <f>COUNTIFS(D60:J60,"CUMPLE",D67:J67,"CUMPLE")</f>
        <v>1</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1</v>
      </c>
      <c r="J21" s="128">
        <v>1</v>
      </c>
      <c r="K21" s="389"/>
      <c r="L21" s="390"/>
    </row>
    <row r="22" spans="2:14" ht="84.75" customHeight="1" x14ac:dyDescent="0.2">
      <c r="B22" s="29" t="s">
        <v>75</v>
      </c>
      <c r="C22" s="24">
        <f>+VLOOKUP(C11,PROPONENTES!B10:N94,12,FALSE)</f>
        <v>2</v>
      </c>
      <c r="D22" s="93">
        <f>+VLOOKUP(C11,PROPONENTES!B10:N94,13,FALSE)</f>
        <v>1</v>
      </c>
      <c r="E22" s="32">
        <f>SUM(E15:E21)</f>
        <v>2007.3</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667</v>
      </c>
      <c r="E26" s="84"/>
      <c r="F26" s="84"/>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706</v>
      </c>
      <c r="E29" s="85"/>
      <c r="F29" s="85"/>
      <c r="G29" s="85"/>
      <c r="H29" s="85"/>
      <c r="I29" s="85"/>
      <c r="J29" s="85"/>
      <c r="K29" s="145"/>
      <c r="L29" s="140"/>
    </row>
    <row r="30" spans="2:14" ht="156.75" customHeight="1" x14ac:dyDescent="0.2">
      <c r="B30" s="374"/>
      <c r="C30" s="25" t="s">
        <v>84</v>
      </c>
      <c r="D30" s="85" t="s">
        <v>707</v>
      </c>
      <c r="E30" s="85"/>
      <c r="F30" s="85"/>
      <c r="G30" s="85"/>
      <c r="H30" s="85"/>
      <c r="I30" s="85"/>
      <c r="J30" s="85"/>
      <c r="K30" s="145"/>
      <c r="L30" s="140"/>
    </row>
    <row r="31" spans="2:14" ht="52.5" customHeight="1" x14ac:dyDescent="0.2">
      <c r="B31" s="374"/>
      <c r="C31" s="25" t="s">
        <v>85</v>
      </c>
      <c r="D31" s="89">
        <v>43271</v>
      </c>
      <c r="E31" s="89"/>
      <c r="F31" s="89"/>
      <c r="G31" s="89"/>
      <c r="H31" s="89"/>
      <c r="I31" s="89"/>
      <c r="J31" s="89"/>
      <c r="K31" s="145"/>
      <c r="L31" s="140"/>
    </row>
    <row r="32" spans="2:14" ht="54.75" customHeight="1" x14ac:dyDescent="0.2">
      <c r="B32" s="374"/>
      <c r="C32" s="25" t="s">
        <v>86</v>
      </c>
      <c r="D32" s="89">
        <v>43902</v>
      </c>
      <c r="E32" s="89"/>
      <c r="F32" s="89"/>
      <c r="G32" s="89"/>
      <c r="H32" s="89"/>
      <c r="I32" s="89"/>
      <c r="J32" s="89"/>
      <c r="K32" s="145"/>
      <c r="L32" s="140"/>
    </row>
    <row r="33" spans="2:12" ht="41.25" customHeight="1" x14ac:dyDescent="0.2">
      <c r="B33" s="374"/>
      <c r="C33" s="25" t="s">
        <v>87</v>
      </c>
      <c r="D33" s="86">
        <v>2020</v>
      </c>
      <c r="E33" s="86"/>
      <c r="F33" s="86"/>
      <c r="G33" s="86"/>
      <c r="H33" s="86"/>
      <c r="I33" s="86"/>
      <c r="J33" s="86"/>
      <c r="K33" s="145"/>
      <c r="L33" s="140"/>
    </row>
    <row r="34" spans="2:12" ht="63" customHeight="1" x14ac:dyDescent="0.2">
      <c r="B34" s="374"/>
      <c r="C34" s="25" t="s">
        <v>88</v>
      </c>
      <c r="D34" s="85" t="s">
        <v>708</v>
      </c>
      <c r="E34" s="85"/>
      <c r="F34" s="85"/>
      <c r="G34" s="85"/>
      <c r="H34" s="85"/>
      <c r="I34" s="85"/>
      <c r="J34" s="85"/>
      <c r="K34" s="145"/>
      <c r="L34" s="140"/>
    </row>
    <row r="35" spans="2:12" ht="46.5" customHeight="1" x14ac:dyDescent="0.2">
      <c r="B35" s="374"/>
      <c r="C35" s="25" t="s">
        <v>89</v>
      </c>
      <c r="D35" s="85" t="s">
        <v>667</v>
      </c>
      <c r="E35" s="85"/>
      <c r="F35" s="85"/>
      <c r="G35" s="85"/>
      <c r="H35" s="85"/>
      <c r="I35" s="85"/>
      <c r="J35" s="85"/>
      <c r="K35" s="145"/>
      <c r="L35" s="140"/>
    </row>
    <row r="36" spans="2:12" ht="27.75" customHeight="1" x14ac:dyDescent="0.2">
      <c r="B36" s="374"/>
      <c r="C36" s="26" t="s">
        <v>90</v>
      </c>
      <c r="D36" s="90">
        <v>46</v>
      </c>
      <c r="E36" s="90"/>
      <c r="F36" s="90"/>
      <c r="G36" s="91"/>
      <c r="H36" s="91"/>
      <c r="I36" s="91"/>
      <c r="J36" s="91"/>
      <c r="K36" s="145"/>
      <c r="L36" s="140"/>
    </row>
    <row r="37" spans="2:12" ht="102.75" customHeight="1" x14ac:dyDescent="0.2">
      <c r="B37" s="374"/>
      <c r="C37" s="25" t="s">
        <v>91</v>
      </c>
      <c r="D37" s="87">
        <v>4014.6</v>
      </c>
      <c r="E37" s="158"/>
      <c r="F37" s="87"/>
      <c r="G37" s="87"/>
      <c r="H37" s="87"/>
      <c r="I37" s="87"/>
      <c r="J37" s="87"/>
      <c r="K37" s="242"/>
      <c r="L37" s="243"/>
    </row>
    <row r="38" spans="2:12" ht="48" customHeight="1" x14ac:dyDescent="0.2">
      <c r="B38" s="374"/>
      <c r="C38" s="25" t="s">
        <v>92</v>
      </c>
      <c r="D38" s="97">
        <f>IFERROR(D37*VLOOKUP(D33,'DATOS INICIALES'!$A$12:$B$50,2,0),"0")</f>
        <v>3524027923.7999997</v>
      </c>
      <c r="E38" s="97" t="str">
        <f>IFERROR(E37*VLOOKUP(E33,'DATOS INICIALES'!$A$12:$B$50,2,0),"0")</f>
        <v>0</v>
      </c>
      <c r="F38" s="97" t="str">
        <f>IFERROR(F37*VLOOKUP(F33,'DATOS INICIALES'!$A$12:$B$50,2,0),"0")</f>
        <v>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0.5</v>
      </c>
      <c r="E39" s="88"/>
      <c r="F39" s="88"/>
      <c r="G39" s="88"/>
      <c r="H39" s="88"/>
      <c r="I39" s="88"/>
      <c r="J39" s="88"/>
      <c r="K39" s="145"/>
      <c r="L39" s="140"/>
    </row>
    <row r="40" spans="2:12" ht="48.75" customHeight="1" x14ac:dyDescent="0.2">
      <c r="B40" s="374"/>
      <c r="C40" s="25" t="s">
        <v>94</v>
      </c>
      <c r="D40" s="97">
        <f t="shared" ref="D40:J40" si="0">IF(D26="","0",D39*D38)</f>
        <v>1762013961.8999999</v>
      </c>
      <c r="E40" s="97" t="str">
        <f t="shared" si="0"/>
        <v>0</v>
      </c>
      <c r="F40" s="97" t="str">
        <f t="shared" si="0"/>
        <v>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2007.3</v>
      </c>
      <c r="E41" s="98">
        <f t="shared" si="1"/>
        <v>0</v>
      </c>
      <c r="F41" s="98">
        <f t="shared" si="1"/>
        <v>0</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2007.3</v>
      </c>
      <c r="E48" s="98">
        <f t="shared" ref="E48:G48" si="6">+E41+E44+E47</f>
        <v>0</v>
      </c>
      <c r="F48" s="98">
        <f t="shared" si="6"/>
        <v>0</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N/A</v>
      </c>
      <c r="F55" s="18" t="str">
        <f t="shared" si="8"/>
        <v>N/A</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N/A</v>
      </c>
      <c r="F67" s="18" t="str">
        <f>IF(F26="","N/A",IF(AND(F49="CUMPLE",F55="CUMPLE",OR(F56="CUMPLE",F56="N/A"),OR(F59="CUMPLE",F59="N/A"),F62="CUMPLE",F63="CUMPLE",OR(F64="CUMPLE",F64="N/A"),F65="CUMPLE",OR(F66="CUMPLE",F66="N/A")),"CUMPLE","NO CUMPLE"))</f>
        <v>N/A</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3732" priority="77" operator="equal">
      <formula>"CUMPLE"</formula>
    </cfRule>
    <cfRule type="containsBlanks" dxfId="3731" priority="74">
      <formula>LEN(TRIM(D71))=0</formula>
    </cfRule>
    <cfRule type="notContainsErrors" dxfId="3730" priority="75">
      <formula>NOT(ISERROR(D71))</formula>
    </cfRule>
    <cfRule type="cellIs" dxfId="3729" priority="76" operator="equal">
      <formula>"NO CUMPLE"</formula>
    </cfRule>
  </conditionalFormatting>
  <conditionalFormatting sqref="D72">
    <cfRule type="cellIs" dxfId="3728" priority="79" operator="equal">
      <formula>"CUMPLE"</formula>
    </cfRule>
    <cfRule type="cellIs" dxfId="3727" priority="78" operator="equal">
      <formula>"N/A"</formula>
    </cfRule>
    <cfRule type="cellIs" dxfId="3726" priority="81" operator="equal">
      <formula>"""CUMPLE"""</formula>
    </cfRule>
    <cfRule type="cellIs" dxfId="3725" priority="80" operator="equal">
      <formula>"NO CUMPLE"</formula>
    </cfRule>
  </conditionalFormatting>
  <conditionalFormatting sqref="D26:J37">
    <cfRule type="notContainsErrors" dxfId="3724" priority="4">
      <formula>NOT(ISERROR(D26))</formula>
    </cfRule>
    <cfRule type="containsBlanks" dxfId="3723" priority="3">
      <formula>LEN(TRIM(D26))=0</formula>
    </cfRule>
  </conditionalFormatting>
  <conditionalFormatting sqref="D36:J36">
    <cfRule type="notContainsErrors" dxfId="3722" priority="6">
      <formula>NOT(ISERROR(D36))</formula>
    </cfRule>
    <cfRule type="containsBlanks" dxfId="3721" priority="5">
      <formula>LEN(TRIM(D36))=0</formula>
    </cfRule>
  </conditionalFormatting>
  <conditionalFormatting sqref="D39:J39">
    <cfRule type="containsBlanks" dxfId="3720" priority="1">
      <formula>LEN(TRIM(D39))=0</formula>
    </cfRule>
    <cfRule type="notContainsErrors" dxfId="3719" priority="2">
      <formula>NOT(ISERROR(D39))</formula>
    </cfRule>
  </conditionalFormatting>
  <conditionalFormatting sqref="D42:J42 D45:J45">
    <cfRule type="notContainsErrors" dxfId="3718" priority="38">
      <formula>NOT(ISERROR(D42))</formula>
    </cfRule>
    <cfRule type="containsBlanks" dxfId="3717" priority="37">
      <formula>LEN(TRIM(D42))=0</formula>
    </cfRule>
  </conditionalFormatting>
  <conditionalFormatting sqref="D49:J54">
    <cfRule type="cellIs" dxfId="3716" priority="17" operator="equal">
      <formula>"NO CUMPLE"</formula>
    </cfRule>
    <cfRule type="cellIs" dxfId="3715" priority="18" operator="equal">
      <formula>"CUMPLE"</formula>
    </cfRule>
    <cfRule type="containsBlanks" dxfId="3714" priority="19">
      <formula>LEN(TRIM(D49))=0</formula>
    </cfRule>
    <cfRule type="notContainsErrors" dxfId="3713" priority="20">
      <formula>NOT(ISERROR(D49))</formula>
    </cfRule>
  </conditionalFormatting>
  <conditionalFormatting sqref="D55:J55">
    <cfRule type="cellIs" dxfId="3712" priority="28" operator="equal">
      <formula>"CUMPLE"</formula>
    </cfRule>
    <cfRule type="cellIs" dxfId="3711" priority="30" operator="equal">
      <formula>"""CUMPLE"""</formula>
    </cfRule>
    <cfRule type="cellIs" dxfId="3710" priority="29" operator="equal">
      <formula>"NO CUMPLE"</formula>
    </cfRule>
    <cfRule type="cellIs" dxfId="3709" priority="27" operator="equal">
      <formula>"N/A"</formula>
    </cfRule>
  </conditionalFormatting>
  <conditionalFormatting sqref="D56:J66">
    <cfRule type="cellIs" dxfId="3708" priority="11" operator="equal">
      <formula>"NO CUMPLE"</formula>
    </cfRule>
    <cfRule type="notContainsErrors" dxfId="3707" priority="14">
      <formula>NOT(ISERROR(D56))</formula>
    </cfRule>
    <cfRule type="containsBlanks" dxfId="3706" priority="13">
      <formula>LEN(TRIM(D56))=0</formula>
    </cfRule>
    <cfRule type="cellIs" dxfId="3705" priority="12" operator="equal">
      <formula>"CUMPLE"</formula>
    </cfRule>
  </conditionalFormatting>
  <conditionalFormatting sqref="D67:J67">
    <cfRule type="cellIs" dxfId="3704" priority="23" operator="equal">
      <formula>"N/A"</formula>
    </cfRule>
    <cfRule type="cellIs" dxfId="3703" priority="24" operator="equal">
      <formula>"CUMPLE"</formula>
    </cfRule>
    <cfRule type="cellIs" dxfId="3702" priority="26" operator="equal">
      <formula>"""CUMPLE"""</formula>
    </cfRule>
    <cfRule type="cellIs" dxfId="3701" priority="25" operator="equal">
      <formula>"NO CUMPLE"</formula>
    </cfRule>
  </conditionalFormatting>
  <conditionalFormatting sqref="D62:K66">
    <cfRule type="containsBlanks" dxfId="3700" priority="15">
      <formula>LEN(TRIM(D62))=0</formula>
    </cfRule>
    <cfRule type="notContainsErrors" dxfId="3699" priority="16">
      <formula>NOT(ISERROR(D62))</formula>
    </cfRule>
  </conditionalFormatting>
  <conditionalFormatting sqref="E71:E72">
    <cfRule type="notContainsErrors" dxfId="3698" priority="73">
      <formula>NOT(ISERROR(E71))</formula>
    </cfRule>
    <cfRule type="containsBlanks" dxfId="3697" priority="72">
      <formula>LEN(TRIM(E71))=0</formula>
    </cfRule>
  </conditionalFormatting>
  <conditionalFormatting sqref="F22:H22">
    <cfRule type="cellIs" dxfId="3696" priority="100" operator="equal">
      <formula>"NO CUMPLE"</formula>
    </cfRule>
    <cfRule type="cellIs" dxfId="3695" priority="101" operator="equal">
      <formula>"""CUMPLE"""</formula>
    </cfRule>
    <cfRule type="cellIs" dxfId="3694" priority="99" operator="equal">
      <formula>"CUMPLE"</formula>
    </cfRule>
  </conditionalFormatting>
  <conditionalFormatting sqref="G63:J63">
    <cfRule type="containsBlanks" dxfId="3693" priority="7">
      <formula>LEN(TRIM(G63))=0</formula>
    </cfRule>
    <cfRule type="notContainsErrors" dxfId="3692" priority="8">
      <formula>NOT(ISERROR(G63))</formula>
    </cfRule>
  </conditionalFormatting>
  <conditionalFormatting sqref="I11">
    <cfRule type="containsText" dxfId="3691" priority="105" operator="containsText" text="NO CUMPLE">
      <formula>NOT(ISERROR(SEARCH("NO CUMPLE",I11)))</formula>
    </cfRule>
    <cfRule type="containsText" dxfId="3690" priority="104" operator="containsText" text="HABILITADO">
      <formula>NOT(ISERROR(SEARCH("HABILITADO",I11)))</formula>
    </cfRule>
    <cfRule type="containsText" dxfId="3689" priority="103" operator="containsText" text="HABILITADO">
      <formula>NOT(ISERROR(SEARCH("HABILITADO",I11)))</formula>
    </cfRule>
    <cfRule type="containsText" dxfId="3688" priority="102" operator="containsText" text="INHABILITADO">
      <formula>NOT(ISERROR(SEARCH("INHABILITADO",I11)))</formula>
    </cfRule>
  </conditionalFormatting>
  <conditionalFormatting sqref="K18:K20">
    <cfRule type="cellIs" dxfId="3687" priority="70" operator="equal">
      <formula>"NO CUMPLE"</formula>
    </cfRule>
    <cfRule type="cellIs" dxfId="3686" priority="71" operator="equal">
      <formula>"""CUMPLE"""</formula>
    </cfRule>
    <cfRule type="cellIs" dxfId="3685" priority="69" operator="equal">
      <formula>"CUMPLE"</formula>
    </cfRule>
  </conditionalFormatting>
  <conditionalFormatting sqref="K26:K61 D62:J62">
    <cfRule type="containsBlanks" dxfId="3684" priority="9">
      <formula>LEN(TRIM(D26))=0</formula>
    </cfRule>
    <cfRule type="notContainsErrors" dxfId="3683" priority="10">
      <formula>NOT(ISERROR(D26))</formula>
    </cfRule>
  </conditionalFormatting>
  <conditionalFormatting sqref="K67:L67">
    <cfRule type="containsBlanks" dxfId="3682" priority="21">
      <formula>LEN(TRIM(K67))=0</formula>
    </cfRule>
    <cfRule type="notContainsErrors" dxfId="3681" priority="22">
      <formula>NOT(ISERROR(K67))</formula>
    </cfRule>
  </conditionalFormatting>
  <conditionalFormatting sqref="L14">
    <cfRule type="cellIs" dxfId="3680" priority="98" operator="equal">
      <formula>"""CUMPLE"""</formula>
    </cfRule>
    <cfRule type="cellIs" dxfId="3679" priority="97" operator="equal">
      <formula>"NO CUMPLE"</formula>
    </cfRule>
    <cfRule type="cellIs" dxfId="3678" priority="96" operator="equal">
      <formula>"CUMPLE"</formula>
    </cfRule>
  </conditionalFormatting>
  <dataValidations count="2">
    <dataValidation type="list" allowBlank="1" showInputMessage="1" showErrorMessage="1" sqref="D26:J28" xr:uid="{00000000-0002-0000-2100-000000000000}">
      <formula1>$C$15:$C$21</formula1>
    </dataValidation>
    <dataValidation type="list" allowBlank="1" showInputMessage="1" showErrorMessage="1" sqref="L62:L67" xr:uid="{00000000-0002-0000-21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2100-000002000000}">
          <x14:formula1>
            <xm:f>'DATOS INICIALES'!$A$13:$A$50</xm:f>
          </x14:formula1>
          <xm:sqref>G33:I33</xm:sqref>
        </x14:dataValidation>
        <x14:dataValidation type="list" allowBlank="1" showInputMessage="1" showErrorMessage="1" xr:uid="{00000000-0002-0000-2100-000003000000}">
          <x14:formula1>
            <xm:f>'DATOS INICIALES'!$A$61:$A$66</xm:f>
          </x14:formula1>
          <xm:sqref>D25:I25</xm:sqref>
        </x14:dataValidation>
        <x14:dataValidation type="list" allowBlank="1" showInputMessage="1" showErrorMessage="1" xr:uid="{00000000-0002-0000-2100-000004000000}">
          <x14:formula1>
            <xm:f>'DATOS INICIALES'!$A$57:$A$59</xm:f>
          </x14:formula1>
          <xm:sqref>D71 D56:J66</xm:sqref>
        </x14:dataValidation>
        <x14:dataValidation type="list" allowBlank="1" showInputMessage="1" showErrorMessage="1" xr:uid="{00000000-0002-0000-2100-000005000000}">
          <x14:formula1>
            <xm:f>'DATOS INICIALES'!$C$52:$C$53</xm:f>
          </x14:formula1>
          <xm:sqref>D53:J54</xm:sqref>
        </x14:dataValidation>
        <x14:dataValidation type="list" allowBlank="1" showInputMessage="1" showErrorMessage="1" xr:uid="{00000000-0002-0000-2100-000006000000}">
          <x14:formula1>
            <xm:f>'DATOS INICIALES'!$A$61:$A$67</xm:f>
          </x14:formula1>
          <xm:sqref>J25</xm:sqref>
        </x14:dataValidation>
        <x14:dataValidation type="list" allowBlank="1" showInputMessage="1" showErrorMessage="1" xr:uid="{00000000-0002-0000-2100-000007000000}">
          <x14:formula1>
            <xm:f>'DATOS INICIALES'!$A$57:$A$58</xm:f>
          </x14:formula1>
          <xm:sqref>D49:J49</xm:sqref>
        </x14:dataValidation>
        <x14:dataValidation type="list" allowBlank="1" showInputMessage="1" showErrorMessage="1" xr:uid="{00000000-0002-0000-2100-000008000000}">
          <x14:formula1>
            <xm:f>'DATOS INICIALES'!$D$27:$D$29</xm:f>
          </x14:formula1>
          <xm:sqref>M50:M55</xm:sqref>
        </x14:dataValidation>
        <x14:dataValidation type="list" allowBlank="1" showInputMessage="1" showErrorMessage="1" xr:uid="{00000000-0002-0000-2100-000009000000}">
          <x14:formula1>
            <xm:f>'DATOS INICIALES'!$C$52:$C$54</xm:f>
          </x14:formula1>
          <xm:sqref>D50:J52</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92D050"/>
  </sheetPr>
  <dimension ref="A1:N72"/>
  <sheetViews>
    <sheetView view="pageBreakPreview" topLeftCell="A16" zoomScale="40" zoomScaleNormal="25" zoomScaleSheetLayoutView="40" workbookViewId="0">
      <selection activeCell="F57" sqref="F57"/>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46.1640625" customWidth="1"/>
    <col min="6" max="6" width="41.5" customWidth="1"/>
    <col min="7" max="7" width="48.33203125" customWidth="1"/>
    <col min="8" max="8" width="46.83203125" customWidth="1"/>
    <col min="9"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29</v>
      </c>
      <c r="B11" s="2" t="s">
        <v>58</v>
      </c>
      <c r="C11" s="413" t="str">
        <f>VLOOKUP(A11,PROPONENTES!A10:B94,2,FALSE)</f>
        <v>CONSORCIO USAQUEN AVANZA MIC</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3</v>
      </c>
      <c r="J14" s="147">
        <f>+L8</f>
        <v>986.3076290832455</v>
      </c>
      <c r="K14" s="147">
        <f>+E22</f>
        <v>6433.32</v>
      </c>
      <c r="L14" s="18" t="str">
        <f>IF(K14&gt;=J14,"CUMPLE","NO CUMPLE")</f>
        <v>CUMPLE</v>
      </c>
    </row>
    <row r="15" spans="1:12" ht="33.75" customHeight="1" x14ac:dyDescent="0.2">
      <c r="B15" s="382"/>
      <c r="C15" s="92" t="str">
        <f>IF(VLOOKUP(C11,PROPONENTES!B10:N94,2,FALSE)=0,"",VLOOKUP(C11,PROPONENTES!B10:N94,2,FALSE))</f>
        <v xml:space="preserve">INGEOBRAS CONSTRUCCION Y CONSULTORIA SAS INGEOBRAS SAS </v>
      </c>
      <c r="D15" s="93">
        <f>IF(VLOOKUP(C11,PROPONENTES!B10:N94,3,FALSE)=0,"",VLOOKUP(C11,PROPONENTES!B10:N94,3,FALSE))</f>
        <v>0.5</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3712.89</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xml:space="preserve">MSC INGENIERIA SAS </v>
      </c>
      <c r="D16" s="93">
        <f>IF(VLOOKUP(C11,PROPONENTES!B10:N94,5,FALSE)=0,"",VLOOKUP(C11,PROPONENTES!B10:N94,5,FALSE))</f>
        <v>0.4</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2720.4300000000003</v>
      </c>
      <c r="F16" s="95" t="str">
        <f>IF(C16="","",IF(E16&gt;=$J$14*0.5,"SI","NO"))</f>
        <v>SI</v>
      </c>
      <c r="G16" s="96" t="str">
        <f>IF(C16="","",IF(E16&gt;=$J$14*0.05,"SI",IF(E16=0,"NO APORTA EXPERIENCIA",)))</f>
        <v>SI</v>
      </c>
      <c r="H16" s="96" t="str">
        <f>IF(C16="","",IF(AND(G16="NO APORTA EXPERIENCIA",D16&lt;=10%),"SI",IF(G16="SI","NO APLICA","NO - PORCENTAJE MAYOR AL 10%")))</f>
        <v>NO APLICA</v>
      </c>
      <c r="I16" s="162"/>
      <c r="J16" s="162"/>
      <c r="K16" s="162"/>
      <c r="L16" s="161">
        <f>AVERAGEIF(D67:J67,"CUMPLE",D48:J48)</f>
        <v>2144.44</v>
      </c>
    </row>
    <row r="17" spans="2:14" ht="33.75" customHeight="1" x14ac:dyDescent="0.2">
      <c r="B17" s="382"/>
      <c r="C17" s="92" t="str">
        <f>IF(VLOOKUP(C11,PROPONENTES!B10:N94,6,FALSE)=0,"",VLOOKUP(C11,PROPONENTES!B10:N94,6,FALSE))</f>
        <v xml:space="preserve">CORTES LEIVA ASOCIADOS SAS </v>
      </c>
      <c r="D17" s="93">
        <f>IF(VLOOKUP(C11,PROPONENTES!B10:N94,7,FALSE)=0,"",VLOOKUP(C11,PROPONENTES!B10:N94,7,FALSE))</f>
        <v>0.1</v>
      </c>
      <c r="E17" s="94">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0</v>
      </c>
      <c r="F17" s="95" t="str">
        <f>IF(C17="","",IF(E17&gt;=$J$14*0.5,"SI","NO"))</f>
        <v>NO</v>
      </c>
      <c r="G17" s="96" t="str">
        <f>IF(C17="","",IF(E17&gt;=$J$14*0.05,"SI",IF(E17=0,"NO APORTA EXPERIENCIA",)))</f>
        <v>NO APORTA EXPERIENCIA</v>
      </c>
      <c r="H17" s="96" t="str">
        <f>IF(C17="","",IF(AND(G17="NO APORTA EXPERIENCIA",D17&lt;=10%),"SI",IF(G17="SI","NO APLICA","NO - PORCENTAJE MAYOR AL 10%")))</f>
        <v>SI</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2</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3</v>
      </c>
      <c r="J19" s="128">
        <v>1</v>
      </c>
      <c r="K19" s="387"/>
      <c r="L19" s="388"/>
    </row>
    <row r="20" spans="2:14" ht="50.25" customHeight="1" x14ac:dyDescent="0.2">
      <c r="B20" s="382"/>
      <c r="C20" s="92"/>
      <c r="D20" s="93"/>
      <c r="E20" s="94"/>
      <c r="F20" s="95"/>
      <c r="G20" s="96"/>
      <c r="H20" s="96"/>
      <c r="I20" s="128">
        <f>COUNTIFS(D60:J60,"CUMPLE",D67:J67,"CUMPLE")</f>
        <v>3</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3</v>
      </c>
      <c r="J21" s="128">
        <v>1</v>
      </c>
      <c r="K21" s="389"/>
      <c r="L21" s="390"/>
    </row>
    <row r="22" spans="2:14" ht="84.75" customHeight="1" x14ac:dyDescent="0.2">
      <c r="B22" s="29" t="s">
        <v>75</v>
      </c>
      <c r="C22" s="24">
        <f>+VLOOKUP(C11,PROPONENTES!B10:N94,12,FALSE)</f>
        <v>3</v>
      </c>
      <c r="D22" s="93">
        <f>+VLOOKUP(C11,PROPONENTES!B10:N94,13,FALSE)</f>
        <v>1</v>
      </c>
      <c r="E22" s="32">
        <f>SUM(E15:E21)</f>
        <v>6433.32</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668</v>
      </c>
      <c r="E26" s="84" t="s">
        <v>669</v>
      </c>
      <c r="F26" s="84" t="s">
        <v>669</v>
      </c>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709</v>
      </c>
      <c r="E29" s="85" t="s">
        <v>710</v>
      </c>
      <c r="F29" s="85" t="s">
        <v>711</v>
      </c>
      <c r="G29" s="85"/>
      <c r="H29" s="85"/>
      <c r="I29" s="85"/>
      <c r="J29" s="85"/>
      <c r="K29" s="145"/>
      <c r="L29" s="140"/>
    </row>
    <row r="30" spans="2:14" ht="156.75" customHeight="1" x14ac:dyDescent="0.2">
      <c r="B30" s="374"/>
      <c r="C30" s="25" t="s">
        <v>84</v>
      </c>
      <c r="D30" s="85" t="s">
        <v>712</v>
      </c>
      <c r="E30" s="85" t="s">
        <v>713</v>
      </c>
      <c r="F30" s="85" t="s">
        <v>714</v>
      </c>
      <c r="G30" s="85"/>
      <c r="H30" s="85"/>
      <c r="I30" s="85"/>
      <c r="J30" s="85"/>
      <c r="K30" s="145"/>
      <c r="L30" s="140"/>
    </row>
    <row r="31" spans="2:14" ht="52.5" customHeight="1" x14ac:dyDescent="0.2">
      <c r="B31" s="374"/>
      <c r="C31" s="25" t="s">
        <v>85</v>
      </c>
      <c r="D31" s="89">
        <v>42019</v>
      </c>
      <c r="E31" s="89">
        <v>41968</v>
      </c>
      <c r="F31" s="89">
        <v>38446</v>
      </c>
      <c r="G31" s="89"/>
      <c r="H31" s="89"/>
      <c r="I31" s="89"/>
      <c r="J31" s="89"/>
      <c r="K31" s="145"/>
      <c r="L31" s="140"/>
    </row>
    <row r="32" spans="2:14" ht="54.75" customHeight="1" x14ac:dyDescent="0.2">
      <c r="B32" s="374"/>
      <c r="C32" s="25" t="s">
        <v>86</v>
      </c>
      <c r="D32" s="89">
        <v>43753</v>
      </c>
      <c r="E32" s="89">
        <v>42303</v>
      </c>
      <c r="F32" s="89">
        <v>39741</v>
      </c>
      <c r="G32" s="89"/>
      <c r="H32" s="89"/>
      <c r="I32" s="89"/>
      <c r="J32" s="89"/>
      <c r="K32" s="145"/>
      <c r="L32" s="140"/>
    </row>
    <row r="33" spans="2:12" ht="41.25" customHeight="1" x14ac:dyDescent="0.2">
      <c r="B33" s="374"/>
      <c r="C33" s="25" t="s">
        <v>87</v>
      </c>
      <c r="D33" s="86">
        <v>2019</v>
      </c>
      <c r="E33" s="86">
        <v>2015</v>
      </c>
      <c r="F33" s="86">
        <v>2008</v>
      </c>
      <c r="G33" s="86"/>
      <c r="H33" s="86"/>
      <c r="I33" s="86"/>
      <c r="J33" s="86"/>
      <c r="K33" s="145"/>
      <c r="L33" s="140"/>
    </row>
    <row r="34" spans="2:12" ht="63" customHeight="1" x14ac:dyDescent="0.2">
      <c r="B34" s="374"/>
      <c r="C34" s="25" t="s">
        <v>88</v>
      </c>
      <c r="D34" s="85" t="s">
        <v>715</v>
      </c>
      <c r="E34" s="85" t="s">
        <v>715</v>
      </c>
      <c r="F34" s="85" t="s">
        <v>321</v>
      </c>
      <c r="G34" s="85"/>
      <c r="H34" s="85"/>
      <c r="I34" s="85"/>
      <c r="J34" s="85"/>
      <c r="K34" s="145"/>
      <c r="L34" s="140"/>
    </row>
    <row r="35" spans="2:12" ht="46.5" customHeight="1" x14ac:dyDescent="0.2">
      <c r="B35" s="374"/>
      <c r="C35" s="25" t="s">
        <v>89</v>
      </c>
      <c r="D35" s="85" t="s">
        <v>668</v>
      </c>
      <c r="E35" s="85" t="s">
        <v>669</v>
      </c>
      <c r="F35" s="85" t="s">
        <v>669</v>
      </c>
      <c r="G35" s="85"/>
      <c r="H35" s="85"/>
      <c r="I35" s="85"/>
      <c r="J35" s="85"/>
      <c r="K35" s="145"/>
      <c r="L35" s="140"/>
    </row>
    <row r="36" spans="2:12" ht="27.75" customHeight="1" x14ac:dyDescent="0.2">
      <c r="B36" s="374"/>
      <c r="C36" s="26" t="s">
        <v>90</v>
      </c>
      <c r="D36" s="90">
        <v>39</v>
      </c>
      <c r="E36" s="90">
        <v>4</v>
      </c>
      <c r="F36" s="90">
        <v>22</v>
      </c>
      <c r="G36" s="91"/>
      <c r="H36" s="91"/>
      <c r="I36" s="91"/>
      <c r="J36" s="91"/>
      <c r="K36" s="145"/>
      <c r="L36" s="140"/>
    </row>
    <row r="37" spans="2:12" ht="102.75" customHeight="1" x14ac:dyDescent="0.2">
      <c r="B37" s="374"/>
      <c r="C37" s="25" t="s">
        <v>91</v>
      </c>
      <c r="D37" s="87">
        <v>3712.89</v>
      </c>
      <c r="E37" s="87">
        <v>1462.64</v>
      </c>
      <c r="F37" s="87">
        <v>1257.79</v>
      </c>
      <c r="G37" s="87"/>
      <c r="H37" s="87"/>
      <c r="I37" s="87"/>
      <c r="J37" s="87"/>
      <c r="K37" s="242"/>
      <c r="L37" s="243"/>
    </row>
    <row r="38" spans="2:12" ht="48" customHeight="1" x14ac:dyDescent="0.2">
      <c r="B38" s="374"/>
      <c r="C38" s="25" t="s">
        <v>92</v>
      </c>
      <c r="D38" s="97">
        <f>IFERROR(D37*VLOOKUP(D33,'DATOS INICIALES'!$A$12:$B$50,2,0),"0")</f>
        <v>3074703615.2399998</v>
      </c>
      <c r="E38" s="97">
        <f>IFERROR(E37*VLOOKUP(E33,'DATOS INICIALES'!$A$12:$B$50,2,0),"0")</f>
        <v>942452084.00000012</v>
      </c>
      <c r="F38" s="97">
        <f>IFERROR(F37*VLOOKUP(F33,'DATOS INICIALES'!$A$12:$B$50,2,0),"0")</f>
        <v>580470085</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1</v>
      </c>
      <c r="E39" s="88">
        <v>1</v>
      </c>
      <c r="F39" s="88">
        <v>1</v>
      </c>
      <c r="G39" s="88"/>
      <c r="H39" s="88"/>
      <c r="I39" s="88"/>
      <c r="J39" s="88"/>
      <c r="K39" s="145"/>
      <c r="L39" s="140"/>
    </row>
    <row r="40" spans="2:12" ht="48.75" customHeight="1" x14ac:dyDescent="0.2">
      <c r="B40" s="374"/>
      <c r="C40" s="25" t="s">
        <v>94</v>
      </c>
      <c r="D40" s="97">
        <f t="shared" ref="D40:J40" si="0">IF(D26="","0",D39*D38)</f>
        <v>3074703615.2399998</v>
      </c>
      <c r="E40" s="97">
        <f t="shared" si="0"/>
        <v>942452084.00000012</v>
      </c>
      <c r="F40" s="97">
        <f t="shared" si="0"/>
        <v>580470085</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3712.89</v>
      </c>
      <c r="E41" s="98">
        <f t="shared" si="1"/>
        <v>1462.64</v>
      </c>
      <c r="F41" s="98">
        <f t="shared" si="1"/>
        <v>1257.79</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3712.89</v>
      </c>
      <c r="E48" s="98">
        <f t="shared" ref="E48:G48" si="6">+E41+E44+E47</f>
        <v>1462.64</v>
      </c>
      <c r="F48" s="98">
        <f t="shared" si="6"/>
        <v>1257.79</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26</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3677" priority="75" operator="equal">
      <formula>"CUMPLE"</formula>
    </cfRule>
    <cfRule type="containsBlanks" dxfId="3676" priority="72">
      <formula>LEN(TRIM(D71))=0</formula>
    </cfRule>
    <cfRule type="notContainsErrors" dxfId="3675" priority="73">
      <formula>NOT(ISERROR(D71))</formula>
    </cfRule>
    <cfRule type="cellIs" dxfId="3674" priority="74" operator="equal">
      <formula>"NO CUMPLE"</formula>
    </cfRule>
  </conditionalFormatting>
  <conditionalFormatting sqref="D72">
    <cfRule type="cellIs" dxfId="3673" priority="77" operator="equal">
      <formula>"CUMPLE"</formula>
    </cfRule>
    <cfRule type="cellIs" dxfId="3672" priority="76" operator="equal">
      <formula>"N/A"</formula>
    </cfRule>
    <cfRule type="cellIs" dxfId="3671" priority="79" operator="equal">
      <formula>"""CUMPLE"""</formula>
    </cfRule>
    <cfRule type="cellIs" dxfId="3670" priority="78" operator="equal">
      <formula>"NO CUMPLE"</formula>
    </cfRule>
  </conditionalFormatting>
  <conditionalFormatting sqref="D26:J37">
    <cfRule type="notContainsErrors" dxfId="3669" priority="4">
      <formula>NOT(ISERROR(D26))</formula>
    </cfRule>
    <cfRule type="containsBlanks" dxfId="3668" priority="3">
      <formula>LEN(TRIM(D26))=0</formula>
    </cfRule>
  </conditionalFormatting>
  <conditionalFormatting sqref="D36:J36">
    <cfRule type="notContainsErrors" dxfId="3667" priority="6">
      <formula>NOT(ISERROR(D36))</formula>
    </cfRule>
    <cfRule type="containsBlanks" dxfId="3666" priority="5">
      <formula>LEN(TRIM(D36))=0</formula>
    </cfRule>
  </conditionalFormatting>
  <conditionalFormatting sqref="D39:J39">
    <cfRule type="containsBlanks" dxfId="3665" priority="1">
      <formula>LEN(TRIM(D39))=0</formula>
    </cfRule>
    <cfRule type="notContainsErrors" dxfId="3664" priority="2">
      <formula>NOT(ISERROR(D39))</formula>
    </cfRule>
  </conditionalFormatting>
  <conditionalFormatting sqref="D42:J42 D45:J45">
    <cfRule type="notContainsErrors" dxfId="3663" priority="38">
      <formula>NOT(ISERROR(D42))</formula>
    </cfRule>
    <cfRule type="containsBlanks" dxfId="3662" priority="37">
      <formula>LEN(TRIM(D42))=0</formula>
    </cfRule>
  </conditionalFormatting>
  <conditionalFormatting sqref="D49:J54">
    <cfRule type="cellIs" dxfId="3661" priority="17" operator="equal">
      <formula>"NO CUMPLE"</formula>
    </cfRule>
    <cfRule type="cellIs" dxfId="3660" priority="18" operator="equal">
      <formula>"CUMPLE"</formula>
    </cfRule>
    <cfRule type="containsBlanks" dxfId="3659" priority="19">
      <formula>LEN(TRIM(D49))=0</formula>
    </cfRule>
    <cfRule type="notContainsErrors" dxfId="3658" priority="20">
      <formula>NOT(ISERROR(D49))</formula>
    </cfRule>
  </conditionalFormatting>
  <conditionalFormatting sqref="D55:J55">
    <cfRule type="cellIs" dxfId="3657" priority="28" operator="equal">
      <formula>"CUMPLE"</formula>
    </cfRule>
    <cfRule type="cellIs" dxfId="3656" priority="30" operator="equal">
      <formula>"""CUMPLE"""</formula>
    </cfRule>
    <cfRule type="cellIs" dxfId="3655" priority="29" operator="equal">
      <formula>"NO CUMPLE"</formula>
    </cfRule>
    <cfRule type="cellIs" dxfId="3654" priority="27" operator="equal">
      <formula>"N/A"</formula>
    </cfRule>
  </conditionalFormatting>
  <conditionalFormatting sqref="D56:J66">
    <cfRule type="cellIs" dxfId="3653" priority="11" operator="equal">
      <formula>"NO CUMPLE"</formula>
    </cfRule>
    <cfRule type="notContainsErrors" dxfId="3652" priority="14">
      <formula>NOT(ISERROR(D56))</formula>
    </cfRule>
    <cfRule type="containsBlanks" dxfId="3651" priority="13">
      <formula>LEN(TRIM(D56))=0</formula>
    </cfRule>
    <cfRule type="cellIs" dxfId="3650" priority="12" operator="equal">
      <formula>"CUMPLE"</formula>
    </cfRule>
  </conditionalFormatting>
  <conditionalFormatting sqref="D67:J67">
    <cfRule type="cellIs" dxfId="3649" priority="23" operator="equal">
      <formula>"N/A"</formula>
    </cfRule>
    <cfRule type="cellIs" dxfId="3648" priority="24" operator="equal">
      <formula>"CUMPLE"</formula>
    </cfRule>
    <cfRule type="cellIs" dxfId="3647" priority="26" operator="equal">
      <formula>"""CUMPLE"""</formula>
    </cfRule>
    <cfRule type="cellIs" dxfId="3646" priority="25" operator="equal">
      <formula>"NO CUMPLE"</formula>
    </cfRule>
  </conditionalFormatting>
  <conditionalFormatting sqref="D62:K66">
    <cfRule type="containsBlanks" dxfId="3645" priority="15">
      <formula>LEN(TRIM(D62))=0</formula>
    </cfRule>
    <cfRule type="notContainsErrors" dxfId="3644" priority="16">
      <formula>NOT(ISERROR(D62))</formula>
    </cfRule>
  </conditionalFormatting>
  <conditionalFormatting sqref="E71:E72">
    <cfRule type="notContainsErrors" dxfId="3643" priority="71">
      <formula>NOT(ISERROR(E71))</formula>
    </cfRule>
    <cfRule type="containsBlanks" dxfId="3642" priority="70">
      <formula>LEN(TRIM(E71))=0</formula>
    </cfRule>
  </conditionalFormatting>
  <conditionalFormatting sqref="F22:H22">
    <cfRule type="cellIs" dxfId="3641" priority="98" operator="equal">
      <formula>"NO CUMPLE"</formula>
    </cfRule>
    <cfRule type="cellIs" dxfId="3640" priority="99" operator="equal">
      <formula>"""CUMPLE"""</formula>
    </cfRule>
    <cfRule type="cellIs" dxfId="3639" priority="97" operator="equal">
      <formula>"CUMPLE"</formula>
    </cfRule>
  </conditionalFormatting>
  <conditionalFormatting sqref="G63:J63">
    <cfRule type="containsBlanks" dxfId="3638" priority="7">
      <formula>LEN(TRIM(G63))=0</formula>
    </cfRule>
    <cfRule type="notContainsErrors" dxfId="3637" priority="8">
      <formula>NOT(ISERROR(G63))</formula>
    </cfRule>
  </conditionalFormatting>
  <conditionalFormatting sqref="I11">
    <cfRule type="containsText" dxfId="3636" priority="103" operator="containsText" text="NO CUMPLE">
      <formula>NOT(ISERROR(SEARCH("NO CUMPLE",I11)))</formula>
    </cfRule>
    <cfRule type="containsText" dxfId="3635" priority="102" operator="containsText" text="HABILITADO">
      <formula>NOT(ISERROR(SEARCH("HABILITADO",I11)))</formula>
    </cfRule>
    <cfRule type="containsText" dxfId="3634" priority="101" operator="containsText" text="HABILITADO">
      <formula>NOT(ISERROR(SEARCH("HABILITADO",I11)))</formula>
    </cfRule>
    <cfRule type="containsText" dxfId="3633" priority="100" operator="containsText" text="INHABILITADO">
      <formula>NOT(ISERROR(SEARCH("INHABILITADO",I11)))</formula>
    </cfRule>
  </conditionalFormatting>
  <conditionalFormatting sqref="K18:K20">
    <cfRule type="cellIs" dxfId="3632" priority="68" operator="equal">
      <formula>"NO CUMPLE"</formula>
    </cfRule>
    <cfRule type="cellIs" dxfId="3631" priority="69" operator="equal">
      <formula>"""CUMPLE"""</formula>
    </cfRule>
    <cfRule type="cellIs" dxfId="3630" priority="67" operator="equal">
      <formula>"CUMPLE"</formula>
    </cfRule>
  </conditionalFormatting>
  <conditionalFormatting sqref="K26:K61 D62:J62">
    <cfRule type="containsBlanks" dxfId="3629" priority="9">
      <formula>LEN(TRIM(D26))=0</formula>
    </cfRule>
    <cfRule type="notContainsErrors" dxfId="3628" priority="10">
      <formula>NOT(ISERROR(D26))</formula>
    </cfRule>
  </conditionalFormatting>
  <conditionalFormatting sqref="K67:L67">
    <cfRule type="containsBlanks" dxfId="3627" priority="21">
      <formula>LEN(TRIM(K67))=0</formula>
    </cfRule>
    <cfRule type="notContainsErrors" dxfId="3626" priority="22">
      <formula>NOT(ISERROR(K67))</formula>
    </cfRule>
  </conditionalFormatting>
  <conditionalFormatting sqref="L14">
    <cfRule type="cellIs" dxfId="3625" priority="96" operator="equal">
      <formula>"""CUMPLE"""</formula>
    </cfRule>
    <cfRule type="cellIs" dxfId="3624" priority="95" operator="equal">
      <formula>"NO CUMPLE"</formula>
    </cfRule>
    <cfRule type="cellIs" dxfId="3623" priority="94" operator="equal">
      <formula>"CUMPLE"</formula>
    </cfRule>
  </conditionalFormatting>
  <dataValidations count="2">
    <dataValidation type="list" allowBlank="1" showInputMessage="1" showErrorMessage="1" sqref="L62:L67" xr:uid="{00000000-0002-0000-2200-000000000000}">
      <formula1>"0,1,2,3,4,5,6"</formula1>
    </dataValidation>
    <dataValidation type="list" allowBlank="1" showInputMessage="1" showErrorMessage="1" sqref="D26:J28" xr:uid="{00000000-0002-0000-22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2200-000002000000}">
          <x14:formula1>
            <xm:f>'DATOS INICIALES'!$A$57:$A$58</xm:f>
          </x14:formula1>
          <xm:sqref>D49:J49</xm:sqref>
        </x14:dataValidation>
        <x14:dataValidation type="list" allowBlank="1" showInputMessage="1" showErrorMessage="1" xr:uid="{00000000-0002-0000-2200-000003000000}">
          <x14:formula1>
            <xm:f>'DATOS INICIALES'!$A$61:$A$67</xm:f>
          </x14:formula1>
          <xm:sqref>J25</xm:sqref>
        </x14:dataValidation>
        <x14:dataValidation type="list" allowBlank="1" showInputMessage="1" showErrorMessage="1" xr:uid="{00000000-0002-0000-2200-000004000000}">
          <x14:formula1>
            <xm:f>'DATOS INICIALES'!$C$52:$C$53</xm:f>
          </x14:formula1>
          <xm:sqref>D53:J54</xm:sqref>
        </x14:dataValidation>
        <x14:dataValidation type="list" allowBlank="1" showInputMessage="1" showErrorMessage="1" xr:uid="{00000000-0002-0000-2200-000005000000}">
          <x14:formula1>
            <xm:f>'DATOS INICIALES'!$A$57:$A$59</xm:f>
          </x14:formula1>
          <xm:sqref>D71 D56:J66</xm:sqref>
        </x14:dataValidation>
        <x14:dataValidation type="list" allowBlank="1" showInputMessage="1" showErrorMessage="1" xr:uid="{00000000-0002-0000-2200-000006000000}">
          <x14:formula1>
            <xm:f>'DATOS INICIALES'!$A$61:$A$66</xm:f>
          </x14:formula1>
          <xm:sqref>D25:I25</xm:sqref>
        </x14:dataValidation>
        <x14:dataValidation type="list" allowBlank="1" showInputMessage="1" showErrorMessage="1" xr:uid="{00000000-0002-0000-2200-000007000000}">
          <x14:formula1>
            <xm:f>'DATOS INICIALES'!$A$13:$A$50</xm:f>
          </x14:formula1>
          <xm:sqref>G33:I33</xm:sqref>
        </x14:dataValidation>
        <x14:dataValidation type="list" allowBlank="1" showInputMessage="1" showErrorMessage="1" xr:uid="{00000000-0002-0000-2200-000008000000}">
          <x14:formula1>
            <xm:f>'DATOS INICIALES'!$D$27:$D$29</xm:f>
          </x14:formula1>
          <xm:sqref>M50:M55</xm:sqref>
        </x14:dataValidation>
        <x14:dataValidation type="list" allowBlank="1" showInputMessage="1" showErrorMessage="1" xr:uid="{00000000-0002-0000-2200-000009000000}">
          <x14:formula1>
            <xm:f>'DATOS INICIALES'!$C$52:$C$54</xm:f>
          </x14:formula1>
          <xm:sqref>D50:J52</xm:sqref>
        </x14:dataValidation>
      </x14:dataValidations>
    </ext>
  </extLst>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92D050"/>
  </sheetPr>
  <dimension ref="A1:N72"/>
  <sheetViews>
    <sheetView view="pageBreakPreview" topLeftCell="A16" zoomScale="40" zoomScaleNormal="25" zoomScaleSheetLayoutView="40" workbookViewId="0">
      <selection activeCell="F57" sqref="F57"/>
    </sheetView>
  </sheetViews>
  <sheetFormatPr baseColWidth="10" defaultColWidth="11.5" defaultRowHeight="15" x14ac:dyDescent="0.2"/>
  <cols>
    <col min="1" max="1" width="5.5" customWidth="1"/>
    <col min="2" max="2" width="30.83203125" customWidth="1"/>
    <col min="3" max="3" width="63.1640625" customWidth="1"/>
    <col min="4" max="4" width="48.33203125" customWidth="1"/>
    <col min="5" max="5" width="43.6640625" customWidth="1"/>
    <col min="6" max="6" width="51.1640625" customWidth="1"/>
    <col min="7"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30</v>
      </c>
      <c r="B11" s="2" t="s">
        <v>58</v>
      </c>
      <c r="C11" s="413" t="str">
        <f>VLOOKUP(A11,PROPONENTES!A10:B94,2,FALSE)</f>
        <v>CONSORCIO INTER-USAQUEN 003 HCPC</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6</v>
      </c>
      <c r="J14" s="147">
        <f>+L8</f>
        <v>986.3076290832455</v>
      </c>
      <c r="K14" s="147">
        <f>+E22</f>
        <v>10027.801000000001</v>
      </c>
      <c r="L14" s="18" t="str">
        <f>IF(K14&gt;=J14,"CUMPLE","NO CUMPLE")</f>
        <v>CUMPLE</v>
      </c>
    </row>
    <row r="15" spans="1:12" ht="33.75" customHeight="1" x14ac:dyDescent="0.2">
      <c r="B15" s="382"/>
      <c r="C15" s="92" t="str">
        <f>IF(VLOOKUP(C11,PROPONENTES!B10:N94,2,FALSE)=0,"",VLOOKUP(C11,PROPONENTES!B10:N94,2,FALSE))</f>
        <v>JORGE WILLAN CORZO GARCIA</v>
      </c>
      <c r="D15" s="93">
        <f>IF(VLOOKUP(C11,PROPONENTES!B10:N94,3,FALSE)=0,"",VLOOKUP(C11,PROPONENTES!B10:N94,3,FALSE))</f>
        <v>0.2</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209.70000000000002</v>
      </c>
      <c r="F15" s="95" t="str">
        <f>IF(C15="","",IF(E15&gt;=$J$14*0.5,"SI","NO"))</f>
        <v>NO</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PC PROYECCION E INGENIERIA SAS</v>
      </c>
      <c r="D16" s="93">
        <f>IF(VLOOKUP(C11,PROPONENTES!B10:N94,5,FALSE)=0,"",VLOOKUP(C11,PROPONENTES!B10:N94,5,FALSE))</f>
        <v>0.4</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1245.559</v>
      </c>
      <c r="F16" s="95" t="str">
        <f>IF(C16="","",IF(E16&gt;=$J$14*0.5,"SI","NO"))</f>
        <v>SI</v>
      </c>
      <c r="G16" s="96" t="str">
        <f>IF(C16="","",IF(E16&gt;=$J$14*0.05,"SI",IF(E16=0,"NO APORTA EXPERIENCIA",)))</f>
        <v>SI</v>
      </c>
      <c r="H16" s="96" t="str">
        <f>IF(C16="","",IF(AND(G16="NO APORTA EXPERIENCIA",D16&lt;=10%),"SI",IF(G16="SI","NO APLICA","NO - PORCENTAJE MAYOR AL 10%")))</f>
        <v>NO APLICA</v>
      </c>
      <c r="I16" s="162"/>
      <c r="J16" s="162"/>
      <c r="K16" s="162"/>
      <c r="L16" s="161">
        <f>AVERAGEIF(D67:J67,"CUMPLE",D48:J48)</f>
        <v>1671.3001666666671</v>
      </c>
    </row>
    <row r="17" spans="2:14" ht="33.75" customHeight="1" x14ac:dyDescent="0.2">
      <c r="B17" s="382"/>
      <c r="C17" s="92" t="str">
        <f>IF(VLOOKUP(C11,PROPONENTES!B10:N94,6,FALSE)=0,"",VLOOKUP(C11,PROPONENTES!B10:N94,6,FALSE))</f>
        <v>HORIZONTES CIVILES S.A.S.</v>
      </c>
      <c r="D17" s="93">
        <f>IF(VLOOKUP(C11,PROPONENTES!B10:N94,7,FALSE)=0,"",VLOOKUP(C11,PROPONENTES!B10:N94,7,FALSE))</f>
        <v>0.4</v>
      </c>
      <c r="E17" s="94">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8572.5420000000013</v>
      </c>
      <c r="F17" s="95" t="str">
        <f>IF(C17="","",IF(E17&gt;=$J$14*0.5,"SI","NO"))</f>
        <v>SI</v>
      </c>
      <c r="G17" s="96" t="str">
        <f>IF(C17="","",IF(E17&gt;=$J$14*0.05,"SI",IF(E17=0,"NO APORTA EXPERIENCIA",)))</f>
        <v>SI</v>
      </c>
      <c r="H17" s="96" t="str">
        <f>IF(C17="","",IF(AND(G17="NO APORTA EXPERIENCIA",D17&lt;=10%),"SI",IF(G17="SI","NO APLICA","NO - PORCENTAJE MAYOR AL 10%")))</f>
        <v>NO APLICA</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5</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6</v>
      </c>
      <c r="J19" s="128">
        <v>1</v>
      </c>
      <c r="K19" s="387"/>
      <c r="L19" s="388"/>
    </row>
    <row r="20" spans="2:14" ht="50.25" customHeight="1" x14ac:dyDescent="0.2">
      <c r="B20" s="382"/>
      <c r="C20" s="92"/>
      <c r="D20" s="93"/>
      <c r="E20" s="94"/>
      <c r="F20" s="95"/>
      <c r="G20" s="96"/>
      <c r="H20" s="96"/>
      <c r="I20" s="128">
        <f>COUNTIFS(D60:J60,"CUMPLE",D67:J67,"CUMPLE")</f>
        <v>6</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6</v>
      </c>
      <c r="J21" s="128">
        <v>1</v>
      </c>
      <c r="K21" s="389"/>
      <c r="L21" s="390"/>
    </row>
    <row r="22" spans="2:14" ht="84.75" customHeight="1" x14ac:dyDescent="0.2">
      <c r="B22" s="29" t="s">
        <v>75</v>
      </c>
      <c r="C22" s="24">
        <f>+VLOOKUP(C11,PROPONENTES!B10:N94,12,FALSE)</f>
        <v>3</v>
      </c>
      <c r="D22" s="93">
        <f>+VLOOKUP(C11,PROPONENTES!B10:N94,13,FALSE)</f>
        <v>1</v>
      </c>
      <c r="E22" s="32">
        <f>SUM(E15:E21)</f>
        <v>10027.801000000001</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673</v>
      </c>
      <c r="E26" s="84" t="s">
        <v>672</v>
      </c>
      <c r="F26" s="84" t="s">
        <v>672</v>
      </c>
      <c r="G26" s="84" t="s">
        <v>671</v>
      </c>
      <c r="H26" s="84" t="s">
        <v>672</v>
      </c>
      <c r="I26" s="84" t="s">
        <v>672</v>
      </c>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716</v>
      </c>
      <c r="E29" s="85" t="s">
        <v>717</v>
      </c>
      <c r="F29" s="85" t="s">
        <v>718</v>
      </c>
      <c r="G29" s="85" t="s">
        <v>718</v>
      </c>
      <c r="H29" s="85" t="s">
        <v>719</v>
      </c>
      <c r="I29" s="85" t="s">
        <v>720</v>
      </c>
      <c r="J29" s="85"/>
      <c r="K29" s="145"/>
      <c r="L29" s="140"/>
    </row>
    <row r="30" spans="2:14" ht="156.75" customHeight="1" x14ac:dyDescent="0.2">
      <c r="B30" s="374"/>
      <c r="C30" s="25" t="s">
        <v>84</v>
      </c>
      <c r="D30" s="85" t="s">
        <v>721</v>
      </c>
      <c r="E30" s="85" t="s">
        <v>722</v>
      </c>
      <c r="F30" s="85" t="s">
        <v>723</v>
      </c>
      <c r="G30" s="85" t="s">
        <v>723</v>
      </c>
      <c r="H30" s="85" t="s">
        <v>724</v>
      </c>
      <c r="I30" s="85" t="s">
        <v>725</v>
      </c>
      <c r="J30" s="85"/>
      <c r="K30" s="145"/>
      <c r="L30" s="140"/>
    </row>
    <row r="31" spans="2:14" ht="52.5" customHeight="1" x14ac:dyDescent="0.2">
      <c r="B31" s="374"/>
      <c r="C31" s="25" t="s">
        <v>85</v>
      </c>
      <c r="D31" s="89">
        <v>39860</v>
      </c>
      <c r="E31" s="89">
        <v>43791</v>
      </c>
      <c r="F31" s="89">
        <v>44897</v>
      </c>
      <c r="G31" s="89">
        <v>44897</v>
      </c>
      <c r="H31" s="89">
        <v>42275</v>
      </c>
      <c r="I31" s="89">
        <v>41906</v>
      </c>
      <c r="J31" s="89"/>
      <c r="K31" s="145"/>
      <c r="L31" s="140"/>
    </row>
    <row r="32" spans="2:14" ht="54.75" customHeight="1" x14ac:dyDescent="0.2">
      <c r="B32" s="374"/>
      <c r="C32" s="25" t="s">
        <v>86</v>
      </c>
      <c r="D32" s="89">
        <v>41213</v>
      </c>
      <c r="E32" s="89">
        <v>44269</v>
      </c>
      <c r="F32" s="89">
        <v>45283</v>
      </c>
      <c r="G32" s="89">
        <v>45283</v>
      </c>
      <c r="H32" s="89">
        <v>42449</v>
      </c>
      <c r="I32" s="89">
        <v>42093</v>
      </c>
      <c r="J32" s="89"/>
      <c r="K32" s="145"/>
      <c r="L32" s="140"/>
    </row>
    <row r="33" spans="2:12" ht="41.25" customHeight="1" x14ac:dyDescent="0.2">
      <c r="B33" s="374"/>
      <c r="C33" s="25" t="s">
        <v>87</v>
      </c>
      <c r="D33" s="86">
        <v>2012</v>
      </c>
      <c r="E33" s="86">
        <v>2021</v>
      </c>
      <c r="F33" s="86">
        <v>2023</v>
      </c>
      <c r="G33" s="86">
        <v>2023</v>
      </c>
      <c r="H33" s="86">
        <v>2016</v>
      </c>
      <c r="I33" s="86">
        <v>2015</v>
      </c>
      <c r="J33" s="86"/>
      <c r="K33" s="145"/>
      <c r="L33" s="140"/>
    </row>
    <row r="34" spans="2:12" ht="63" customHeight="1" x14ac:dyDescent="0.2">
      <c r="B34" s="374"/>
      <c r="C34" s="25" t="s">
        <v>88</v>
      </c>
      <c r="D34" s="85" t="s">
        <v>321</v>
      </c>
      <c r="E34" s="85" t="s">
        <v>322</v>
      </c>
      <c r="F34" s="85" t="s">
        <v>726</v>
      </c>
      <c r="G34" s="85" t="s">
        <v>726</v>
      </c>
      <c r="H34" s="85" t="s">
        <v>727</v>
      </c>
      <c r="I34" s="85" t="s">
        <v>727</v>
      </c>
      <c r="J34" s="85"/>
      <c r="K34" s="145"/>
      <c r="L34" s="140"/>
    </row>
    <row r="35" spans="2:12" ht="46.5" customHeight="1" x14ac:dyDescent="0.2">
      <c r="B35" s="374"/>
      <c r="C35" s="25" t="s">
        <v>89</v>
      </c>
      <c r="D35" s="85" t="s">
        <v>673</v>
      </c>
      <c r="E35" s="85" t="s">
        <v>672</v>
      </c>
      <c r="F35" s="85" t="s">
        <v>672</v>
      </c>
      <c r="G35" s="85" t="s">
        <v>671</v>
      </c>
      <c r="H35" s="85" t="s">
        <v>672</v>
      </c>
      <c r="I35" s="85" t="s">
        <v>672</v>
      </c>
      <c r="J35" s="85"/>
      <c r="K35" s="145"/>
      <c r="L35" s="140"/>
    </row>
    <row r="36" spans="2:12" ht="27.75" customHeight="1" x14ac:dyDescent="0.2">
      <c r="B36" s="374"/>
      <c r="C36" s="26" t="s">
        <v>90</v>
      </c>
      <c r="D36" s="90">
        <v>18</v>
      </c>
      <c r="E36" s="90">
        <v>135</v>
      </c>
      <c r="F36" s="90">
        <v>149</v>
      </c>
      <c r="G36" s="91">
        <v>69</v>
      </c>
      <c r="H36" s="91">
        <v>152</v>
      </c>
      <c r="I36" s="91">
        <v>151</v>
      </c>
      <c r="J36" s="91"/>
      <c r="K36" s="145"/>
      <c r="L36" s="140"/>
    </row>
    <row r="37" spans="2:12" ht="102.75" customHeight="1" x14ac:dyDescent="0.2">
      <c r="B37" s="374"/>
      <c r="C37" s="25" t="s">
        <v>91</v>
      </c>
      <c r="D37" s="87">
        <v>15586.44</v>
      </c>
      <c r="E37" s="87">
        <v>2399.5700000000002</v>
      </c>
      <c r="F37" s="87">
        <v>1048.5</v>
      </c>
      <c r="G37" s="87">
        <v>1048.5</v>
      </c>
      <c r="H37" s="87">
        <v>164.79</v>
      </c>
      <c r="I37" s="87">
        <v>155.13999999999999</v>
      </c>
      <c r="J37" s="87"/>
      <c r="K37" s="242"/>
      <c r="L37" s="243"/>
    </row>
    <row r="38" spans="2:12" ht="48" customHeight="1" x14ac:dyDescent="0.2">
      <c r="B38" s="374"/>
      <c r="C38" s="25" t="s">
        <v>92</v>
      </c>
      <c r="D38" s="97">
        <f>IFERROR(D37*VLOOKUP(D33,'DATOS INICIALES'!$A$12:$B$50,2,0),"0")</f>
        <v>8832835548</v>
      </c>
      <c r="E38" s="97">
        <f>IFERROR(E37*VLOOKUP(E33,'DATOS INICIALES'!$A$12:$B$50,2,0),"0")</f>
        <v>2180071733.8200002</v>
      </c>
      <c r="F38" s="97">
        <f>IFERROR(F37*VLOOKUP(F33,'DATOS INICIALES'!$A$12:$B$50,2,0),"0")</f>
        <v>1216260000</v>
      </c>
      <c r="G38" s="97">
        <f>IFERROR(G37*VLOOKUP(G33,'DATOS INICIALES'!$A$12:$B$50,2,0),"0")</f>
        <v>1216260000</v>
      </c>
      <c r="H38" s="97">
        <f>IFERROR(H37*VLOOKUP(H33,'DATOS INICIALES'!$A$12:$B$50,2,0),"0")</f>
        <v>113615289.44999999</v>
      </c>
      <c r="I38" s="97">
        <f>IFERROR(I37*VLOOKUP(I33,'DATOS INICIALES'!$A$12:$B$50,2,0),"0")</f>
        <v>99964458.999999985</v>
      </c>
      <c r="J38" s="97" t="str">
        <f>IFERROR(J37*VLOOKUP(J33,'DATOS INICIALES'!$A$12:$B$50,2,0),"0")</f>
        <v>0</v>
      </c>
      <c r="K38" s="145"/>
      <c r="L38" s="140"/>
    </row>
    <row r="39" spans="2:12" ht="33.75" customHeight="1" x14ac:dyDescent="0.2">
      <c r="B39" s="374"/>
      <c r="C39" s="25" t="s">
        <v>93</v>
      </c>
      <c r="D39" s="88">
        <v>0.55000000000000004</v>
      </c>
      <c r="E39" s="88">
        <v>0.2</v>
      </c>
      <c r="F39" s="88">
        <v>0.5</v>
      </c>
      <c r="G39" s="88">
        <v>0.2</v>
      </c>
      <c r="H39" s="88">
        <v>0.9</v>
      </c>
      <c r="I39" s="88">
        <v>0.6</v>
      </c>
      <c r="J39" s="88"/>
      <c r="K39" s="145"/>
      <c r="L39" s="140"/>
    </row>
    <row r="40" spans="2:12" ht="48.75" customHeight="1" x14ac:dyDescent="0.2">
      <c r="B40" s="374"/>
      <c r="C40" s="25" t="s">
        <v>94</v>
      </c>
      <c r="D40" s="97">
        <f t="shared" ref="D40:J40" si="0">IF(D26="","0",D39*D38)</f>
        <v>4858059551.4000006</v>
      </c>
      <c r="E40" s="97">
        <f t="shared" si="0"/>
        <v>436014346.76400006</v>
      </c>
      <c r="F40" s="97">
        <f t="shared" si="0"/>
        <v>608130000</v>
      </c>
      <c r="G40" s="97">
        <f t="shared" si="0"/>
        <v>243252000</v>
      </c>
      <c r="H40" s="97">
        <f t="shared" si="0"/>
        <v>102253760.505</v>
      </c>
      <c r="I40" s="97">
        <f t="shared" si="0"/>
        <v>59978675.399999991</v>
      </c>
      <c r="J40" s="97" t="str">
        <f t="shared" si="0"/>
        <v>0</v>
      </c>
      <c r="K40" s="145"/>
      <c r="L40" s="140"/>
    </row>
    <row r="41" spans="2:12" ht="65.25" customHeight="1" x14ac:dyDescent="0.2">
      <c r="B41" s="374"/>
      <c r="C41" s="25" t="s">
        <v>95</v>
      </c>
      <c r="D41" s="98">
        <f t="shared" ref="D41:J41" si="1">IFERROR(D37*D39,"0")</f>
        <v>8572.5420000000013</v>
      </c>
      <c r="E41" s="98">
        <f t="shared" si="1"/>
        <v>479.91400000000004</v>
      </c>
      <c r="F41" s="98">
        <f t="shared" si="1"/>
        <v>524.25</v>
      </c>
      <c r="G41" s="98">
        <f t="shared" si="1"/>
        <v>209.70000000000002</v>
      </c>
      <c r="H41" s="98">
        <f t="shared" si="1"/>
        <v>148.31100000000001</v>
      </c>
      <c r="I41" s="98">
        <f t="shared" si="1"/>
        <v>93.083999999999989</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8572.5420000000013</v>
      </c>
      <c r="E48" s="98">
        <f t="shared" ref="E48:G48" si="6">+E41+E44+E47</f>
        <v>479.91400000000004</v>
      </c>
      <c r="F48" s="98">
        <f t="shared" si="6"/>
        <v>524.25</v>
      </c>
      <c r="G48" s="98">
        <f t="shared" si="6"/>
        <v>209.70000000000002</v>
      </c>
      <c r="H48" s="98">
        <f>+H41+H44+H47</f>
        <v>148.31100000000001</v>
      </c>
      <c r="I48" s="98">
        <f t="shared" ref="I48:J48" si="7">+I41+I44+I47</f>
        <v>93.083999999999989</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CUMPLE</v>
      </c>
      <c r="H55" s="18" t="str">
        <f t="shared" si="8"/>
        <v>CUMPLE</v>
      </c>
      <c r="I55" s="18" t="str">
        <f t="shared" si="8"/>
        <v>CUMPLE</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26</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CUMPLE</v>
      </c>
      <c r="H67" s="18" t="str">
        <f t="shared" ref="H67:J67" si="9">IF(H26="","N/A",IF(AND(H49="CUMPLE",H55="CUMPLE",OR(H56="CUMPLE",H56="N/A"),OR(H59="CUMPLE",H59="N/A"),H62="CUMPLE",H63="CUMPLE",OR(H64="CUMPLE",H64="N/A"),H65="CUMPLE",OR(H66="CUMPLE",H66="N/A")),"CUMPLE","NO CUMPLE"))</f>
        <v>CUMPLE</v>
      </c>
      <c r="I67" s="18" t="str">
        <f t="shared" si="9"/>
        <v>CUMPLE</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3622" priority="75" operator="equal">
      <formula>"CUMPLE"</formula>
    </cfRule>
    <cfRule type="containsBlanks" dxfId="3621" priority="72">
      <formula>LEN(TRIM(D71))=0</formula>
    </cfRule>
    <cfRule type="notContainsErrors" dxfId="3620" priority="73">
      <formula>NOT(ISERROR(D71))</formula>
    </cfRule>
    <cfRule type="cellIs" dxfId="3619" priority="74" operator="equal">
      <formula>"NO CUMPLE"</formula>
    </cfRule>
  </conditionalFormatting>
  <conditionalFormatting sqref="D72">
    <cfRule type="cellIs" dxfId="3618" priority="77" operator="equal">
      <formula>"CUMPLE"</formula>
    </cfRule>
    <cfRule type="cellIs" dxfId="3617" priority="76" operator="equal">
      <formula>"N/A"</formula>
    </cfRule>
    <cfRule type="cellIs" dxfId="3616" priority="79" operator="equal">
      <formula>"""CUMPLE"""</formula>
    </cfRule>
    <cfRule type="cellIs" dxfId="3615" priority="78" operator="equal">
      <formula>"NO CUMPLE"</formula>
    </cfRule>
  </conditionalFormatting>
  <conditionalFormatting sqref="D26:J37">
    <cfRule type="notContainsErrors" dxfId="3614" priority="4">
      <formula>NOT(ISERROR(D26))</formula>
    </cfRule>
    <cfRule type="containsBlanks" dxfId="3613" priority="3">
      <formula>LEN(TRIM(D26))=0</formula>
    </cfRule>
  </conditionalFormatting>
  <conditionalFormatting sqref="D36:J36">
    <cfRule type="notContainsErrors" dxfId="3612" priority="6">
      <formula>NOT(ISERROR(D36))</formula>
    </cfRule>
    <cfRule type="containsBlanks" dxfId="3611" priority="5">
      <formula>LEN(TRIM(D36))=0</formula>
    </cfRule>
  </conditionalFormatting>
  <conditionalFormatting sqref="D39:J39">
    <cfRule type="containsBlanks" dxfId="3610" priority="1">
      <formula>LEN(TRIM(D39))=0</formula>
    </cfRule>
    <cfRule type="notContainsErrors" dxfId="3609" priority="2">
      <formula>NOT(ISERROR(D39))</formula>
    </cfRule>
  </conditionalFormatting>
  <conditionalFormatting sqref="D42:J42 D45:J45">
    <cfRule type="notContainsErrors" dxfId="3608" priority="38">
      <formula>NOT(ISERROR(D42))</formula>
    </cfRule>
    <cfRule type="containsBlanks" dxfId="3607" priority="37">
      <formula>LEN(TRIM(D42))=0</formula>
    </cfRule>
  </conditionalFormatting>
  <conditionalFormatting sqref="D49:J54">
    <cfRule type="cellIs" dxfId="3606" priority="17" operator="equal">
      <formula>"NO CUMPLE"</formula>
    </cfRule>
    <cfRule type="cellIs" dxfId="3605" priority="18" operator="equal">
      <formula>"CUMPLE"</formula>
    </cfRule>
    <cfRule type="containsBlanks" dxfId="3604" priority="19">
      <formula>LEN(TRIM(D49))=0</formula>
    </cfRule>
    <cfRule type="notContainsErrors" dxfId="3603" priority="20">
      <formula>NOT(ISERROR(D49))</formula>
    </cfRule>
  </conditionalFormatting>
  <conditionalFormatting sqref="D55:J55">
    <cfRule type="cellIs" dxfId="3602" priority="28" operator="equal">
      <formula>"CUMPLE"</formula>
    </cfRule>
    <cfRule type="cellIs" dxfId="3601" priority="30" operator="equal">
      <formula>"""CUMPLE"""</formula>
    </cfRule>
    <cfRule type="cellIs" dxfId="3600" priority="29" operator="equal">
      <formula>"NO CUMPLE"</formula>
    </cfRule>
    <cfRule type="cellIs" dxfId="3599" priority="27" operator="equal">
      <formula>"N/A"</formula>
    </cfRule>
  </conditionalFormatting>
  <conditionalFormatting sqref="D56:J66">
    <cfRule type="cellIs" dxfId="3598" priority="11" operator="equal">
      <formula>"NO CUMPLE"</formula>
    </cfRule>
    <cfRule type="notContainsErrors" dxfId="3597" priority="14">
      <formula>NOT(ISERROR(D56))</formula>
    </cfRule>
    <cfRule type="containsBlanks" dxfId="3596" priority="13">
      <formula>LEN(TRIM(D56))=0</formula>
    </cfRule>
    <cfRule type="cellIs" dxfId="3595" priority="12" operator="equal">
      <formula>"CUMPLE"</formula>
    </cfRule>
  </conditionalFormatting>
  <conditionalFormatting sqref="D67:J67">
    <cfRule type="cellIs" dxfId="3594" priority="23" operator="equal">
      <formula>"N/A"</formula>
    </cfRule>
    <cfRule type="cellIs" dxfId="3593" priority="24" operator="equal">
      <formula>"CUMPLE"</formula>
    </cfRule>
    <cfRule type="cellIs" dxfId="3592" priority="26" operator="equal">
      <formula>"""CUMPLE"""</formula>
    </cfRule>
    <cfRule type="cellIs" dxfId="3591" priority="25" operator="equal">
      <formula>"NO CUMPLE"</formula>
    </cfRule>
  </conditionalFormatting>
  <conditionalFormatting sqref="D62:K66">
    <cfRule type="containsBlanks" dxfId="3590" priority="15">
      <formula>LEN(TRIM(D62))=0</formula>
    </cfRule>
    <cfRule type="notContainsErrors" dxfId="3589" priority="16">
      <formula>NOT(ISERROR(D62))</formula>
    </cfRule>
  </conditionalFormatting>
  <conditionalFormatting sqref="E71:E72">
    <cfRule type="notContainsErrors" dxfId="3588" priority="71">
      <formula>NOT(ISERROR(E71))</formula>
    </cfRule>
    <cfRule type="containsBlanks" dxfId="3587" priority="70">
      <formula>LEN(TRIM(E71))=0</formula>
    </cfRule>
  </conditionalFormatting>
  <conditionalFormatting sqref="F22:H22">
    <cfRule type="cellIs" dxfId="3586" priority="98" operator="equal">
      <formula>"NO CUMPLE"</formula>
    </cfRule>
    <cfRule type="cellIs" dxfId="3585" priority="99" operator="equal">
      <formula>"""CUMPLE"""</formula>
    </cfRule>
    <cfRule type="cellIs" dxfId="3584" priority="97" operator="equal">
      <formula>"CUMPLE"</formula>
    </cfRule>
  </conditionalFormatting>
  <conditionalFormatting sqref="G63:J63">
    <cfRule type="containsBlanks" dxfId="3583" priority="7">
      <formula>LEN(TRIM(G63))=0</formula>
    </cfRule>
    <cfRule type="notContainsErrors" dxfId="3582" priority="8">
      <formula>NOT(ISERROR(G63))</formula>
    </cfRule>
  </conditionalFormatting>
  <conditionalFormatting sqref="I11">
    <cfRule type="containsText" dxfId="3581" priority="103" operator="containsText" text="NO CUMPLE">
      <formula>NOT(ISERROR(SEARCH("NO CUMPLE",I11)))</formula>
    </cfRule>
    <cfRule type="containsText" dxfId="3580" priority="102" operator="containsText" text="HABILITADO">
      <formula>NOT(ISERROR(SEARCH("HABILITADO",I11)))</formula>
    </cfRule>
    <cfRule type="containsText" dxfId="3579" priority="101" operator="containsText" text="HABILITADO">
      <formula>NOT(ISERROR(SEARCH("HABILITADO",I11)))</formula>
    </cfRule>
    <cfRule type="containsText" dxfId="3578" priority="100" operator="containsText" text="INHABILITADO">
      <formula>NOT(ISERROR(SEARCH("INHABILITADO",I11)))</formula>
    </cfRule>
  </conditionalFormatting>
  <conditionalFormatting sqref="K18:K20">
    <cfRule type="cellIs" dxfId="3577" priority="68" operator="equal">
      <formula>"NO CUMPLE"</formula>
    </cfRule>
    <cfRule type="cellIs" dxfId="3576" priority="69" operator="equal">
      <formula>"""CUMPLE"""</formula>
    </cfRule>
    <cfRule type="cellIs" dxfId="3575" priority="67" operator="equal">
      <formula>"CUMPLE"</formula>
    </cfRule>
  </conditionalFormatting>
  <conditionalFormatting sqref="K26:K61 D62:J62">
    <cfRule type="containsBlanks" dxfId="3574" priority="9">
      <formula>LEN(TRIM(D26))=0</formula>
    </cfRule>
    <cfRule type="notContainsErrors" dxfId="3573" priority="10">
      <formula>NOT(ISERROR(D26))</formula>
    </cfRule>
  </conditionalFormatting>
  <conditionalFormatting sqref="K67:L67">
    <cfRule type="containsBlanks" dxfId="3572" priority="21">
      <formula>LEN(TRIM(K67))=0</formula>
    </cfRule>
    <cfRule type="notContainsErrors" dxfId="3571" priority="22">
      <formula>NOT(ISERROR(K67))</formula>
    </cfRule>
  </conditionalFormatting>
  <conditionalFormatting sqref="L14">
    <cfRule type="cellIs" dxfId="3570" priority="96" operator="equal">
      <formula>"""CUMPLE"""</formula>
    </cfRule>
    <cfRule type="cellIs" dxfId="3569" priority="95" operator="equal">
      <formula>"NO CUMPLE"</formula>
    </cfRule>
    <cfRule type="cellIs" dxfId="3568" priority="94" operator="equal">
      <formula>"CUMPLE"</formula>
    </cfRule>
  </conditionalFormatting>
  <dataValidations count="2">
    <dataValidation type="list" allowBlank="1" showInputMessage="1" showErrorMessage="1" sqref="D26:J28" xr:uid="{00000000-0002-0000-2300-000000000000}">
      <formula1>$C$15:$C$21</formula1>
    </dataValidation>
    <dataValidation type="list" allowBlank="1" showInputMessage="1" showErrorMessage="1" sqref="L62:L67" xr:uid="{00000000-0002-0000-23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2300-000002000000}">
          <x14:formula1>
            <xm:f>'DATOS INICIALES'!$A$61:$A$66</xm:f>
          </x14:formula1>
          <xm:sqref>D25:I25</xm:sqref>
        </x14:dataValidation>
        <x14:dataValidation type="list" allowBlank="1" showInputMessage="1" showErrorMessage="1" xr:uid="{00000000-0002-0000-2300-000003000000}">
          <x14:formula1>
            <xm:f>'DATOS INICIALES'!$A$57:$A$59</xm:f>
          </x14:formula1>
          <xm:sqref>D71 D56:J66</xm:sqref>
        </x14:dataValidation>
        <x14:dataValidation type="list" allowBlank="1" showInputMessage="1" showErrorMessage="1" xr:uid="{00000000-0002-0000-2300-000004000000}">
          <x14:formula1>
            <xm:f>'DATOS INICIALES'!$C$52:$C$53</xm:f>
          </x14:formula1>
          <xm:sqref>D53:J54</xm:sqref>
        </x14:dataValidation>
        <x14:dataValidation type="list" allowBlank="1" showInputMessage="1" showErrorMessage="1" xr:uid="{00000000-0002-0000-2300-000005000000}">
          <x14:formula1>
            <xm:f>'DATOS INICIALES'!$A$61:$A$67</xm:f>
          </x14:formula1>
          <xm:sqref>J25</xm:sqref>
        </x14:dataValidation>
        <x14:dataValidation type="list" allowBlank="1" showInputMessage="1" showErrorMessage="1" xr:uid="{00000000-0002-0000-2300-000006000000}">
          <x14:formula1>
            <xm:f>'DATOS INICIALES'!$A$57:$A$58</xm:f>
          </x14:formula1>
          <xm:sqref>D49:J49</xm:sqref>
        </x14:dataValidation>
        <x14:dataValidation type="list" allowBlank="1" showInputMessage="1" showErrorMessage="1" xr:uid="{00000000-0002-0000-2300-000007000000}">
          <x14:formula1>
            <xm:f>'DATOS INICIALES'!$D$27:$D$29</xm:f>
          </x14:formula1>
          <xm:sqref>M50:M55</xm:sqref>
        </x14:dataValidation>
        <x14:dataValidation type="list" allowBlank="1" showInputMessage="1" showErrorMessage="1" xr:uid="{00000000-0002-0000-2300-000008000000}">
          <x14:formula1>
            <xm:f>'DATOS INICIALES'!$C$52:$C$54</xm:f>
          </x14:formula1>
          <xm:sqref>D50:J52</xm:sqref>
        </x14:dataValidation>
        <x14:dataValidation type="list" allowBlank="1" showInputMessage="1" showErrorMessage="1" xr:uid="{00000000-0002-0000-2300-000009000000}">
          <x14:formula1>
            <xm:f>'/Users/ldrr/Desktop/SDDE/REVISION DE CARPETAS/C:\Users\ASUS\OneDrive\Escritorio\alcaldia local de usaquen\2025\16. EVALUACION DE PROCESOS\INTERVENTORIA DE VIAS\consolidado equipo\[Edgar_ Evaluación_Tecnica_fdlusa-CMA-003-2025 - 25A34.xlsx]DATOS INICIALES'!#REF!</xm:f>
          </x14:formula1>
          <xm:sqref>H33:I33</xm:sqref>
        </x14:dataValidation>
      </x14:dataValidations>
    </ext>
  </extLs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tabColor rgb="FF92D050"/>
  </sheetPr>
  <dimension ref="A1:N72"/>
  <sheetViews>
    <sheetView view="pageBreakPreview" topLeftCell="A10" zoomScale="55" zoomScaleNormal="25" zoomScaleSheetLayoutView="55" workbookViewId="0">
      <selection activeCell="F16" sqref="F16"/>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31</v>
      </c>
      <c r="B11" s="2" t="s">
        <v>58</v>
      </c>
      <c r="C11" s="413" t="str">
        <f>VLOOKUP(A11,PROPONENTES!A10:B94,2,FALSE)</f>
        <v>CONSORCIO VIAS USA 2025</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3</v>
      </c>
      <c r="J14" s="147">
        <f>+L8</f>
        <v>986.3076290832455</v>
      </c>
      <c r="K14" s="147">
        <f>+E22</f>
        <v>4937.5557200000003</v>
      </c>
      <c r="L14" s="18" t="str">
        <f>IF(K14&gt;=J14,"CUMPLE","NO CUMPLE")</f>
        <v>CUMPLE</v>
      </c>
    </row>
    <row r="15" spans="1:12" ht="33.75" customHeight="1" x14ac:dyDescent="0.2">
      <c r="B15" s="382"/>
      <c r="C15" s="92" t="str">
        <f>IF(VLOOKUP(C11,PROPONENTES!B10:N94,2,FALSE)=0,"",VLOOKUP(C11,PROPONENTES!B10:N94,2,FALSE))</f>
        <v>SAVIMAC SAS</v>
      </c>
      <c r="D15" s="93">
        <f>IF(VLOOKUP(C11,PROPONENTES!B10:N94,3,FALSE)=0,"",VLOOKUP(C11,PROPONENTES!B10:N94,3,FALSE))</f>
        <v>0.5</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1094.0916</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AHLA SHUGL INTERNATIONAL SAS</v>
      </c>
      <c r="D16" s="93">
        <f>IF(VLOOKUP(C11,PROPONENTES!B10:N94,5,FALSE)=0,"",VLOOKUP(C11,PROPONENTES!B10:N94,5,FALSE))</f>
        <v>0.5</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3843.4641200000005</v>
      </c>
      <c r="F16" s="95" t="str">
        <f>IF(C16="","",IF(E16&gt;=$J$14*0.5,"SI","NO"))</f>
        <v>SI</v>
      </c>
      <c r="G16" s="96" t="str">
        <f>IF(C16="","",IF(E16&gt;=$J$14*0.05,"SI",IF(E16=0,"NO APORTA EXPERIENCIA",)))</f>
        <v>SI</v>
      </c>
      <c r="H16" s="96" t="str">
        <f>IF(C16="","",IF(AND(G16="NO APORTA EXPERIENCIA",D16&lt;=10%),"SI",IF(G16="SI","NO APLICA","NO - PORCENTAJE MAYOR AL 10%")))</f>
        <v>NO APLICA</v>
      </c>
      <c r="I16" s="162"/>
      <c r="J16" s="162"/>
      <c r="K16" s="162"/>
      <c r="L16" s="161">
        <f>AVERAGEIF(D67:J67,"CUMPLE",D48:J48)</f>
        <v>1645.8519066666668</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3</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3</v>
      </c>
      <c r="J19" s="128">
        <v>1</v>
      </c>
      <c r="K19" s="387"/>
      <c r="L19" s="388"/>
    </row>
    <row r="20" spans="2:14" ht="50.25" customHeight="1" x14ac:dyDescent="0.2">
      <c r="B20" s="382"/>
      <c r="C20" s="92"/>
      <c r="D20" s="93"/>
      <c r="E20" s="94"/>
      <c r="F20" s="95"/>
      <c r="G20" s="96"/>
      <c r="H20" s="96"/>
      <c r="I20" s="128">
        <f>COUNTIFS(D60:J60,"CUMPLE",D67:J67,"CUMPLE")</f>
        <v>3</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3</v>
      </c>
      <c r="J21" s="128">
        <v>1</v>
      </c>
      <c r="K21" s="389"/>
      <c r="L21" s="390"/>
    </row>
    <row r="22" spans="2:14" ht="84.75" customHeight="1" x14ac:dyDescent="0.2">
      <c r="B22" s="29" t="s">
        <v>75</v>
      </c>
      <c r="C22" s="24">
        <f>+VLOOKUP(C11,PROPONENTES!B10:N94,12,FALSE)</f>
        <v>2</v>
      </c>
      <c r="D22" s="93">
        <f>+VLOOKUP(C11,PROPONENTES!B10:N94,13,FALSE)</f>
        <v>1</v>
      </c>
      <c r="E22" s="32">
        <f>SUM(E15:E21)</f>
        <v>4937.5557200000003</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674</v>
      </c>
      <c r="E26" s="84" t="s">
        <v>675</v>
      </c>
      <c r="F26" s="84" t="s">
        <v>675</v>
      </c>
      <c r="G26" s="84"/>
      <c r="H26" s="84"/>
      <c r="I26" s="84"/>
      <c r="J26" s="84"/>
      <c r="K26" s="145"/>
      <c r="L26" s="140"/>
    </row>
    <row r="27" spans="2:14" ht="39.75" customHeight="1" x14ac:dyDescent="0.2">
      <c r="B27" s="371" t="s">
        <v>80</v>
      </c>
      <c r="C27" s="372"/>
      <c r="D27" s="84" t="s">
        <v>675</v>
      </c>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728</v>
      </c>
      <c r="E29" s="85" t="s">
        <v>729</v>
      </c>
      <c r="F29" s="85" t="s">
        <v>730</v>
      </c>
      <c r="G29" s="85"/>
      <c r="H29" s="85"/>
      <c r="I29" s="85"/>
      <c r="J29" s="85"/>
      <c r="K29" s="145"/>
      <c r="L29" s="140"/>
    </row>
    <row r="30" spans="2:14" ht="156.75" customHeight="1" x14ac:dyDescent="0.2">
      <c r="B30" s="374"/>
      <c r="C30" s="25" t="s">
        <v>84</v>
      </c>
      <c r="D30" s="85" t="s">
        <v>731</v>
      </c>
      <c r="E30" s="85" t="s">
        <v>732</v>
      </c>
      <c r="F30" s="85" t="s">
        <v>733</v>
      </c>
      <c r="G30" s="85"/>
      <c r="H30" s="85"/>
      <c r="I30" s="85"/>
      <c r="J30" s="85"/>
      <c r="K30" s="145"/>
      <c r="L30" s="140"/>
    </row>
    <row r="31" spans="2:14" ht="52.5" customHeight="1" x14ac:dyDescent="0.2">
      <c r="B31" s="374"/>
      <c r="C31" s="25" t="s">
        <v>85</v>
      </c>
      <c r="D31" s="89">
        <v>43510</v>
      </c>
      <c r="E31" s="89">
        <v>43504</v>
      </c>
      <c r="F31" s="89">
        <v>40863</v>
      </c>
      <c r="G31" s="89"/>
      <c r="H31" s="89"/>
      <c r="I31" s="89"/>
      <c r="J31" s="89"/>
      <c r="K31" s="145"/>
      <c r="L31" s="140"/>
    </row>
    <row r="32" spans="2:14" ht="54.75" customHeight="1" x14ac:dyDescent="0.2">
      <c r="B32" s="374"/>
      <c r="C32" s="25" t="s">
        <v>86</v>
      </c>
      <c r="D32" s="89">
        <v>44026</v>
      </c>
      <c r="E32" s="89">
        <v>44080</v>
      </c>
      <c r="F32" s="89">
        <v>41509</v>
      </c>
      <c r="G32" s="89"/>
      <c r="H32" s="89"/>
      <c r="I32" s="89"/>
      <c r="J32" s="89"/>
      <c r="K32" s="145"/>
      <c r="L32" s="140"/>
    </row>
    <row r="33" spans="2:12" ht="41.25" customHeight="1" x14ac:dyDescent="0.2">
      <c r="B33" s="374"/>
      <c r="C33" s="25" t="s">
        <v>87</v>
      </c>
      <c r="D33" s="86">
        <v>2020</v>
      </c>
      <c r="E33" s="86">
        <v>2020</v>
      </c>
      <c r="F33" s="86">
        <v>2013</v>
      </c>
      <c r="G33" s="86"/>
      <c r="H33" s="86"/>
      <c r="I33" s="86"/>
      <c r="J33" s="86"/>
      <c r="K33" s="145"/>
      <c r="L33" s="140"/>
    </row>
    <row r="34" spans="2:12" ht="63" customHeight="1" x14ac:dyDescent="0.2">
      <c r="B34" s="374"/>
      <c r="C34" s="25" t="s">
        <v>88</v>
      </c>
      <c r="D34" s="85" t="s">
        <v>734</v>
      </c>
      <c r="E34" s="85" t="s">
        <v>112</v>
      </c>
      <c r="F34" s="85" t="s">
        <v>734</v>
      </c>
      <c r="G34" s="85"/>
      <c r="H34" s="85"/>
      <c r="I34" s="85"/>
      <c r="J34" s="85"/>
      <c r="K34" s="145"/>
      <c r="L34" s="140"/>
    </row>
    <row r="35" spans="2:12" ht="46.5" customHeight="1" x14ac:dyDescent="0.2">
      <c r="B35" s="374"/>
      <c r="C35" s="25" t="s">
        <v>89</v>
      </c>
      <c r="D35" s="85" t="s">
        <v>674</v>
      </c>
      <c r="E35" s="85" t="s">
        <v>675</v>
      </c>
      <c r="F35" s="85" t="s">
        <v>675</v>
      </c>
      <c r="G35" s="85"/>
      <c r="H35" s="85"/>
      <c r="I35" s="85"/>
      <c r="J35" s="85"/>
      <c r="K35" s="145"/>
      <c r="L35" s="140"/>
    </row>
    <row r="36" spans="2:12" ht="27.75" customHeight="1" x14ac:dyDescent="0.2">
      <c r="B36" s="374"/>
      <c r="C36" s="26" t="s">
        <v>90</v>
      </c>
      <c r="D36" s="90" t="s">
        <v>735</v>
      </c>
      <c r="E36" s="90">
        <v>99</v>
      </c>
      <c r="F36" s="91">
        <v>8</v>
      </c>
      <c r="G36" s="91"/>
      <c r="H36" s="91"/>
      <c r="I36" s="91"/>
      <c r="J36" s="91"/>
      <c r="K36" s="145"/>
      <c r="L36" s="140"/>
    </row>
    <row r="37" spans="2:12" ht="102.75" customHeight="1" x14ac:dyDescent="0.2">
      <c r="B37" s="374"/>
      <c r="C37" s="25" t="s">
        <v>91</v>
      </c>
      <c r="D37" s="87">
        <v>2232.84</v>
      </c>
      <c r="E37" s="87">
        <v>3385.72</v>
      </c>
      <c r="F37" s="87">
        <v>2016.94</v>
      </c>
      <c r="G37" s="87"/>
      <c r="H37" s="87"/>
      <c r="I37" s="87"/>
      <c r="J37" s="87"/>
      <c r="K37" s="242"/>
      <c r="L37" s="243"/>
    </row>
    <row r="38" spans="2:12" ht="48" customHeight="1" x14ac:dyDescent="0.2">
      <c r="B38" s="374"/>
      <c r="C38" s="25" t="s">
        <v>92</v>
      </c>
      <c r="D38" s="97">
        <f>IFERROR(D37*VLOOKUP(D33,'DATOS INICIALES'!$A$12:$B$50,2,0),"0")</f>
        <v>1959993650.5200002</v>
      </c>
      <c r="E38" s="97">
        <f>IFERROR(E37*VLOOKUP(E33,'DATOS INICIALES'!$A$12:$B$50,2,0),"0")</f>
        <v>2971995173.1599998</v>
      </c>
      <c r="F38" s="97">
        <f>IFERROR(F37*VLOOKUP(F33,'DATOS INICIALES'!$A$12:$B$50,2,0),"0")</f>
        <v>1188986130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0.49</v>
      </c>
      <c r="E39" s="88">
        <v>0.501</v>
      </c>
      <c r="F39" s="88">
        <v>0.5</v>
      </c>
      <c r="G39" s="88"/>
      <c r="H39" s="88"/>
      <c r="I39" s="88"/>
      <c r="J39" s="88"/>
      <c r="K39" s="145"/>
      <c r="L39" s="140"/>
    </row>
    <row r="40" spans="2:12" ht="48.75" customHeight="1" x14ac:dyDescent="0.2">
      <c r="B40" s="374"/>
      <c r="C40" s="25" t="s">
        <v>94</v>
      </c>
      <c r="D40" s="97">
        <f t="shared" ref="D40:J40" si="0">IF(D26="","0",D39*D38)</f>
        <v>960396888.75480008</v>
      </c>
      <c r="E40" s="97">
        <f t="shared" si="0"/>
        <v>1488969581.75316</v>
      </c>
      <c r="F40" s="97">
        <f t="shared" si="0"/>
        <v>594493065</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1094.0916</v>
      </c>
      <c r="E41" s="98">
        <f t="shared" si="1"/>
        <v>1696.2457199999999</v>
      </c>
      <c r="F41" s="98">
        <f t="shared" si="1"/>
        <v>1008.47</v>
      </c>
      <c r="G41" s="98">
        <f t="shared" si="1"/>
        <v>0</v>
      </c>
      <c r="H41" s="98">
        <f t="shared" si="1"/>
        <v>0</v>
      </c>
      <c r="I41" s="98">
        <f t="shared" si="1"/>
        <v>0</v>
      </c>
      <c r="J41" s="98">
        <f t="shared" si="1"/>
        <v>0</v>
      </c>
      <c r="K41" s="145"/>
      <c r="L41" s="140"/>
    </row>
    <row r="42" spans="2:12" ht="65.25" customHeight="1" x14ac:dyDescent="0.2">
      <c r="B42" s="374"/>
      <c r="C42" s="25" t="s">
        <v>96</v>
      </c>
      <c r="D42" s="88">
        <v>0.51</v>
      </c>
      <c r="E42" s="88"/>
      <c r="F42" s="88"/>
      <c r="G42" s="88"/>
      <c r="H42" s="88"/>
      <c r="I42" s="88"/>
      <c r="J42" s="88"/>
      <c r="K42" s="145"/>
      <c r="L42" s="140"/>
    </row>
    <row r="43" spans="2:12" ht="65.25" customHeight="1" x14ac:dyDescent="0.2">
      <c r="B43" s="374"/>
      <c r="C43" s="25" t="s">
        <v>97</v>
      </c>
      <c r="D43" s="99">
        <f t="shared" ref="D43:J43" si="2">IF(D27="","0",D42*D38)</f>
        <v>999596761.76520014</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1138.7484000000002</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2232.84</v>
      </c>
      <c r="E48" s="98">
        <f t="shared" ref="E48:G48" si="6">+E41+E44+E47</f>
        <v>1696.2457199999999</v>
      </c>
      <c r="F48" s="98">
        <f t="shared" si="6"/>
        <v>1008.47</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3567" priority="76" operator="equal">
      <formula>"NO CUMPLE"</formula>
    </cfRule>
    <cfRule type="containsBlanks" dxfId="3566" priority="74">
      <formula>LEN(TRIM(D71))=0</formula>
    </cfRule>
    <cfRule type="cellIs" dxfId="3565" priority="77" operator="equal">
      <formula>"CUMPLE"</formula>
    </cfRule>
    <cfRule type="notContainsErrors" dxfId="3564" priority="75">
      <formula>NOT(ISERROR(D71))</formula>
    </cfRule>
  </conditionalFormatting>
  <conditionalFormatting sqref="D72">
    <cfRule type="cellIs" dxfId="3563" priority="78" operator="equal">
      <formula>"N/A"</formula>
    </cfRule>
    <cfRule type="cellIs" dxfId="3562" priority="80" operator="equal">
      <formula>"NO CUMPLE"</formula>
    </cfRule>
    <cfRule type="cellIs" dxfId="3561" priority="79" operator="equal">
      <formula>"CUMPLE"</formula>
    </cfRule>
    <cfRule type="cellIs" dxfId="3560" priority="81" operator="equal">
      <formula>"""CUMPLE"""</formula>
    </cfRule>
  </conditionalFormatting>
  <conditionalFormatting sqref="D26:J37">
    <cfRule type="containsBlanks" dxfId="3559" priority="5">
      <formula>LEN(TRIM(D26))=0</formula>
    </cfRule>
    <cfRule type="notContainsErrors" dxfId="3558" priority="6">
      <formula>NOT(ISERROR(D26))</formula>
    </cfRule>
  </conditionalFormatting>
  <conditionalFormatting sqref="D36:J36">
    <cfRule type="containsBlanks" dxfId="3557" priority="7">
      <formula>LEN(TRIM(D36))=0</formula>
    </cfRule>
    <cfRule type="notContainsErrors" dxfId="3556" priority="8">
      <formula>NOT(ISERROR(D36))</formula>
    </cfRule>
  </conditionalFormatting>
  <conditionalFormatting sqref="D39:J39">
    <cfRule type="notContainsErrors" dxfId="3555" priority="4">
      <formula>NOT(ISERROR(D39))</formula>
    </cfRule>
    <cfRule type="containsBlanks" dxfId="3554" priority="3">
      <formula>LEN(TRIM(D39))=0</formula>
    </cfRule>
  </conditionalFormatting>
  <conditionalFormatting sqref="D42:J42">
    <cfRule type="containsBlanks" dxfId="3553" priority="1">
      <formula>LEN(TRIM(D42))=0</formula>
    </cfRule>
    <cfRule type="notContainsErrors" dxfId="3552" priority="2">
      <formula>NOT(ISERROR(D42))</formula>
    </cfRule>
  </conditionalFormatting>
  <conditionalFormatting sqref="D45:J45">
    <cfRule type="notContainsErrors" dxfId="3551" priority="40">
      <formula>NOT(ISERROR(D45))</formula>
    </cfRule>
    <cfRule type="containsBlanks" dxfId="3550" priority="39">
      <formula>LEN(TRIM(D45))=0</formula>
    </cfRule>
  </conditionalFormatting>
  <conditionalFormatting sqref="D49:J54">
    <cfRule type="cellIs" dxfId="3549" priority="19" operator="equal">
      <formula>"NO CUMPLE"</formula>
    </cfRule>
    <cfRule type="cellIs" dxfId="3548" priority="20" operator="equal">
      <formula>"CUMPLE"</formula>
    </cfRule>
    <cfRule type="containsBlanks" dxfId="3547" priority="21">
      <formula>LEN(TRIM(D49))=0</formula>
    </cfRule>
    <cfRule type="notContainsErrors" dxfId="3546" priority="22">
      <formula>NOT(ISERROR(D49))</formula>
    </cfRule>
  </conditionalFormatting>
  <conditionalFormatting sqref="D55:J55">
    <cfRule type="cellIs" dxfId="3545" priority="29" operator="equal">
      <formula>"N/A"</formula>
    </cfRule>
    <cfRule type="cellIs" dxfId="3544" priority="32" operator="equal">
      <formula>"""CUMPLE"""</formula>
    </cfRule>
    <cfRule type="cellIs" dxfId="3543" priority="31" operator="equal">
      <formula>"NO CUMPLE"</formula>
    </cfRule>
    <cfRule type="cellIs" dxfId="3542" priority="30" operator="equal">
      <formula>"CUMPLE"</formula>
    </cfRule>
  </conditionalFormatting>
  <conditionalFormatting sqref="D56:J66">
    <cfRule type="cellIs" dxfId="3541" priority="13" operator="equal">
      <formula>"NO CUMPLE"</formula>
    </cfRule>
    <cfRule type="notContainsErrors" dxfId="3540" priority="16">
      <formula>NOT(ISERROR(D56))</formula>
    </cfRule>
    <cfRule type="cellIs" dxfId="3539" priority="14" operator="equal">
      <formula>"CUMPLE"</formula>
    </cfRule>
    <cfRule type="containsBlanks" dxfId="3538" priority="15">
      <formula>LEN(TRIM(D56))=0</formula>
    </cfRule>
  </conditionalFormatting>
  <conditionalFormatting sqref="D67:J67">
    <cfRule type="cellIs" dxfId="3537" priority="25" operator="equal">
      <formula>"N/A"</formula>
    </cfRule>
    <cfRule type="cellIs" dxfId="3536" priority="26" operator="equal">
      <formula>"CUMPLE"</formula>
    </cfRule>
    <cfRule type="cellIs" dxfId="3535" priority="28" operator="equal">
      <formula>"""CUMPLE"""</formula>
    </cfRule>
    <cfRule type="cellIs" dxfId="3534" priority="27" operator="equal">
      <formula>"NO CUMPLE"</formula>
    </cfRule>
  </conditionalFormatting>
  <conditionalFormatting sqref="D62:K66">
    <cfRule type="containsBlanks" dxfId="3533" priority="17">
      <formula>LEN(TRIM(D62))=0</formula>
    </cfRule>
    <cfRule type="notContainsErrors" dxfId="3532" priority="18">
      <formula>NOT(ISERROR(D62))</formula>
    </cfRule>
  </conditionalFormatting>
  <conditionalFormatting sqref="E71:E72">
    <cfRule type="notContainsErrors" dxfId="3531" priority="73">
      <formula>NOT(ISERROR(E71))</formula>
    </cfRule>
    <cfRule type="containsBlanks" dxfId="3530" priority="72">
      <formula>LEN(TRIM(E71))=0</formula>
    </cfRule>
  </conditionalFormatting>
  <conditionalFormatting sqref="F22:H22">
    <cfRule type="cellIs" dxfId="3529" priority="100" operator="equal">
      <formula>"NO CUMPLE"</formula>
    </cfRule>
    <cfRule type="cellIs" dxfId="3528" priority="101" operator="equal">
      <formula>"""CUMPLE"""</formula>
    </cfRule>
    <cfRule type="cellIs" dxfId="3527" priority="99" operator="equal">
      <formula>"CUMPLE"</formula>
    </cfRule>
  </conditionalFormatting>
  <conditionalFormatting sqref="G63:J63">
    <cfRule type="containsBlanks" dxfId="3526" priority="9">
      <formula>LEN(TRIM(G63))=0</formula>
    </cfRule>
    <cfRule type="notContainsErrors" dxfId="3525" priority="10">
      <formula>NOT(ISERROR(G63))</formula>
    </cfRule>
  </conditionalFormatting>
  <conditionalFormatting sqref="I11">
    <cfRule type="containsText" dxfId="3524" priority="105" operator="containsText" text="NO CUMPLE">
      <formula>NOT(ISERROR(SEARCH("NO CUMPLE",I11)))</formula>
    </cfRule>
    <cfRule type="containsText" dxfId="3523" priority="104" operator="containsText" text="HABILITADO">
      <formula>NOT(ISERROR(SEARCH("HABILITADO",I11)))</formula>
    </cfRule>
    <cfRule type="containsText" dxfId="3522" priority="103" operator="containsText" text="HABILITADO">
      <formula>NOT(ISERROR(SEARCH("HABILITADO",I11)))</formula>
    </cfRule>
    <cfRule type="containsText" dxfId="3521" priority="102" operator="containsText" text="INHABILITADO">
      <formula>NOT(ISERROR(SEARCH("INHABILITADO",I11)))</formula>
    </cfRule>
  </conditionalFormatting>
  <conditionalFormatting sqref="K18:K20">
    <cfRule type="cellIs" dxfId="3520" priority="70" operator="equal">
      <formula>"NO CUMPLE"</formula>
    </cfRule>
    <cfRule type="cellIs" dxfId="3519" priority="71" operator="equal">
      <formula>"""CUMPLE"""</formula>
    </cfRule>
    <cfRule type="cellIs" dxfId="3518" priority="69" operator="equal">
      <formula>"CUMPLE"</formula>
    </cfRule>
  </conditionalFormatting>
  <conditionalFormatting sqref="K26:K61 D62:J62">
    <cfRule type="containsBlanks" dxfId="3517" priority="11">
      <formula>LEN(TRIM(D26))=0</formula>
    </cfRule>
    <cfRule type="notContainsErrors" dxfId="3516" priority="12">
      <formula>NOT(ISERROR(D26))</formula>
    </cfRule>
  </conditionalFormatting>
  <conditionalFormatting sqref="K67:L67">
    <cfRule type="containsBlanks" dxfId="3515" priority="23">
      <formula>LEN(TRIM(K67))=0</formula>
    </cfRule>
    <cfRule type="notContainsErrors" dxfId="3514" priority="24">
      <formula>NOT(ISERROR(K67))</formula>
    </cfRule>
  </conditionalFormatting>
  <conditionalFormatting sqref="L14">
    <cfRule type="cellIs" dxfId="3513" priority="98" operator="equal">
      <formula>"""CUMPLE"""</formula>
    </cfRule>
    <cfRule type="cellIs" dxfId="3512" priority="97" operator="equal">
      <formula>"NO CUMPLE"</formula>
    </cfRule>
    <cfRule type="cellIs" dxfId="3511" priority="96" operator="equal">
      <formula>"CUMPLE"</formula>
    </cfRule>
  </conditionalFormatting>
  <dataValidations count="2">
    <dataValidation type="list" allowBlank="1" showInputMessage="1" showErrorMessage="1" sqref="D26:J28" xr:uid="{00000000-0002-0000-2400-000000000000}">
      <formula1>$C$15:$C$21</formula1>
    </dataValidation>
    <dataValidation type="list" allowBlank="1" showInputMessage="1" showErrorMessage="1" sqref="L62:L67" xr:uid="{00000000-0002-0000-24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2400-000002000000}">
          <x14:formula1>
            <xm:f>'DATOS INICIALES'!$A$13:$A$50</xm:f>
          </x14:formula1>
          <xm:sqref>G33:I33</xm:sqref>
        </x14:dataValidation>
        <x14:dataValidation type="list" allowBlank="1" showInputMessage="1" showErrorMessage="1" xr:uid="{00000000-0002-0000-2400-000003000000}">
          <x14:formula1>
            <xm:f>'DATOS INICIALES'!$A$61:$A$66</xm:f>
          </x14:formula1>
          <xm:sqref>D25:I25</xm:sqref>
        </x14:dataValidation>
        <x14:dataValidation type="list" allowBlank="1" showInputMessage="1" showErrorMessage="1" xr:uid="{00000000-0002-0000-2400-000004000000}">
          <x14:formula1>
            <xm:f>'DATOS INICIALES'!$A$57:$A$59</xm:f>
          </x14:formula1>
          <xm:sqref>D71 D56:J66</xm:sqref>
        </x14:dataValidation>
        <x14:dataValidation type="list" allowBlank="1" showInputMessage="1" showErrorMessage="1" xr:uid="{00000000-0002-0000-2400-000005000000}">
          <x14:formula1>
            <xm:f>'DATOS INICIALES'!$C$52:$C$53</xm:f>
          </x14:formula1>
          <xm:sqref>D53:J54</xm:sqref>
        </x14:dataValidation>
        <x14:dataValidation type="list" allowBlank="1" showInputMessage="1" showErrorMessage="1" xr:uid="{00000000-0002-0000-2400-000006000000}">
          <x14:formula1>
            <xm:f>'DATOS INICIALES'!$A$61:$A$67</xm:f>
          </x14:formula1>
          <xm:sqref>J25</xm:sqref>
        </x14:dataValidation>
        <x14:dataValidation type="list" allowBlank="1" showInputMessage="1" showErrorMessage="1" xr:uid="{00000000-0002-0000-2400-000007000000}">
          <x14:formula1>
            <xm:f>'DATOS INICIALES'!$A$57:$A$58</xm:f>
          </x14:formula1>
          <xm:sqref>D49:J49</xm:sqref>
        </x14:dataValidation>
        <x14:dataValidation type="list" allowBlank="1" showInputMessage="1" showErrorMessage="1" xr:uid="{00000000-0002-0000-2400-000008000000}">
          <x14:formula1>
            <xm:f>'DATOS INICIALES'!$D$27:$D$29</xm:f>
          </x14:formula1>
          <xm:sqref>M50:M55</xm:sqref>
        </x14:dataValidation>
        <x14:dataValidation type="list" allowBlank="1" showInputMessage="1" showErrorMessage="1" xr:uid="{00000000-0002-0000-2400-000009000000}">
          <x14:formula1>
            <xm:f>'DATOS INICIALES'!$C$52:$C$54</xm:f>
          </x14:formula1>
          <xm:sqref>D50:J52</xm:sqref>
        </x14:dataValidation>
        <x14:dataValidation type="list" allowBlank="1" showInputMessage="1" showErrorMessage="1" xr:uid="{00000000-0002-0000-2400-00000A000000}">
          <x14:formula1>
            <xm:f>'/Users/ldrr/Desktop/SDDE/REVISION DE CARPETAS/C:\Users\ASUS\OneDrive\Escritorio\alcaldia local de usaquen\2025\16. EVALUACION DE PROCESOS\INTERVENTORIA DE VIAS\consolidado equipo\[Edgar_ Evaluación_Tecnica_fdlusa-CMA-003-2025 - 25A34.xlsx]DATOS INICIALES'!#REF!</xm:f>
          </x14:formula1>
          <xm:sqref>F33</xm:sqref>
        </x14:dataValidation>
      </x14:dataValidations>
    </ext>
  </extLst>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tabColor rgb="FF92D050"/>
  </sheetPr>
  <dimension ref="A1:N72"/>
  <sheetViews>
    <sheetView view="pageBreakPreview" zoomScale="40" zoomScaleNormal="25" zoomScaleSheetLayoutView="40" workbookViewId="0">
      <selection activeCell="K48" sqref="K48"/>
    </sheetView>
  </sheetViews>
  <sheetFormatPr baseColWidth="10" defaultColWidth="11.5" defaultRowHeight="15" x14ac:dyDescent="0.2"/>
  <cols>
    <col min="1" max="1" width="5.5" customWidth="1"/>
    <col min="2" max="2" width="30.83203125" customWidth="1"/>
    <col min="3" max="3" width="63.1640625" customWidth="1"/>
    <col min="4" max="4" width="46.33203125" customWidth="1"/>
    <col min="5" max="5" width="45.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32</v>
      </c>
      <c r="B11" s="2" t="s">
        <v>58</v>
      </c>
      <c r="C11" s="413" t="str">
        <f>VLOOKUP(A11,PROPONENTES!A10:B94,2,FALSE)</f>
        <v>CONSORCIO VIAL TAED USAQUEN</v>
      </c>
      <c r="D11" s="413"/>
      <c r="E11" s="413"/>
      <c r="F11" s="413"/>
      <c r="G11" s="413"/>
      <c r="H11" s="131" t="s">
        <v>59</v>
      </c>
      <c r="I11" s="417" t="str">
        <f>IF(AND(F22="CUMPLE",G22="CUMPLE",H22="CUMPLE",L14="CUMPLE",D72="CUMPLE",K18="CUMPLE"),"CUMPLE","NO CUMPLE")</f>
        <v>NO 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1</v>
      </c>
      <c r="J14" s="147">
        <f>+L8</f>
        <v>986.3076290832455</v>
      </c>
      <c r="K14" s="147">
        <f>+E22</f>
        <v>295.30849599999999</v>
      </c>
      <c r="L14" s="18" t="str">
        <f>IF(K14&gt;=J14,"CUMPLE","NO CUMPLE")</f>
        <v>NO CUMPLE</v>
      </c>
    </row>
    <row r="15" spans="1:12" ht="33.75" customHeight="1" x14ac:dyDescent="0.2">
      <c r="B15" s="382"/>
      <c r="C15" s="92" t="str">
        <f>IF(VLOOKUP(C11,PROPONENTES!B10:N94,2,FALSE)=0,"",VLOOKUP(C11,PROPONENTES!B10:N94,2,FALSE))</f>
        <v>ESTUDIO, DISEÑO Y CONSTRUCCION EN INGENIERIA SAS</v>
      </c>
      <c r="D15" s="93">
        <f>IF(VLOOKUP(C11,PROPONENTES!B10:N94,3,FALSE)=0,"",VLOOKUP(C11,PROPONENTES!B10:N94,3,FALSE))</f>
        <v>0.5</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295.30849599999999</v>
      </c>
      <c r="F15" s="95" t="str">
        <f>IF(C15="","",IF(E15&gt;=$J$14*0.5,"SI","NO"))</f>
        <v>NO</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TABIQUE INGENIERIA SUCURSAL COLOMBIA</v>
      </c>
      <c r="D16" s="93">
        <f>IF(VLOOKUP(C11,PROPONENTES!B10:N94,5,FALSE)=0,"",VLOOKUP(C11,PROPONENTES!B10:N94,5,FALSE))</f>
        <v>0.5</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0</v>
      </c>
      <c r="F16" s="95" t="str">
        <f>IF(C16="","",IF(E16&gt;=$J$14*0.5,"SI","NO"))</f>
        <v>NO</v>
      </c>
      <c r="G16" s="96" t="str">
        <f>IF(C16="","",IF(E16&gt;=$J$14*0.05,"SI",IF(E16=0,"NO APORTA EXPERIENCIA",)))</f>
        <v>NO APORTA EXPERIENCIA</v>
      </c>
      <c r="H16" s="96" t="str">
        <f>IF(C16="","",IF(AND(G16="NO APORTA EXPERIENCIA",D16&lt;=10%),"SI",IF(G16="SI","NO APLICA","NO - PORCENTAJE MAYOR AL 10%")))</f>
        <v>NO - PORCENTAJE MAYOR AL 10%</v>
      </c>
      <c r="I16" s="162"/>
      <c r="J16" s="162"/>
      <c r="K16" s="162"/>
      <c r="L16" s="161">
        <f>AVERAGEIF(D67:J67,"CUMPLE",D48:J48)</f>
        <v>295.30849599999999</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1</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1</v>
      </c>
      <c r="J19" s="128">
        <v>1</v>
      </c>
      <c r="K19" s="387"/>
      <c r="L19" s="388"/>
    </row>
    <row r="20" spans="2:14" ht="50.25" customHeight="1" x14ac:dyDescent="0.2">
      <c r="B20" s="382"/>
      <c r="C20" s="92"/>
      <c r="D20" s="93"/>
      <c r="E20" s="94"/>
      <c r="F20" s="95"/>
      <c r="G20" s="96"/>
      <c r="H20" s="96"/>
      <c r="I20" s="128">
        <f>COUNTIFS(D60:J60,"CUMPLE",D67:J67,"CUMPLE")</f>
        <v>1</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1</v>
      </c>
      <c r="J21" s="128">
        <v>1</v>
      </c>
      <c r="K21" s="389"/>
      <c r="L21" s="390"/>
    </row>
    <row r="22" spans="2:14" ht="84.75" customHeight="1" x14ac:dyDescent="0.2">
      <c r="B22" s="29" t="s">
        <v>75</v>
      </c>
      <c r="C22" s="24">
        <f>+VLOOKUP(C11,PROPONENTES!B10:N94,12,FALSE)</f>
        <v>2</v>
      </c>
      <c r="D22" s="93">
        <f>+VLOOKUP(C11,PROPONENTES!B10:N94,13,FALSE)</f>
        <v>1</v>
      </c>
      <c r="E22" s="32">
        <f>SUM(E15:E21)</f>
        <v>295.30849599999999</v>
      </c>
      <c r="F22" s="18" t="str">
        <f>IF(F15="SI","CUMPLE",IF(F16="SI","CUMPLE",IF(F17="SI","CUMPLE",IF(F18="SI","CUMPLE",IF(F21="SI","CUMPLE","NO CUMPLE")))))</f>
        <v>NO 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NO 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676</v>
      </c>
      <c r="E26" s="84" t="s">
        <v>677</v>
      </c>
      <c r="F26" s="84" t="s">
        <v>677</v>
      </c>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736</v>
      </c>
      <c r="E29" s="85" t="s">
        <v>737</v>
      </c>
      <c r="F29" s="85" t="s">
        <v>737</v>
      </c>
      <c r="G29" s="85"/>
      <c r="H29" s="85"/>
      <c r="I29" s="85"/>
      <c r="J29" s="85"/>
      <c r="K29" s="145"/>
      <c r="L29" s="140"/>
    </row>
    <row r="30" spans="2:14" ht="170.5" customHeight="1" x14ac:dyDescent="0.2">
      <c r="B30" s="374"/>
      <c r="C30" s="25" t="s">
        <v>84</v>
      </c>
      <c r="D30" s="85" t="s">
        <v>738</v>
      </c>
      <c r="E30" s="85" t="s">
        <v>739</v>
      </c>
      <c r="F30" s="85" t="s">
        <v>740</v>
      </c>
      <c r="G30" s="85"/>
      <c r="H30" s="85"/>
      <c r="I30" s="85"/>
      <c r="J30" s="85"/>
      <c r="K30" s="145"/>
      <c r="L30" s="140"/>
    </row>
    <row r="31" spans="2:14" ht="52.5" customHeight="1" x14ac:dyDescent="0.2">
      <c r="B31" s="374"/>
      <c r="C31" s="25" t="s">
        <v>85</v>
      </c>
      <c r="D31" s="89">
        <v>43756</v>
      </c>
      <c r="E31" s="89">
        <v>38754</v>
      </c>
      <c r="F31" s="89">
        <v>38474</v>
      </c>
      <c r="G31" s="89"/>
      <c r="H31" s="89"/>
      <c r="I31" s="89"/>
      <c r="J31" s="89"/>
      <c r="K31" s="145"/>
      <c r="L31" s="140"/>
    </row>
    <row r="32" spans="2:14" ht="54.75" customHeight="1" x14ac:dyDescent="0.2">
      <c r="B32" s="374"/>
      <c r="C32" s="25" t="s">
        <v>86</v>
      </c>
      <c r="D32" s="89">
        <v>44446</v>
      </c>
      <c r="E32" s="89">
        <v>39804</v>
      </c>
      <c r="F32" s="89">
        <v>38839</v>
      </c>
      <c r="G32" s="89"/>
      <c r="H32" s="89"/>
      <c r="I32" s="89"/>
      <c r="J32" s="89"/>
      <c r="K32" s="145"/>
      <c r="L32" s="140"/>
    </row>
    <row r="33" spans="2:12" ht="41.25" customHeight="1" x14ac:dyDescent="0.2">
      <c r="B33" s="374"/>
      <c r="C33" s="25" t="s">
        <v>87</v>
      </c>
      <c r="D33" s="86">
        <v>2021</v>
      </c>
      <c r="E33" s="86">
        <v>2008</v>
      </c>
      <c r="F33" s="86">
        <v>2006</v>
      </c>
      <c r="G33" s="86"/>
      <c r="H33" s="86"/>
      <c r="I33" s="86"/>
      <c r="J33" s="86"/>
      <c r="K33" s="145"/>
      <c r="L33" s="140"/>
    </row>
    <row r="34" spans="2:12" ht="63" customHeight="1" x14ac:dyDescent="0.2">
      <c r="B34" s="374"/>
      <c r="C34" s="25" t="s">
        <v>88</v>
      </c>
      <c r="D34" s="85" t="s">
        <v>741</v>
      </c>
      <c r="E34" s="85" t="s">
        <v>742</v>
      </c>
      <c r="F34" s="85" t="s">
        <v>742</v>
      </c>
      <c r="G34" s="85"/>
      <c r="H34" s="85"/>
      <c r="I34" s="85"/>
      <c r="J34" s="85"/>
      <c r="K34" s="145"/>
      <c r="L34" s="140"/>
    </row>
    <row r="35" spans="2:12" ht="46.5" customHeight="1" x14ac:dyDescent="0.2">
      <c r="B35" s="374"/>
      <c r="C35" s="25" t="s">
        <v>89</v>
      </c>
      <c r="D35" s="84" t="s">
        <v>676</v>
      </c>
      <c r="E35" s="84" t="s">
        <v>677</v>
      </c>
      <c r="F35" s="84" t="s">
        <v>677</v>
      </c>
      <c r="G35" s="85"/>
      <c r="H35" s="85"/>
      <c r="I35" s="85"/>
      <c r="J35" s="85"/>
      <c r="K35" s="145"/>
      <c r="L35" s="140"/>
    </row>
    <row r="36" spans="2:12" ht="27.75" customHeight="1" x14ac:dyDescent="0.2">
      <c r="B36" s="374"/>
      <c r="C36" s="26" t="s">
        <v>90</v>
      </c>
      <c r="D36" s="90">
        <v>7</v>
      </c>
      <c r="E36" s="90">
        <v>10</v>
      </c>
      <c r="F36" s="90">
        <v>9</v>
      </c>
      <c r="G36" s="91"/>
      <c r="H36" s="91"/>
      <c r="I36" s="91"/>
      <c r="J36" s="91"/>
      <c r="K36" s="145"/>
      <c r="L36" s="140"/>
    </row>
    <row r="37" spans="2:12" ht="102.75" customHeight="1" x14ac:dyDescent="0.2">
      <c r="B37" s="374"/>
      <c r="C37" s="25" t="s">
        <v>91</v>
      </c>
      <c r="D37" s="87">
        <v>886.28</v>
      </c>
      <c r="E37" s="87">
        <v>12208.37</v>
      </c>
      <c r="F37" s="87">
        <v>7660.95</v>
      </c>
      <c r="G37" s="87"/>
      <c r="H37" s="87"/>
      <c r="I37" s="87"/>
      <c r="J37" s="87"/>
      <c r="K37" s="242"/>
      <c r="L37" s="243"/>
    </row>
    <row r="38" spans="2:12" ht="48" customHeight="1" x14ac:dyDescent="0.2">
      <c r="B38" s="374"/>
      <c r="C38" s="25" t="s">
        <v>92</v>
      </c>
      <c r="D38" s="97">
        <f>IFERROR(D37*VLOOKUP(D33,'DATOS INICIALES'!$A$12:$B$50,2,0),"0")</f>
        <v>805208423.27999997</v>
      </c>
      <c r="E38" s="97">
        <f>IFERROR(E37*VLOOKUP(E33,'DATOS INICIALES'!$A$12:$B$50,2,0),"0")</f>
        <v>5634162755</v>
      </c>
      <c r="F38" s="97">
        <f>IFERROR(F37*VLOOKUP(F33,'DATOS INICIALES'!$A$12:$B$50,2,0),"0")</f>
        <v>3125667600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0.3332</v>
      </c>
      <c r="E39" s="88">
        <v>1</v>
      </c>
      <c r="F39" s="88">
        <v>1</v>
      </c>
      <c r="G39" s="88"/>
      <c r="H39" s="88"/>
      <c r="I39" s="88"/>
      <c r="J39" s="88"/>
      <c r="K39" s="145"/>
      <c r="L39" s="140"/>
    </row>
    <row r="40" spans="2:12" ht="48.75" customHeight="1" x14ac:dyDescent="0.2">
      <c r="B40" s="374"/>
      <c r="C40" s="25" t="s">
        <v>94</v>
      </c>
      <c r="D40" s="97">
        <f t="shared" ref="D40:J40" si="0">IF(D26="","0",D39*D38)</f>
        <v>268295446.63689598</v>
      </c>
      <c r="E40" s="97">
        <f t="shared" si="0"/>
        <v>5634162755</v>
      </c>
      <c r="F40" s="97">
        <f t="shared" si="0"/>
        <v>3125667600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295.30849599999999</v>
      </c>
      <c r="E41" s="98">
        <f t="shared" si="1"/>
        <v>12208.37</v>
      </c>
      <c r="F41" s="98">
        <f t="shared" si="1"/>
        <v>7660.95</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295.30849599999999</v>
      </c>
      <c r="E48" s="98">
        <f t="shared" ref="E48:G48" si="6">+E41+E44+E47</f>
        <v>12208.37</v>
      </c>
      <c r="F48" s="98">
        <f t="shared" si="6"/>
        <v>7660.95</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26</v>
      </c>
      <c r="F56" s="84" t="s">
        <v>26</v>
      </c>
      <c r="G56" s="84" t="s">
        <v>24</v>
      </c>
      <c r="H56" s="84" t="s">
        <v>24</v>
      </c>
      <c r="I56" s="84" t="s">
        <v>24</v>
      </c>
      <c r="J56" s="84" t="s">
        <v>24</v>
      </c>
      <c r="K56" s="519" t="s">
        <v>743</v>
      </c>
      <c r="L56" s="520"/>
    </row>
    <row r="57" spans="2:12" ht="50.25" customHeight="1" x14ac:dyDescent="0.2">
      <c r="B57" s="431" t="s">
        <v>177</v>
      </c>
      <c r="C57" s="432"/>
      <c r="D57" s="84" t="s">
        <v>24</v>
      </c>
      <c r="E57" s="84" t="s">
        <v>26</v>
      </c>
      <c r="F57" s="84" t="s">
        <v>26</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NO CUMPLE</v>
      </c>
      <c r="F67" s="18" t="str">
        <f>IF(F26="","N/A",IF(AND(F49="CUMPLE",F55="CUMPLE",OR(F56="CUMPLE",F56="N/A"),OR(F59="CUMPLE",F59="N/A"),F62="CUMPLE",F63="CUMPLE",OR(F64="CUMPLE",F64="N/A"),F65="CUMPLE",OR(F66="CUMPLE",F66="N/A")),"CUMPLE","NO CUMPLE"))</f>
        <v>NO CUMPLE</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2">
    <mergeCell ref="I22:L22"/>
    <mergeCell ref="B66:C66"/>
    <mergeCell ref="B67:C67"/>
    <mergeCell ref="B69:E69"/>
    <mergeCell ref="B70:C70"/>
    <mergeCell ref="B63:C63"/>
    <mergeCell ref="B64:C64"/>
    <mergeCell ref="B65:C65"/>
    <mergeCell ref="B60:C60"/>
    <mergeCell ref="B61:C61"/>
    <mergeCell ref="B62:C62"/>
    <mergeCell ref="B57:C57"/>
    <mergeCell ref="B58:C58"/>
    <mergeCell ref="B59:C59"/>
    <mergeCell ref="B13:H13"/>
    <mergeCell ref="B14:B21"/>
    <mergeCell ref="B26:C26"/>
    <mergeCell ref="B27:C27"/>
    <mergeCell ref="B72:C72"/>
    <mergeCell ref="B71:C71"/>
    <mergeCell ref="B24:L24"/>
    <mergeCell ref="K25:L25"/>
    <mergeCell ref="B56:C56"/>
    <mergeCell ref="B50:B55"/>
    <mergeCell ref="B29:B47"/>
    <mergeCell ref="B28:C28"/>
    <mergeCell ref="K56:L56"/>
    <mergeCell ref="K17:L17"/>
    <mergeCell ref="K18:L21"/>
    <mergeCell ref="B23:L23"/>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3510" priority="73" operator="equal">
      <formula>"CUMPLE"</formula>
    </cfRule>
    <cfRule type="cellIs" dxfId="3509" priority="72" operator="equal">
      <formula>"NO CUMPLE"</formula>
    </cfRule>
    <cfRule type="containsBlanks" dxfId="3508" priority="70">
      <formula>LEN(TRIM(D71))=0</formula>
    </cfRule>
    <cfRule type="notContainsErrors" dxfId="3507" priority="71">
      <formula>NOT(ISERROR(D71))</formula>
    </cfRule>
  </conditionalFormatting>
  <conditionalFormatting sqref="D72">
    <cfRule type="cellIs" dxfId="3506" priority="74" operator="equal">
      <formula>"N/A"</formula>
    </cfRule>
    <cfRule type="cellIs" dxfId="3505" priority="76" operator="equal">
      <formula>"NO CUMPLE"</formula>
    </cfRule>
    <cfRule type="cellIs" dxfId="3504" priority="75" operator="equal">
      <formula>"CUMPLE"</formula>
    </cfRule>
    <cfRule type="cellIs" dxfId="3503" priority="77" operator="equal">
      <formula>"""CUMPLE"""</formula>
    </cfRule>
  </conditionalFormatting>
  <conditionalFormatting sqref="D26:J37">
    <cfRule type="notContainsErrors" dxfId="3502" priority="6">
      <formula>NOT(ISERROR(D26))</formula>
    </cfRule>
    <cfRule type="containsBlanks" dxfId="3501" priority="5">
      <formula>LEN(TRIM(D26))=0</formula>
    </cfRule>
  </conditionalFormatting>
  <conditionalFormatting sqref="D36:J36">
    <cfRule type="notContainsErrors" dxfId="3500" priority="10">
      <formula>NOT(ISERROR(D36))</formula>
    </cfRule>
    <cfRule type="containsBlanks" dxfId="3499" priority="9">
      <formula>LEN(TRIM(D36))=0</formula>
    </cfRule>
  </conditionalFormatting>
  <conditionalFormatting sqref="D39:J39">
    <cfRule type="containsBlanks" dxfId="3498" priority="3">
      <formula>LEN(TRIM(D39))=0</formula>
    </cfRule>
    <cfRule type="notContainsErrors" dxfId="3497" priority="4">
      <formula>NOT(ISERROR(D39))</formula>
    </cfRule>
  </conditionalFormatting>
  <conditionalFormatting sqref="D42:J42 D45:J45">
    <cfRule type="notContainsErrors" dxfId="3496" priority="42">
      <formula>NOT(ISERROR(D42))</formula>
    </cfRule>
    <cfRule type="containsBlanks" dxfId="3495" priority="41">
      <formula>LEN(TRIM(D42))=0</formula>
    </cfRule>
  </conditionalFormatting>
  <conditionalFormatting sqref="D49:J54">
    <cfRule type="notContainsErrors" dxfId="3494" priority="24">
      <formula>NOT(ISERROR(D49))</formula>
    </cfRule>
    <cfRule type="containsBlanks" dxfId="3493" priority="23">
      <formula>LEN(TRIM(D49))=0</formula>
    </cfRule>
    <cfRule type="cellIs" dxfId="3492" priority="21" operator="equal">
      <formula>"NO CUMPLE"</formula>
    </cfRule>
    <cfRule type="cellIs" dxfId="3491" priority="22" operator="equal">
      <formula>"CUMPLE"</formula>
    </cfRule>
  </conditionalFormatting>
  <conditionalFormatting sqref="D55:J55">
    <cfRule type="cellIs" dxfId="3490" priority="33" operator="equal">
      <formula>"NO CUMPLE"</formula>
    </cfRule>
    <cfRule type="cellIs" dxfId="3489" priority="34" operator="equal">
      <formula>"""CUMPLE"""</formula>
    </cfRule>
    <cfRule type="cellIs" dxfId="3488" priority="31" operator="equal">
      <formula>"N/A"</formula>
    </cfRule>
    <cfRule type="cellIs" dxfId="3487" priority="32" operator="equal">
      <formula>"CUMPLE"</formula>
    </cfRule>
  </conditionalFormatting>
  <conditionalFormatting sqref="D56:J66">
    <cfRule type="cellIs" dxfId="3486" priority="16" operator="equal">
      <formula>"CUMPLE"</formula>
    </cfRule>
    <cfRule type="cellIs" dxfId="3485" priority="15" operator="equal">
      <formula>"NO CUMPLE"</formula>
    </cfRule>
    <cfRule type="containsBlanks" dxfId="3484" priority="17">
      <formula>LEN(TRIM(D56))=0</formula>
    </cfRule>
    <cfRule type="notContainsErrors" dxfId="3483" priority="18">
      <formula>NOT(ISERROR(D56))</formula>
    </cfRule>
  </conditionalFormatting>
  <conditionalFormatting sqref="D62:J62">
    <cfRule type="notContainsErrors" dxfId="3482" priority="14">
      <formula>NOT(ISERROR(D62))</formula>
    </cfRule>
    <cfRule type="containsBlanks" dxfId="3481" priority="13">
      <formula>LEN(TRIM(D62))=0</formula>
    </cfRule>
  </conditionalFormatting>
  <conditionalFormatting sqref="D67:J67">
    <cfRule type="cellIs" dxfId="3480" priority="28" operator="equal">
      <formula>"CUMPLE"</formula>
    </cfRule>
    <cfRule type="cellIs" dxfId="3479" priority="27" operator="equal">
      <formula>"N/A"</formula>
    </cfRule>
    <cfRule type="cellIs" dxfId="3478" priority="29" operator="equal">
      <formula>"NO CUMPLE"</formula>
    </cfRule>
    <cfRule type="cellIs" dxfId="3477" priority="30" operator="equal">
      <formula>"""CUMPLE"""</formula>
    </cfRule>
  </conditionalFormatting>
  <conditionalFormatting sqref="D62:K66">
    <cfRule type="containsBlanks" dxfId="3476" priority="19">
      <formula>LEN(TRIM(D62))=0</formula>
    </cfRule>
    <cfRule type="notContainsErrors" dxfId="3475" priority="20">
      <formula>NOT(ISERROR(D62))</formula>
    </cfRule>
  </conditionalFormatting>
  <conditionalFormatting sqref="E71:E72">
    <cfRule type="notContainsErrors" dxfId="3474" priority="69">
      <formula>NOT(ISERROR(E71))</formula>
    </cfRule>
    <cfRule type="containsBlanks" dxfId="3473" priority="68">
      <formula>LEN(TRIM(E71))=0</formula>
    </cfRule>
  </conditionalFormatting>
  <conditionalFormatting sqref="F22:H22">
    <cfRule type="cellIs" dxfId="3472" priority="96" operator="equal">
      <formula>"NO CUMPLE"</formula>
    </cfRule>
    <cfRule type="cellIs" dxfId="3471" priority="95" operator="equal">
      <formula>"CUMPLE"</formula>
    </cfRule>
    <cfRule type="cellIs" dxfId="3470" priority="97" operator="equal">
      <formula>"""CUMPLE"""</formula>
    </cfRule>
  </conditionalFormatting>
  <conditionalFormatting sqref="G63:J63">
    <cfRule type="containsBlanks" dxfId="3469" priority="11">
      <formula>LEN(TRIM(G63))=0</formula>
    </cfRule>
    <cfRule type="notContainsErrors" dxfId="3468" priority="12">
      <formula>NOT(ISERROR(G63))</formula>
    </cfRule>
  </conditionalFormatting>
  <conditionalFormatting sqref="I11">
    <cfRule type="containsText" dxfId="3467" priority="101" operator="containsText" text="NO CUMPLE">
      <formula>NOT(ISERROR(SEARCH("NO CUMPLE",I11)))</formula>
    </cfRule>
    <cfRule type="containsText" dxfId="3466" priority="100" operator="containsText" text="HABILITADO">
      <formula>NOT(ISERROR(SEARCH("HABILITADO",I11)))</formula>
    </cfRule>
    <cfRule type="containsText" dxfId="3465" priority="99" operator="containsText" text="HABILITADO">
      <formula>NOT(ISERROR(SEARCH("HABILITADO",I11)))</formula>
    </cfRule>
    <cfRule type="containsText" dxfId="3464" priority="98" operator="containsText" text="INHABILITADO">
      <formula>NOT(ISERROR(SEARCH("INHABILITADO",I11)))</formula>
    </cfRule>
  </conditionalFormatting>
  <conditionalFormatting sqref="K18:K20">
    <cfRule type="cellIs" dxfId="3463" priority="66" operator="equal">
      <formula>"NO CUMPLE"</formula>
    </cfRule>
    <cfRule type="cellIs" dxfId="3462" priority="65" operator="equal">
      <formula>"CUMPLE"</formula>
    </cfRule>
    <cfRule type="cellIs" dxfId="3461" priority="67" operator="equal">
      <formula>"""CUMPLE"""</formula>
    </cfRule>
  </conditionalFormatting>
  <conditionalFormatting sqref="K26:K61">
    <cfRule type="containsBlanks" dxfId="3460" priority="1">
      <formula>LEN(TRIM(K26))=0</formula>
    </cfRule>
    <cfRule type="notContainsErrors" dxfId="3459" priority="2">
      <formula>NOT(ISERROR(K26))</formula>
    </cfRule>
  </conditionalFormatting>
  <conditionalFormatting sqref="K67:L67">
    <cfRule type="containsBlanks" dxfId="3458" priority="25">
      <formula>LEN(TRIM(K67))=0</formula>
    </cfRule>
    <cfRule type="notContainsErrors" dxfId="3457" priority="26">
      <formula>NOT(ISERROR(K67))</formula>
    </cfRule>
  </conditionalFormatting>
  <conditionalFormatting sqref="L14">
    <cfRule type="cellIs" dxfId="3456" priority="94" operator="equal">
      <formula>"""CUMPLE"""</formula>
    </cfRule>
    <cfRule type="cellIs" dxfId="3455" priority="93" operator="equal">
      <formula>"NO CUMPLE"</formula>
    </cfRule>
    <cfRule type="cellIs" dxfId="3454" priority="92" operator="equal">
      <formula>"CUMPLE"</formula>
    </cfRule>
  </conditionalFormatting>
  <dataValidations count="2">
    <dataValidation type="list" allowBlank="1" showInputMessage="1" showErrorMessage="1" sqref="L62:L67" xr:uid="{00000000-0002-0000-2500-000000000000}">
      <formula1>"0,1,2,3,4,5,6"</formula1>
    </dataValidation>
    <dataValidation type="list" allowBlank="1" showInputMessage="1" showErrorMessage="1" sqref="D26:J28 D35:F35" xr:uid="{00000000-0002-0000-25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2500-000002000000}">
          <x14:formula1>
            <xm:f>'DATOS INICIALES'!$A$57:$A$58</xm:f>
          </x14:formula1>
          <xm:sqref>D49:J49</xm:sqref>
        </x14:dataValidation>
        <x14:dataValidation type="list" allowBlank="1" showInputMessage="1" showErrorMessage="1" xr:uid="{00000000-0002-0000-2500-000003000000}">
          <x14:formula1>
            <xm:f>'DATOS INICIALES'!$A$61:$A$67</xm:f>
          </x14:formula1>
          <xm:sqref>J25</xm:sqref>
        </x14:dataValidation>
        <x14:dataValidation type="list" allowBlank="1" showInputMessage="1" showErrorMessage="1" xr:uid="{00000000-0002-0000-2500-000004000000}">
          <x14:formula1>
            <xm:f>'DATOS INICIALES'!$C$52:$C$53</xm:f>
          </x14:formula1>
          <xm:sqref>D53:J54</xm:sqref>
        </x14:dataValidation>
        <x14:dataValidation type="list" allowBlank="1" showInputMessage="1" showErrorMessage="1" xr:uid="{00000000-0002-0000-2500-000005000000}">
          <x14:formula1>
            <xm:f>'DATOS INICIALES'!$A$57:$A$59</xm:f>
          </x14:formula1>
          <xm:sqref>D71 D56:J66</xm:sqref>
        </x14:dataValidation>
        <x14:dataValidation type="list" allowBlank="1" showInputMessage="1" showErrorMessage="1" xr:uid="{00000000-0002-0000-2500-000006000000}">
          <x14:formula1>
            <xm:f>'DATOS INICIALES'!$A$61:$A$66</xm:f>
          </x14:formula1>
          <xm:sqref>D25:I25</xm:sqref>
        </x14:dataValidation>
        <x14:dataValidation type="list" allowBlank="1" showInputMessage="1" showErrorMessage="1" xr:uid="{00000000-0002-0000-2500-000007000000}">
          <x14:formula1>
            <xm:f>'DATOS INICIALES'!$A$13:$A$50</xm:f>
          </x14:formula1>
          <xm:sqref>G33:I33</xm:sqref>
        </x14:dataValidation>
        <x14:dataValidation type="list" allowBlank="1" showInputMessage="1" showErrorMessage="1" xr:uid="{00000000-0002-0000-2500-000008000000}">
          <x14:formula1>
            <xm:f>'DATOS INICIALES'!$D$27:$D$29</xm:f>
          </x14:formula1>
          <xm:sqref>M50:M55</xm:sqref>
        </x14:dataValidation>
        <x14:dataValidation type="list" allowBlank="1" showInputMessage="1" showErrorMessage="1" xr:uid="{00000000-0002-0000-2500-000009000000}">
          <x14:formula1>
            <xm:f>'DATOS INICIALES'!$C$52:$C$54</xm:f>
          </x14:formula1>
          <xm:sqref>D50:J52</xm:sqref>
        </x14:dataValidation>
      </x14:dataValidations>
    </ext>
  </extLst>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tabColor rgb="FF92D050"/>
  </sheetPr>
  <dimension ref="A1:N72"/>
  <sheetViews>
    <sheetView view="pageBreakPreview" zoomScale="40" zoomScaleNormal="25" zoomScaleSheetLayoutView="40" workbookViewId="0">
      <selection activeCell="L16" sqref="L16"/>
    </sheetView>
  </sheetViews>
  <sheetFormatPr baseColWidth="10" defaultColWidth="11.5" defaultRowHeight="15" x14ac:dyDescent="0.2"/>
  <cols>
    <col min="1" max="1" width="5.5" customWidth="1"/>
    <col min="2" max="2" width="30.83203125" customWidth="1"/>
    <col min="3" max="3" width="63.1640625" customWidth="1"/>
    <col min="4" max="4" width="52.1640625" customWidth="1"/>
    <col min="5" max="5" width="45.1640625" customWidth="1"/>
    <col min="6" max="6" width="36" customWidth="1"/>
    <col min="7" max="7" width="37.5" customWidth="1"/>
    <col min="8" max="8" width="41.1640625" customWidth="1"/>
    <col min="9"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33</v>
      </c>
      <c r="B11" s="2" t="s">
        <v>58</v>
      </c>
      <c r="C11" s="413" t="str">
        <f>VLOOKUP(A11,PROPONENTES!A10:B94,2,FALSE)</f>
        <v>COLOMBOINGENIERIA S.A.S.</v>
      </c>
      <c r="D11" s="413"/>
      <c r="E11" s="413"/>
      <c r="F11" s="413"/>
      <c r="G11" s="413"/>
      <c r="H11" s="131" t="s">
        <v>59</v>
      </c>
      <c r="I11" s="417" t="str">
        <f>IF(AND(F22="CUMPLE",G22="CUMPLE",H22="CUMPLE",L14="CUMPLE",D72="CUMPLE",K18="CUMPLE"),"CUMPLE","NO CUMPLE")</f>
        <v>NO 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0</v>
      </c>
      <c r="J14" s="147">
        <f>+L8</f>
        <v>986.3076290832455</v>
      </c>
      <c r="K14" s="147">
        <f>+E22</f>
        <v>0</v>
      </c>
      <c r="L14" s="18" t="str">
        <f>IF(K14&gt;=J14,"CUMPLE","NO CUMPLE")</f>
        <v>NO CUMPLE</v>
      </c>
    </row>
    <row r="15" spans="1:12" ht="33.75" customHeight="1" x14ac:dyDescent="0.2">
      <c r="B15" s="382"/>
      <c r="C15" s="92" t="str">
        <f>IF(VLOOKUP(C11,PROPONENTES!B10:N94,2,FALSE)=0,"",VLOOKUP(C11,PROPONENTES!B10:N94,2,FALSE))</f>
        <v>COLOMBOINGENIERIA S.A.S.</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0</v>
      </c>
      <c r="F15" s="95" t="str">
        <f>IF(C15="","",IF(E15&gt;=$J$14*0.5,"SI","NO"))</f>
        <v>NO</v>
      </c>
      <c r="G15" s="96" t="str">
        <f>IF(C15="","",IF(E15&gt;=$J$14*0.05,"SI",IF(E15=0,"NO APORTA EXPERIENCIA",)))</f>
        <v>NO APORTA EXPERIENCIA</v>
      </c>
      <c r="H15" s="96" t="str">
        <f>IF(C15="","",IF(AND(G15="NO APORTA EXPERIENCIA",D15&lt;=10%),"SI",IF(G15="SI","NO APLICA","NO - PORCENTAJE MAYOR AL 10%")))</f>
        <v>NO - PORCENTAJE MAYOR AL 10%</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0</v>
      </c>
      <c r="J18" s="128">
        <v>1</v>
      </c>
      <c r="K18" s="385" t="str">
        <f>IF(AND(I18&gt;=J18,I19&gt;=J19,I20&gt;=J20,I21&gt;=J21),"CUMPLE","NO CUMPLE")</f>
        <v>NO CUMPLE</v>
      </c>
      <c r="L18" s="386"/>
    </row>
    <row r="19" spans="2:14" ht="50.25" customHeight="1" x14ac:dyDescent="0.2">
      <c r="B19" s="382"/>
      <c r="C19" s="92"/>
      <c r="D19" s="93"/>
      <c r="E19" s="94"/>
      <c r="F19" s="95"/>
      <c r="G19" s="96"/>
      <c r="H19" s="96"/>
      <c r="I19" s="128">
        <f>COUNTIFS(D58:J58,"CUMPLE",D67:J67,"CUMPLE")</f>
        <v>0</v>
      </c>
      <c r="J19" s="128">
        <v>1</v>
      </c>
      <c r="K19" s="387"/>
      <c r="L19" s="388"/>
    </row>
    <row r="20" spans="2:14" ht="50.25" customHeight="1" x14ac:dyDescent="0.2">
      <c r="B20" s="382"/>
      <c r="C20" s="92"/>
      <c r="D20" s="93"/>
      <c r="E20" s="94"/>
      <c r="F20" s="95"/>
      <c r="G20" s="96"/>
      <c r="H20" s="96"/>
      <c r="I20" s="128">
        <f>COUNTIFS(D60:J60,"CUMPLE",D67:J67,"CUMPLE")</f>
        <v>0</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0</v>
      </c>
      <c r="J21" s="128">
        <v>1</v>
      </c>
      <c r="K21" s="389"/>
      <c r="L21" s="390"/>
    </row>
    <row r="22" spans="2:14" ht="84.75" customHeight="1" x14ac:dyDescent="0.2">
      <c r="B22" s="29" t="s">
        <v>75</v>
      </c>
      <c r="C22" s="24">
        <f>+VLOOKUP(C11,PROPONENTES!B10:N94,12,FALSE)</f>
        <v>1</v>
      </c>
      <c r="D22" s="93">
        <f>+VLOOKUP(C11,PROPONENTES!B10:N94,13,FALSE)</f>
        <v>1</v>
      </c>
      <c r="E22" s="32">
        <f>SUM(E15:E21)</f>
        <v>0</v>
      </c>
      <c r="F22" s="18" t="str">
        <f>IF(F15="SI","CUMPLE",IF(F16="SI","CUMPLE",IF(F17="SI","CUMPLE",IF(F18="SI","CUMPLE",IF(F21="SI","CUMPLE","NO CUMPLE")))))</f>
        <v>NO 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NO 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238</v>
      </c>
      <c r="E26" s="84"/>
      <c r="F26" s="84"/>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744</v>
      </c>
      <c r="E29" s="85"/>
      <c r="F29" s="85"/>
      <c r="G29" s="85"/>
      <c r="H29" s="85"/>
      <c r="I29" s="85"/>
      <c r="J29" s="85"/>
      <c r="K29" s="145"/>
      <c r="L29" s="140"/>
    </row>
    <row r="30" spans="2:14" ht="235.75" customHeight="1" x14ac:dyDescent="0.2">
      <c r="B30" s="374"/>
      <c r="C30" s="25" t="s">
        <v>84</v>
      </c>
      <c r="D30" s="85" t="s">
        <v>745</v>
      </c>
      <c r="E30" s="85"/>
      <c r="F30" s="85"/>
      <c r="G30" s="85"/>
      <c r="H30" s="85"/>
      <c r="I30" s="85"/>
      <c r="J30" s="85"/>
      <c r="K30" s="145"/>
      <c r="L30" s="140"/>
    </row>
    <row r="31" spans="2:14" ht="52.5" customHeight="1" x14ac:dyDescent="0.2">
      <c r="B31" s="374"/>
      <c r="C31" s="25" t="s">
        <v>85</v>
      </c>
      <c r="D31" s="89">
        <v>43158</v>
      </c>
      <c r="E31" s="89"/>
      <c r="F31" s="89"/>
      <c r="G31" s="89"/>
      <c r="H31" s="89"/>
      <c r="I31" s="89"/>
      <c r="J31" s="89"/>
      <c r="K31" s="145"/>
      <c r="L31" s="140"/>
    </row>
    <row r="32" spans="2:14" ht="54.75" customHeight="1" x14ac:dyDescent="0.2">
      <c r="B32" s="374"/>
      <c r="C32" s="25" t="s">
        <v>86</v>
      </c>
      <c r="D32" s="89">
        <v>44392</v>
      </c>
      <c r="E32" s="89"/>
      <c r="F32" s="89"/>
      <c r="G32" s="89"/>
      <c r="H32" s="89"/>
      <c r="I32" s="89"/>
      <c r="J32" s="89"/>
      <c r="K32" s="145"/>
      <c r="L32" s="140"/>
    </row>
    <row r="33" spans="2:12" ht="41.25" customHeight="1" x14ac:dyDescent="0.2">
      <c r="B33" s="374"/>
      <c r="C33" s="25" t="s">
        <v>87</v>
      </c>
      <c r="D33" s="86">
        <v>2021</v>
      </c>
      <c r="E33" s="86"/>
      <c r="F33" s="86"/>
      <c r="G33" s="86"/>
      <c r="H33" s="86"/>
      <c r="I33" s="86"/>
      <c r="J33" s="86"/>
      <c r="K33" s="145"/>
      <c r="L33" s="140"/>
    </row>
    <row r="34" spans="2:12" ht="63" customHeight="1" x14ac:dyDescent="0.2">
      <c r="B34" s="374"/>
      <c r="C34" s="25" t="s">
        <v>88</v>
      </c>
      <c r="D34" s="85" t="s">
        <v>746</v>
      </c>
      <c r="E34" s="85"/>
      <c r="F34" s="85"/>
      <c r="G34" s="85"/>
      <c r="H34" s="85"/>
      <c r="I34" s="85"/>
      <c r="J34" s="85"/>
      <c r="K34" s="145"/>
      <c r="L34" s="140"/>
    </row>
    <row r="35" spans="2:12" ht="46.5" customHeight="1" x14ac:dyDescent="0.2">
      <c r="B35" s="374"/>
      <c r="C35" s="25" t="s">
        <v>89</v>
      </c>
      <c r="D35" s="84" t="s">
        <v>238</v>
      </c>
      <c r="E35" s="85"/>
      <c r="F35" s="85"/>
      <c r="G35" s="85"/>
      <c r="H35" s="85"/>
      <c r="I35" s="85"/>
      <c r="J35" s="85"/>
      <c r="K35" s="145"/>
      <c r="L35" s="140"/>
    </row>
    <row r="36" spans="2:12" ht="27.75" customHeight="1" x14ac:dyDescent="0.2">
      <c r="B36" s="374"/>
      <c r="C36" s="26" t="s">
        <v>90</v>
      </c>
      <c r="D36" s="90">
        <v>31</v>
      </c>
      <c r="E36" s="90"/>
      <c r="F36" s="90"/>
      <c r="G36" s="91"/>
      <c r="H36" s="91"/>
      <c r="I36" s="91"/>
      <c r="J36" s="91"/>
      <c r="K36" s="145"/>
      <c r="L36" s="140"/>
    </row>
    <row r="37" spans="2:12" ht="102.75" customHeight="1" x14ac:dyDescent="0.2">
      <c r="B37" s="374"/>
      <c r="C37" s="25" t="s">
        <v>91</v>
      </c>
      <c r="D37" s="87">
        <v>6020.79</v>
      </c>
      <c r="E37" s="158"/>
      <c r="F37" s="87"/>
      <c r="G37" s="87"/>
      <c r="H37" s="87"/>
      <c r="I37" s="87"/>
      <c r="J37" s="87"/>
      <c r="K37" s="242"/>
      <c r="L37" s="243"/>
    </row>
    <row r="38" spans="2:12" ht="48" customHeight="1" x14ac:dyDescent="0.2">
      <c r="B38" s="374"/>
      <c r="C38" s="25" t="s">
        <v>92</v>
      </c>
      <c r="D38" s="97">
        <f>IFERROR(D37*VLOOKUP(D33,'DATOS INICIALES'!$A$12:$B$50,2,0),"0")</f>
        <v>5470044255.54</v>
      </c>
      <c r="E38" s="97" t="str">
        <f>IFERROR(E37*VLOOKUP(E33,'DATOS INICIALES'!$A$12:$B$50,2,0),"0")</f>
        <v>0</v>
      </c>
      <c r="F38" s="97" t="str">
        <f>IFERROR(F37*VLOOKUP(F33,'DATOS INICIALES'!$A$12:$B$50,2,0),"0")</f>
        <v>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0.3</v>
      </c>
      <c r="E39" s="88"/>
      <c r="F39" s="88"/>
      <c r="G39" s="88"/>
      <c r="H39" s="88"/>
      <c r="I39" s="88"/>
      <c r="J39" s="88"/>
      <c r="K39" s="145"/>
      <c r="L39" s="140"/>
    </row>
    <row r="40" spans="2:12" ht="48.75" customHeight="1" x14ac:dyDescent="0.2">
      <c r="B40" s="374"/>
      <c r="C40" s="25" t="s">
        <v>94</v>
      </c>
      <c r="D40" s="97">
        <f t="shared" ref="D40:J40" si="0">IF(D26="","0",D39*D38)</f>
        <v>1641013276.6619999</v>
      </c>
      <c r="E40" s="97" t="str">
        <f t="shared" si="0"/>
        <v>0</v>
      </c>
      <c r="F40" s="97" t="str">
        <f t="shared" si="0"/>
        <v>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1806.2369999999999</v>
      </c>
      <c r="E41" s="98">
        <f t="shared" si="1"/>
        <v>0</v>
      </c>
      <c r="F41" s="98">
        <f t="shared" si="1"/>
        <v>0</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1806.2369999999999</v>
      </c>
      <c r="E48" s="98">
        <f t="shared" ref="E48:G48" si="6">+E41+E44+E47</f>
        <v>0</v>
      </c>
      <c r="F48" s="98">
        <f t="shared" si="6"/>
        <v>0</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N/A</v>
      </c>
      <c r="F55" s="18" t="str">
        <f t="shared" si="8"/>
        <v>N/A</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26</v>
      </c>
      <c r="E56" s="84" t="s">
        <v>24</v>
      </c>
      <c r="F56" s="84" t="s">
        <v>24</v>
      </c>
      <c r="G56" s="84" t="s">
        <v>24</v>
      </c>
      <c r="H56" s="84" t="s">
        <v>24</v>
      </c>
      <c r="I56" s="84" t="s">
        <v>24</v>
      </c>
      <c r="J56" s="84" t="s">
        <v>24</v>
      </c>
      <c r="K56" s="492" t="s">
        <v>747</v>
      </c>
      <c r="L56" s="493"/>
    </row>
    <row r="57" spans="2:12" ht="50.25" customHeight="1" x14ac:dyDescent="0.2">
      <c r="B57" s="431" t="s">
        <v>177</v>
      </c>
      <c r="C57" s="432"/>
      <c r="D57" s="84" t="s">
        <v>26</v>
      </c>
      <c r="E57" s="84" t="s">
        <v>24</v>
      </c>
      <c r="F57" s="84" t="s">
        <v>24</v>
      </c>
      <c r="G57" s="84" t="s">
        <v>24</v>
      </c>
      <c r="H57" s="84" t="s">
        <v>24</v>
      </c>
      <c r="I57" s="84" t="s">
        <v>24</v>
      </c>
      <c r="J57" s="84" t="s">
        <v>24</v>
      </c>
      <c r="K57" s="492" t="s">
        <v>748</v>
      </c>
      <c r="L57" s="493"/>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NO CUMPLE</v>
      </c>
      <c r="E67" s="18" t="str">
        <f>IF(E26="","N/A",IF(AND(E49="CUMPLE",E55="CUMPLE",OR(E56="CUMPLE",E56="N/A"),OR(E59="CUMPLE",E59="N/A"),E62="CUMPLE",E63="CUMPLE",OR(E64="CUMPLE",E64="N/A"),E65="CUMPLE",OR(E66="CUMPLE",E66="N/A")),"CUMPLE","NO CUMPLE"))</f>
        <v>N/A</v>
      </c>
      <c r="F67" s="18" t="str">
        <f>IF(F26="","N/A",IF(AND(F49="CUMPLE",F55="CUMPLE",OR(F56="CUMPLE",F56="N/A"),OR(F59="CUMPLE",F59="N/A"),F62="CUMPLE",F63="CUMPLE",OR(F64="CUMPLE",F64="N/A"),F65="CUMPLE",OR(F66="CUMPLE",F66="N/A")),"CUMPLE","NO CUMPLE"))</f>
        <v>N/A</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3">
    <mergeCell ref="I22:L22"/>
    <mergeCell ref="B66:C66"/>
    <mergeCell ref="B67:C67"/>
    <mergeCell ref="B69:E69"/>
    <mergeCell ref="B70:C70"/>
    <mergeCell ref="B63:C63"/>
    <mergeCell ref="B64:C64"/>
    <mergeCell ref="B65:C65"/>
    <mergeCell ref="B60:C60"/>
    <mergeCell ref="B61:C61"/>
    <mergeCell ref="B62:C62"/>
    <mergeCell ref="B57:C57"/>
    <mergeCell ref="B58:C58"/>
    <mergeCell ref="B59:C59"/>
    <mergeCell ref="B26:C26"/>
    <mergeCell ref="B27:C27"/>
    <mergeCell ref="B72:C72"/>
    <mergeCell ref="B71:C71"/>
    <mergeCell ref="B23:L23"/>
    <mergeCell ref="B24:L24"/>
    <mergeCell ref="K25:L25"/>
    <mergeCell ref="B56:C56"/>
    <mergeCell ref="B50:B55"/>
    <mergeCell ref="B29:B47"/>
    <mergeCell ref="B28:C28"/>
    <mergeCell ref="K56:L56"/>
    <mergeCell ref="K57:L57"/>
    <mergeCell ref="K18:L21"/>
    <mergeCell ref="B12:L12"/>
    <mergeCell ref="B2:L2"/>
    <mergeCell ref="B3:L3"/>
    <mergeCell ref="B4:L4"/>
    <mergeCell ref="B5:L5"/>
    <mergeCell ref="B7:I7"/>
    <mergeCell ref="J7:L7"/>
    <mergeCell ref="C8:I8"/>
    <mergeCell ref="C9:I9"/>
    <mergeCell ref="C10:I10"/>
    <mergeCell ref="C11:G11"/>
    <mergeCell ref="I11:L11"/>
    <mergeCell ref="B13:H13"/>
    <mergeCell ref="B14:B21"/>
    <mergeCell ref="K17:L17"/>
  </mergeCells>
  <conditionalFormatting sqref="D71">
    <cfRule type="cellIs" dxfId="3453" priority="75" operator="equal">
      <formula>"CUMPLE"</formula>
    </cfRule>
    <cfRule type="cellIs" dxfId="3452" priority="74" operator="equal">
      <formula>"NO CUMPLE"</formula>
    </cfRule>
    <cfRule type="containsBlanks" dxfId="3451" priority="72">
      <formula>LEN(TRIM(D71))=0</formula>
    </cfRule>
    <cfRule type="notContainsErrors" dxfId="3450" priority="73">
      <formula>NOT(ISERROR(D71))</formula>
    </cfRule>
  </conditionalFormatting>
  <conditionalFormatting sqref="D72">
    <cfRule type="cellIs" dxfId="3449" priority="76" operator="equal">
      <formula>"N/A"</formula>
    </cfRule>
    <cfRule type="cellIs" dxfId="3448" priority="78" operator="equal">
      <formula>"NO CUMPLE"</formula>
    </cfRule>
    <cfRule type="cellIs" dxfId="3447" priority="77" operator="equal">
      <formula>"CUMPLE"</formula>
    </cfRule>
    <cfRule type="cellIs" dxfId="3446" priority="79" operator="equal">
      <formula>"""CUMPLE"""</formula>
    </cfRule>
  </conditionalFormatting>
  <conditionalFormatting sqref="D26:J37">
    <cfRule type="notContainsErrors" dxfId="3445" priority="6">
      <formula>NOT(ISERROR(D26))</formula>
    </cfRule>
    <cfRule type="containsBlanks" dxfId="3444" priority="5">
      <formula>LEN(TRIM(D26))=0</formula>
    </cfRule>
  </conditionalFormatting>
  <conditionalFormatting sqref="D36:J36">
    <cfRule type="notContainsErrors" dxfId="3443" priority="12">
      <formula>NOT(ISERROR(D36))</formula>
    </cfRule>
    <cfRule type="containsBlanks" dxfId="3442" priority="11">
      <formula>LEN(TRIM(D36))=0</formula>
    </cfRule>
  </conditionalFormatting>
  <conditionalFormatting sqref="D39:J39">
    <cfRule type="containsBlanks" dxfId="3441" priority="3">
      <formula>LEN(TRIM(D39))=0</formula>
    </cfRule>
    <cfRule type="notContainsErrors" dxfId="3440" priority="4">
      <formula>NOT(ISERROR(D39))</formula>
    </cfRule>
  </conditionalFormatting>
  <conditionalFormatting sqref="D42:J42 D45:J45">
    <cfRule type="notContainsErrors" dxfId="3439" priority="44">
      <formula>NOT(ISERROR(D42))</formula>
    </cfRule>
    <cfRule type="containsBlanks" dxfId="3438" priority="43">
      <formula>LEN(TRIM(D42))=0</formula>
    </cfRule>
  </conditionalFormatting>
  <conditionalFormatting sqref="D49:J54">
    <cfRule type="notContainsErrors" dxfId="3437" priority="26">
      <formula>NOT(ISERROR(D49))</formula>
    </cfRule>
    <cfRule type="containsBlanks" dxfId="3436" priority="25">
      <formula>LEN(TRIM(D49))=0</formula>
    </cfRule>
    <cfRule type="cellIs" dxfId="3435" priority="23" operator="equal">
      <formula>"NO CUMPLE"</formula>
    </cfRule>
    <cfRule type="cellIs" dxfId="3434" priority="24" operator="equal">
      <formula>"CUMPLE"</formula>
    </cfRule>
  </conditionalFormatting>
  <conditionalFormatting sqref="D55:J55">
    <cfRule type="cellIs" dxfId="3433" priority="35" operator="equal">
      <formula>"NO CUMPLE"</formula>
    </cfRule>
    <cfRule type="cellIs" dxfId="3432" priority="36" operator="equal">
      <formula>"""CUMPLE"""</formula>
    </cfRule>
    <cfRule type="cellIs" dxfId="3431" priority="33" operator="equal">
      <formula>"N/A"</formula>
    </cfRule>
    <cfRule type="cellIs" dxfId="3430" priority="34" operator="equal">
      <formula>"CUMPLE"</formula>
    </cfRule>
  </conditionalFormatting>
  <conditionalFormatting sqref="D56:J66">
    <cfRule type="cellIs" dxfId="3429" priority="18" operator="equal">
      <formula>"CUMPLE"</formula>
    </cfRule>
    <cfRule type="cellIs" dxfId="3428" priority="17" operator="equal">
      <formula>"NO CUMPLE"</formula>
    </cfRule>
    <cfRule type="containsBlanks" dxfId="3427" priority="19">
      <formula>LEN(TRIM(D56))=0</formula>
    </cfRule>
    <cfRule type="notContainsErrors" dxfId="3426" priority="20">
      <formula>NOT(ISERROR(D56))</formula>
    </cfRule>
  </conditionalFormatting>
  <conditionalFormatting sqref="D62:J62">
    <cfRule type="notContainsErrors" dxfId="3425" priority="16">
      <formula>NOT(ISERROR(D62))</formula>
    </cfRule>
    <cfRule type="containsBlanks" dxfId="3424" priority="15">
      <formula>LEN(TRIM(D62))=0</formula>
    </cfRule>
  </conditionalFormatting>
  <conditionalFormatting sqref="D67:J67">
    <cfRule type="cellIs" dxfId="3423" priority="30" operator="equal">
      <formula>"CUMPLE"</formula>
    </cfRule>
    <cfRule type="cellIs" dxfId="3422" priority="29" operator="equal">
      <formula>"N/A"</formula>
    </cfRule>
    <cfRule type="cellIs" dxfId="3421" priority="31" operator="equal">
      <formula>"NO CUMPLE"</formula>
    </cfRule>
    <cfRule type="cellIs" dxfId="3420" priority="32" operator="equal">
      <formula>"""CUMPLE"""</formula>
    </cfRule>
  </conditionalFormatting>
  <conditionalFormatting sqref="D62:K66">
    <cfRule type="containsBlanks" dxfId="3419" priority="21">
      <formula>LEN(TRIM(D62))=0</formula>
    </cfRule>
    <cfRule type="notContainsErrors" dxfId="3418" priority="22">
      <formula>NOT(ISERROR(D62))</formula>
    </cfRule>
  </conditionalFormatting>
  <conditionalFormatting sqref="E71:E72">
    <cfRule type="notContainsErrors" dxfId="3417" priority="71">
      <formula>NOT(ISERROR(E71))</formula>
    </cfRule>
    <cfRule type="containsBlanks" dxfId="3416" priority="70">
      <formula>LEN(TRIM(E71))=0</formula>
    </cfRule>
  </conditionalFormatting>
  <conditionalFormatting sqref="F22:H22">
    <cfRule type="cellIs" dxfId="3415" priority="98" operator="equal">
      <formula>"NO CUMPLE"</formula>
    </cfRule>
    <cfRule type="cellIs" dxfId="3414" priority="97" operator="equal">
      <formula>"CUMPLE"</formula>
    </cfRule>
    <cfRule type="cellIs" dxfId="3413" priority="99" operator="equal">
      <formula>"""CUMPLE"""</formula>
    </cfRule>
  </conditionalFormatting>
  <conditionalFormatting sqref="G63:J63">
    <cfRule type="containsBlanks" dxfId="3412" priority="13">
      <formula>LEN(TRIM(G63))=0</formula>
    </cfRule>
    <cfRule type="notContainsErrors" dxfId="3411" priority="14">
      <formula>NOT(ISERROR(G63))</formula>
    </cfRule>
  </conditionalFormatting>
  <conditionalFormatting sqref="I11">
    <cfRule type="containsText" dxfId="3410" priority="103" operator="containsText" text="NO CUMPLE">
      <formula>NOT(ISERROR(SEARCH("NO CUMPLE",I11)))</formula>
    </cfRule>
    <cfRule type="containsText" dxfId="3409" priority="102" operator="containsText" text="HABILITADO">
      <formula>NOT(ISERROR(SEARCH("HABILITADO",I11)))</formula>
    </cfRule>
    <cfRule type="containsText" dxfId="3408" priority="101" operator="containsText" text="HABILITADO">
      <formula>NOT(ISERROR(SEARCH("HABILITADO",I11)))</formula>
    </cfRule>
    <cfRule type="containsText" dxfId="3407" priority="100" operator="containsText" text="INHABILITADO">
      <formula>NOT(ISERROR(SEARCH("INHABILITADO",I11)))</formula>
    </cfRule>
  </conditionalFormatting>
  <conditionalFormatting sqref="K18:K20">
    <cfRule type="cellIs" dxfId="3406" priority="68" operator="equal">
      <formula>"NO CUMPLE"</formula>
    </cfRule>
    <cfRule type="cellIs" dxfId="3405" priority="67" operator="equal">
      <formula>"CUMPLE"</formula>
    </cfRule>
    <cfRule type="cellIs" dxfId="3404" priority="69" operator="equal">
      <formula>"""CUMPLE"""</formula>
    </cfRule>
  </conditionalFormatting>
  <conditionalFormatting sqref="K26:K61">
    <cfRule type="containsBlanks" dxfId="3403" priority="1">
      <formula>LEN(TRIM(K26))=0</formula>
    </cfRule>
    <cfRule type="notContainsErrors" dxfId="3402" priority="2">
      <formula>NOT(ISERROR(K26))</formula>
    </cfRule>
  </conditionalFormatting>
  <conditionalFormatting sqref="K67:L67">
    <cfRule type="containsBlanks" dxfId="3401" priority="27">
      <formula>LEN(TRIM(K67))=0</formula>
    </cfRule>
    <cfRule type="notContainsErrors" dxfId="3400" priority="28">
      <formula>NOT(ISERROR(K67))</formula>
    </cfRule>
  </conditionalFormatting>
  <conditionalFormatting sqref="L14">
    <cfRule type="cellIs" dxfId="3399" priority="96" operator="equal">
      <formula>"""CUMPLE"""</formula>
    </cfRule>
    <cfRule type="cellIs" dxfId="3398" priority="95" operator="equal">
      <formula>"NO CUMPLE"</formula>
    </cfRule>
    <cfRule type="cellIs" dxfId="3397" priority="94" operator="equal">
      <formula>"CUMPLE"</formula>
    </cfRule>
  </conditionalFormatting>
  <dataValidations disablePrompts="1" count="2">
    <dataValidation type="list" allowBlank="1" showInputMessage="1" showErrorMessage="1" sqref="D26:J28 D35" xr:uid="{00000000-0002-0000-2600-000000000000}">
      <formula1>$C$15:$C$21</formula1>
    </dataValidation>
    <dataValidation type="list" allowBlank="1" showInputMessage="1" showErrorMessage="1" sqref="L62:L67" xr:uid="{00000000-0002-0000-26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disablePrompts="1" count="8">
        <x14:dataValidation type="list" allowBlank="1" showInputMessage="1" showErrorMessage="1" xr:uid="{00000000-0002-0000-2600-000002000000}">
          <x14:formula1>
            <xm:f>'DATOS INICIALES'!$A$13:$A$50</xm:f>
          </x14:formula1>
          <xm:sqref>G33:I33</xm:sqref>
        </x14:dataValidation>
        <x14:dataValidation type="list" allowBlank="1" showInputMessage="1" showErrorMessage="1" xr:uid="{00000000-0002-0000-2600-000003000000}">
          <x14:formula1>
            <xm:f>'DATOS INICIALES'!$A$61:$A$66</xm:f>
          </x14:formula1>
          <xm:sqref>D25:I25</xm:sqref>
        </x14:dataValidation>
        <x14:dataValidation type="list" allowBlank="1" showInputMessage="1" showErrorMessage="1" xr:uid="{00000000-0002-0000-2600-000004000000}">
          <x14:formula1>
            <xm:f>'DATOS INICIALES'!$A$57:$A$59</xm:f>
          </x14:formula1>
          <xm:sqref>D71 D56:J66</xm:sqref>
        </x14:dataValidation>
        <x14:dataValidation type="list" allowBlank="1" showInputMessage="1" showErrorMessage="1" xr:uid="{00000000-0002-0000-2600-000005000000}">
          <x14:formula1>
            <xm:f>'DATOS INICIALES'!$C$52:$C$53</xm:f>
          </x14:formula1>
          <xm:sqref>D53:J54</xm:sqref>
        </x14:dataValidation>
        <x14:dataValidation type="list" allowBlank="1" showInputMessage="1" showErrorMessage="1" xr:uid="{00000000-0002-0000-2600-000006000000}">
          <x14:formula1>
            <xm:f>'DATOS INICIALES'!$A$61:$A$67</xm:f>
          </x14:formula1>
          <xm:sqref>J25</xm:sqref>
        </x14:dataValidation>
        <x14:dataValidation type="list" allowBlank="1" showInputMessage="1" showErrorMessage="1" xr:uid="{00000000-0002-0000-2600-000007000000}">
          <x14:formula1>
            <xm:f>'DATOS INICIALES'!$A$57:$A$58</xm:f>
          </x14:formula1>
          <xm:sqref>D49:J49</xm:sqref>
        </x14:dataValidation>
        <x14:dataValidation type="list" allowBlank="1" showInputMessage="1" showErrorMessage="1" xr:uid="{00000000-0002-0000-2600-000008000000}">
          <x14:formula1>
            <xm:f>'DATOS INICIALES'!$D$27:$D$29</xm:f>
          </x14:formula1>
          <xm:sqref>M50:M55</xm:sqref>
        </x14:dataValidation>
        <x14:dataValidation type="list" allowBlank="1" showInputMessage="1" showErrorMessage="1" xr:uid="{00000000-0002-0000-2600-000009000000}">
          <x14:formula1>
            <xm:f>'DATOS INICIALES'!$C$52:$C$54</xm:f>
          </x14:formula1>
          <xm:sqref>D50:J52</xm:sqref>
        </x14:dataValidation>
      </x14:dataValidations>
    </ext>
  </extLst>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tabColor rgb="FF92D050"/>
  </sheetPr>
  <dimension ref="A1:N72"/>
  <sheetViews>
    <sheetView view="pageBreakPreview" zoomScale="40" zoomScaleNormal="25" zoomScaleSheetLayoutView="40" workbookViewId="0">
      <selection activeCell="F17" sqref="F17"/>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34</v>
      </c>
      <c r="B11" s="2" t="s">
        <v>58</v>
      </c>
      <c r="C11" s="413" t="str">
        <f>VLOOKUP(A11,PROPONENTES!A10:B94,2,FALSE)</f>
        <v>URBANO - USAQUEN 03</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3</v>
      </c>
      <c r="J14" s="147">
        <f>+L8</f>
        <v>986.3076290832455</v>
      </c>
      <c r="K14" s="147">
        <f>+E22</f>
        <v>6503.0024999999996</v>
      </c>
      <c r="L14" s="18" t="str">
        <f>IF(K14&gt;=J14,"CUMPLE","NO CUMPLE")</f>
        <v>CUMPLE</v>
      </c>
    </row>
    <row r="15" spans="1:12" ht="33.75" customHeight="1" x14ac:dyDescent="0.2">
      <c r="B15" s="382"/>
      <c r="C15" s="92" t="str">
        <f>IF(VLOOKUP(C11,PROPONENTES!B10:N94,2,FALSE)=0,"",VLOOKUP(C11,PROPONENTES!B10:N94,2,FALSE))</f>
        <v xml:space="preserve">IAR PROYECTOS SAS </v>
      </c>
      <c r="D15" s="93">
        <f>IF(VLOOKUP(C11,PROPONENTES!B10:N94,3,FALSE)=0,"",VLOOKUP(C11,PROPONENTES!B10:N94,3,FALSE))</f>
        <v>0.5</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3725.8574999999996</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xml:space="preserve">BATEMAN INGENIERIA SAS </v>
      </c>
      <c r="D16" s="93">
        <f>IF(VLOOKUP(C11,PROPONENTES!B10:N94,5,FALSE)=0,"",VLOOKUP(C11,PROPONENTES!B10:N94,5,FALSE))</f>
        <v>0.5</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2777.145</v>
      </c>
      <c r="F16" s="95" t="str">
        <f>IF(C16="","",IF(E16&gt;=$J$14*0.5,"SI","NO"))</f>
        <v>SI</v>
      </c>
      <c r="G16" s="96" t="str">
        <f>IF(C16="","",IF(E16&gt;=$J$14*0.05,"SI",IF(E16=0,"NO APORTA EXPERIENCIA",)))</f>
        <v>SI</v>
      </c>
      <c r="H16" s="96" t="str">
        <f>IF(C16="","",IF(AND(G16="NO APORTA EXPERIENCIA",D16&lt;=10%),"SI",IF(G16="SI","NO APLICA","NO - PORCENTAJE MAYOR AL 10%")))</f>
        <v>NO APLICA</v>
      </c>
      <c r="I16" s="162"/>
      <c r="J16" s="162"/>
      <c r="K16" s="162"/>
      <c r="L16" s="161">
        <f>AVERAGEIF(D67:J67,"CUMPLE",D48:J48)</f>
        <v>2167.6675</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2</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3</v>
      </c>
      <c r="J19" s="128">
        <v>1</v>
      </c>
      <c r="K19" s="387"/>
      <c r="L19" s="388"/>
    </row>
    <row r="20" spans="2:14" ht="50.25" customHeight="1" x14ac:dyDescent="0.2">
      <c r="B20" s="382"/>
      <c r="C20" s="92"/>
      <c r="D20" s="93"/>
      <c r="E20" s="94"/>
      <c r="F20" s="95"/>
      <c r="G20" s="96"/>
      <c r="H20" s="96"/>
      <c r="I20" s="128">
        <f>COUNTIFS(D60:J60,"CUMPLE",D67:J67,"CUMPLE")</f>
        <v>3</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3</v>
      </c>
      <c r="J21" s="128">
        <v>1</v>
      </c>
      <c r="K21" s="389"/>
      <c r="L21" s="390"/>
    </row>
    <row r="22" spans="2:14" ht="84.75" customHeight="1" x14ac:dyDescent="0.2">
      <c r="B22" s="29" t="s">
        <v>75</v>
      </c>
      <c r="C22" s="24">
        <f>+VLOOKUP(C11,PROPONENTES!B10:N94,12,FALSE)</f>
        <v>2</v>
      </c>
      <c r="D22" s="93">
        <f>+VLOOKUP(C11,PROPONENTES!B10:N94,13,FALSE)</f>
        <v>1</v>
      </c>
      <c r="E22" s="32">
        <f>SUM(E15:E21)</f>
        <v>6503.0024999999996</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678</v>
      </c>
      <c r="E26" s="84" t="s">
        <v>678</v>
      </c>
      <c r="F26" s="84" t="s">
        <v>679</v>
      </c>
      <c r="G26" s="84"/>
      <c r="H26" s="84"/>
      <c r="I26" s="84"/>
      <c r="J26" s="84"/>
      <c r="K26" s="145"/>
      <c r="L26" s="140"/>
    </row>
    <row r="27" spans="2:14" ht="39.75" customHeight="1" x14ac:dyDescent="0.2">
      <c r="B27" s="371" t="s">
        <v>80</v>
      </c>
      <c r="C27" s="372"/>
      <c r="D27" s="84" t="s">
        <v>679</v>
      </c>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749</v>
      </c>
      <c r="E29" s="85" t="s">
        <v>750</v>
      </c>
      <c r="F29" s="85" t="s">
        <v>751</v>
      </c>
      <c r="G29" s="85"/>
      <c r="H29" s="85"/>
      <c r="I29" s="85"/>
      <c r="J29" s="85"/>
      <c r="K29" s="145"/>
      <c r="L29" s="140"/>
    </row>
    <row r="30" spans="2:14" ht="156.75" customHeight="1" x14ac:dyDescent="0.2">
      <c r="B30" s="374"/>
      <c r="C30" s="25" t="s">
        <v>84</v>
      </c>
      <c r="D30" s="85" t="s">
        <v>752</v>
      </c>
      <c r="E30" s="85" t="s">
        <v>753</v>
      </c>
      <c r="F30" s="85" t="s">
        <v>754</v>
      </c>
      <c r="G30" s="85"/>
      <c r="H30" s="85"/>
      <c r="I30" s="85"/>
      <c r="J30" s="85"/>
      <c r="K30" s="145"/>
      <c r="L30" s="140"/>
    </row>
    <row r="31" spans="2:14" ht="52.5" customHeight="1" x14ac:dyDescent="0.2">
      <c r="B31" s="374"/>
      <c r="C31" s="25" t="s">
        <v>85</v>
      </c>
      <c r="D31" s="89">
        <v>41974</v>
      </c>
      <c r="E31" s="89">
        <v>41799</v>
      </c>
      <c r="F31" s="89">
        <v>36185</v>
      </c>
      <c r="G31" s="89"/>
      <c r="H31" s="89"/>
      <c r="I31" s="89"/>
      <c r="J31" s="89"/>
      <c r="K31" s="145"/>
      <c r="L31" s="140"/>
    </row>
    <row r="32" spans="2:14" ht="54.75" customHeight="1" x14ac:dyDescent="0.2">
      <c r="B32" s="374"/>
      <c r="C32" s="25" t="s">
        <v>86</v>
      </c>
      <c r="D32" s="89">
        <v>42354</v>
      </c>
      <c r="E32" s="89">
        <v>42452</v>
      </c>
      <c r="F32" s="89">
        <v>36891</v>
      </c>
      <c r="G32" s="89"/>
      <c r="H32" s="89"/>
      <c r="I32" s="89"/>
      <c r="J32" s="89"/>
      <c r="K32" s="145"/>
      <c r="L32" s="140"/>
    </row>
    <row r="33" spans="2:12" ht="41.25" customHeight="1" x14ac:dyDescent="0.2">
      <c r="B33" s="374"/>
      <c r="C33" s="25" t="s">
        <v>87</v>
      </c>
      <c r="D33" s="86">
        <v>2015</v>
      </c>
      <c r="E33" s="86">
        <v>2016</v>
      </c>
      <c r="F33" s="86">
        <v>2000</v>
      </c>
      <c r="G33" s="86"/>
      <c r="H33" s="86"/>
      <c r="I33" s="86"/>
      <c r="J33" s="86"/>
      <c r="K33" s="145"/>
      <c r="L33" s="140"/>
    </row>
    <row r="34" spans="2:12" ht="63" customHeight="1" x14ac:dyDescent="0.2">
      <c r="B34" s="374"/>
      <c r="C34" s="25" t="s">
        <v>88</v>
      </c>
      <c r="D34" s="85" t="s">
        <v>755</v>
      </c>
      <c r="E34" s="85" t="s">
        <v>756</v>
      </c>
      <c r="F34" s="85" t="s">
        <v>322</v>
      </c>
      <c r="G34" s="85"/>
      <c r="H34" s="85"/>
      <c r="I34" s="85"/>
      <c r="J34" s="85"/>
      <c r="K34" s="145"/>
      <c r="L34" s="140"/>
    </row>
    <row r="35" spans="2:12" ht="46.5" customHeight="1" x14ac:dyDescent="0.2">
      <c r="B35" s="374"/>
      <c r="C35" s="25" t="s">
        <v>89</v>
      </c>
      <c r="D35" s="84" t="s">
        <v>678</v>
      </c>
      <c r="E35" s="84" t="s">
        <v>678</v>
      </c>
      <c r="F35" s="84" t="s">
        <v>679</v>
      </c>
      <c r="G35" s="85"/>
      <c r="H35" s="85"/>
      <c r="I35" s="85"/>
      <c r="J35" s="85"/>
      <c r="K35" s="145"/>
      <c r="L35" s="140"/>
    </row>
    <row r="36" spans="2:12" ht="27.75" customHeight="1" x14ac:dyDescent="0.2">
      <c r="B36" s="374"/>
      <c r="C36" s="26" t="s">
        <v>90</v>
      </c>
      <c r="D36" s="90" t="s">
        <v>757</v>
      </c>
      <c r="E36" s="90">
        <v>87</v>
      </c>
      <c r="F36" s="91">
        <v>82</v>
      </c>
      <c r="G36" s="91"/>
      <c r="H36" s="91"/>
      <c r="I36" s="91"/>
      <c r="J36" s="91"/>
      <c r="K36" s="145"/>
      <c r="L36" s="140"/>
    </row>
    <row r="37" spans="2:12" ht="102.75" customHeight="1" x14ac:dyDescent="0.2">
      <c r="B37" s="374"/>
      <c r="C37" s="25" t="s">
        <v>91</v>
      </c>
      <c r="D37" s="87">
        <v>1665.36</v>
      </c>
      <c r="E37" s="87">
        <v>3045.45</v>
      </c>
      <c r="F37" s="87">
        <v>4721.6099999999997</v>
      </c>
      <c r="G37" s="87"/>
      <c r="H37" s="87"/>
      <c r="I37" s="87"/>
      <c r="J37" s="87"/>
      <c r="K37" s="242"/>
      <c r="L37" s="243"/>
    </row>
    <row r="38" spans="2:12" ht="48" customHeight="1" x14ac:dyDescent="0.2">
      <c r="B38" s="374"/>
      <c r="C38" s="25" t="s">
        <v>92</v>
      </c>
      <c r="D38" s="97">
        <f>IFERROR(D37*VLOOKUP(D33,'DATOS INICIALES'!$A$12:$B$50,2,0),"0")</f>
        <v>1073074715.9999999</v>
      </c>
      <c r="E38" s="97">
        <f>IFERROR(E37*VLOOKUP(E33,'DATOS INICIALES'!$A$12:$B$50,2,0),"0")</f>
        <v>2099700729.7499998</v>
      </c>
      <c r="F38" s="97">
        <f>IFERROR(F37*VLOOKUP(F33,'DATOS INICIALES'!$A$12:$B$50,2,0),"0")</f>
        <v>1228090761</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0.5</v>
      </c>
      <c r="E39" s="88">
        <v>0.95</v>
      </c>
      <c r="F39" s="88">
        <v>0.5</v>
      </c>
      <c r="G39" s="88"/>
      <c r="H39" s="88"/>
      <c r="I39" s="88"/>
      <c r="J39" s="88"/>
      <c r="K39" s="145"/>
      <c r="L39" s="140"/>
    </row>
    <row r="40" spans="2:12" ht="48.75" customHeight="1" x14ac:dyDescent="0.2">
      <c r="B40" s="374"/>
      <c r="C40" s="25" t="s">
        <v>94</v>
      </c>
      <c r="D40" s="97">
        <f t="shared" ref="D40:J40" si="0">IF(D26="","0",D39*D38)</f>
        <v>536537357.99999994</v>
      </c>
      <c r="E40" s="97">
        <f t="shared" si="0"/>
        <v>1994715693.2624996</v>
      </c>
      <c r="F40" s="97">
        <f t="shared" si="0"/>
        <v>614045380.5</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832.68</v>
      </c>
      <c r="E41" s="98">
        <f t="shared" si="1"/>
        <v>2893.1774999999998</v>
      </c>
      <c r="F41" s="98">
        <f t="shared" si="1"/>
        <v>2360.8049999999998</v>
      </c>
      <c r="G41" s="98">
        <f t="shared" si="1"/>
        <v>0</v>
      </c>
      <c r="H41" s="98">
        <f t="shared" si="1"/>
        <v>0</v>
      </c>
      <c r="I41" s="98">
        <f t="shared" si="1"/>
        <v>0</v>
      </c>
      <c r="J41" s="98">
        <f t="shared" si="1"/>
        <v>0</v>
      </c>
      <c r="K41" s="145"/>
      <c r="L41" s="140"/>
    </row>
    <row r="42" spans="2:12" ht="65.25" customHeight="1" x14ac:dyDescent="0.2">
      <c r="B42" s="374"/>
      <c r="C42" s="25" t="s">
        <v>96</v>
      </c>
      <c r="D42" s="88">
        <v>0.25</v>
      </c>
      <c r="E42" s="88"/>
      <c r="F42" s="88"/>
      <c r="G42" s="88"/>
      <c r="H42" s="88"/>
      <c r="I42" s="88"/>
      <c r="J42" s="88"/>
      <c r="K42" s="145"/>
      <c r="L42" s="140"/>
    </row>
    <row r="43" spans="2:12" ht="65.25" customHeight="1" x14ac:dyDescent="0.2">
      <c r="B43" s="374"/>
      <c r="C43" s="25" t="s">
        <v>97</v>
      </c>
      <c r="D43" s="99">
        <f t="shared" ref="D43:J43" si="2">IF(D27="","0",D42*D38)</f>
        <v>268268678.99999997</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416.34</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1249.02</v>
      </c>
      <c r="E48" s="98">
        <f t="shared" ref="E48:G48" si="6">+E41+E44+E47</f>
        <v>2893.1774999999998</v>
      </c>
      <c r="F48" s="98">
        <f t="shared" si="6"/>
        <v>2360.8049999999998</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26</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3396" priority="90" operator="equal">
      <formula>"NO CUMPLE"</formula>
    </cfRule>
    <cfRule type="containsBlanks" dxfId="3395" priority="88">
      <formula>LEN(TRIM(D71))=0</formula>
    </cfRule>
    <cfRule type="cellIs" dxfId="3394" priority="91" operator="equal">
      <formula>"CUMPLE"</formula>
    </cfRule>
    <cfRule type="notContainsErrors" dxfId="3393" priority="89">
      <formula>NOT(ISERROR(D71))</formula>
    </cfRule>
  </conditionalFormatting>
  <conditionalFormatting sqref="D72">
    <cfRule type="cellIs" dxfId="3392" priority="92" operator="equal">
      <formula>"N/A"</formula>
    </cfRule>
    <cfRule type="cellIs" dxfId="3391" priority="94" operator="equal">
      <formula>"NO CUMPLE"</formula>
    </cfRule>
    <cfRule type="cellIs" dxfId="3390" priority="93" operator="equal">
      <formula>"CUMPLE"</formula>
    </cfRule>
    <cfRule type="cellIs" dxfId="3389" priority="95" operator="equal">
      <formula>"""CUMPLE"""</formula>
    </cfRule>
  </conditionalFormatting>
  <conditionalFormatting sqref="D26:J37">
    <cfRule type="containsBlanks" dxfId="3388" priority="5">
      <formula>LEN(TRIM(D26))=0</formula>
    </cfRule>
    <cfRule type="notContainsErrors" dxfId="3387" priority="6">
      <formula>NOT(ISERROR(D26))</formula>
    </cfRule>
  </conditionalFormatting>
  <conditionalFormatting sqref="D36:J36">
    <cfRule type="containsBlanks" dxfId="3386" priority="9">
      <formula>LEN(TRIM(D36))=0</formula>
    </cfRule>
    <cfRule type="notContainsErrors" dxfId="3385" priority="10">
      <formula>NOT(ISERROR(D36))</formula>
    </cfRule>
  </conditionalFormatting>
  <conditionalFormatting sqref="D39:J39">
    <cfRule type="notContainsErrors" dxfId="3384" priority="4">
      <formula>NOT(ISERROR(D39))</formula>
    </cfRule>
    <cfRule type="containsBlanks" dxfId="3383" priority="3">
      <formula>LEN(TRIM(D39))=0</formula>
    </cfRule>
  </conditionalFormatting>
  <conditionalFormatting sqref="D42:J42">
    <cfRule type="containsBlanks" dxfId="3382" priority="1">
      <formula>LEN(TRIM(D42))=0</formula>
    </cfRule>
    <cfRule type="notContainsErrors" dxfId="3381" priority="2">
      <formula>NOT(ISERROR(D42))</formula>
    </cfRule>
  </conditionalFormatting>
  <conditionalFormatting sqref="D45:J45">
    <cfRule type="notContainsErrors" dxfId="3380" priority="54">
      <formula>NOT(ISERROR(D45))</formula>
    </cfRule>
    <cfRule type="containsBlanks" dxfId="3379" priority="53">
      <formula>LEN(TRIM(D45))=0</formula>
    </cfRule>
  </conditionalFormatting>
  <conditionalFormatting sqref="D49:J54">
    <cfRule type="cellIs" dxfId="3378" priority="33" operator="equal">
      <formula>"NO CUMPLE"</formula>
    </cfRule>
    <cfRule type="cellIs" dxfId="3377" priority="34" operator="equal">
      <formula>"CUMPLE"</formula>
    </cfRule>
    <cfRule type="containsBlanks" dxfId="3376" priority="35">
      <formula>LEN(TRIM(D49))=0</formula>
    </cfRule>
    <cfRule type="notContainsErrors" dxfId="3375" priority="36">
      <formula>NOT(ISERROR(D49))</formula>
    </cfRule>
  </conditionalFormatting>
  <conditionalFormatting sqref="D55:J55">
    <cfRule type="cellIs" dxfId="3374" priority="43" operator="equal">
      <formula>"N/A"</formula>
    </cfRule>
    <cfRule type="cellIs" dxfId="3373" priority="46" operator="equal">
      <formula>"""CUMPLE"""</formula>
    </cfRule>
    <cfRule type="cellIs" dxfId="3372" priority="45" operator="equal">
      <formula>"NO CUMPLE"</formula>
    </cfRule>
    <cfRule type="cellIs" dxfId="3371" priority="44" operator="equal">
      <formula>"CUMPLE"</formula>
    </cfRule>
  </conditionalFormatting>
  <conditionalFormatting sqref="D56:J66">
    <cfRule type="cellIs" dxfId="3370" priority="27" operator="equal">
      <formula>"NO CUMPLE"</formula>
    </cfRule>
    <cfRule type="notContainsErrors" dxfId="3369" priority="30">
      <formula>NOT(ISERROR(D56))</formula>
    </cfRule>
    <cfRule type="cellIs" dxfId="3368" priority="28" operator="equal">
      <formula>"CUMPLE"</formula>
    </cfRule>
    <cfRule type="containsBlanks" dxfId="3367" priority="29">
      <formula>LEN(TRIM(D56))=0</formula>
    </cfRule>
  </conditionalFormatting>
  <conditionalFormatting sqref="D67:J67">
    <cfRule type="cellIs" dxfId="3366" priority="39" operator="equal">
      <formula>"N/A"</formula>
    </cfRule>
    <cfRule type="cellIs" dxfId="3365" priority="40" operator="equal">
      <formula>"CUMPLE"</formula>
    </cfRule>
    <cfRule type="cellIs" dxfId="3364" priority="42" operator="equal">
      <formula>"""CUMPLE"""</formula>
    </cfRule>
    <cfRule type="cellIs" dxfId="3363" priority="41" operator="equal">
      <formula>"NO CUMPLE"</formula>
    </cfRule>
  </conditionalFormatting>
  <conditionalFormatting sqref="D62:K66">
    <cfRule type="containsBlanks" dxfId="3362" priority="31">
      <formula>LEN(TRIM(D62))=0</formula>
    </cfRule>
    <cfRule type="notContainsErrors" dxfId="3361" priority="32">
      <formula>NOT(ISERROR(D62))</formula>
    </cfRule>
  </conditionalFormatting>
  <conditionalFormatting sqref="E71:E72">
    <cfRule type="notContainsErrors" dxfId="3360" priority="87">
      <formula>NOT(ISERROR(E71))</formula>
    </cfRule>
    <cfRule type="containsBlanks" dxfId="3359" priority="86">
      <formula>LEN(TRIM(E71))=0</formula>
    </cfRule>
  </conditionalFormatting>
  <conditionalFormatting sqref="F22:H22">
    <cfRule type="cellIs" dxfId="3358" priority="114" operator="equal">
      <formula>"NO CUMPLE"</formula>
    </cfRule>
    <cfRule type="cellIs" dxfId="3357" priority="115" operator="equal">
      <formula>"""CUMPLE"""</formula>
    </cfRule>
    <cfRule type="cellIs" dxfId="3356" priority="113" operator="equal">
      <formula>"CUMPLE"</formula>
    </cfRule>
  </conditionalFormatting>
  <conditionalFormatting sqref="G63:J63">
    <cfRule type="containsBlanks" dxfId="3355" priority="23">
      <formula>LEN(TRIM(G63))=0</formula>
    </cfRule>
    <cfRule type="notContainsErrors" dxfId="3354" priority="24">
      <formula>NOT(ISERROR(G63))</formula>
    </cfRule>
  </conditionalFormatting>
  <conditionalFormatting sqref="I11">
    <cfRule type="containsText" dxfId="3353" priority="119" operator="containsText" text="NO CUMPLE">
      <formula>NOT(ISERROR(SEARCH("NO CUMPLE",I11)))</formula>
    </cfRule>
    <cfRule type="containsText" dxfId="3352" priority="118" operator="containsText" text="HABILITADO">
      <formula>NOT(ISERROR(SEARCH("HABILITADO",I11)))</formula>
    </cfRule>
    <cfRule type="containsText" dxfId="3351" priority="117" operator="containsText" text="HABILITADO">
      <formula>NOT(ISERROR(SEARCH("HABILITADO",I11)))</formula>
    </cfRule>
    <cfRule type="containsText" dxfId="3350" priority="116" operator="containsText" text="INHABILITADO">
      <formula>NOT(ISERROR(SEARCH("INHABILITADO",I11)))</formula>
    </cfRule>
  </conditionalFormatting>
  <conditionalFormatting sqref="K18:K20">
    <cfRule type="cellIs" dxfId="3349" priority="84" operator="equal">
      <formula>"NO CUMPLE"</formula>
    </cfRule>
    <cfRule type="cellIs" dxfId="3348" priority="85" operator="equal">
      <formula>"""CUMPLE"""</formula>
    </cfRule>
    <cfRule type="cellIs" dxfId="3347" priority="83" operator="equal">
      <formula>"CUMPLE"</formula>
    </cfRule>
  </conditionalFormatting>
  <conditionalFormatting sqref="K26:K61 D62:J62">
    <cfRule type="containsBlanks" dxfId="3346" priority="25">
      <formula>LEN(TRIM(D26))=0</formula>
    </cfRule>
    <cfRule type="notContainsErrors" dxfId="3345" priority="26">
      <formula>NOT(ISERROR(D26))</formula>
    </cfRule>
  </conditionalFormatting>
  <conditionalFormatting sqref="K67:L67">
    <cfRule type="containsBlanks" dxfId="3344" priority="37">
      <formula>LEN(TRIM(K67))=0</formula>
    </cfRule>
    <cfRule type="notContainsErrors" dxfId="3343" priority="38">
      <formula>NOT(ISERROR(K67))</formula>
    </cfRule>
  </conditionalFormatting>
  <conditionalFormatting sqref="L14">
    <cfRule type="cellIs" dxfId="3342" priority="112" operator="equal">
      <formula>"""CUMPLE"""</formula>
    </cfRule>
    <cfRule type="cellIs" dxfId="3341" priority="111" operator="equal">
      <formula>"NO CUMPLE"</formula>
    </cfRule>
    <cfRule type="cellIs" dxfId="3340" priority="110" operator="equal">
      <formula>"CUMPLE"</formula>
    </cfRule>
  </conditionalFormatting>
  <dataValidations count="2">
    <dataValidation type="list" allowBlank="1" showInputMessage="1" showErrorMessage="1" sqref="L62:L67" xr:uid="{00000000-0002-0000-2700-000000000000}">
      <formula1>"0,1,2,3,4,5,6"</formula1>
    </dataValidation>
    <dataValidation type="list" allowBlank="1" showInputMessage="1" showErrorMessage="1" sqref="D26:J28 D35:F35" xr:uid="{00000000-0002-0000-27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2700-000002000000}">
          <x14:formula1>
            <xm:f>'DATOS INICIALES'!$A$57:$A$58</xm:f>
          </x14:formula1>
          <xm:sqref>D49:J49</xm:sqref>
        </x14:dataValidation>
        <x14:dataValidation type="list" allowBlank="1" showInputMessage="1" showErrorMessage="1" xr:uid="{00000000-0002-0000-2700-000003000000}">
          <x14:formula1>
            <xm:f>'DATOS INICIALES'!$A$61:$A$67</xm:f>
          </x14:formula1>
          <xm:sqref>J25</xm:sqref>
        </x14:dataValidation>
        <x14:dataValidation type="list" allowBlank="1" showInputMessage="1" showErrorMessage="1" xr:uid="{00000000-0002-0000-2700-000004000000}">
          <x14:formula1>
            <xm:f>'DATOS INICIALES'!$C$52:$C$53</xm:f>
          </x14:formula1>
          <xm:sqref>D53:J54</xm:sqref>
        </x14:dataValidation>
        <x14:dataValidation type="list" allowBlank="1" showInputMessage="1" showErrorMessage="1" xr:uid="{00000000-0002-0000-2700-000005000000}">
          <x14:formula1>
            <xm:f>'DATOS INICIALES'!$A$57:$A$59</xm:f>
          </x14:formula1>
          <xm:sqref>D71 D56:J66</xm:sqref>
        </x14:dataValidation>
        <x14:dataValidation type="list" allowBlank="1" showInputMessage="1" showErrorMessage="1" xr:uid="{00000000-0002-0000-2700-000006000000}">
          <x14:formula1>
            <xm:f>'DATOS INICIALES'!$A$61:$A$66</xm:f>
          </x14:formula1>
          <xm:sqref>D25:I25</xm:sqref>
        </x14:dataValidation>
        <x14:dataValidation type="list" allowBlank="1" showInputMessage="1" showErrorMessage="1" xr:uid="{00000000-0002-0000-2700-000007000000}">
          <x14:formula1>
            <xm:f>'DATOS INICIALES'!$A$13:$A$50</xm:f>
          </x14:formula1>
          <xm:sqref>G33:I33</xm:sqref>
        </x14:dataValidation>
        <x14:dataValidation type="list" allowBlank="1" showInputMessage="1" showErrorMessage="1" xr:uid="{00000000-0002-0000-2700-000008000000}">
          <x14:formula1>
            <xm:f>'DATOS INICIALES'!$D$27:$D$29</xm:f>
          </x14:formula1>
          <xm:sqref>M50:M55</xm:sqref>
        </x14:dataValidation>
        <x14:dataValidation type="list" allowBlank="1" showInputMessage="1" showErrorMessage="1" xr:uid="{00000000-0002-0000-2700-000009000000}">
          <x14:formula1>
            <xm:f>'DATOS INICIALES'!$C$52:$C$54</xm:f>
          </x14:formula1>
          <xm:sqref>D50:J52</xm:sqref>
        </x14:dataValidation>
        <x14:dataValidation type="list" allowBlank="1" showInputMessage="1" showErrorMessage="1" xr:uid="{00000000-0002-0000-2700-00000A000000}">
          <x14:formula1>
            <xm:f>'/Users/ldrr/Desktop/SDDE/REVISION DE CARPETAS/C:\Users\ASUS\OneDrive\Escritorio\alcaldia local de usaquen\2025\16. EVALUACION DE PROCESOS\INTERVENTORIA DE VIAS\consolidado equipo\[Edgar_ Evaluación_Tecnica_fdlusa-CMA-003-2025 - 25A34.xlsx]DATOS INICIALES'!#REF!</xm:f>
          </x14:formula1>
          <xm:sqref>F33</xm:sqref>
        </x14:dataValidation>
      </x14:dataValidations>
    </ext>
  </extLst>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rgb="FF92D050"/>
  </sheetPr>
  <dimension ref="A1:N72"/>
  <sheetViews>
    <sheetView view="pageBreakPreview" zoomScale="40" zoomScaleNormal="25" zoomScaleSheetLayoutView="40" workbookViewId="0">
      <selection activeCell="H60" sqref="H60"/>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7" width="26.1640625" customWidth="1"/>
    <col min="8" max="8" width="51.6640625" customWidth="1"/>
    <col min="9" max="9" width="43.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35</v>
      </c>
      <c r="B11" s="2" t="s">
        <v>58</v>
      </c>
      <c r="C11" s="413" t="str">
        <f>VLOOKUP(A11,PROPONENTES!A10:B94,2,FALSE)</f>
        <v>CONSORCIO INTERUSAQUEN RH</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2</v>
      </c>
      <c r="J14" s="147">
        <f>+L8</f>
        <v>986.3076290832455</v>
      </c>
      <c r="K14" s="147">
        <f>+E22</f>
        <v>6706.3439999999991</v>
      </c>
      <c r="L14" s="18" t="str">
        <f>IF(K14&gt;=J14,"CUMPLE","NO CUMPLE")</f>
        <v>CUMPLE</v>
      </c>
    </row>
    <row r="15" spans="1:12" ht="33.75" customHeight="1" x14ac:dyDescent="0.2">
      <c r="B15" s="382"/>
      <c r="C15" s="92" t="str">
        <f>IF(VLOOKUP(C11,PROPONENTES!B10:N94,2,FALSE)=0,"",VLOOKUP(C11,PROPONENTES!B10:N94,2,FALSE))</f>
        <v>HG INGENIERIA Y DESARROLLO SAS</v>
      </c>
      <c r="D15" s="93">
        <f>IF(VLOOKUP(C11,PROPONENTES!B10:N94,3,FALSE)=0,"",VLOOKUP(C11,PROPONENTES!B10:N94,3,FALSE))</f>
        <v>0.7</v>
      </c>
      <c r="E15" s="94">
        <f>SUM(D41:J41)</f>
        <v>3670.6639999999998</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ROCCIA SAS</v>
      </c>
      <c r="D16" s="93">
        <f>IF(VLOOKUP(C11,PROPONENTES!B10:N94,5,FALSE)=0,"",VLOOKUP(C11,PROPONENTES!B10:N94,5,FALSE))</f>
        <v>0.3</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3035.68</v>
      </c>
      <c r="F16" s="95" t="str">
        <f>IF(C16="","",IF(E16&gt;=$J$14*0.5,"SI","NO"))</f>
        <v>SI</v>
      </c>
      <c r="G16" s="96" t="str">
        <f>IF(C16="","",IF(E16&gt;=$J$14*0.05,"SI",IF(E16=0,"NO APORTA EXPERIENCIA",)))</f>
        <v>SI</v>
      </c>
      <c r="H16" s="96" t="str">
        <f>IF(C16="","",IF(AND(G16="NO APORTA EXPERIENCIA",D16&lt;=10%),"SI",IF(G16="SI","NO APLICA","NO - PORCENTAJE MAYOR AL 10%")))</f>
        <v>NO APLICA</v>
      </c>
      <c r="I16" s="162"/>
      <c r="J16" s="162"/>
      <c r="K16" s="162"/>
      <c r="L16" s="161">
        <f>AVERAGEIF(D67:J67,"CUMPLE",D48:J48)</f>
        <v>1835.3319999999999</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41.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1</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2</v>
      </c>
      <c r="J19" s="128">
        <v>1</v>
      </c>
      <c r="K19" s="387"/>
      <c r="L19" s="388"/>
    </row>
    <row r="20" spans="2:14" ht="45" customHeight="1" x14ac:dyDescent="0.2">
      <c r="B20" s="382"/>
      <c r="C20" s="92"/>
      <c r="D20" s="93"/>
      <c r="E20" s="94"/>
      <c r="F20" s="95"/>
      <c r="G20" s="96"/>
      <c r="H20" s="96"/>
      <c r="I20" s="128">
        <f>COUNTIFS(D60:J60,"CUMPLE",D67:J67,"CUMPLE")</f>
        <v>2</v>
      </c>
      <c r="J20" s="128">
        <v>1</v>
      </c>
      <c r="K20" s="387"/>
      <c r="L20" s="388"/>
    </row>
    <row r="21" spans="2:14" ht="43.2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2</v>
      </c>
      <c r="J21" s="128">
        <v>1</v>
      </c>
      <c r="K21" s="389"/>
      <c r="L21" s="390"/>
    </row>
    <row r="22" spans="2:14" ht="84.75" customHeight="1" x14ac:dyDescent="0.2">
      <c r="B22" s="29" t="s">
        <v>75</v>
      </c>
      <c r="C22" s="24">
        <f>+VLOOKUP(C11,PROPONENTES!B10:N94,12,FALSE)</f>
        <v>2</v>
      </c>
      <c r="D22" s="93">
        <f>+VLOOKUP(C11,PROPONENTES!B10:N94,13,FALSE)</f>
        <v>1</v>
      </c>
      <c r="E22" s="32">
        <f>SUM(E15:E21)</f>
        <v>6706.3439999999991</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759</v>
      </c>
      <c r="E26" s="84" t="s">
        <v>758</v>
      </c>
      <c r="F26" s="84"/>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773</v>
      </c>
      <c r="E29" s="85" t="s">
        <v>774</v>
      </c>
      <c r="F29" s="85"/>
      <c r="G29" s="85"/>
      <c r="H29" s="85"/>
      <c r="I29" s="85"/>
      <c r="J29" s="85"/>
      <c r="K29" s="145"/>
      <c r="L29" s="140"/>
    </row>
    <row r="30" spans="2:14" ht="156.75" customHeight="1" x14ac:dyDescent="0.2">
      <c r="B30" s="374"/>
      <c r="C30" s="25" t="s">
        <v>84</v>
      </c>
      <c r="D30" s="85" t="s">
        <v>775</v>
      </c>
      <c r="E30" s="85" t="s">
        <v>776</v>
      </c>
      <c r="F30" s="85"/>
      <c r="G30" s="85"/>
      <c r="H30" s="85"/>
      <c r="I30" s="85"/>
      <c r="J30" s="85"/>
      <c r="K30" s="145"/>
      <c r="L30" s="140"/>
    </row>
    <row r="31" spans="2:14" ht="52.5" customHeight="1" x14ac:dyDescent="0.2">
      <c r="B31" s="374"/>
      <c r="C31" s="25" t="s">
        <v>85</v>
      </c>
      <c r="D31" s="89">
        <v>42766</v>
      </c>
      <c r="E31" s="89">
        <v>45061</v>
      </c>
      <c r="F31" s="89"/>
      <c r="G31" s="89"/>
      <c r="H31" s="89"/>
      <c r="I31" s="89"/>
      <c r="J31" s="89"/>
      <c r="K31" s="145"/>
      <c r="L31" s="140"/>
    </row>
    <row r="32" spans="2:14" ht="54.75" customHeight="1" x14ac:dyDescent="0.2">
      <c r="B32" s="374"/>
      <c r="C32" s="25" t="s">
        <v>86</v>
      </c>
      <c r="D32" s="89">
        <v>44592</v>
      </c>
      <c r="E32" s="89">
        <v>45396</v>
      </c>
      <c r="F32" s="89"/>
      <c r="G32" s="89"/>
      <c r="H32" s="89"/>
      <c r="I32" s="89"/>
      <c r="J32" s="89"/>
      <c r="K32" s="145"/>
      <c r="L32" s="140"/>
    </row>
    <row r="33" spans="2:12" ht="41.25" customHeight="1" x14ac:dyDescent="0.2">
      <c r="B33" s="374"/>
      <c r="C33" s="25" t="s">
        <v>87</v>
      </c>
      <c r="D33" s="86">
        <v>2022</v>
      </c>
      <c r="E33" s="86">
        <v>2024</v>
      </c>
      <c r="F33" s="86"/>
      <c r="G33" s="86"/>
      <c r="H33" s="86"/>
      <c r="I33" s="86"/>
      <c r="J33" s="86"/>
      <c r="K33" s="145"/>
      <c r="L33" s="140"/>
    </row>
    <row r="34" spans="2:12" ht="63" customHeight="1" x14ac:dyDescent="0.2">
      <c r="B34" s="374"/>
      <c r="C34" s="25" t="s">
        <v>88</v>
      </c>
      <c r="D34" s="85" t="s">
        <v>777</v>
      </c>
      <c r="E34" s="85" t="s">
        <v>778</v>
      </c>
      <c r="F34" s="85"/>
      <c r="G34" s="85"/>
      <c r="H34" s="85"/>
      <c r="I34" s="85"/>
      <c r="J34" s="85"/>
      <c r="K34" s="145"/>
      <c r="L34" s="140"/>
    </row>
    <row r="35" spans="2:12" ht="46.5" customHeight="1" x14ac:dyDescent="0.2">
      <c r="B35" s="374"/>
      <c r="C35" s="25" t="s">
        <v>89</v>
      </c>
      <c r="D35" s="85" t="s">
        <v>779</v>
      </c>
      <c r="E35" s="85" t="s">
        <v>780</v>
      </c>
      <c r="F35" s="85"/>
      <c r="G35" s="85"/>
      <c r="H35" s="85"/>
      <c r="I35" s="85"/>
      <c r="J35" s="85"/>
      <c r="K35" s="145"/>
      <c r="L35" s="140"/>
    </row>
    <row r="36" spans="2:12" ht="27.75" customHeight="1" x14ac:dyDescent="0.2">
      <c r="B36" s="374"/>
      <c r="C36" s="26" t="s">
        <v>90</v>
      </c>
      <c r="D36" s="90">
        <v>27</v>
      </c>
      <c r="E36" s="90">
        <v>56</v>
      </c>
      <c r="F36" s="90"/>
      <c r="G36" s="91"/>
      <c r="H36" s="91"/>
      <c r="I36" s="91"/>
      <c r="J36" s="91"/>
      <c r="K36" s="145"/>
      <c r="L36" s="140"/>
    </row>
    <row r="37" spans="2:12" ht="102.75" customHeight="1" x14ac:dyDescent="0.2">
      <c r="B37" s="374"/>
      <c r="C37" s="25" t="s">
        <v>91</v>
      </c>
      <c r="D37" s="87">
        <v>6071.36</v>
      </c>
      <c r="E37" s="158">
        <v>907.12</v>
      </c>
      <c r="F37" s="87"/>
      <c r="G37" s="87"/>
      <c r="H37" s="87"/>
      <c r="I37" s="87"/>
      <c r="J37" s="87"/>
      <c r="K37" s="242"/>
      <c r="L37" s="243"/>
    </row>
    <row r="38" spans="2:12" ht="48" customHeight="1" x14ac:dyDescent="0.2">
      <c r="B38" s="374"/>
      <c r="C38" s="25" t="s">
        <v>92</v>
      </c>
      <c r="D38" s="97">
        <f>IFERROR(D37*VLOOKUP(D33,'DATOS INICIALES'!$A$12:$B$50,2,0),"0")</f>
        <v>6071360000</v>
      </c>
      <c r="E38" s="97">
        <f>IFERROR(E37*VLOOKUP(E33,'DATOS INICIALES'!$A$12:$B$50,2,0),"0")</f>
        <v>1179256000</v>
      </c>
      <c r="F38" s="97" t="str">
        <f>IFERROR(F37*VLOOKUP(F33,'DATOS INICIALES'!$A$12:$B$50,2,0),"0")</f>
        <v>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0.5</v>
      </c>
      <c r="E39" s="88">
        <v>0.7</v>
      </c>
      <c r="F39" s="88"/>
      <c r="G39" s="88"/>
      <c r="H39" s="88"/>
      <c r="I39" s="88"/>
      <c r="J39" s="88"/>
      <c r="K39" s="145"/>
      <c r="L39" s="140"/>
    </row>
    <row r="40" spans="2:12" ht="48.75" customHeight="1" x14ac:dyDescent="0.2">
      <c r="B40" s="374"/>
      <c r="C40" s="25" t="s">
        <v>94</v>
      </c>
      <c r="D40" s="97">
        <f t="shared" ref="D40:J40" si="0">IF(D26="","0",D39*D38)</f>
        <v>3035680000</v>
      </c>
      <c r="E40" s="97">
        <f t="shared" si="0"/>
        <v>825479200</v>
      </c>
      <c r="F40" s="97" t="str">
        <f t="shared" si="0"/>
        <v>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3035.68</v>
      </c>
      <c r="E41" s="98">
        <f t="shared" si="1"/>
        <v>634.98399999999992</v>
      </c>
      <c r="F41" s="98">
        <f t="shared" si="1"/>
        <v>0</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3035.68</v>
      </c>
      <c r="E48" s="98">
        <f t="shared" ref="E48:G48" si="6">+E41+E44+E47</f>
        <v>634.98399999999992</v>
      </c>
      <c r="F48" s="98">
        <f t="shared" si="6"/>
        <v>0</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N/A</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26</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N/A</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3339" priority="75" operator="equal">
      <formula>"CUMPLE"</formula>
    </cfRule>
    <cfRule type="containsBlanks" dxfId="3338" priority="72">
      <formula>LEN(TRIM(D71))=0</formula>
    </cfRule>
    <cfRule type="notContainsErrors" dxfId="3337" priority="73">
      <formula>NOT(ISERROR(D71))</formula>
    </cfRule>
    <cfRule type="cellIs" dxfId="3336" priority="74" operator="equal">
      <formula>"NO CUMPLE"</formula>
    </cfRule>
  </conditionalFormatting>
  <conditionalFormatting sqref="D72">
    <cfRule type="cellIs" dxfId="3335" priority="77" operator="equal">
      <formula>"CUMPLE"</formula>
    </cfRule>
    <cfRule type="cellIs" dxfId="3334" priority="76" operator="equal">
      <formula>"N/A"</formula>
    </cfRule>
    <cfRule type="cellIs" dxfId="3333" priority="79" operator="equal">
      <formula>"""CUMPLE"""</formula>
    </cfRule>
    <cfRule type="cellIs" dxfId="3332" priority="78" operator="equal">
      <formula>"NO CUMPLE"</formula>
    </cfRule>
  </conditionalFormatting>
  <conditionalFormatting sqref="D26:J37">
    <cfRule type="notContainsErrors" dxfId="3331" priority="4">
      <formula>NOT(ISERROR(D26))</formula>
    </cfRule>
    <cfRule type="containsBlanks" dxfId="3330" priority="3">
      <formula>LEN(TRIM(D26))=0</formula>
    </cfRule>
  </conditionalFormatting>
  <conditionalFormatting sqref="D36:J36">
    <cfRule type="notContainsErrors" dxfId="3329" priority="6">
      <formula>NOT(ISERROR(D36))</formula>
    </cfRule>
    <cfRule type="containsBlanks" dxfId="3328" priority="5">
      <formula>LEN(TRIM(D36))=0</formula>
    </cfRule>
  </conditionalFormatting>
  <conditionalFormatting sqref="D39:J39">
    <cfRule type="containsBlanks" dxfId="3327" priority="1">
      <formula>LEN(TRIM(D39))=0</formula>
    </cfRule>
    <cfRule type="notContainsErrors" dxfId="3326" priority="2">
      <formula>NOT(ISERROR(D39))</formula>
    </cfRule>
  </conditionalFormatting>
  <conditionalFormatting sqref="D42:J42 D45:J45">
    <cfRule type="notContainsErrors" dxfId="3325" priority="38">
      <formula>NOT(ISERROR(D42))</formula>
    </cfRule>
    <cfRule type="containsBlanks" dxfId="3324" priority="37">
      <formula>LEN(TRIM(D42))=0</formula>
    </cfRule>
  </conditionalFormatting>
  <conditionalFormatting sqref="D49:J54">
    <cfRule type="cellIs" dxfId="3323" priority="17" operator="equal">
      <formula>"NO CUMPLE"</formula>
    </cfRule>
    <cfRule type="cellIs" dxfId="3322" priority="18" operator="equal">
      <formula>"CUMPLE"</formula>
    </cfRule>
    <cfRule type="containsBlanks" dxfId="3321" priority="19">
      <formula>LEN(TRIM(D49))=0</formula>
    </cfRule>
    <cfRule type="notContainsErrors" dxfId="3320" priority="20">
      <formula>NOT(ISERROR(D49))</formula>
    </cfRule>
  </conditionalFormatting>
  <conditionalFormatting sqref="D55:J55">
    <cfRule type="cellIs" dxfId="3319" priority="28" operator="equal">
      <formula>"CUMPLE"</formula>
    </cfRule>
    <cfRule type="cellIs" dxfId="3318" priority="30" operator="equal">
      <formula>"""CUMPLE"""</formula>
    </cfRule>
    <cfRule type="cellIs" dxfId="3317" priority="29" operator="equal">
      <formula>"NO CUMPLE"</formula>
    </cfRule>
    <cfRule type="cellIs" dxfId="3316" priority="27" operator="equal">
      <formula>"N/A"</formula>
    </cfRule>
  </conditionalFormatting>
  <conditionalFormatting sqref="D56:J66">
    <cfRule type="cellIs" dxfId="3315" priority="11" operator="equal">
      <formula>"NO CUMPLE"</formula>
    </cfRule>
    <cfRule type="notContainsErrors" dxfId="3314" priority="14">
      <formula>NOT(ISERROR(D56))</formula>
    </cfRule>
    <cfRule type="containsBlanks" dxfId="3313" priority="13">
      <formula>LEN(TRIM(D56))=0</formula>
    </cfRule>
    <cfRule type="cellIs" dxfId="3312" priority="12" operator="equal">
      <formula>"CUMPLE"</formula>
    </cfRule>
  </conditionalFormatting>
  <conditionalFormatting sqref="D67:J67">
    <cfRule type="cellIs" dxfId="3311" priority="23" operator="equal">
      <formula>"N/A"</formula>
    </cfRule>
    <cfRule type="cellIs" dxfId="3310" priority="24" operator="equal">
      <formula>"CUMPLE"</formula>
    </cfRule>
    <cfRule type="cellIs" dxfId="3309" priority="26" operator="equal">
      <formula>"""CUMPLE"""</formula>
    </cfRule>
    <cfRule type="cellIs" dxfId="3308" priority="25" operator="equal">
      <formula>"NO CUMPLE"</formula>
    </cfRule>
  </conditionalFormatting>
  <conditionalFormatting sqref="D62:K66">
    <cfRule type="containsBlanks" dxfId="3307" priority="15">
      <formula>LEN(TRIM(D62))=0</formula>
    </cfRule>
    <cfRule type="notContainsErrors" dxfId="3306" priority="16">
      <formula>NOT(ISERROR(D62))</formula>
    </cfRule>
  </conditionalFormatting>
  <conditionalFormatting sqref="E71:E72">
    <cfRule type="notContainsErrors" dxfId="3305" priority="71">
      <formula>NOT(ISERROR(E71))</formula>
    </cfRule>
    <cfRule type="containsBlanks" dxfId="3304" priority="70">
      <formula>LEN(TRIM(E71))=0</formula>
    </cfRule>
  </conditionalFormatting>
  <conditionalFormatting sqref="F22:H22">
    <cfRule type="cellIs" dxfId="3303" priority="98" operator="equal">
      <formula>"NO CUMPLE"</formula>
    </cfRule>
    <cfRule type="cellIs" dxfId="3302" priority="99" operator="equal">
      <formula>"""CUMPLE"""</formula>
    </cfRule>
    <cfRule type="cellIs" dxfId="3301" priority="97" operator="equal">
      <formula>"CUMPLE"</formula>
    </cfRule>
  </conditionalFormatting>
  <conditionalFormatting sqref="G63:J63">
    <cfRule type="containsBlanks" dxfId="3300" priority="7">
      <formula>LEN(TRIM(G63))=0</formula>
    </cfRule>
    <cfRule type="notContainsErrors" dxfId="3299" priority="8">
      <formula>NOT(ISERROR(G63))</formula>
    </cfRule>
  </conditionalFormatting>
  <conditionalFormatting sqref="I11">
    <cfRule type="containsText" dxfId="3298" priority="103" operator="containsText" text="NO CUMPLE">
      <formula>NOT(ISERROR(SEARCH("NO CUMPLE",I11)))</formula>
    </cfRule>
    <cfRule type="containsText" dxfId="3297" priority="102" operator="containsText" text="HABILITADO">
      <formula>NOT(ISERROR(SEARCH("HABILITADO",I11)))</formula>
    </cfRule>
    <cfRule type="containsText" dxfId="3296" priority="101" operator="containsText" text="HABILITADO">
      <formula>NOT(ISERROR(SEARCH("HABILITADO",I11)))</formula>
    </cfRule>
    <cfRule type="containsText" dxfId="3295" priority="100" operator="containsText" text="INHABILITADO">
      <formula>NOT(ISERROR(SEARCH("INHABILITADO",I11)))</formula>
    </cfRule>
  </conditionalFormatting>
  <conditionalFormatting sqref="K18:K20">
    <cfRule type="cellIs" dxfId="3294" priority="68" operator="equal">
      <formula>"NO CUMPLE"</formula>
    </cfRule>
    <cfRule type="cellIs" dxfId="3293" priority="69" operator="equal">
      <formula>"""CUMPLE"""</formula>
    </cfRule>
    <cfRule type="cellIs" dxfId="3292" priority="67" operator="equal">
      <formula>"CUMPLE"</formula>
    </cfRule>
  </conditionalFormatting>
  <conditionalFormatting sqref="K26:K61 D62:J62">
    <cfRule type="containsBlanks" dxfId="3291" priority="9">
      <formula>LEN(TRIM(D26))=0</formula>
    </cfRule>
    <cfRule type="notContainsErrors" dxfId="3290" priority="10">
      <formula>NOT(ISERROR(D26))</formula>
    </cfRule>
  </conditionalFormatting>
  <conditionalFormatting sqref="K67:L67">
    <cfRule type="containsBlanks" dxfId="3289" priority="21">
      <formula>LEN(TRIM(K67))=0</formula>
    </cfRule>
    <cfRule type="notContainsErrors" dxfId="3288" priority="22">
      <formula>NOT(ISERROR(K67))</formula>
    </cfRule>
  </conditionalFormatting>
  <conditionalFormatting sqref="L14">
    <cfRule type="cellIs" dxfId="3287" priority="96" operator="equal">
      <formula>"""CUMPLE"""</formula>
    </cfRule>
    <cfRule type="cellIs" dxfId="3286" priority="95" operator="equal">
      <formula>"NO CUMPLE"</formula>
    </cfRule>
    <cfRule type="cellIs" dxfId="3285" priority="94" operator="equal">
      <formula>"CUMPLE"</formula>
    </cfRule>
  </conditionalFormatting>
  <dataValidations count="2">
    <dataValidation type="list" allowBlank="1" showInputMessage="1" showErrorMessage="1" sqref="D26:J28" xr:uid="{00000000-0002-0000-2800-000000000000}">
      <formula1>$C$15:$C$21</formula1>
    </dataValidation>
    <dataValidation type="list" allowBlank="1" showInputMessage="1" showErrorMessage="1" sqref="L62:L67" xr:uid="{00000000-0002-0000-28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2800-000002000000}">
          <x14:formula1>
            <xm:f>'DATOS INICIALES'!$A$61:$A$66</xm:f>
          </x14:formula1>
          <xm:sqref>D25:I25</xm:sqref>
        </x14:dataValidation>
        <x14:dataValidation type="list" allowBlank="1" showInputMessage="1" showErrorMessage="1" xr:uid="{00000000-0002-0000-2800-000003000000}">
          <x14:formula1>
            <xm:f>'DATOS INICIALES'!$A$57:$A$59</xm:f>
          </x14:formula1>
          <xm:sqref>D71 D56:J66</xm:sqref>
        </x14:dataValidation>
        <x14:dataValidation type="list" allowBlank="1" showInputMessage="1" showErrorMessage="1" xr:uid="{00000000-0002-0000-2800-000004000000}">
          <x14:formula1>
            <xm:f>'DATOS INICIALES'!$C$52:$C$53</xm:f>
          </x14:formula1>
          <xm:sqref>D53:J54</xm:sqref>
        </x14:dataValidation>
        <x14:dataValidation type="list" allowBlank="1" showInputMessage="1" showErrorMessage="1" xr:uid="{00000000-0002-0000-2800-000005000000}">
          <x14:formula1>
            <xm:f>'DATOS INICIALES'!$A$61:$A$67</xm:f>
          </x14:formula1>
          <xm:sqref>J25</xm:sqref>
        </x14:dataValidation>
        <x14:dataValidation type="list" allowBlank="1" showInputMessage="1" showErrorMessage="1" xr:uid="{00000000-0002-0000-2800-000006000000}">
          <x14:formula1>
            <xm:f>'DATOS INICIALES'!$A$57:$A$58</xm:f>
          </x14:formula1>
          <xm:sqref>D49:J49</xm:sqref>
        </x14:dataValidation>
        <x14:dataValidation type="list" allowBlank="1" showInputMessage="1" showErrorMessage="1" xr:uid="{00000000-0002-0000-2800-000007000000}">
          <x14:formula1>
            <xm:f>'DATOS INICIALES'!$D$27:$D$29</xm:f>
          </x14:formula1>
          <xm:sqref>M50:M55</xm:sqref>
        </x14:dataValidation>
        <x14:dataValidation type="list" allowBlank="1" showInputMessage="1" showErrorMessage="1" xr:uid="{00000000-0002-0000-2800-000008000000}">
          <x14:formula1>
            <xm:f>'DATOS INICIALES'!$A$13:$A$50</xm:f>
          </x14:formula1>
          <xm:sqref>G33:I33</xm:sqref>
        </x14:dataValidation>
        <x14:dataValidation type="list" allowBlank="1" showInputMessage="1" showErrorMessage="1" xr:uid="{00000000-0002-0000-2800-000009000000}">
          <x14:formula1>
            <xm:f>'DATOS INICIALES'!$C$52:$C$54</xm:f>
          </x14:formula1>
          <xm:sqref>D50:J52</xm:sqref>
        </x14:dataValidation>
      </x14:dataValidations>
    </ext>
  </extLst>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tabColor rgb="FF92D050"/>
  </sheetPr>
  <dimension ref="A1:N72"/>
  <sheetViews>
    <sheetView view="pageBreakPreview" zoomScale="40" zoomScaleNormal="25" zoomScaleSheetLayoutView="40" workbookViewId="0">
      <selection activeCell="E56" sqref="E56"/>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36</v>
      </c>
      <c r="B11" s="2" t="s">
        <v>58</v>
      </c>
      <c r="C11" s="413" t="str">
        <f>VLOOKUP(A11,PROPONENTES!A10:B94,2,FALSE)</f>
        <v>CONSORCIO USAQUEN 2025</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2</v>
      </c>
      <c r="J14" s="147">
        <f>+L8</f>
        <v>986.3076290832455</v>
      </c>
      <c r="K14" s="147">
        <f>+E22</f>
        <v>2975.9549999999999</v>
      </c>
      <c r="L14" s="18" t="str">
        <f>IF(K14&gt;=J14,"CUMPLE","NO CUMPLE")</f>
        <v>CUMPLE</v>
      </c>
    </row>
    <row r="15" spans="1:12" ht="33.75" customHeight="1" x14ac:dyDescent="0.2">
      <c r="B15" s="382"/>
      <c r="C15" s="92" t="str">
        <f>IF(VLOOKUP(C11,PROPONENTES!B10:N94,2,FALSE)=0,"",VLOOKUP(C11,PROPONENTES!B10:N94,2,FALSE))</f>
        <v xml:space="preserve"> OPH INGENIEROS ASOCIADOS SAS</v>
      </c>
      <c r="D15" s="93">
        <f>IF(VLOOKUP(C11,PROPONENTES!B10:N94,3,FALSE)=0,"",VLOOKUP(C11,PROPONENTES!B10:N94,3,FALSE))</f>
        <v>0.5</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2288.4</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xml:space="preserve"> CARLOS ALBERTO PALTA MUÑOZ</v>
      </c>
      <c r="D16" s="93">
        <f>IF(VLOOKUP(C11,PROPONENTES!B10:N94,5,FALSE)=0,"",VLOOKUP(C11,PROPONENTES!B10:N94,5,FALSE))</f>
        <v>0.5</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687.55499999999995</v>
      </c>
      <c r="F16" s="95" t="str">
        <f>IF(C16="","",IF(E16&gt;=$J$14*0.5,"SI","NO"))</f>
        <v>SI</v>
      </c>
      <c r="G16" s="96" t="str">
        <f>IF(C16="","",IF(E16&gt;=$J$14*0.05,"SI",IF(E16=0,"NO APORTA EXPERIENCIA",)))</f>
        <v>SI</v>
      </c>
      <c r="H16" s="96" t="str">
        <f>IF(C16="","",IF(AND(G16="NO APORTA EXPERIENCIA",D16&lt;=10%),"SI",IF(G16="SI","NO APLICA","NO - PORCENTAJE MAYOR AL 10%")))</f>
        <v>NO APLICA</v>
      </c>
      <c r="I16" s="162"/>
      <c r="J16" s="162"/>
      <c r="K16" s="162"/>
      <c r="L16" s="161">
        <f>AVERAGEIF(D67:J67,"CUMPLE",D48:J48)</f>
        <v>1487.9775</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1</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2</v>
      </c>
      <c r="J19" s="128">
        <v>1</v>
      </c>
      <c r="K19" s="387"/>
      <c r="L19" s="388"/>
    </row>
    <row r="20" spans="2:14" ht="50.25" customHeight="1" x14ac:dyDescent="0.2">
      <c r="B20" s="382"/>
      <c r="C20" s="92"/>
      <c r="D20" s="93"/>
      <c r="E20" s="94"/>
      <c r="F20" s="95"/>
      <c r="G20" s="96"/>
      <c r="H20" s="96"/>
      <c r="I20" s="128">
        <f>COUNTIFS(D60:J60,"CUMPLE",D67:J67,"CUMPLE")</f>
        <v>2</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2</v>
      </c>
      <c r="J21" s="128">
        <v>1</v>
      </c>
      <c r="K21" s="389"/>
      <c r="L21" s="390"/>
    </row>
    <row r="22" spans="2:14" ht="84.75" customHeight="1" x14ac:dyDescent="0.2">
      <c r="B22" s="29" t="s">
        <v>75</v>
      </c>
      <c r="C22" s="24">
        <f>+VLOOKUP(C11,PROPONENTES!B10:N94,12,FALSE)</f>
        <v>2</v>
      </c>
      <c r="D22" s="93">
        <f>+VLOOKUP(C11,PROPONENTES!B10:N94,13,FALSE)</f>
        <v>1</v>
      </c>
      <c r="E22" s="32">
        <f>SUM(E15:E21)</f>
        <v>2975.9549999999999</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760</v>
      </c>
      <c r="E26" s="84" t="s">
        <v>761</v>
      </c>
      <c r="F26" s="84"/>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781</v>
      </c>
      <c r="E29" s="85" t="s">
        <v>782</v>
      </c>
      <c r="F29" s="85"/>
      <c r="G29" s="85"/>
      <c r="H29" s="85"/>
      <c r="I29" s="85"/>
      <c r="J29" s="85"/>
      <c r="K29" s="145"/>
      <c r="L29" s="140"/>
    </row>
    <row r="30" spans="2:14" ht="156.75" customHeight="1" x14ac:dyDescent="0.2">
      <c r="B30" s="374"/>
      <c r="C30" s="25" t="s">
        <v>84</v>
      </c>
      <c r="D30" s="85" t="s">
        <v>783</v>
      </c>
      <c r="E30" s="85" t="s">
        <v>784</v>
      </c>
      <c r="F30" s="85"/>
      <c r="G30" s="85"/>
      <c r="H30" s="85"/>
      <c r="I30" s="85"/>
      <c r="J30" s="85"/>
      <c r="K30" s="145"/>
      <c r="L30" s="140"/>
    </row>
    <row r="31" spans="2:14" ht="52.5" customHeight="1" x14ac:dyDescent="0.2">
      <c r="B31" s="374"/>
      <c r="C31" s="25" t="s">
        <v>85</v>
      </c>
      <c r="D31" s="89">
        <v>40498</v>
      </c>
      <c r="E31" s="89">
        <v>41381</v>
      </c>
      <c r="F31" s="89"/>
      <c r="G31" s="89"/>
      <c r="H31" s="89"/>
      <c r="I31" s="89"/>
      <c r="J31" s="89"/>
      <c r="K31" s="145"/>
      <c r="L31" s="140"/>
    </row>
    <row r="32" spans="2:14" ht="54.75" customHeight="1" x14ac:dyDescent="0.2">
      <c r="B32" s="374"/>
      <c r="C32" s="25" t="s">
        <v>86</v>
      </c>
      <c r="D32" s="89">
        <v>41502</v>
      </c>
      <c r="E32" s="89">
        <v>41928</v>
      </c>
      <c r="F32" s="89"/>
      <c r="G32" s="89"/>
      <c r="H32" s="89"/>
      <c r="I32" s="89"/>
      <c r="J32" s="89"/>
      <c r="K32" s="145"/>
      <c r="L32" s="140"/>
    </row>
    <row r="33" spans="2:12" ht="41.25" customHeight="1" x14ac:dyDescent="0.2">
      <c r="B33" s="374"/>
      <c r="C33" s="25" t="s">
        <v>87</v>
      </c>
      <c r="D33" s="86">
        <v>2013</v>
      </c>
      <c r="E33" s="86">
        <v>2014</v>
      </c>
      <c r="F33" s="86"/>
      <c r="G33" s="86"/>
      <c r="H33" s="86"/>
      <c r="I33" s="86"/>
      <c r="J33" s="86"/>
      <c r="K33" s="145"/>
      <c r="L33" s="140"/>
    </row>
    <row r="34" spans="2:12" ht="63" customHeight="1" x14ac:dyDescent="0.2">
      <c r="B34" s="374"/>
      <c r="C34" s="25" t="s">
        <v>88</v>
      </c>
      <c r="D34" s="85" t="s">
        <v>785</v>
      </c>
      <c r="E34" s="85" t="s">
        <v>321</v>
      </c>
      <c r="F34" s="85"/>
      <c r="G34" s="85"/>
      <c r="H34" s="85"/>
      <c r="I34" s="85"/>
      <c r="J34" s="85"/>
      <c r="K34" s="145"/>
      <c r="L34" s="140"/>
    </row>
    <row r="35" spans="2:12" ht="46.5" customHeight="1" x14ac:dyDescent="0.2">
      <c r="B35" s="374"/>
      <c r="C35" s="25" t="s">
        <v>89</v>
      </c>
      <c r="D35" s="85" t="s">
        <v>786</v>
      </c>
      <c r="E35" s="85" t="s">
        <v>787</v>
      </c>
      <c r="F35" s="85"/>
      <c r="G35" s="85"/>
      <c r="H35" s="85"/>
      <c r="I35" s="85"/>
      <c r="J35" s="85"/>
      <c r="K35" s="145"/>
      <c r="L35" s="140"/>
    </row>
    <row r="36" spans="2:12" ht="27.75" customHeight="1" x14ac:dyDescent="0.2">
      <c r="B36" s="374"/>
      <c r="C36" s="26" t="s">
        <v>90</v>
      </c>
      <c r="D36" s="90">
        <v>3</v>
      </c>
      <c r="E36" s="90">
        <v>40</v>
      </c>
      <c r="F36" s="90"/>
      <c r="G36" s="91"/>
      <c r="H36" s="91"/>
      <c r="I36" s="91"/>
      <c r="J36" s="91"/>
      <c r="K36" s="145"/>
      <c r="L36" s="140"/>
    </row>
    <row r="37" spans="2:12" ht="102.75" customHeight="1" x14ac:dyDescent="0.2">
      <c r="B37" s="374"/>
      <c r="C37" s="25" t="s">
        <v>91</v>
      </c>
      <c r="D37" s="87">
        <v>2288.4</v>
      </c>
      <c r="E37" s="158">
        <v>2291.85</v>
      </c>
      <c r="F37" s="87"/>
      <c r="G37" s="87"/>
      <c r="H37" s="87"/>
      <c r="I37" s="87"/>
      <c r="J37" s="87"/>
      <c r="K37" s="242"/>
      <c r="L37" s="243"/>
    </row>
    <row r="38" spans="2:12" ht="48" customHeight="1" x14ac:dyDescent="0.2">
      <c r="B38" s="374"/>
      <c r="C38" s="25" t="s">
        <v>92</v>
      </c>
      <c r="D38" s="97">
        <f>IFERROR(D37*VLOOKUP(D33,'DATOS INICIALES'!$A$12:$B$50,2,0),"0")</f>
        <v>1349011800</v>
      </c>
      <c r="E38" s="97">
        <f>IFERROR(E37*VLOOKUP(E33,'DATOS INICIALES'!$A$12:$B$50,2,0),"0")</f>
        <v>1411779600</v>
      </c>
      <c r="F38" s="97" t="str">
        <f>IFERROR(F37*VLOOKUP(F33,'DATOS INICIALES'!$A$12:$B$50,2,0),"0")</f>
        <v>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1</v>
      </c>
      <c r="E39" s="88">
        <v>0.3</v>
      </c>
      <c r="F39" s="88"/>
      <c r="G39" s="88"/>
      <c r="H39" s="88"/>
      <c r="I39" s="88"/>
      <c r="J39" s="88"/>
      <c r="K39" s="145"/>
      <c r="L39" s="140"/>
    </row>
    <row r="40" spans="2:12" ht="48.75" customHeight="1" x14ac:dyDescent="0.2">
      <c r="B40" s="374"/>
      <c r="C40" s="25" t="s">
        <v>94</v>
      </c>
      <c r="D40" s="97">
        <f t="shared" ref="D40:J40" si="0">IF(D26="","0",D39*D38)</f>
        <v>1349011800</v>
      </c>
      <c r="E40" s="97">
        <f t="shared" si="0"/>
        <v>423533880</v>
      </c>
      <c r="F40" s="97" t="str">
        <f t="shared" si="0"/>
        <v>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2288.4</v>
      </c>
      <c r="E41" s="98">
        <f t="shared" si="1"/>
        <v>687.55499999999995</v>
      </c>
      <c r="F41" s="98">
        <f t="shared" si="1"/>
        <v>0</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2288.4</v>
      </c>
      <c r="E48" s="98">
        <f t="shared" ref="E48:G48" si="6">+E41+E44+E47</f>
        <v>687.55499999999995</v>
      </c>
      <c r="F48" s="98">
        <f t="shared" si="6"/>
        <v>0</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N/A</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26</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N/A</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3284" priority="75" operator="equal">
      <formula>"CUMPLE"</formula>
    </cfRule>
    <cfRule type="containsBlanks" dxfId="3283" priority="72">
      <formula>LEN(TRIM(D71))=0</formula>
    </cfRule>
    <cfRule type="notContainsErrors" dxfId="3282" priority="73">
      <formula>NOT(ISERROR(D71))</formula>
    </cfRule>
    <cfRule type="cellIs" dxfId="3281" priority="74" operator="equal">
      <formula>"NO CUMPLE"</formula>
    </cfRule>
  </conditionalFormatting>
  <conditionalFormatting sqref="D72">
    <cfRule type="cellIs" dxfId="3280" priority="77" operator="equal">
      <formula>"CUMPLE"</formula>
    </cfRule>
    <cfRule type="cellIs" dxfId="3279" priority="76" operator="equal">
      <formula>"N/A"</formula>
    </cfRule>
    <cfRule type="cellIs" dxfId="3278" priority="79" operator="equal">
      <formula>"""CUMPLE"""</formula>
    </cfRule>
    <cfRule type="cellIs" dxfId="3277" priority="78" operator="equal">
      <formula>"NO CUMPLE"</formula>
    </cfRule>
  </conditionalFormatting>
  <conditionalFormatting sqref="D26:J37">
    <cfRule type="notContainsErrors" dxfId="3276" priority="4">
      <formula>NOT(ISERROR(D26))</formula>
    </cfRule>
    <cfRule type="containsBlanks" dxfId="3275" priority="3">
      <formula>LEN(TRIM(D26))=0</formula>
    </cfRule>
  </conditionalFormatting>
  <conditionalFormatting sqref="D36:J36">
    <cfRule type="notContainsErrors" dxfId="3274" priority="6">
      <formula>NOT(ISERROR(D36))</formula>
    </cfRule>
    <cfRule type="containsBlanks" dxfId="3273" priority="5">
      <formula>LEN(TRIM(D36))=0</formula>
    </cfRule>
  </conditionalFormatting>
  <conditionalFormatting sqref="D39:J39">
    <cfRule type="containsBlanks" dxfId="3272" priority="1">
      <formula>LEN(TRIM(D39))=0</formula>
    </cfRule>
    <cfRule type="notContainsErrors" dxfId="3271" priority="2">
      <formula>NOT(ISERROR(D39))</formula>
    </cfRule>
  </conditionalFormatting>
  <conditionalFormatting sqref="D42:J42 D45:J45">
    <cfRule type="notContainsErrors" dxfId="3270" priority="38">
      <formula>NOT(ISERROR(D42))</formula>
    </cfRule>
    <cfRule type="containsBlanks" dxfId="3269" priority="37">
      <formula>LEN(TRIM(D42))=0</formula>
    </cfRule>
  </conditionalFormatting>
  <conditionalFormatting sqref="D49:J54">
    <cfRule type="cellIs" dxfId="3268" priority="17" operator="equal">
      <formula>"NO CUMPLE"</formula>
    </cfRule>
    <cfRule type="cellIs" dxfId="3267" priority="18" operator="equal">
      <formula>"CUMPLE"</formula>
    </cfRule>
    <cfRule type="containsBlanks" dxfId="3266" priority="19">
      <formula>LEN(TRIM(D49))=0</formula>
    </cfRule>
    <cfRule type="notContainsErrors" dxfId="3265" priority="20">
      <formula>NOT(ISERROR(D49))</formula>
    </cfRule>
  </conditionalFormatting>
  <conditionalFormatting sqref="D55:J55">
    <cfRule type="cellIs" dxfId="3264" priority="28" operator="equal">
      <formula>"CUMPLE"</formula>
    </cfRule>
    <cfRule type="cellIs" dxfId="3263" priority="30" operator="equal">
      <formula>"""CUMPLE"""</formula>
    </cfRule>
    <cfRule type="cellIs" dxfId="3262" priority="29" operator="equal">
      <formula>"NO CUMPLE"</formula>
    </cfRule>
    <cfRule type="cellIs" dxfId="3261" priority="27" operator="equal">
      <formula>"N/A"</formula>
    </cfRule>
  </conditionalFormatting>
  <conditionalFormatting sqref="D56:J66">
    <cfRule type="cellIs" dxfId="3260" priority="11" operator="equal">
      <formula>"NO CUMPLE"</formula>
    </cfRule>
    <cfRule type="notContainsErrors" dxfId="3259" priority="14">
      <formula>NOT(ISERROR(D56))</formula>
    </cfRule>
    <cfRule type="containsBlanks" dxfId="3258" priority="13">
      <formula>LEN(TRIM(D56))=0</formula>
    </cfRule>
    <cfRule type="cellIs" dxfId="3257" priority="12" operator="equal">
      <formula>"CUMPLE"</formula>
    </cfRule>
  </conditionalFormatting>
  <conditionalFormatting sqref="D67:J67">
    <cfRule type="cellIs" dxfId="3256" priority="23" operator="equal">
      <formula>"N/A"</formula>
    </cfRule>
    <cfRule type="cellIs" dxfId="3255" priority="24" operator="equal">
      <formula>"CUMPLE"</formula>
    </cfRule>
    <cfRule type="cellIs" dxfId="3254" priority="26" operator="equal">
      <formula>"""CUMPLE"""</formula>
    </cfRule>
    <cfRule type="cellIs" dxfId="3253" priority="25" operator="equal">
      <formula>"NO CUMPLE"</formula>
    </cfRule>
  </conditionalFormatting>
  <conditionalFormatting sqref="D62:K66">
    <cfRule type="containsBlanks" dxfId="3252" priority="15">
      <formula>LEN(TRIM(D62))=0</formula>
    </cfRule>
    <cfRule type="notContainsErrors" dxfId="3251" priority="16">
      <formula>NOT(ISERROR(D62))</formula>
    </cfRule>
  </conditionalFormatting>
  <conditionalFormatting sqref="E71:E72">
    <cfRule type="notContainsErrors" dxfId="3250" priority="71">
      <formula>NOT(ISERROR(E71))</formula>
    </cfRule>
    <cfRule type="containsBlanks" dxfId="3249" priority="70">
      <formula>LEN(TRIM(E71))=0</formula>
    </cfRule>
  </conditionalFormatting>
  <conditionalFormatting sqref="F22:H22">
    <cfRule type="cellIs" dxfId="3248" priority="98" operator="equal">
      <formula>"NO CUMPLE"</formula>
    </cfRule>
    <cfRule type="cellIs" dxfId="3247" priority="99" operator="equal">
      <formula>"""CUMPLE"""</formula>
    </cfRule>
    <cfRule type="cellIs" dxfId="3246" priority="97" operator="equal">
      <formula>"CUMPLE"</formula>
    </cfRule>
  </conditionalFormatting>
  <conditionalFormatting sqref="G63:J63">
    <cfRule type="containsBlanks" dxfId="3245" priority="7">
      <formula>LEN(TRIM(G63))=0</formula>
    </cfRule>
    <cfRule type="notContainsErrors" dxfId="3244" priority="8">
      <formula>NOT(ISERROR(G63))</formula>
    </cfRule>
  </conditionalFormatting>
  <conditionalFormatting sqref="I11">
    <cfRule type="containsText" dxfId="3243" priority="103" operator="containsText" text="NO CUMPLE">
      <formula>NOT(ISERROR(SEARCH("NO CUMPLE",I11)))</formula>
    </cfRule>
    <cfRule type="containsText" dxfId="3242" priority="102" operator="containsText" text="HABILITADO">
      <formula>NOT(ISERROR(SEARCH("HABILITADO",I11)))</formula>
    </cfRule>
    <cfRule type="containsText" dxfId="3241" priority="101" operator="containsText" text="HABILITADO">
      <formula>NOT(ISERROR(SEARCH("HABILITADO",I11)))</formula>
    </cfRule>
    <cfRule type="containsText" dxfId="3240" priority="100" operator="containsText" text="INHABILITADO">
      <formula>NOT(ISERROR(SEARCH("INHABILITADO",I11)))</formula>
    </cfRule>
  </conditionalFormatting>
  <conditionalFormatting sqref="K18:K20">
    <cfRule type="cellIs" dxfId="3239" priority="68" operator="equal">
      <formula>"NO CUMPLE"</formula>
    </cfRule>
    <cfRule type="cellIs" dxfId="3238" priority="69" operator="equal">
      <formula>"""CUMPLE"""</formula>
    </cfRule>
    <cfRule type="cellIs" dxfId="3237" priority="67" operator="equal">
      <formula>"CUMPLE"</formula>
    </cfRule>
  </conditionalFormatting>
  <conditionalFormatting sqref="K26:K61 D62:J62">
    <cfRule type="containsBlanks" dxfId="3236" priority="9">
      <formula>LEN(TRIM(D26))=0</formula>
    </cfRule>
    <cfRule type="notContainsErrors" dxfId="3235" priority="10">
      <formula>NOT(ISERROR(D26))</formula>
    </cfRule>
  </conditionalFormatting>
  <conditionalFormatting sqref="K67:L67">
    <cfRule type="containsBlanks" dxfId="3234" priority="21">
      <formula>LEN(TRIM(K67))=0</formula>
    </cfRule>
    <cfRule type="notContainsErrors" dxfId="3233" priority="22">
      <formula>NOT(ISERROR(K67))</formula>
    </cfRule>
  </conditionalFormatting>
  <conditionalFormatting sqref="L14">
    <cfRule type="cellIs" dxfId="3232" priority="96" operator="equal">
      <formula>"""CUMPLE"""</formula>
    </cfRule>
    <cfRule type="cellIs" dxfId="3231" priority="95" operator="equal">
      <formula>"NO CUMPLE"</formula>
    </cfRule>
    <cfRule type="cellIs" dxfId="3230" priority="94" operator="equal">
      <formula>"CUMPLE"</formula>
    </cfRule>
  </conditionalFormatting>
  <dataValidations count="2">
    <dataValidation type="list" allowBlank="1" showInputMessage="1" showErrorMessage="1" sqref="L62:L67" xr:uid="{00000000-0002-0000-2900-000000000000}">
      <formula1>"0,1,2,3,4,5,6"</formula1>
    </dataValidation>
    <dataValidation type="list" allowBlank="1" showInputMessage="1" showErrorMessage="1" sqref="D26:J28" xr:uid="{00000000-0002-0000-29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2900-000002000000}">
          <x14:formula1>
            <xm:f>'DATOS INICIALES'!$A$57:$A$58</xm:f>
          </x14:formula1>
          <xm:sqref>D49:J49</xm:sqref>
        </x14:dataValidation>
        <x14:dataValidation type="list" allowBlank="1" showInputMessage="1" showErrorMessage="1" xr:uid="{00000000-0002-0000-2900-000003000000}">
          <x14:formula1>
            <xm:f>'DATOS INICIALES'!$A$61:$A$67</xm:f>
          </x14:formula1>
          <xm:sqref>J25</xm:sqref>
        </x14:dataValidation>
        <x14:dataValidation type="list" allowBlank="1" showInputMessage="1" showErrorMessage="1" xr:uid="{00000000-0002-0000-2900-000004000000}">
          <x14:formula1>
            <xm:f>'DATOS INICIALES'!$C$52:$C$53</xm:f>
          </x14:formula1>
          <xm:sqref>D53:J54</xm:sqref>
        </x14:dataValidation>
        <x14:dataValidation type="list" allowBlank="1" showInputMessage="1" showErrorMessage="1" xr:uid="{00000000-0002-0000-2900-000005000000}">
          <x14:formula1>
            <xm:f>'DATOS INICIALES'!$A$57:$A$59</xm:f>
          </x14:formula1>
          <xm:sqref>D71 D56:J66</xm:sqref>
        </x14:dataValidation>
        <x14:dataValidation type="list" allowBlank="1" showInputMessage="1" showErrorMessage="1" xr:uid="{00000000-0002-0000-2900-000006000000}">
          <x14:formula1>
            <xm:f>'DATOS INICIALES'!$A$61:$A$66</xm:f>
          </x14:formula1>
          <xm:sqref>D25:I25</xm:sqref>
        </x14:dataValidation>
        <x14:dataValidation type="list" allowBlank="1" showInputMessage="1" showErrorMessage="1" xr:uid="{00000000-0002-0000-2900-000007000000}">
          <x14:formula1>
            <xm:f>'DATOS INICIALES'!$A$13:$A$50</xm:f>
          </x14:formula1>
          <xm:sqref>G33:I33</xm:sqref>
        </x14:dataValidation>
        <x14:dataValidation type="list" allowBlank="1" showInputMessage="1" showErrorMessage="1" xr:uid="{00000000-0002-0000-2900-000008000000}">
          <x14:formula1>
            <xm:f>'DATOS INICIALES'!$D$27:$D$29</xm:f>
          </x14:formula1>
          <xm:sqref>M50:M55</xm:sqref>
        </x14:dataValidation>
        <x14:dataValidation type="list" allowBlank="1" showInputMessage="1" showErrorMessage="1" xr:uid="{00000000-0002-0000-2900-000009000000}">
          <x14:formula1>
            <xm:f>'DATOS INICIALES'!$C$52:$C$54</xm:f>
          </x14:formula1>
          <xm:sqref>D50:J52</xm:sqref>
        </x14:dataValidation>
      </x14:dataValidations>
    </ext>
  </extLst>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rgb="FF92D050"/>
  </sheetPr>
  <dimension ref="A1:N72"/>
  <sheetViews>
    <sheetView view="pageBreakPreview" topLeftCell="A10" zoomScale="40" zoomScaleNormal="25" zoomScaleSheetLayoutView="40" workbookViewId="0">
      <selection activeCell="F37" sqref="F37"/>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37</v>
      </c>
      <c r="B11" s="2" t="s">
        <v>58</v>
      </c>
      <c r="C11" s="413" t="str">
        <f>VLOOKUP(A11,PROPONENTES!A10:B94,2,FALSE)</f>
        <v>PRODEINCOL S.A.S.</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2</v>
      </c>
      <c r="J14" s="147">
        <f>+L8</f>
        <v>986.3076290832455</v>
      </c>
      <c r="K14" s="147">
        <f>+E22</f>
        <v>6591.64</v>
      </c>
      <c r="L14" s="18" t="str">
        <f>IF(K14&gt;=J14,"CUMPLE","NO CUMPLE")</f>
        <v>CUMPLE</v>
      </c>
    </row>
    <row r="15" spans="1:12" ht="33.75" customHeight="1" x14ac:dyDescent="0.2">
      <c r="B15" s="382"/>
      <c r="C15" s="92" t="str">
        <f>IF(VLOOKUP(C11,PROPONENTES!B10:N94,2,FALSE)=0,"",VLOOKUP(C11,PROPONENTES!B10:N94,2,FALSE))</f>
        <v>PRODEINCOL S.A.S.</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6591.64</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3295.82</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2</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2</v>
      </c>
      <c r="J19" s="128">
        <v>1</v>
      </c>
      <c r="K19" s="387"/>
      <c r="L19" s="388"/>
    </row>
    <row r="20" spans="2:14" ht="50.25" customHeight="1" x14ac:dyDescent="0.2">
      <c r="B20" s="382"/>
      <c r="C20" s="92"/>
      <c r="D20" s="93"/>
      <c r="E20" s="94"/>
      <c r="F20" s="95"/>
      <c r="G20" s="96"/>
      <c r="H20" s="96"/>
      <c r="I20" s="128">
        <f>COUNTIFS(D60:J60,"CUMPLE",D67:J67,"CUMPLE")</f>
        <v>2</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2</v>
      </c>
      <c r="J21" s="128">
        <v>1</v>
      </c>
      <c r="K21" s="389"/>
      <c r="L21" s="390"/>
    </row>
    <row r="22" spans="2:14" ht="84.75" customHeight="1" x14ac:dyDescent="0.2">
      <c r="B22" s="29" t="s">
        <v>75</v>
      </c>
      <c r="C22" s="24">
        <f>+VLOOKUP(C11,PROPONENTES!B10:N94,12,FALSE)</f>
        <v>1</v>
      </c>
      <c r="D22" s="93">
        <f>+VLOOKUP(C11,PROPONENTES!B10:N94,13,FALSE)</f>
        <v>1</v>
      </c>
      <c r="E22" s="32">
        <f>SUM(E15:E21)</f>
        <v>6591.64</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242</v>
      </c>
      <c r="E26" s="84" t="s">
        <v>242</v>
      </c>
      <c r="F26" s="84"/>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788</v>
      </c>
      <c r="E29" s="85" t="s">
        <v>789</v>
      </c>
      <c r="F29" s="85"/>
      <c r="G29" s="85"/>
      <c r="H29" s="85"/>
      <c r="I29" s="85"/>
      <c r="J29" s="85"/>
      <c r="K29" s="145"/>
      <c r="L29" s="140"/>
    </row>
    <row r="30" spans="2:14" ht="156.75" customHeight="1" x14ac:dyDescent="0.2">
      <c r="B30" s="374"/>
      <c r="C30" s="25" t="s">
        <v>84</v>
      </c>
      <c r="D30" s="85" t="s">
        <v>790</v>
      </c>
      <c r="E30" s="85" t="s">
        <v>791</v>
      </c>
      <c r="F30" s="85"/>
      <c r="G30" s="85"/>
      <c r="H30" s="85"/>
      <c r="I30" s="85"/>
      <c r="J30" s="85"/>
      <c r="K30" s="145"/>
      <c r="L30" s="140"/>
    </row>
    <row r="31" spans="2:14" ht="52.5" customHeight="1" x14ac:dyDescent="0.2">
      <c r="B31" s="374"/>
      <c r="C31" s="25" t="s">
        <v>85</v>
      </c>
      <c r="D31" s="89">
        <v>42535</v>
      </c>
      <c r="E31" s="89">
        <v>41976</v>
      </c>
      <c r="F31" s="89"/>
      <c r="G31" s="89"/>
      <c r="H31" s="89"/>
      <c r="I31" s="89"/>
      <c r="J31" s="89"/>
      <c r="K31" s="145"/>
      <c r="L31" s="140"/>
    </row>
    <row r="32" spans="2:14" ht="54.75" customHeight="1" x14ac:dyDescent="0.2">
      <c r="B32" s="374"/>
      <c r="C32" s="25" t="s">
        <v>86</v>
      </c>
      <c r="D32" s="89">
        <v>44301</v>
      </c>
      <c r="E32" s="89">
        <v>42411</v>
      </c>
      <c r="F32" s="89"/>
      <c r="G32" s="89"/>
      <c r="H32" s="89"/>
      <c r="I32" s="89"/>
      <c r="J32" s="89"/>
      <c r="K32" s="145"/>
      <c r="L32" s="140"/>
    </row>
    <row r="33" spans="2:12" ht="41.25" customHeight="1" x14ac:dyDescent="0.2">
      <c r="B33" s="374"/>
      <c r="C33" s="25" t="s">
        <v>87</v>
      </c>
      <c r="D33" s="86">
        <v>2021</v>
      </c>
      <c r="E33" s="86">
        <v>2016</v>
      </c>
      <c r="F33" s="86"/>
      <c r="G33" s="86"/>
      <c r="H33" s="86"/>
      <c r="I33" s="86"/>
      <c r="J33" s="86"/>
      <c r="K33" s="145"/>
      <c r="L33" s="140"/>
    </row>
    <row r="34" spans="2:12" ht="63" customHeight="1" x14ac:dyDescent="0.2">
      <c r="B34" s="374"/>
      <c r="C34" s="25" t="s">
        <v>88</v>
      </c>
      <c r="D34" s="85" t="s">
        <v>792</v>
      </c>
      <c r="E34" s="85" t="s">
        <v>793</v>
      </c>
      <c r="F34" s="85"/>
      <c r="G34" s="85"/>
      <c r="H34" s="85"/>
      <c r="I34" s="85"/>
      <c r="J34" s="85"/>
      <c r="K34" s="145"/>
      <c r="L34" s="140"/>
    </row>
    <row r="35" spans="2:12" ht="46.5" customHeight="1" x14ac:dyDescent="0.2">
      <c r="B35" s="374"/>
      <c r="C35" s="25" t="s">
        <v>89</v>
      </c>
      <c r="D35" s="85" t="s">
        <v>794</v>
      </c>
      <c r="E35" s="85" t="s">
        <v>795</v>
      </c>
      <c r="F35" s="85"/>
      <c r="G35" s="85"/>
      <c r="H35" s="85"/>
      <c r="I35" s="85"/>
      <c r="J35" s="85"/>
      <c r="K35" s="145"/>
      <c r="L35" s="140"/>
    </row>
    <row r="36" spans="2:12" ht="27.75" customHeight="1" x14ac:dyDescent="0.2">
      <c r="B36" s="374"/>
      <c r="C36" s="26" t="s">
        <v>90</v>
      </c>
      <c r="D36" s="90">
        <v>14</v>
      </c>
      <c r="E36" s="90">
        <v>3</v>
      </c>
      <c r="F36" s="90"/>
      <c r="G36" s="91"/>
      <c r="H36" s="91"/>
      <c r="I36" s="91"/>
      <c r="J36" s="91"/>
      <c r="K36" s="145"/>
      <c r="L36" s="140"/>
    </row>
    <row r="37" spans="2:12" ht="102.75" customHeight="1" x14ac:dyDescent="0.2">
      <c r="B37" s="374"/>
      <c r="C37" s="25" t="s">
        <v>91</v>
      </c>
      <c r="D37" s="87">
        <v>11438.18</v>
      </c>
      <c r="E37" s="87">
        <v>1745.1</v>
      </c>
      <c r="F37" s="87"/>
      <c r="G37" s="87"/>
      <c r="H37" s="87"/>
      <c r="I37" s="87"/>
      <c r="J37" s="87"/>
      <c r="K37" s="242"/>
      <c r="L37" s="243"/>
    </row>
    <row r="38" spans="2:12" ht="48" customHeight="1" x14ac:dyDescent="0.2">
      <c r="B38" s="374"/>
      <c r="C38" s="25" t="s">
        <v>92</v>
      </c>
      <c r="D38" s="97">
        <f>IFERROR(D37*VLOOKUP(D33,'DATOS INICIALES'!$A$12:$B$50,2,0),"0")</f>
        <v>10391883922.68</v>
      </c>
      <c r="E38" s="97">
        <f>IFERROR(E37*VLOOKUP(E33,'DATOS INICIALES'!$A$12:$B$50,2,0),"0")</f>
        <v>1203167920.5</v>
      </c>
      <c r="F38" s="97" t="str">
        <f>IFERROR(F37*VLOOKUP(F33,'DATOS INICIALES'!$A$12:$B$50,2,0),"0")</f>
        <v>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0.5</v>
      </c>
      <c r="E39" s="88">
        <v>0.5</v>
      </c>
      <c r="F39" s="88"/>
      <c r="G39" s="88"/>
      <c r="H39" s="88"/>
      <c r="I39" s="88"/>
      <c r="J39" s="88"/>
      <c r="K39" s="145"/>
      <c r="L39" s="140"/>
    </row>
    <row r="40" spans="2:12" ht="48.75" customHeight="1" x14ac:dyDescent="0.2">
      <c r="B40" s="374"/>
      <c r="C40" s="25" t="s">
        <v>94</v>
      </c>
      <c r="D40" s="97">
        <f t="shared" ref="D40:J40" si="0">IF(D26="","0",D39*D38)</f>
        <v>5195941961.3400002</v>
      </c>
      <c r="E40" s="97">
        <f t="shared" si="0"/>
        <v>601583960.25</v>
      </c>
      <c r="F40" s="97" t="str">
        <f t="shared" si="0"/>
        <v>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5719.09</v>
      </c>
      <c r="E41" s="98">
        <f t="shared" si="1"/>
        <v>872.55</v>
      </c>
      <c r="F41" s="98">
        <f t="shared" si="1"/>
        <v>0</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5719.09</v>
      </c>
      <c r="E48" s="98">
        <f t="shared" ref="E48:G48" si="6">+E41+E44+E47</f>
        <v>872.55</v>
      </c>
      <c r="F48" s="98">
        <f t="shared" si="6"/>
        <v>0</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N/A</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N/A</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3229" priority="77" operator="equal">
      <formula>"CUMPLE"</formula>
    </cfRule>
    <cfRule type="containsBlanks" dxfId="3228" priority="74">
      <formula>LEN(TRIM(D71))=0</formula>
    </cfRule>
    <cfRule type="notContainsErrors" dxfId="3227" priority="75">
      <formula>NOT(ISERROR(D71))</formula>
    </cfRule>
    <cfRule type="cellIs" dxfId="3226" priority="76" operator="equal">
      <formula>"NO CUMPLE"</formula>
    </cfRule>
  </conditionalFormatting>
  <conditionalFormatting sqref="D72">
    <cfRule type="cellIs" dxfId="3225" priority="79" operator="equal">
      <formula>"CUMPLE"</formula>
    </cfRule>
    <cfRule type="cellIs" dxfId="3224" priority="78" operator="equal">
      <formula>"N/A"</formula>
    </cfRule>
    <cfRule type="cellIs" dxfId="3223" priority="81" operator="equal">
      <formula>"""CUMPLE"""</formula>
    </cfRule>
    <cfRule type="cellIs" dxfId="3222" priority="80" operator="equal">
      <formula>"NO CUMPLE"</formula>
    </cfRule>
  </conditionalFormatting>
  <conditionalFormatting sqref="D26:J37">
    <cfRule type="notContainsErrors" dxfId="3221" priority="4">
      <formula>NOT(ISERROR(D26))</formula>
    </cfRule>
    <cfRule type="containsBlanks" dxfId="3220" priority="3">
      <formula>LEN(TRIM(D26))=0</formula>
    </cfRule>
  </conditionalFormatting>
  <conditionalFormatting sqref="D36:J36">
    <cfRule type="notContainsErrors" dxfId="3219" priority="6">
      <formula>NOT(ISERROR(D36))</formula>
    </cfRule>
    <cfRule type="containsBlanks" dxfId="3218" priority="5">
      <formula>LEN(TRIM(D36))=0</formula>
    </cfRule>
  </conditionalFormatting>
  <conditionalFormatting sqref="D39:J39">
    <cfRule type="containsBlanks" dxfId="3217" priority="1">
      <formula>LEN(TRIM(D39))=0</formula>
    </cfRule>
    <cfRule type="notContainsErrors" dxfId="3216" priority="2">
      <formula>NOT(ISERROR(D39))</formula>
    </cfRule>
  </conditionalFormatting>
  <conditionalFormatting sqref="D42:J42 D45:J45">
    <cfRule type="notContainsErrors" dxfId="3215" priority="38">
      <formula>NOT(ISERROR(D42))</formula>
    </cfRule>
    <cfRule type="containsBlanks" dxfId="3214" priority="37">
      <formula>LEN(TRIM(D42))=0</formula>
    </cfRule>
  </conditionalFormatting>
  <conditionalFormatting sqref="D49:J54">
    <cfRule type="cellIs" dxfId="3213" priority="17" operator="equal">
      <formula>"NO CUMPLE"</formula>
    </cfRule>
    <cfRule type="cellIs" dxfId="3212" priority="18" operator="equal">
      <formula>"CUMPLE"</formula>
    </cfRule>
    <cfRule type="containsBlanks" dxfId="3211" priority="19">
      <formula>LEN(TRIM(D49))=0</formula>
    </cfRule>
    <cfRule type="notContainsErrors" dxfId="3210" priority="20">
      <formula>NOT(ISERROR(D49))</formula>
    </cfRule>
  </conditionalFormatting>
  <conditionalFormatting sqref="D55:J55">
    <cfRule type="cellIs" dxfId="3209" priority="28" operator="equal">
      <formula>"CUMPLE"</formula>
    </cfRule>
    <cfRule type="cellIs" dxfId="3208" priority="30" operator="equal">
      <formula>"""CUMPLE"""</formula>
    </cfRule>
    <cfRule type="cellIs" dxfId="3207" priority="29" operator="equal">
      <formula>"NO CUMPLE"</formula>
    </cfRule>
    <cfRule type="cellIs" dxfId="3206" priority="27" operator="equal">
      <formula>"N/A"</formula>
    </cfRule>
  </conditionalFormatting>
  <conditionalFormatting sqref="D56:J66">
    <cfRule type="cellIs" dxfId="3205" priority="11" operator="equal">
      <formula>"NO CUMPLE"</formula>
    </cfRule>
    <cfRule type="notContainsErrors" dxfId="3204" priority="14">
      <formula>NOT(ISERROR(D56))</formula>
    </cfRule>
    <cfRule type="containsBlanks" dxfId="3203" priority="13">
      <formula>LEN(TRIM(D56))=0</formula>
    </cfRule>
    <cfRule type="cellIs" dxfId="3202" priority="12" operator="equal">
      <formula>"CUMPLE"</formula>
    </cfRule>
  </conditionalFormatting>
  <conditionalFormatting sqref="D67:J67">
    <cfRule type="cellIs" dxfId="3201" priority="23" operator="equal">
      <formula>"N/A"</formula>
    </cfRule>
    <cfRule type="cellIs" dxfId="3200" priority="24" operator="equal">
      <formula>"CUMPLE"</formula>
    </cfRule>
    <cfRule type="cellIs" dxfId="3199" priority="26" operator="equal">
      <formula>"""CUMPLE"""</formula>
    </cfRule>
    <cfRule type="cellIs" dxfId="3198" priority="25" operator="equal">
      <formula>"NO CUMPLE"</formula>
    </cfRule>
  </conditionalFormatting>
  <conditionalFormatting sqref="D62:K66">
    <cfRule type="containsBlanks" dxfId="3197" priority="15">
      <formula>LEN(TRIM(D62))=0</formula>
    </cfRule>
    <cfRule type="notContainsErrors" dxfId="3196" priority="16">
      <formula>NOT(ISERROR(D62))</formula>
    </cfRule>
  </conditionalFormatting>
  <conditionalFormatting sqref="E71:E72">
    <cfRule type="notContainsErrors" dxfId="3195" priority="73">
      <formula>NOT(ISERROR(E71))</formula>
    </cfRule>
    <cfRule type="containsBlanks" dxfId="3194" priority="72">
      <formula>LEN(TRIM(E71))=0</formula>
    </cfRule>
  </conditionalFormatting>
  <conditionalFormatting sqref="F22:H22">
    <cfRule type="cellIs" dxfId="3193" priority="100" operator="equal">
      <formula>"NO CUMPLE"</formula>
    </cfRule>
    <cfRule type="cellIs" dxfId="3192" priority="101" operator="equal">
      <formula>"""CUMPLE"""</formula>
    </cfRule>
    <cfRule type="cellIs" dxfId="3191" priority="99" operator="equal">
      <formula>"CUMPLE"</formula>
    </cfRule>
  </conditionalFormatting>
  <conditionalFormatting sqref="G63:J63">
    <cfRule type="containsBlanks" dxfId="3190" priority="7">
      <formula>LEN(TRIM(G63))=0</formula>
    </cfRule>
    <cfRule type="notContainsErrors" dxfId="3189" priority="8">
      <formula>NOT(ISERROR(G63))</formula>
    </cfRule>
  </conditionalFormatting>
  <conditionalFormatting sqref="I11">
    <cfRule type="containsText" dxfId="3188" priority="105" operator="containsText" text="NO CUMPLE">
      <formula>NOT(ISERROR(SEARCH("NO CUMPLE",I11)))</formula>
    </cfRule>
    <cfRule type="containsText" dxfId="3187" priority="104" operator="containsText" text="HABILITADO">
      <formula>NOT(ISERROR(SEARCH("HABILITADO",I11)))</formula>
    </cfRule>
    <cfRule type="containsText" dxfId="3186" priority="103" operator="containsText" text="HABILITADO">
      <formula>NOT(ISERROR(SEARCH("HABILITADO",I11)))</formula>
    </cfRule>
    <cfRule type="containsText" dxfId="3185" priority="102" operator="containsText" text="INHABILITADO">
      <formula>NOT(ISERROR(SEARCH("INHABILITADO",I11)))</formula>
    </cfRule>
  </conditionalFormatting>
  <conditionalFormatting sqref="K18:K20">
    <cfRule type="cellIs" dxfId="3184" priority="70" operator="equal">
      <formula>"NO CUMPLE"</formula>
    </cfRule>
    <cfRule type="cellIs" dxfId="3183" priority="71" operator="equal">
      <formula>"""CUMPLE"""</formula>
    </cfRule>
    <cfRule type="cellIs" dxfId="3182" priority="69" operator="equal">
      <formula>"CUMPLE"</formula>
    </cfRule>
  </conditionalFormatting>
  <conditionalFormatting sqref="K26:K61 D62:J62">
    <cfRule type="containsBlanks" dxfId="3181" priority="9">
      <formula>LEN(TRIM(D26))=0</formula>
    </cfRule>
    <cfRule type="notContainsErrors" dxfId="3180" priority="10">
      <formula>NOT(ISERROR(D26))</formula>
    </cfRule>
  </conditionalFormatting>
  <conditionalFormatting sqref="K67:L67">
    <cfRule type="containsBlanks" dxfId="3179" priority="21">
      <formula>LEN(TRIM(K67))=0</formula>
    </cfRule>
    <cfRule type="notContainsErrors" dxfId="3178" priority="22">
      <formula>NOT(ISERROR(K67))</formula>
    </cfRule>
  </conditionalFormatting>
  <conditionalFormatting sqref="L14">
    <cfRule type="cellIs" dxfId="3177" priority="98" operator="equal">
      <formula>"""CUMPLE"""</formula>
    </cfRule>
    <cfRule type="cellIs" dxfId="3176" priority="97" operator="equal">
      <formula>"NO CUMPLE"</formula>
    </cfRule>
    <cfRule type="cellIs" dxfId="3175" priority="96" operator="equal">
      <formula>"CUMPLE"</formula>
    </cfRule>
  </conditionalFormatting>
  <dataValidations count="2">
    <dataValidation type="list" allowBlank="1" showInputMessage="1" showErrorMessage="1" sqref="D26:J28" xr:uid="{00000000-0002-0000-2A00-000000000000}">
      <formula1>$C$15:$C$21</formula1>
    </dataValidation>
    <dataValidation type="list" allowBlank="1" showInputMessage="1" showErrorMessage="1" sqref="L62:L67" xr:uid="{00000000-0002-0000-2A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2A00-000002000000}">
          <x14:formula1>
            <xm:f>'DATOS INICIALES'!$A$13:$A$50</xm:f>
          </x14:formula1>
          <xm:sqref>G33:I33</xm:sqref>
        </x14:dataValidation>
        <x14:dataValidation type="list" allowBlank="1" showInputMessage="1" showErrorMessage="1" xr:uid="{00000000-0002-0000-2A00-000003000000}">
          <x14:formula1>
            <xm:f>'DATOS INICIALES'!$A$61:$A$66</xm:f>
          </x14:formula1>
          <xm:sqref>D25:I25</xm:sqref>
        </x14:dataValidation>
        <x14:dataValidation type="list" allowBlank="1" showInputMessage="1" showErrorMessage="1" xr:uid="{00000000-0002-0000-2A00-000004000000}">
          <x14:formula1>
            <xm:f>'DATOS INICIALES'!$A$57:$A$59</xm:f>
          </x14:formula1>
          <xm:sqref>D71 D56:J66</xm:sqref>
        </x14:dataValidation>
        <x14:dataValidation type="list" allowBlank="1" showInputMessage="1" showErrorMessage="1" xr:uid="{00000000-0002-0000-2A00-000005000000}">
          <x14:formula1>
            <xm:f>'DATOS INICIALES'!$C$52:$C$53</xm:f>
          </x14:formula1>
          <xm:sqref>D53:J54</xm:sqref>
        </x14:dataValidation>
        <x14:dataValidation type="list" allowBlank="1" showInputMessage="1" showErrorMessage="1" xr:uid="{00000000-0002-0000-2A00-000006000000}">
          <x14:formula1>
            <xm:f>'DATOS INICIALES'!$A$61:$A$67</xm:f>
          </x14:formula1>
          <xm:sqref>J25</xm:sqref>
        </x14:dataValidation>
        <x14:dataValidation type="list" allowBlank="1" showInputMessage="1" showErrorMessage="1" xr:uid="{00000000-0002-0000-2A00-000007000000}">
          <x14:formula1>
            <xm:f>'DATOS INICIALES'!$A$57:$A$58</xm:f>
          </x14:formula1>
          <xm:sqref>D49:J49</xm:sqref>
        </x14:dataValidation>
        <x14:dataValidation type="list" allowBlank="1" showInputMessage="1" showErrorMessage="1" xr:uid="{00000000-0002-0000-2A00-000008000000}">
          <x14:formula1>
            <xm:f>'DATOS INICIALES'!$D$27:$D$29</xm:f>
          </x14:formula1>
          <xm:sqref>M50:M55</xm:sqref>
        </x14:dataValidation>
        <x14:dataValidation type="list" allowBlank="1" showInputMessage="1" showErrorMessage="1" xr:uid="{00000000-0002-0000-2A00-000009000000}">
          <x14:formula1>
            <xm:f>'DATOS INICIALES'!$C$52:$C$54</xm:f>
          </x14:formula1>
          <xm:sqref>D50:J52</xm:sqref>
        </x14:dataValidation>
      </x14:dataValidations>
    </ext>
  </extLst>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rgb="FF92D050"/>
  </sheetPr>
  <dimension ref="A1:N72"/>
  <sheetViews>
    <sheetView view="pageBreakPreview" topLeftCell="A31" zoomScale="40" zoomScaleNormal="25" zoomScaleSheetLayoutView="40" workbookViewId="0">
      <selection activeCell="H16" sqref="H16"/>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38</v>
      </c>
      <c r="B11" s="2" t="s">
        <v>58</v>
      </c>
      <c r="C11" s="413" t="str">
        <f>VLOOKUP(A11,PROPONENTES!A10:B94,2,FALSE)</f>
        <v>PROYECTOS TECNICOS DE COLOMBIA SAS</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3</v>
      </c>
      <c r="J14" s="147">
        <f>+L8</f>
        <v>986.3076290832455</v>
      </c>
      <c r="K14" s="147">
        <f>+E22</f>
        <v>3981.8319999999999</v>
      </c>
      <c r="L14" s="18" t="str">
        <f>IF(K14&gt;=J14,"CUMPLE","NO CUMPLE")</f>
        <v>CUMPLE</v>
      </c>
    </row>
    <row r="15" spans="1:12" ht="33.75" customHeight="1" x14ac:dyDescent="0.2">
      <c r="B15" s="382"/>
      <c r="C15" s="92" t="str">
        <f>IF(VLOOKUP(C11,PROPONENTES!B10:N94,2,FALSE)=0,"",VLOOKUP(C11,PROPONENTES!B10:N94,2,FALSE))</f>
        <v>PROYECTOS TECNICOS DE COLOMBIA SAS</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3981.8319999999999</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1327.2773333333332</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3</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3</v>
      </c>
      <c r="J19" s="128">
        <v>1</v>
      </c>
      <c r="K19" s="387"/>
      <c r="L19" s="388"/>
    </row>
    <row r="20" spans="2:14" ht="50.25" customHeight="1" x14ac:dyDescent="0.2">
      <c r="B20" s="382"/>
      <c r="C20" s="92"/>
      <c r="D20" s="93"/>
      <c r="E20" s="94"/>
      <c r="F20" s="95"/>
      <c r="G20" s="96"/>
      <c r="H20" s="96"/>
      <c r="I20" s="128">
        <f>COUNTIFS(D60:J60,"CUMPLE",D67:J67,"CUMPLE")</f>
        <v>3</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3</v>
      </c>
      <c r="J21" s="128">
        <v>1</v>
      </c>
      <c r="K21" s="389"/>
      <c r="L21" s="390"/>
    </row>
    <row r="22" spans="2:14" ht="84.75" customHeight="1" x14ac:dyDescent="0.2">
      <c r="B22" s="29" t="s">
        <v>75</v>
      </c>
      <c r="C22" s="24">
        <f>+VLOOKUP(C11,PROPONENTES!B10:N94,12,FALSE)</f>
        <v>1</v>
      </c>
      <c r="D22" s="93">
        <f>+VLOOKUP(C11,PROPONENTES!B10:N94,13,FALSE)</f>
        <v>1</v>
      </c>
      <c r="E22" s="32">
        <f>SUM(E15:E21)</f>
        <v>3981.8319999999999</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243</v>
      </c>
      <c r="E26" s="84" t="s">
        <v>243</v>
      </c>
      <c r="F26" s="84" t="s">
        <v>243</v>
      </c>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265" t="s">
        <v>796</v>
      </c>
      <c r="E29" s="265">
        <v>2171707</v>
      </c>
      <c r="F29" s="265" t="s">
        <v>797</v>
      </c>
      <c r="G29" s="85"/>
      <c r="H29" s="85"/>
      <c r="I29" s="85"/>
      <c r="J29" s="85"/>
      <c r="K29" s="145"/>
      <c r="L29" s="140"/>
    </row>
    <row r="30" spans="2:14" ht="156.75" customHeight="1" x14ac:dyDescent="0.2">
      <c r="B30" s="374"/>
      <c r="C30" s="25" t="s">
        <v>84</v>
      </c>
      <c r="D30" s="266" t="s">
        <v>798</v>
      </c>
      <c r="E30" s="266" t="s">
        <v>799</v>
      </c>
      <c r="F30" s="266" t="s">
        <v>800</v>
      </c>
      <c r="G30" s="85"/>
      <c r="H30" s="85"/>
      <c r="I30" s="85"/>
      <c r="J30" s="85"/>
      <c r="K30" s="145"/>
      <c r="L30" s="140"/>
    </row>
    <row r="31" spans="2:14" ht="52.5" customHeight="1" x14ac:dyDescent="0.2">
      <c r="B31" s="374"/>
      <c r="C31" s="25" t="s">
        <v>85</v>
      </c>
      <c r="D31" s="267">
        <v>42761</v>
      </c>
      <c r="E31" s="268">
        <v>42979</v>
      </c>
      <c r="F31" s="268">
        <v>44545</v>
      </c>
      <c r="G31" s="89"/>
      <c r="H31" s="89"/>
      <c r="I31" s="89"/>
      <c r="J31" s="89"/>
      <c r="K31" s="145"/>
      <c r="L31" s="140"/>
    </row>
    <row r="32" spans="2:14" ht="54.75" customHeight="1" x14ac:dyDescent="0.2">
      <c r="B32" s="374"/>
      <c r="C32" s="25" t="s">
        <v>86</v>
      </c>
      <c r="D32" s="268">
        <v>43368</v>
      </c>
      <c r="E32" s="268">
        <v>43293</v>
      </c>
      <c r="F32" s="268">
        <v>45350</v>
      </c>
      <c r="G32" s="89"/>
      <c r="H32" s="89"/>
      <c r="I32" s="89"/>
      <c r="J32" s="89"/>
      <c r="K32" s="145"/>
      <c r="L32" s="140"/>
    </row>
    <row r="33" spans="2:12" ht="41.25" customHeight="1" x14ac:dyDescent="0.2">
      <c r="B33" s="374"/>
      <c r="C33" s="25" t="s">
        <v>87</v>
      </c>
      <c r="D33" s="86">
        <v>2018</v>
      </c>
      <c r="E33" s="86">
        <v>2018</v>
      </c>
      <c r="F33" s="86">
        <v>2024</v>
      </c>
      <c r="G33" s="86"/>
      <c r="H33" s="86"/>
      <c r="I33" s="86"/>
      <c r="J33" s="86"/>
      <c r="K33" s="145"/>
      <c r="L33" s="140"/>
    </row>
    <row r="34" spans="2:12" ht="63" customHeight="1" x14ac:dyDescent="0.2">
      <c r="B34" s="374"/>
      <c r="C34" s="25" t="s">
        <v>88</v>
      </c>
      <c r="D34" s="265" t="s">
        <v>801</v>
      </c>
      <c r="E34" s="265" t="s">
        <v>453</v>
      </c>
      <c r="F34" s="265" t="s">
        <v>322</v>
      </c>
      <c r="G34" s="85"/>
      <c r="H34" s="85"/>
      <c r="I34" s="85"/>
      <c r="J34" s="85"/>
      <c r="K34" s="145"/>
      <c r="L34" s="140"/>
    </row>
    <row r="35" spans="2:12" ht="46.5" customHeight="1" x14ac:dyDescent="0.2">
      <c r="B35" s="374"/>
      <c r="C35" s="25" t="s">
        <v>89</v>
      </c>
      <c r="D35" s="85" t="s">
        <v>802</v>
      </c>
      <c r="E35" s="85" t="s">
        <v>803</v>
      </c>
      <c r="F35" s="85" t="s">
        <v>804</v>
      </c>
      <c r="G35" s="85"/>
      <c r="H35" s="85"/>
      <c r="I35" s="85"/>
      <c r="J35" s="85"/>
      <c r="K35" s="145"/>
      <c r="L35" s="140"/>
    </row>
    <row r="36" spans="2:12" ht="27.75" customHeight="1" x14ac:dyDescent="0.2">
      <c r="B36" s="374"/>
      <c r="C36" s="26" t="s">
        <v>90</v>
      </c>
      <c r="D36" s="269">
        <v>54</v>
      </c>
      <c r="E36" s="269">
        <v>83</v>
      </c>
      <c r="F36" s="269">
        <v>130</v>
      </c>
      <c r="G36" s="91"/>
      <c r="H36" s="91"/>
      <c r="I36" s="91"/>
      <c r="J36" s="91"/>
      <c r="K36" s="145"/>
      <c r="L36" s="140"/>
    </row>
    <row r="37" spans="2:12" ht="102.75" customHeight="1" x14ac:dyDescent="0.2">
      <c r="B37" s="374"/>
      <c r="C37" s="25" t="s">
        <v>91</v>
      </c>
      <c r="D37" s="87">
        <v>6923.45</v>
      </c>
      <c r="E37" s="158">
        <v>971.7</v>
      </c>
      <c r="F37" s="87">
        <v>1409.23</v>
      </c>
      <c r="G37" s="87"/>
      <c r="H37" s="87"/>
      <c r="I37" s="87"/>
      <c r="J37" s="87"/>
      <c r="K37" s="242"/>
      <c r="L37" s="243"/>
    </row>
    <row r="38" spans="2:12" ht="48" customHeight="1" x14ac:dyDescent="0.2">
      <c r="B38" s="374"/>
      <c r="C38" s="25" t="s">
        <v>92</v>
      </c>
      <c r="D38" s="97">
        <f>IFERROR(D37*VLOOKUP(D33,'DATOS INICIALES'!$A$12:$B$50,2,0),"0")</f>
        <v>5408889924.8999996</v>
      </c>
      <c r="E38" s="97">
        <f>IFERROR(E37*VLOOKUP(E33,'DATOS INICIALES'!$A$12:$B$50,2,0),"0")</f>
        <v>759132851.39999998</v>
      </c>
      <c r="F38" s="97">
        <f>IFERROR(F37*VLOOKUP(F33,'DATOS INICIALES'!$A$12:$B$50,2,0),"0")</f>
        <v>1831999000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0.3</v>
      </c>
      <c r="E39" s="88">
        <v>0.51</v>
      </c>
      <c r="F39" s="88">
        <v>1</v>
      </c>
      <c r="G39" s="88"/>
      <c r="H39" s="88"/>
      <c r="I39" s="88"/>
      <c r="J39" s="88"/>
      <c r="K39" s="145"/>
      <c r="L39" s="140"/>
    </row>
    <row r="40" spans="2:12" ht="48.75" customHeight="1" x14ac:dyDescent="0.2">
      <c r="B40" s="374"/>
      <c r="C40" s="25" t="s">
        <v>94</v>
      </c>
      <c r="D40" s="97">
        <f t="shared" ref="D40:J40" si="0">IF(D26="","0",D39*D38)</f>
        <v>1622666977.4699998</v>
      </c>
      <c r="E40" s="97">
        <f t="shared" si="0"/>
        <v>387157754.21399999</v>
      </c>
      <c r="F40" s="97">
        <f t="shared" si="0"/>
        <v>1831999000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2077.0349999999999</v>
      </c>
      <c r="E41" s="98">
        <f t="shared" si="1"/>
        <v>495.56700000000001</v>
      </c>
      <c r="F41" s="98">
        <f t="shared" si="1"/>
        <v>1409.23</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2077.0349999999999</v>
      </c>
      <c r="E48" s="98">
        <f t="shared" ref="E48:G48" si="6">+E41+E44+E47</f>
        <v>495.56700000000001</v>
      </c>
      <c r="F48" s="98">
        <f t="shared" si="6"/>
        <v>1409.23</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3174" priority="75" operator="equal">
      <formula>"CUMPLE"</formula>
    </cfRule>
    <cfRule type="containsBlanks" dxfId="3173" priority="72">
      <formula>LEN(TRIM(D71))=0</formula>
    </cfRule>
    <cfRule type="notContainsErrors" dxfId="3172" priority="73">
      <formula>NOT(ISERROR(D71))</formula>
    </cfRule>
    <cfRule type="cellIs" dxfId="3171" priority="74" operator="equal">
      <formula>"NO CUMPLE"</formula>
    </cfRule>
  </conditionalFormatting>
  <conditionalFormatting sqref="D72">
    <cfRule type="cellIs" dxfId="3170" priority="77" operator="equal">
      <formula>"CUMPLE"</formula>
    </cfRule>
    <cfRule type="cellIs" dxfId="3169" priority="76" operator="equal">
      <formula>"N/A"</formula>
    </cfRule>
    <cfRule type="cellIs" dxfId="3168" priority="79" operator="equal">
      <formula>"""CUMPLE"""</formula>
    </cfRule>
    <cfRule type="cellIs" dxfId="3167" priority="78" operator="equal">
      <formula>"NO CUMPLE"</formula>
    </cfRule>
  </conditionalFormatting>
  <conditionalFormatting sqref="D26:J37">
    <cfRule type="notContainsErrors" dxfId="3166" priority="4">
      <formula>NOT(ISERROR(D26))</formula>
    </cfRule>
    <cfRule type="containsBlanks" dxfId="3165" priority="3">
      <formula>LEN(TRIM(D26))=0</formula>
    </cfRule>
  </conditionalFormatting>
  <conditionalFormatting sqref="D36:J36">
    <cfRule type="notContainsErrors" dxfId="3164" priority="6">
      <formula>NOT(ISERROR(D36))</formula>
    </cfRule>
    <cfRule type="containsBlanks" dxfId="3163" priority="5">
      <formula>LEN(TRIM(D36))=0</formula>
    </cfRule>
  </conditionalFormatting>
  <conditionalFormatting sqref="D39:J39">
    <cfRule type="containsBlanks" dxfId="3162" priority="1">
      <formula>LEN(TRIM(D39))=0</formula>
    </cfRule>
    <cfRule type="notContainsErrors" dxfId="3161" priority="2">
      <formula>NOT(ISERROR(D39))</formula>
    </cfRule>
  </conditionalFormatting>
  <conditionalFormatting sqref="D42:J42 D45:J45">
    <cfRule type="notContainsErrors" dxfId="3160" priority="38">
      <formula>NOT(ISERROR(D42))</formula>
    </cfRule>
    <cfRule type="containsBlanks" dxfId="3159" priority="37">
      <formula>LEN(TRIM(D42))=0</formula>
    </cfRule>
  </conditionalFormatting>
  <conditionalFormatting sqref="D49:J54">
    <cfRule type="cellIs" dxfId="3158" priority="17" operator="equal">
      <formula>"NO CUMPLE"</formula>
    </cfRule>
    <cfRule type="cellIs" dxfId="3157" priority="18" operator="equal">
      <formula>"CUMPLE"</formula>
    </cfRule>
    <cfRule type="containsBlanks" dxfId="3156" priority="19">
      <formula>LEN(TRIM(D49))=0</formula>
    </cfRule>
    <cfRule type="notContainsErrors" dxfId="3155" priority="20">
      <formula>NOT(ISERROR(D49))</formula>
    </cfRule>
  </conditionalFormatting>
  <conditionalFormatting sqref="D55:J55">
    <cfRule type="cellIs" dxfId="3154" priority="28" operator="equal">
      <formula>"CUMPLE"</formula>
    </cfRule>
    <cfRule type="cellIs" dxfId="3153" priority="30" operator="equal">
      <formula>"""CUMPLE"""</formula>
    </cfRule>
    <cfRule type="cellIs" dxfId="3152" priority="29" operator="equal">
      <formula>"NO CUMPLE"</formula>
    </cfRule>
    <cfRule type="cellIs" dxfId="3151" priority="27" operator="equal">
      <formula>"N/A"</formula>
    </cfRule>
  </conditionalFormatting>
  <conditionalFormatting sqref="D56:J66">
    <cfRule type="cellIs" dxfId="3150" priority="11" operator="equal">
      <formula>"NO CUMPLE"</formula>
    </cfRule>
    <cfRule type="notContainsErrors" dxfId="3149" priority="14">
      <formula>NOT(ISERROR(D56))</formula>
    </cfRule>
    <cfRule type="containsBlanks" dxfId="3148" priority="13">
      <formula>LEN(TRIM(D56))=0</formula>
    </cfRule>
    <cfRule type="cellIs" dxfId="3147" priority="12" operator="equal">
      <formula>"CUMPLE"</formula>
    </cfRule>
  </conditionalFormatting>
  <conditionalFormatting sqref="D67:J67">
    <cfRule type="cellIs" dxfId="3146" priority="23" operator="equal">
      <formula>"N/A"</formula>
    </cfRule>
    <cfRule type="cellIs" dxfId="3145" priority="24" operator="equal">
      <formula>"CUMPLE"</formula>
    </cfRule>
    <cfRule type="cellIs" dxfId="3144" priority="26" operator="equal">
      <formula>"""CUMPLE"""</formula>
    </cfRule>
    <cfRule type="cellIs" dxfId="3143" priority="25" operator="equal">
      <formula>"NO CUMPLE"</formula>
    </cfRule>
  </conditionalFormatting>
  <conditionalFormatting sqref="D62:K66">
    <cfRule type="containsBlanks" dxfId="3142" priority="15">
      <formula>LEN(TRIM(D62))=0</formula>
    </cfRule>
    <cfRule type="notContainsErrors" dxfId="3141" priority="16">
      <formula>NOT(ISERROR(D62))</formula>
    </cfRule>
  </conditionalFormatting>
  <conditionalFormatting sqref="E71:E72">
    <cfRule type="notContainsErrors" dxfId="3140" priority="71">
      <formula>NOT(ISERROR(E71))</formula>
    </cfRule>
    <cfRule type="containsBlanks" dxfId="3139" priority="70">
      <formula>LEN(TRIM(E71))=0</formula>
    </cfRule>
  </conditionalFormatting>
  <conditionalFormatting sqref="F22:H22">
    <cfRule type="cellIs" dxfId="3138" priority="98" operator="equal">
      <formula>"NO CUMPLE"</formula>
    </cfRule>
    <cfRule type="cellIs" dxfId="3137" priority="99" operator="equal">
      <formula>"""CUMPLE"""</formula>
    </cfRule>
    <cfRule type="cellIs" dxfId="3136" priority="97" operator="equal">
      <formula>"CUMPLE"</formula>
    </cfRule>
  </conditionalFormatting>
  <conditionalFormatting sqref="G63:J63">
    <cfRule type="containsBlanks" dxfId="3135" priority="7">
      <formula>LEN(TRIM(G63))=0</formula>
    </cfRule>
    <cfRule type="notContainsErrors" dxfId="3134" priority="8">
      <formula>NOT(ISERROR(G63))</formula>
    </cfRule>
  </conditionalFormatting>
  <conditionalFormatting sqref="I11">
    <cfRule type="containsText" dxfId="3133" priority="103" operator="containsText" text="NO CUMPLE">
      <formula>NOT(ISERROR(SEARCH("NO CUMPLE",I11)))</formula>
    </cfRule>
    <cfRule type="containsText" dxfId="3132" priority="102" operator="containsText" text="HABILITADO">
      <formula>NOT(ISERROR(SEARCH("HABILITADO",I11)))</formula>
    </cfRule>
    <cfRule type="containsText" dxfId="3131" priority="101" operator="containsText" text="HABILITADO">
      <formula>NOT(ISERROR(SEARCH("HABILITADO",I11)))</formula>
    </cfRule>
    <cfRule type="containsText" dxfId="3130" priority="100" operator="containsText" text="INHABILITADO">
      <formula>NOT(ISERROR(SEARCH("INHABILITADO",I11)))</formula>
    </cfRule>
  </conditionalFormatting>
  <conditionalFormatting sqref="K18:K20">
    <cfRule type="cellIs" dxfId="3129" priority="68" operator="equal">
      <formula>"NO CUMPLE"</formula>
    </cfRule>
    <cfRule type="cellIs" dxfId="3128" priority="69" operator="equal">
      <formula>"""CUMPLE"""</formula>
    </cfRule>
    <cfRule type="cellIs" dxfId="3127" priority="67" operator="equal">
      <formula>"CUMPLE"</formula>
    </cfRule>
  </conditionalFormatting>
  <conditionalFormatting sqref="K26:K61 D62:J62">
    <cfRule type="containsBlanks" dxfId="3126" priority="9">
      <formula>LEN(TRIM(D26))=0</formula>
    </cfRule>
    <cfRule type="notContainsErrors" dxfId="3125" priority="10">
      <formula>NOT(ISERROR(D26))</formula>
    </cfRule>
  </conditionalFormatting>
  <conditionalFormatting sqref="K67:L67">
    <cfRule type="containsBlanks" dxfId="3124" priority="21">
      <formula>LEN(TRIM(K67))=0</formula>
    </cfRule>
    <cfRule type="notContainsErrors" dxfId="3123" priority="22">
      <formula>NOT(ISERROR(K67))</formula>
    </cfRule>
  </conditionalFormatting>
  <conditionalFormatting sqref="L14">
    <cfRule type="cellIs" dxfId="3122" priority="96" operator="equal">
      <formula>"""CUMPLE"""</formula>
    </cfRule>
    <cfRule type="cellIs" dxfId="3121" priority="95" operator="equal">
      <formula>"NO CUMPLE"</formula>
    </cfRule>
    <cfRule type="cellIs" dxfId="3120" priority="94" operator="equal">
      <formula>"CUMPLE"</formula>
    </cfRule>
  </conditionalFormatting>
  <dataValidations count="2">
    <dataValidation type="list" allowBlank="1" showInputMessage="1" showErrorMessage="1" sqref="L62:L67" xr:uid="{00000000-0002-0000-2B00-000000000000}">
      <formula1>"0,1,2,3,4,5,6"</formula1>
    </dataValidation>
    <dataValidation type="list" allowBlank="1" showInputMessage="1" showErrorMessage="1" sqref="D26:J28" xr:uid="{00000000-0002-0000-2B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2B00-000002000000}">
          <x14:formula1>
            <xm:f>'DATOS INICIALES'!$A$57:$A$58</xm:f>
          </x14:formula1>
          <xm:sqref>D49:J49</xm:sqref>
        </x14:dataValidation>
        <x14:dataValidation type="list" allowBlank="1" showInputMessage="1" showErrorMessage="1" xr:uid="{00000000-0002-0000-2B00-000003000000}">
          <x14:formula1>
            <xm:f>'DATOS INICIALES'!$A$61:$A$67</xm:f>
          </x14:formula1>
          <xm:sqref>J25</xm:sqref>
        </x14:dataValidation>
        <x14:dataValidation type="list" allowBlank="1" showInputMessage="1" showErrorMessage="1" xr:uid="{00000000-0002-0000-2B00-000004000000}">
          <x14:formula1>
            <xm:f>'DATOS INICIALES'!$C$52:$C$53</xm:f>
          </x14:formula1>
          <xm:sqref>D53:J54</xm:sqref>
        </x14:dataValidation>
        <x14:dataValidation type="list" allowBlank="1" showInputMessage="1" showErrorMessage="1" xr:uid="{00000000-0002-0000-2B00-000005000000}">
          <x14:formula1>
            <xm:f>'DATOS INICIALES'!$A$57:$A$59</xm:f>
          </x14:formula1>
          <xm:sqref>D71 D56:J66</xm:sqref>
        </x14:dataValidation>
        <x14:dataValidation type="list" allowBlank="1" showInputMessage="1" showErrorMessage="1" xr:uid="{00000000-0002-0000-2B00-000006000000}">
          <x14:formula1>
            <xm:f>'DATOS INICIALES'!$A$61:$A$66</xm:f>
          </x14:formula1>
          <xm:sqref>D25:I25</xm:sqref>
        </x14:dataValidation>
        <x14:dataValidation type="list" allowBlank="1" showInputMessage="1" showErrorMessage="1" xr:uid="{00000000-0002-0000-2B00-000007000000}">
          <x14:formula1>
            <xm:f>'DATOS INICIALES'!$A$13:$A$50</xm:f>
          </x14:formula1>
          <xm:sqref>G33:I33</xm:sqref>
        </x14:dataValidation>
        <x14:dataValidation type="list" allowBlank="1" showInputMessage="1" showErrorMessage="1" xr:uid="{00000000-0002-0000-2B00-000008000000}">
          <x14:formula1>
            <xm:f>'DATOS INICIALES'!$D$27:$D$29</xm:f>
          </x14:formula1>
          <xm:sqref>M50:M55</xm:sqref>
        </x14:dataValidation>
        <x14:dataValidation type="list" allowBlank="1" showInputMessage="1" showErrorMessage="1" xr:uid="{00000000-0002-0000-2B00-000009000000}">
          <x14:formula1>
            <xm:f>'DATOS INICIALES'!$C$52:$C$54</xm:f>
          </x14:formula1>
          <xm:sqref>D50:J52</xm:sqref>
        </x14:dataValidation>
      </x14:dataValidations>
    </ext>
  </extLst>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rgb="FF92D050"/>
  </sheetPr>
  <dimension ref="A1:N72"/>
  <sheetViews>
    <sheetView view="pageBreakPreview" zoomScale="40" zoomScaleNormal="25" zoomScaleSheetLayoutView="40" workbookViewId="0">
      <selection activeCell="G19" sqref="G19"/>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39</v>
      </c>
      <c r="B11" s="2" t="s">
        <v>58</v>
      </c>
      <c r="C11" s="413" t="str">
        <f>VLOOKUP(A11,PROPONENTES!A10:B94,2,FALSE)</f>
        <v>CONSORCIO INTERPROVIAS USQ</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2</v>
      </c>
      <c r="J14" s="147">
        <f>+L8</f>
        <v>986.3076290832455</v>
      </c>
      <c r="K14" s="147">
        <f>+E22</f>
        <v>2833.0060000000003</v>
      </c>
      <c r="L14" s="18" t="str">
        <f>IF(K14&gt;=J14,"CUMPLE","NO CUMPLE")</f>
        <v>CUMPLE</v>
      </c>
    </row>
    <row r="15" spans="1:12" ht="33.75" customHeight="1" x14ac:dyDescent="0.2">
      <c r="B15" s="382"/>
      <c r="C15" s="92" t="str">
        <f>IF(VLOOKUP(C11,PROPONENTES!B10:N94,2,FALSE)=0,"",VLOOKUP(C11,PROPONENTES!B10:N94,2,FALSE))</f>
        <v>COMPAÑÍA DE INTERVENTORIAS Y CONSULTORIAS DE
LA COSTA S.A.S.</v>
      </c>
      <c r="D15" s="93">
        <f>IF(VLOOKUP(C11,PROPONENTES!B10:N94,3,FALSE)=0,"",VLOOKUP(C11,PROPONENTES!B10:N94,3,FALSE))</f>
        <v>0.9</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2833.0060000000003</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AREN PROYECTOS &amp; CONSULTORIAS S.A.S- ARENPRO S.A.S</v>
      </c>
      <c r="D16" s="93">
        <f>IF(VLOOKUP(C11,PROPONENTES!B10:N94,5,FALSE)=0,"",VLOOKUP(C11,PROPONENTES!B10:N94,5,FALSE))</f>
        <v>0.1</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0</v>
      </c>
      <c r="F16" s="95" t="str">
        <f>IF(C16="","",IF(E16&gt;=$J$14*0.5,"SI","NO"))</f>
        <v>NO</v>
      </c>
      <c r="G16" s="96" t="str">
        <f>IF(C16="","",IF(E16&gt;=$J$14*0.05,"SI",IF(E16=0,"NO APORTA EXPERIENCIA",)))</f>
        <v>NO APORTA EXPERIENCIA</v>
      </c>
      <c r="H16" s="96" t="str">
        <f>IF(C16="","",IF(AND(G16="NO APORTA EXPERIENCIA",D16&lt;=10%),"SI",IF(G16="SI","NO APLICA","NO - PORCENTAJE MAYOR AL 10%")))</f>
        <v>SI</v>
      </c>
      <c r="I16" s="162"/>
      <c r="J16" s="162"/>
      <c r="K16" s="162"/>
      <c r="L16" s="161">
        <f>AVERAGEIF(D67:J67,"CUMPLE",D48:J48)</f>
        <v>1416.5030000000002</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1</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2</v>
      </c>
      <c r="J19" s="128">
        <v>1</v>
      </c>
      <c r="K19" s="387"/>
      <c r="L19" s="388"/>
    </row>
    <row r="20" spans="2:14" ht="50.25" customHeight="1" x14ac:dyDescent="0.2">
      <c r="B20" s="382"/>
      <c r="C20" s="92"/>
      <c r="D20" s="93"/>
      <c r="E20" s="94"/>
      <c r="F20" s="95"/>
      <c r="G20" s="96"/>
      <c r="H20" s="96"/>
      <c r="I20" s="128">
        <f>COUNTIFS(D60:J60,"CUMPLE",D67:J67,"CUMPLE")</f>
        <v>2</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2</v>
      </c>
      <c r="J21" s="128">
        <v>1</v>
      </c>
      <c r="K21" s="389"/>
      <c r="L21" s="390"/>
    </row>
    <row r="22" spans="2:14" ht="84.75" customHeight="1" x14ac:dyDescent="0.2">
      <c r="B22" s="29" t="s">
        <v>75</v>
      </c>
      <c r="C22" s="24">
        <f>+VLOOKUP(C11,PROPONENTES!B10:N94,12,FALSE)</f>
        <v>2</v>
      </c>
      <c r="D22" s="93">
        <f>+VLOOKUP(C11,PROPONENTES!B10:N94,13,FALSE)</f>
        <v>1</v>
      </c>
      <c r="E22" s="32">
        <f>SUM(E15:E21)</f>
        <v>2833.0060000000003</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762</v>
      </c>
      <c r="E26" s="84" t="s">
        <v>762</v>
      </c>
      <c r="F26" s="84"/>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805</v>
      </c>
      <c r="E29" s="85" t="s">
        <v>806</v>
      </c>
      <c r="F29" s="85"/>
      <c r="G29" s="85"/>
      <c r="H29" s="85"/>
      <c r="I29" s="85"/>
      <c r="J29" s="85"/>
      <c r="K29" s="145"/>
      <c r="L29" s="140"/>
    </row>
    <row r="30" spans="2:14" ht="156.75" customHeight="1" x14ac:dyDescent="0.2">
      <c r="B30" s="374"/>
      <c r="C30" s="25" t="s">
        <v>84</v>
      </c>
      <c r="D30" s="85" t="s">
        <v>807</v>
      </c>
      <c r="E30" s="85" t="s">
        <v>808</v>
      </c>
      <c r="F30" s="85"/>
      <c r="G30" s="85"/>
      <c r="H30" s="85"/>
      <c r="I30" s="85"/>
      <c r="J30" s="85"/>
      <c r="K30" s="145"/>
      <c r="L30" s="140"/>
    </row>
    <row r="31" spans="2:14" ht="52.5" customHeight="1" x14ac:dyDescent="0.2">
      <c r="B31" s="374"/>
      <c r="C31" s="25" t="s">
        <v>85</v>
      </c>
      <c r="D31" s="89">
        <v>43507</v>
      </c>
      <c r="E31" s="89">
        <v>43446</v>
      </c>
      <c r="F31" s="89"/>
      <c r="G31" s="89"/>
      <c r="H31" s="89"/>
      <c r="I31" s="89"/>
      <c r="J31" s="89"/>
      <c r="K31" s="145"/>
      <c r="L31" s="140"/>
    </row>
    <row r="32" spans="2:14" ht="54.75" customHeight="1" x14ac:dyDescent="0.2">
      <c r="B32" s="374"/>
      <c r="C32" s="25" t="s">
        <v>86</v>
      </c>
      <c r="D32" s="89">
        <v>43656</v>
      </c>
      <c r="E32" s="89">
        <v>44251</v>
      </c>
      <c r="F32" s="89"/>
      <c r="G32" s="89"/>
      <c r="H32" s="89"/>
      <c r="I32" s="89"/>
      <c r="J32" s="89"/>
      <c r="K32" s="145"/>
      <c r="L32" s="140"/>
    </row>
    <row r="33" spans="2:12" ht="41.25" customHeight="1" x14ac:dyDescent="0.2">
      <c r="B33" s="374"/>
      <c r="C33" s="25" t="s">
        <v>87</v>
      </c>
      <c r="D33" s="86">
        <v>2019</v>
      </c>
      <c r="E33" s="86">
        <v>2021</v>
      </c>
      <c r="F33" s="86"/>
      <c r="G33" s="86"/>
      <c r="H33" s="86"/>
      <c r="I33" s="86"/>
      <c r="J33" s="86"/>
      <c r="K33" s="145"/>
      <c r="L33" s="140"/>
    </row>
    <row r="34" spans="2:12" ht="63" customHeight="1" x14ac:dyDescent="0.2">
      <c r="B34" s="374"/>
      <c r="C34" s="25" t="s">
        <v>88</v>
      </c>
      <c r="D34" s="85" t="s">
        <v>809</v>
      </c>
      <c r="E34" s="85" t="s">
        <v>810</v>
      </c>
      <c r="F34" s="85"/>
      <c r="G34" s="85"/>
      <c r="H34" s="85"/>
      <c r="I34" s="85"/>
      <c r="J34" s="85"/>
      <c r="K34" s="145"/>
      <c r="L34" s="140"/>
    </row>
    <row r="35" spans="2:12" ht="46.5" customHeight="1" x14ac:dyDescent="0.2">
      <c r="B35" s="374"/>
      <c r="C35" s="25" t="s">
        <v>89</v>
      </c>
      <c r="D35" s="85" t="s">
        <v>811</v>
      </c>
      <c r="E35" s="85" t="s">
        <v>812</v>
      </c>
      <c r="F35" s="85"/>
      <c r="G35" s="85"/>
      <c r="H35" s="85"/>
      <c r="I35" s="85"/>
      <c r="J35" s="85"/>
      <c r="K35" s="145"/>
      <c r="L35" s="140"/>
    </row>
    <row r="36" spans="2:12" ht="27.75" customHeight="1" x14ac:dyDescent="0.2">
      <c r="B36" s="374"/>
      <c r="C36" s="26" t="s">
        <v>90</v>
      </c>
      <c r="D36" s="90">
        <v>102</v>
      </c>
      <c r="E36" s="90">
        <v>161</v>
      </c>
      <c r="F36" s="90"/>
      <c r="G36" s="91"/>
      <c r="H36" s="91"/>
      <c r="I36" s="91"/>
      <c r="J36" s="91"/>
      <c r="K36" s="145"/>
      <c r="L36" s="140"/>
    </row>
    <row r="37" spans="2:12" ht="102.75" customHeight="1" x14ac:dyDescent="0.2">
      <c r="B37" s="374"/>
      <c r="C37" s="25" t="s">
        <v>91</v>
      </c>
      <c r="D37" s="87">
        <v>1076.8900000000001</v>
      </c>
      <c r="E37" s="158">
        <v>4003.75</v>
      </c>
      <c r="F37" s="87"/>
      <c r="G37" s="87"/>
      <c r="H37" s="87"/>
      <c r="I37" s="87"/>
      <c r="J37" s="87"/>
      <c r="K37" s="242"/>
      <c r="L37" s="243"/>
    </row>
    <row r="38" spans="2:12" ht="48" customHeight="1" x14ac:dyDescent="0.2">
      <c r="B38" s="374"/>
      <c r="C38" s="25" t="s">
        <v>92</v>
      </c>
      <c r="D38" s="97">
        <f>IFERROR(D37*VLOOKUP(D33,'DATOS INICIALES'!$A$12:$B$50,2,0),"0")</f>
        <v>891789839.24000013</v>
      </c>
      <c r="E38" s="97">
        <f>IFERROR(E37*VLOOKUP(E33,'DATOS INICIALES'!$A$12:$B$50,2,0),"0")</f>
        <v>3637510972.5</v>
      </c>
      <c r="F38" s="97" t="str">
        <f>IFERROR(F37*VLOOKUP(F33,'DATOS INICIALES'!$A$12:$B$50,2,0),"0")</f>
        <v>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0.4</v>
      </c>
      <c r="E39" s="88">
        <v>0.6</v>
      </c>
      <c r="F39" s="88"/>
      <c r="G39" s="88"/>
      <c r="H39" s="88"/>
      <c r="I39" s="88"/>
      <c r="J39" s="88"/>
      <c r="K39" s="145"/>
      <c r="L39" s="140"/>
    </row>
    <row r="40" spans="2:12" ht="48.75" customHeight="1" x14ac:dyDescent="0.2">
      <c r="B40" s="374"/>
      <c r="C40" s="25" t="s">
        <v>94</v>
      </c>
      <c r="D40" s="97">
        <f t="shared" ref="D40:J40" si="0">IF(D26="","0",D39*D38)</f>
        <v>356715935.6960001</v>
      </c>
      <c r="E40" s="97">
        <f t="shared" si="0"/>
        <v>2182506583.5</v>
      </c>
      <c r="F40" s="97" t="str">
        <f t="shared" si="0"/>
        <v>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430.75600000000009</v>
      </c>
      <c r="E41" s="98">
        <f t="shared" si="1"/>
        <v>2402.25</v>
      </c>
      <c r="F41" s="98">
        <f t="shared" si="1"/>
        <v>0</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430.75600000000009</v>
      </c>
      <c r="E48" s="98">
        <f t="shared" ref="E48:G48" si="6">+E41+E44+E47</f>
        <v>2402.25</v>
      </c>
      <c r="F48" s="98">
        <f t="shared" si="6"/>
        <v>0</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N/A</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26</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N/A</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3119" priority="77" operator="equal">
      <formula>"CUMPLE"</formula>
    </cfRule>
    <cfRule type="containsBlanks" dxfId="3118" priority="74">
      <formula>LEN(TRIM(D71))=0</formula>
    </cfRule>
    <cfRule type="notContainsErrors" dxfId="3117" priority="75">
      <formula>NOT(ISERROR(D71))</formula>
    </cfRule>
    <cfRule type="cellIs" dxfId="3116" priority="76" operator="equal">
      <formula>"NO CUMPLE"</formula>
    </cfRule>
  </conditionalFormatting>
  <conditionalFormatting sqref="D72">
    <cfRule type="cellIs" dxfId="3115" priority="79" operator="equal">
      <formula>"CUMPLE"</formula>
    </cfRule>
    <cfRule type="cellIs" dxfId="3114" priority="78" operator="equal">
      <formula>"N/A"</formula>
    </cfRule>
    <cfRule type="cellIs" dxfId="3113" priority="81" operator="equal">
      <formula>"""CUMPLE"""</formula>
    </cfRule>
    <cfRule type="cellIs" dxfId="3112" priority="80" operator="equal">
      <formula>"NO CUMPLE"</formula>
    </cfRule>
  </conditionalFormatting>
  <conditionalFormatting sqref="D26:J37">
    <cfRule type="notContainsErrors" dxfId="3111" priority="4">
      <formula>NOT(ISERROR(D26))</formula>
    </cfRule>
    <cfRule type="containsBlanks" dxfId="3110" priority="3">
      <formula>LEN(TRIM(D26))=0</formula>
    </cfRule>
  </conditionalFormatting>
  <conditionalFormatting sqref="D36:J36">
    <cfRule type="notContainsErrors" dxfId="3109" priority="6">
      <formula>NOT(ISERROR(D36))</formula>
    </cfRule>
    <cfRule type="containsBlanks" dxfId="3108" priority="5">
      <formula>LEN(TRIM(D36))=0</formula>
    </cfRule>
  </conditionalFormatting>
  <conditionalFormatting sqref="D39:J39">
    <cfRule type="containsBlanks" dxfId="3107" priority="1">
      <formula>LEN(TRIM(D39))=0</formula>
    </cfRule>
    <cfRule type="notContainsErrors" dxfId="3106" priority="2">
      <formula>NOT(ISERROR(D39))</formula>
    </cfRule>
  </conditionalFormatting>
  <conditionalFormatting sqref="D42:J42 D45:J45">
    <cfRule type="notContainsErrors" dxfId="3105" priority="38">
      <formula>NOT(ISERROR(D42))</formula>
    </cfRule>
    <cfRule type="containsBlanks" dxfId="3104" priority="37">
      <formula>LEN(TRIM(D42))=0</formula>
    </cfRule>
  </conditionalFormatting>
  <conditionalFormatting sqref="D49:J54">
    <cfRule type="cellIs" dxfId="3103" priority="17" operator="equal">
      <formula>"NO CUMPLE"</formula>
    </cfRule>
    <cfRule type="cellIs" dxfId="3102" priority="18" operator="equal">
      <formula>"CUMPLE"</formula>
    </cfRule>
    <cfRule type="containsBlanks" dxfId="3101" priority="19">
      <formula>LEN(TRIM(D49))=0</formula>
    </cfRule>
    <cfRule type="notContainsErrors" dxfId="3100" priority="20">
      <formula>NOT(ISERROR(D49))</formula>
    </cfRule>
  </conditionalFormatting>
  <conditionalFormatting sqref="D55:J55">
    <cfRule type="cellIs" dxfId="3099" priority="28" operator="equal">
      <formula>"CUMPLE"</formula>
    </cfRule>
    <cfRule type="cellIs" dxfId="3098" priority="30" operator="equal">
      <formula>"""CUMPLE"""</formula>
    </cfRule>
    <cfRule type="cellIs" dxfId="3097" priority="29" operator="equal">
      <formula>"NO CUMPLE"</formula>
    </cfRule>
    <cfRule type="cellIs" dxfId="3096" priority="27" operator="equal">
      <formula>"N/A"</formula>
    </cfRule>
  </conditionalFormatting>
  <conditionalFormatting sqref="D56:J66">
    <cfRule type="cellIs" dxfId="3095" priority="11" operator="equal">
      <formula>"NO CUMPLE"</formula>
    </cfRule>
    <cfRule type="notContainsErrors" dxfId="3094" priority="14">
      <formula>NOT(ISERROR(D56))</formula>
    </cfRule>
    <cfRule type="containsBlanks" dxfId="3093" priority="13">
      <formula>LEN(TRIM(D56))=0</formula>
    </cfRule>
    <cfRule type="cellIs" dxfId="3092" priority="12" operator="equal">
      <formula>"CUMPLE"</formula>
    </cfRule>
  </conditionalFormatting>
  <conditionalFormatting sqref="D67:J67">
    <cfRule type="cellIs" dxfId="3091" priority="23" operator="equal">
      <formula>"N/A"</formula>
    </cfRule>
    <cfRule type="cellIs" dxfId="3090" priority="24" operator="equal">
      <formula>"CUMPLE"</formula>
    </cfRule>
    <cfRule type="cellIs" dxfId="3089" priority="26" operator="equal">
      <formula>"""CUMPLE"""</formula>
    </cfRule>
    <cfRule type="cellIs" dxfId="3088" priority="25" operator="equal">
      <formula>"NO CUMPLE"</formula>
    </cfRule>
  </conditionalFormatting>
  <conditionalFormatting sqref="D62:K66">
    <cfRule type="containsBlanks" dxfId="3087" priority="15">
      <formula>LEN(TRIM(D62))=0</formula>
    </cfRule>
    <cfRule type="notContainsErrors" dxfId="3086" priority="16">
      <formula>NOT(ISERROR(D62))</formula>
    </cfRule>
  </conditionalFormatting>
  <conditionalFormatting sqref="E71:E72">
    <cfRule type="notContainsErrors" dxfId="3085" priority="73">
      <formula>NOT(ISERROR(E71))</formula>
    </cfRule>
    <cfRule type="containsBlanks" dxfId="3084" priority="72">
      <formula>LEN(TRIM(E71))=0</formula>
    </cfRule>
  </conditionalFormatting>
  <conditionalFormatting sqref="F22:H22">
    <cfRule type="cellIs" dxfId="3083" priority="100" operator="equal">
      <formula>"NO CUMPLE"</formula>
    </cfRule>
    <cfRule type="cellIs" dxfId="3082" priority="101" operator="equal">
      <formula>"""CUMPLE"""</formula>
    </cfRule>
    <cfRule type="cellIs" dxfId="3081" priority="99" operator="equal">
      <formula>"CUMPLE"</formula>
    </cfRule>
  </conditionalFormatting>
  <conditionalFormatting sqref="G63:J63">
    <cfRule type="containsBlanks" dxfId="3080" priority="7">
      <formula>LEN(TRIM(G63))=0</formula>
    </cfRule>
    <cfRule type="notContainsErrors" dxfId="3079" priority="8">
      <formula>NOT(ISERROR(G63))</formula>
    </cfRule>
  </conditionalFormatting>
  <conditionalFormatting sqref="I11">
    <cfRule type="containsText" dxfId="3078" priority="105" operator="containsText" text="NO CUMPLE">
      <formula>NOT(ISERROR(SEARCH("NO CUMPLE",I11)))</formula>
    </cfRule>
    <cfRule type="containsText" dxfId="3077" priority="104" operator="containsText" text="HABILITADO">
      <formula>NOT(ISERROR(SEARCH("HABILITADO",I11)))</formula>
    </cfRule>
    <cfRule type="containsText" dxfId="3076" priority="103" operator="containsText" text="HABILITADO">
      <formula>NOT(ISERROR(SEARCH("HABILITADO",I11)))</formula>
    </cfRule>
    <cfRule type="containsText" dxfId="3075" priority="102" operator="containsText" text="INHABILITADO">
      <formula>NOT(ISERROR(SEARCH("INHABILITADO",I11)))</formula>
    </cfRule>
  </conditionalFormatting>
  <conditionalFormatting sqref="K18:K20">
    <cfRule type="cellIs" dxfId="3074" priority="70" operator="equal">
      <formula>"NO CUMPLE"</formula>
    </cfRule>
    <cfRule type="cellIs" dxfId="3073" priority="71" operator="equal">
      <formula>"""CUMPLE"""</formula>
    </cfRule>
    <cfRule type="cellIs" dxfId="3072" priority="69" operator="equal">
      <formula>"CUMPLE"</formula>
    </cfRule>
  </conditionalFormatting>
  <conditionalFormatting sqref="K26:K61 D62:J62">
    <cfRule type="containsBlanks" dxfId="3071" priority="9">
      <formula>LEN(TRIM(D26))=0</formula>
    </cfRule>
    <cfRule type="notContainsErrors" dxfId="3070" priority="10">
      <formula>NOT(ISERROR(D26))</formula>
    </cfRule>
  </conditionalFormatting>
  <conditionalFormatting sqref="K67:L67">
    <cfRule type="containsBlanks" dxfId="3069" priority="21">
      <formula>LEN(TRIM(K67))=0</formula>
    </cfRule>
    <cfRule type="notContainsErrors" dxfId="3068" priority="22">
      <formula>NOT(ISERROR(K67))</formula>
    </cfRule>
  </conditionalFormatting>
  <conditionalFormatting sqref="L14">
    <cfRule type="cellIs" dxfId="3067" priority="98" operator="equal">
      <formula>"""CUMPLE"""</formula>
    </cfRule>
    <cfRule type="cellIs" dxfId="3066" priority="97" operator="equal">
      <formula>"NO CUMPLE"</formula>
    </cfRule>
    <cfRule type="cellIs" dxfId="3065" priority="96" operator="equal">
      <formula>"CUMPLE"</formula>
    </cfRule>
  </conditionalFormatting>
  <dataValidations count="2">
    <dataValidation type="list" allowBlank="1" showInputMessage="1" showErrorMessage="1" sqref="D26:J28" xr:uid="{00000000-0002-0000-2C00-000000000000}">
      <formula1>$C$15:$C$21</formula1>
    </dataValidation>
    <dataValidation type="list" allowBlank="1" showInputMessage="1" showErrorMessage="1" sqref="L62:L67" xr:uid="{00000000-0002-0000-2C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2C00-000002000000}">
          <x14:formula1>
            <xm:f>'DATOS INICIALES'!$A$13:$A$50</xm:f>
          </x14:formula1>
          <xm:sqref>G33:I33</xm:sqref>
        </x14:dataValidation>
        <x14:dataValidation type="list" allowBlank="1" showInputMessage="1" showErrorMessage="1" xr:uid="{00000000-0002-0000-2C00-000003000000}">
          <x14:formula1>
            <xm:f>'DATOS INICIALES'!$A$61:$A$66</xm:f>
          </x14:formula1>
          <xm:sqref>D25:I25</xm:sqref>
        </x14:dataValidation>
        <x14:dataValidation type="list" allowBlank="1" showInputMessage="1" showErrorMessage="1" xr:uid="{00000000-0002-0000-2C00-000004000000}">
          <x14:formula1>
            <xm:f>'DATOS INICIALES'!$A$57:$A$59</xm:f>
          </x14:formula1>
          <xm:sqref>D71 D56:J66</xm:sqref>
        </x14:dataValidation>
        <x14:dataValidation type="list" allowBlank="1" showInputMessage="1" showErrorMessage="1" xr:uid="{00000000-0002-0000-2C00-000005000000}">
          <x14:formula1>
            <xm:f>'DATOS INICIALES'!$C$52:$C$53</xm:f>
          </x14:formula1>
          <xm:sqref>D53:J54</xm:sqref>
        </x14:dataValidation>
        <x14:dataValidation type="list" allowBlank="1" showInputMessage="1" showErrorMessage="1" xr:uid="{00000000-0002-0000-2C00-000006000000}">
          <x14:formula1>
            <xm:f>'DATOS INICIALES'!$A$61:$A$67</xm:f>
          </x14:formula1>
          <xm:sqref>J25</xm:sqref>
        </x14:dataValidation>
        <x14:dataValidation type="list" allowBlank="1" showInputMessage="1" showErrorMessage="1" xr:uid="{00000000-0002-0000-2C00-000007000000}">
          <x14:formula1>
            <xm:f>'DATOS INICIALES'!$A$57:$A$58</xm:f>
          </x14:formula1>
          <xm:sqref>D49:J49</xm:sqref>
        </x14:dataValidation>
        <x14:dataValidation type="list" allowBlank="1" showInputMessage="1" showErrorMessage="1" xr:uid="{00000000-0002-0000-2C00-000008000000}">
          <x14:formula1>
            <xm:f>'DATOS INICIALES'!$D$27:$D$29</xm:f>
          </x14:formula1>
          <xm:sqref>M50:M55</xm:sqref>
        </x14:dataValidation>
        <x14:dataValidation type="list" allowBlank="1" showInputMessage="1" showErrorMessage="1" xr:uid="{00000000-0002-0000-2C00-000009000000}">
          <x14:formula1>
            <xm:f>'DATOS INICIALES'!$C$52:$C$54</xm:f>
          </x14:formula1>
          <xm:sqref>D50:J52</xm:sqref>
        </x14:dataValidation>
      </x14:dataValidations>
    </ext>
  </extLst>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rgb="FF92D050"/>
  </sheetPr>
  <dimension ref="A1:N72"/>
  <sheetViews>
    <sheetView view="pageBreakPreview" topLeftCell="A46" zoomScale="40" zoomScaleNormal="25" zoomScaleSheetLayoutView="40" workbookViewId="0">
      <selection activeCell="K48" sqref="K48"/>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40</v>
      </c>
      <c r="B11" s="2" t="s">
        <v>58</v>
      </c>
      <c r="C11" s="413" t="str">
        <f>VLOOKUP(A11,PROPONENTES!A10:B94,2,FALSE)</f>
        <v>CONSORCIO INTER Y19</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3</v>
      </c>
      <c r="J14" s="147">
        <f>+L8</f>
        <v>986.3076290832455</v>
      </c>
      <c r="K14" s="147">
        <f>+E22</f>
        <v>6473.7291000000005</v>
      </c>
      <c r="L14" s="18" t="str">
        <f>IF(K14&gt;=J14,"CUMPLE","NO CUMPLE")</f>
        <v>CUMPLE</v>
      </c>
    </row>
    <row r="15" spans="1:12" ht="33.75" customHeight="1" x14ac:dyDescent="0.2">
      <c r="B15" s="382"/>
      <c r="C15" s="92" t="str">
        <f>IF(VLOOKUP(C11,PROPONENTES!B10:N94,2,FALSE)=0,"",VLOOKUP(C11,PROPONENTES!B10:N94,2,FALSE))</f>
        <v>CARING SAS</v>
      </c>
      <c r="D15" s="93">
        <f>IF(VLOOKUP(C11,PROPONENTES!B10:N94,3,FALSE)=0,"",VLOOKUP(C11,PROPONENTES!B10:N94,3,FALSE))</f>
        <v>0.5</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63.884999999999998</v>
      </c>
      <c r="F15" s="95" t="str">
        <f>IF(C15="","",IF(E15&gt;=$J$14*0.5,"SI","NO"))</f>
        <v>NO</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xml:space="preserve"> YOU ARE SERVICES SAS</v>
      </c>
      <c r="D16" s="93">
        <f>IF(VLOOKUP(C11,PROPONENTES!B10:N94,5,FALSE)=0,"",VLOOKUP(C11,PROPONENTES!B10:N94,5,FALSE))</f>
        <v>0.5</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6409.8441000000003</v>
      </c>
      <c r="F16" s="95" t="str">
        <f>IF(C16="","",IF(E16&gt;=$J$14*0.5,"SI","NO"))</f>
        <v>SI</v>
      </c>
      <c r="G16" s="96" t="str">
        <f>IF(C16="","",IF(E16&gt;=$J$14*0.05,"SI",IF(E16=0,"NO APORTA EXPERIENCIA",)))</f>
        <v>SI</v>
      </c>
      <c r="H16" s="96" t="str">
        <f>IF(C16="","",IF(AND(G16="NO APORTA EXPERIENCIA",D16&lt;=10%),"SI",IF(G16="SI","NO APLICA","NO - PORCENTAJE MAYOR AL 10%")))</f>
        <v>NO APLICA</v>
      </c>
      <c r="I16" s="162"/>
      <c r="J16" s="162"/>
      <c r="K16" s="162"/>
      <c r="L16" s="161">
        <f>AVERAGEIF(D67:J67,"CUMPLE",D48:J48)</f>
        <v>2157.9097000000002</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3</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3</v>
      </c>
      <c r="J19" s="128">
        <v>1</v>
      </c>
      <c r="K19" s="387"/>
      <c r="L19" s="388"/>
    </row>
    <row r="20" spans="2:14" ht="50.25" customHeight="1" x14ac:dyDescent="0.2">
      <c r="B20" s="382"/>
      <c r="C20" s="92"/>
      <c r="D20" s="93"/>
      <c r="E20" s="94"/>
      <c r="F20" s="95"/>
      <c r="G20" s="96"/>
      <c r="H20" s="96"/>
      <c r="I20" s="128">
        <f>COUNTIFS(D60:J60,"CUMPLE",D67:J67,"CUMPLE")</f>
        <v>3</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3</v>
      </c>
      <c r="J21" s="128">
        <v>1</v>
      </c>
      <c r="K21" s="389"/>
      <c r="L21" s="390"/>
    </row>
    <row r="22" spans="2:14" ht="84.75" customHeight="1" x14ac:dyDescent="0.2">
      <c r="B22" s="29" t="s">
        <v>75</v>
      </c>
      <c r="C22" s="24">
        <f>+VLOOKUP(C11,PROPONENTES!B10:N94,12,FALSE)</f>
        <v>2</v>
      </c>
      <c r="D22" s="93">
        <f>+VLOOKUP(C11,PROPONENTES!B10:N94,13,FALSE)</f>
        <v>1</v>
      </c>
      <c r="E22" s="32">
        <f>SUM(E15:E21)</f>
        <v>6473.7291000000005</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765</v>
      </c>
      <c r="E26" s="84" t="s">
        <v>765</v>
      </c>
      <c r="F26" s="84" t="s">
        <v>764</v>
      </c>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813</v>
      </c>
      <c r="E29" s="85" t="s">
        <v>814</v>
      </c>
      <c r="F29" s="85" t="s">
        <v>815</v>
      </c>
      <c r="G29" s="85"/>
      <c r="H29" s="85"/>
      <c r="I29" s="85"/>
      <c r="J29" s="85"/>
      <c r="K29" s="145"/>
      <c r="L29" s="140"/>
    </row>
    <row r="30" spans="2:14" ht="156.75" customHeight="1" x14ac:dyDescent="0.2">
      <c r="B30" s="374"/>
      <c r="C30" s="25" t="s">
        <v>84</v>
      </c>
      <c r="D30" s="263" t="s">
        <v>816</v>
      </c>
      <c r="E30" s="263" t="s">
        <v>817</v>
      </c>
      <c r="F30" s="263" t="s">
        <v>818</v>
      </c>
      <c r="G30" s="85"/>
      <c r="H30" s="85"/>
      <c r="I30" s="85"/>
      <c r="J30" s="85"/>
      <c r="K30" s="145"/>
      <c r="L30" s="140"/>
    </row>
    <row r="31" spans="2:14" ht="52.5" customHeight="1" x14ac:dyDescent="0.2">
      <c r="B31" s="374"/>
      <c r="C31" s="25" t="s">
        <v>85</v>
      </c>
      <c r="D31" s="89">
        <v>42281</v>
      </c>
      <c r="E31" s="89">
        <v>41996</v>
      </c>
      <c r="F31" s="89">
        <v>40658</v>
      </c>
      <c r="G31" s="89"/>
      <c r="H31" s="89"/>
      <c r="I31" s="89"/>
      <c r="J31" s="89"/>
      <c r="K31" s="145"/>
      <c r="L31" s="140"/>
    </row>
    <row r="32" spans="2:14" ht="54.75" customHeight="1" x14ac:dyDescent="0.2">
      <c r="B32" s="374"/>
      <c r="C32" s="25" t="s">
        <v>86</v>
      </c>
      <c r="D32" s="89">
        <v>43229</v>
      </c>
      <c r="E32" s="89">
        <v>42720</v>
      </c>
      <c r="F32" s="89">
        <v>40994</v>
      </c>
      <c r="G32" s="89"/>
      <c r="H32" s="89"/>
      <c r="I32" s="89"/>
      <c r="J32" s="89"/>
      <c r="K32" s="145"/>
      <c r="L32" s="140"/>
    </row>
    <row r="33" spans="2:12" ht="41.25" customHeight="1" x14ac:dyDescent="0.2">
      <c r="B33" s="374"/>
      <c r="C33" s="25" t="s">
        <v>87</v>
      </c>
      <c r="D33" s="86">
        <v>2018</v>
      </c>
      <c r="E33" s="86">
        <v>2016</v>
      </c>
      <c r="F33" s="86">
        <v>2012</v>
      </c>
      <c r="G33" s="86"/>
      <c r="H33" s="86"/>
      <c r="I33" s="86"/>
      <c r="J33" s="86"/>
      <c r="K33" s="145"/>
      <c r="L33" s="140"/>
    </row>
    <row r="34" spans="2:12" ht="63" customHeight="1" x14ac:dyDescent="0.2">
      <c r="B34" s="374"/>
      <c r="C34" s="25" t="s">
        <v>88</v>
      </c>
      <c r="D34" s="85" t="s">
        <v>819</v>
      </c>
      <c r="E34" s="85" t="s">
        <v>819</v>
      </c>
      <c r="F34" s="85" t="s">
        <v>820</v>
      </c>
      <c r="G34" s="85"/>
      <c r="H34" s="85"/>
      <c r="I34" s="85"/>
      <c r="J34" s="85"/>
      <c r="K34" s="145"/>
      <c r="L34" s="140"/>
    </row>
    <row r="35" spans="2:12" ht="46.5" customHeight="1" x14ac:dyDescent="0.2">
      <c r="B35" s="374"/>
      <c r="C35" s="25" t="s">
        <v>89</v>
      </c>
      <c r="D35" s="85" t="s">
        <v>821</v>
      </c>
      <c r="E35" s="85" t="s">
        <v>822</v>
      </c>
      <c r="F35" s="85" t="s">
        <v>823</v>
      </c>
      <c r="G35" s="85"/>
      <c r="H35" s="85"/>
      <c r="I35" s="85"/>
      <c r="J35" s="85"/>
      <c r="K35" s="145"/>
      <c r="L35" s="140"/>
    </row>
    <row r="36" spans="2:12" ht="27.75" customHeight="1" x14ac:dyDescent="0.2">
      <c r="B36" s="374"/>
      <c r="C36" s="26" t="s">
        <v>90</v>
      </c>
      <c r="D36" s="90">
        <v>103</v>
      </c>
      <c r="E36" s="90">
        <v>77</v>
      </c>
      <c r="F36" s="90">
        <v>1</v>
      </c>
      <c r="G36" s="91"/>
      <c r="H36" s="91"/>
      <c r="I36" s="91"/>
      <c r="J36" s="91"/>
      <c r="K36" s="145"/>
      <c r="L36" s="140"/>
    </row>
    <row r="37" spans="2:12" ht="102.75" customHeight="1" x14ac:dyDescent="0.2">
      <c r="B37" s="374"/>
      <c r="C37" s="25" t="s">
        <v>91</v>
      </c>
      <c r="D37" s="315">
        <v>7996.11</v>
      </c>
      <c r="E37" s="316">
        <v>4318.2</v>
      </c>
      <c r="F37" s="315">
        <v>127.77</v>
      </c>
      <c r="G37" s="87"/>
      <c r="H37" s="87"/>
      <c r="I37" s="87"/>
      <c r="J37" s="87"/>
      <c r="K37" s="242"/>
      <c r="L37" s="243"/>
    </row>
    <row r="38" spans="2:12" ht="48" customHeight="1" x14ac:dyDescent="0.2">
      <c r="B38" s="374"/>
      <c r="C38" s="25" t="s">
        <v>92</v>
      </c>
      <c r="D38" s="97">
        <f>IFERROR(D37*VLOOKUP(D33,'DATOS INICIALES'!$A$12:$B$50,2,0),"0")</f>
        <v>6246896968.6199999</v>
      </c>
      <c r="E38" s="97">
        <f>IFERROR(E37*VLOOKUP(E33,'DATOS INICIALES'!$A$12:$B$50,2,0),"0")</f>
        <v>2977204581</v>
      </c>
      <c r="F38" s="97">
        <f>IFERROR(F37*VLOOKUP(F33,'DATOS INICIALES'!$A$12:$B$50,2,0),"0")</f>
        <v>72407259</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0.51</v>
      </c>
      <c r="E39" s="88">
        <v>0.54</v>
      </c>
      <c r="F39" s="88">
        <v>0.5</v>
      </c>
      <c r="G39" s="88"/>
      <c r="H39" s="88"/>
      <c r="I39" s="88"/>
      <c r="J39" s="88"/>
      <c r="K39" s="145"/>
      <c r="L39" s="140"/>
    </row>
    <row r="40" spans="2:12" ht="48.75" customHeight="1" x14ac:dyDescent="0.2">
      <c r="B40" s="374"/>
      <c r="C40" s="25" t="s">
        <v>94</v>
      </c>
      <c r="D40" s="97">
        <f t="shared" ref="D40:J40" si="0">IF(D26="","0",D39*D38)</f>
        <v>3185917453.9962001</v>
      </c>
      <c r="E40" s="97">
        <f t="shared" si="0"/>
        <v>1607690473.74</v>
      </c>
      <c r="F40" s="97">
        <f t="shared" si="0"/>
        <v>36203629.5</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4078.0160999999998</v>
      </c>
      <c r="E41" s="98">
        <f t="shared" si="1"/>
        <v>2331.828</v>
      </c>
      <c r="F41" s="98">
        <f t="shared" si="1"/>
        <v>63.884999999999998</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4078.0160999999998</v>
      </c>
      <c r="E48" s="98">
        <f t="shared" ref="E48:G48" si="6">+E41+E44+E47</f>
        <v>2331.828</v>
      </c>
      <c r="F48" s="98">
        <f t="shared" si="6"/>
        <v>63.884999999999998</v>
      </c>
      <c r="G48" s="98">
        <f t="shared" si="6"/>
        <v>0</v>
      </c>
      <c r="H48" s="98">
        <f>+H41+H44+H47</f>
        <v>0</v>
      </c>
      <c r="I48" s="98">
        <f t="shared" ref="I48:J48" si="7">+I41+I44+I47</f>
        <v>0</v>
      </c>
      <c r="J48" s="98">
        <f t="shared" si="7"/>
        <v>0</v>
      </c>
      <c r="K48" s="313"/>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3064" priority="75" operator="equal">
      <formula>"CUMPLE"</formula>
    </cfRule>
    <cfRule type="containsBlanks" dxfId="3063" priority="72">
      <formula>LEN(TRIM(D71))=0</formula>
    </cfRule>
    <cfRule type="notContainsErrors" dxfId="3062" priority="73">
      <formula>NOT(ISERROR(D71))</formula>
    </cfRule>
    <cfRule type="cellIs" dxfId="3061" priority="74" operator="equal">
      <formula>"NO CUMPLE"</formula>
    </cfRule>
  </conditionalFormatting>
  <conditionalFormatting sqref="D72">
    <cfRule type="cellIs" dxfId="3060" priority="77" operator="equal">
      <formula>"CUMPLE"</formula>
    </cfRule>
    <cfRule type="cellIs" dxfId="3059" priority="76" operator="equal">
      <formula>"N/A"</formula>
    </cfRule>
    <cfRule type="cellIs" dxfId="3058" priority="79" operator="equal">
      <formula>"""CUMPLE"""</formula>
    </cfRule>
    <cfRule type="cellIs" dxfId="3057" priority="78" operator="equal">
      <formula>"NO CUMPLE"</formula>
    </cfRule>
  </conditionalFormatting>
  <conditionalFormatting sqref="D26:J37">
    <cfRule type="notContainsErrors" dxfId="3056" priority="4">
      <formula>NOT(ISERROR(D26))</formula>
    </cfRule>
    <cfRule type="containsBlanks" dxfId="3055" priority="3">
      <formula>LEN(TRIM(D26))=0</formula>
    </cfRule>
  </conditionalFormatting>
  <conditionalFormatting sqref="D36:J36">
    <cfRule type="notContainsErrors" dxfId="3054" priority="6">
      <formula>NOT(ISERROR(D36))</formula>
    </cfRule>
    <cfRule type="containsBlanks" dxfId="3053" priority="5">
      <formula>LEN(TRIM(D36))=0</formula>
    </cfRule>
  </conditionalFormatting>
  <conditionalFormatting sqref="D39:J39">
    <cfRule type="containsBlanks" dxfId="3052" priority="1">
      <formula>LEN(TRIM(D39))=0</formula>
    </cfRule>
    <cfRule type="notContainsErrors" dxfId="3051" priority="2">
      <formula>NOT(ISERROR(D39))</formula>
    </cfRule>
  </conditionalFormatting>
  <conditionalFormatting sqref="D42:J42 D45:J45">
    <cfRule type="notContainsErrors" dxfId="3050" priority="38">
      <formula>NOT(ISERROR(D42))</formula>
    </cfRule>
    <cfRule type="containsBlanks" dxfId="3049" priority="37">
      <formula>LEN(TRIM(D42))=0</formula>
    </cfRule>
  </conditionalFormatting>
  <conditionalFormatting sqref="D49:J54">
    <cfRule type="cellIs" dxfId="3048" priority="17" operator="equal">
      <formula>"NO CUMPLE"</formula>
    </cfRule>
    <cfRule type="cellIs" dxfId="3047" priority="18" operator="equal">
      <formula>"CUMPLE"</formula>
    </cfRule>
    <cfRule type="containsBlanks" dxfId="3046" priority="19">
      <formula>LEN(TRIM(D49))=0</formula>
    </cfRule>
    <cfRule type="notContainsErrors" dxfId="3045" priority="20">
      <formula>NOT(ISERROR(D49))</formula>
    </cfRule>
  </conditionalFormatting>
  <conditionalFormatting sqref="D55:J55">
    <cfRule type="cellIs" dxfId="3044" priority="28" operator="equal">
      <formula>"CUMPLE"</formula>
    </cfRule>
    <cfRule type="cellIs" dxfId="3043" priority="30" operator="equal">
      <formula>"""CUMPLE"""</formula>
    </cfRule>
    <cfRule type="cellIs" dxfId="3042" priority="29" operator="equal">
      <formula>"NO CUMPLE"</formula>
    </cfRule>
    <cfRule type="cellIs" dxfId="3041" priority="27" operator="equal">
      <formula>"N/A"</formula>
    </cfRule>
  </conditionalFormatting>
  <conditionalFormatting sqref="D56:J66">
    <cfRule type="cellIs" dxfId="3040" priority="11" operator="equal">
      <formula>"NO CUMPLE"</formula>
    </cfRule>
    <cfRule type="notContainsErrors" dxfId="3039" priority="14">
      <formula>NOT(ISERROR(D56))</formula>
    </cfRule>
    <cfRule type="containsBlanks" dxfId="3038" priority="13">
      <formula>LEN(TRIM(D56))=0</formula>
    </cfRule>
    <cfRule type="cellIs" dxfId="3037" priority="12" operator="equal">
      <formula>"CUMPLE"</formula>
    </cfRule>
  </conditionalFormatting>
  <conditionalFormatting sqref="D67:J67">
    <cfRule type="cellIs" dxfId="3036" priority="23" operator="equal">
      <formula>"N/A"</formula>
    </cfRule>
    <cfRule type="cellIs" dxfId="3035" priority="24" operator="equal">
      <formula>"CUMPLE"</formula>
    </cfRule>
    <cfRule type="cellIs" dxfId="3034" priority="26" operator="equal">
      <formula>"""CUMPLE"""</formula>
    </cfRule>
    <cfRule type="cellIs" dxfId="3033" priority="25" operator="equal">
      <formula>"NO CUMPLE"</formula>
    </cfRule>
  </conditionalFormatting>
  <conditionalFormatting sqref="D62:K66">
    <cfRule type="containsBlanks" dxfId="3032" priority="15">
      <formula>LEN(TRIM(D62))=0</formula>
    </cfRule>
    <cfRule type="notContainsErrors" dxfId="3031" priority="16">
      <formula>NOT(ISERROR(D62))</formula>
    </cfRule>
  </conditionalFormatting>
  <conditionalFormatting sqref="E71:E72">
    <cfRule type="notContainsErrors" dxfId="3030" priority="71">
      <formula>NOT(ISERROR(E71))</formula>
    </cfRule>
    <cfRule type="containsBlanks" dxfId="3029" priority="70">
      <formula>LEN(TRIM(E71))=0</formula>
    </cfRule>
  </conditionalFormatting>
  <conditionalFormatting sqref="F22:H22">
    <cfRule type="cellIs" dxfId="3028" priority="98" operator="equal">
      <formula>"NO CUMPLE"</formula>
    </cfRule>
    <cfRule type="cellIs" dxfId="3027" priority="99" operator="equal">
      <formula>"""CUMPLE"""</formula>
    </cfRule>
    <cfRule type="cellIs" dxfId="3026" priority="97" operator="equal">
      <formula>"CUMPLE"</formula>
    </cfRule>
  </conditionalFormatting>
  <conditionalFormatting sqref="G63:J63">
    <cfRule type="containsBlanks" dxfId="3025" priority="7">
      <formula>LEN(TRIM(G63))=0</formula>
    </cfRule>
    <cfRule type="notContainsErrors" dxfId="3024" priority="8">
      <formula>NOT(ISERROR(G63))</formula>
    </cfRule>
  </conditionalFormatting>
  <conditionalFormatting sqref="I11">
    <cfRule type="containsText" dxfId="3023" priority="103" operator="containsText" text="NO CUMPLE">
      <formula>NOT(ISERROR(SEARCH("NO CUMPLE",I11)))</formula>
    </cfRule>
    <cfRule type="containsText" dxfId="3022" priority="102" operator="containsText" text="HABILITADO">
      <formula>NOT(ISERROR(SEARCH("HABILITADO",I11)))</formula>
    </cfRule>
    <cfRule type="containsText" dxfId="3021" priority="101" operator="containsText" text="HABILITADO">
      <formula>NOT(ISERROR(SEARCH("HABILITADO",I11)))</formula>
    </cfRule>
    <cfRule type="containsText" dxfId="3020" priority="100" operator="containsText" text="INHABILITADO">
      <formula>NOT(ISERROR(SEARCH("INHABILITADO",I11)))</formula>
    </cfRule>
  </conditionalFormatting>
  <conditionalFormatting sqref="K18:K20">
    <cfRule type="cellIs" dxfId="3019" priority="68" operator="equal">
      <formula>"NO CUMPLE"</formula>
    </cfRule>
    <cfRule type="cellIs" dxfId="3018" priority="69" operator="equal">
      <formula>"""CUMPLE"""</formula>
    </cfRule>
    <cfRule type="cellIs" dxfId="3017" priority="67" operator="equal">
      <formula>"CUMPLE"</formula>
    </cfRule>
  </conditionalFormatting>
  <conditionalFormatting sqref="K26:K61 D62:J62">
    <cfRule type="containsBlanks" dxfId="3016" priority="9">
      <formula>LEN(TRIM(D26))=0</formula>
    </cfRule>
    <cfRule type="notContainsErrors" dxfId="3015" priority="10">
      <formula>NOT(ISERROR(D26))</formula>
    </cfRule>
  </conditionalFormatting>
  <conditionalFormatting sqref="K67:L67">
    <cfRule type="containsBlanks" dxfId="3014" priority="21">
      <formula>LEN(TRIM(K67))=0</formula>
    </cfRule>
    <cfRule type="notContainsErrors" dxfId="3013" priority="22">
      <formula>NOT(ISERROR(K67))</formula>
    </cfRule>
  </conditionalFormatting>
  <conditionalFormatting sqref="L14">
    <cfRule type="cellIs" dxfId="3012" priority="96" operator="equal">
      <formula>"""CUMPLE"""</formula>
    </cfRule>
    <cfRule type="cellIs" dxfId="3011" priority="95" operator="equal">
      <formula>"NO CUMPLE"</formula>
    </cfRule>
    <cfRule type="cellIs" dxfId="3010" priority="94" operator="equal">
      <formula>"CUMPLE"</formula>
    </cfRule>
  </conditionalFormatting>
  <dataValidations count="2">
    <dataValidation type="list" allowBlank="1" showInputMessage="1" showErrorMessage="1" sqref="L62:L67" xr:uid="{00000000-0002-0000-2D00-000000000000}">
      <formula1>"0,1,2,3,4,5,6"</formula1>
    </dataValidation>
    <dataValidation type="list" allowBlank="1" showInputMessage="1" showErrorMessage="1" sqref="D26:J28" xr:uid="{00000000-0002-0000-2D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2D00-000002000000}">
          <x14:formula1>
            <xm:f>'DATOS INICIALES'!$A$57:$A$58</xm:f>
          </x14:formula1>
          <xm:sqref>D49:J49</xm:sqref>
        </x14:dataValidation>
        <x14:dataValidation type="list" allowBlank="1" showInputMessage="1" showErrorMessage="1" xr:uid="{00000000-0002-0000-2D00-000003000000}">
          <x14:formula1>
            <xm:f>'DATOS INICIALES'!$A$61:$A$67</xm:f>
          </x14:formula1>
          <xm:sqref>J25</xm:sqref>
        </x14:dataValidation>
        <x14:dataValidation type="list" allowBlank="1" showInputMessage="1" showErrorMessage="1" xr:uid="{00000000-0002-0000-2D00-000004000000}">
          <x14:formula1>
            <xm:f>'DATOS INICIALES'!$C$52:$C$53</xm:f>
          </x14:formula1>
          <xm:sqref>D53:J54</xm:sqref>
        </x14:dataValidation>
        <x14:dataValidation type="list" allowBlank="1" showInputMessage="1" showErrorMessage="1" xr:uid="{00000000-0002-0000-2D00-000005000000}">
          <x14:formula1>
            <xm:f>'DATOS INICIALES'!$A$57:$A$59</xm:f>
          </x14:formula1>
          <xm:sqref>D71 D56:J66</xm:sqref>
        </x14:dataValidation>
        <x14:dataValidation type="list" allowBlank="1" showInputMessage="1" showErrorMessage="1" xr:uid="{00000000-0002-0000-2D00-000006000000}">
          <x14:formula1>
            <xm:f>'DATOS INICIALES'!$A$61:$A$66</xm:f>
          </x14:formula1>
          <xm:sqref>D25:I25</xm:sqref>
        </x14:dataValidation>
        <x14:dataValidation type="list" allowBlank="1" showInputMessage="1" showErrorMessage="1" xr:uid="{00000000-0002-0000-2D00-000007000000}">
          <x14:formula1>
            <xm:f>'DATOS INICIALES'!$A$13:$A$50</xm:f>
          </x14:formula1>
          <xm:sqref>G33:I33</xm:sqref>
        </x14:dataValidation>
        <x14:dataValidation type="list" allowBlank="1" showInputMessage="1" showErrorMessage="1" xr:uid="{00000000-0002-0000-2D00-000008000000}">
          <x14:formula1>
            <xm:f>'DATOS INICIALES'!$D$27:$D$29</xm:f>
          </x14:formula1>
          <xm:sqref>M50:M55</xm:sqref>
        </x14:dataValidation>
        <x14:dataValidation type="list" allowBlank="1" showInputMessage="1" showErrorMessage="1" xr:uid="{00000000-0002-0000-2D00-000009000000}">
          <x14:formula1>
            <xm:f>'DATOS INICIALES'!$C$52:$C$54</xm:f>
          </x14:formula1>
          <xm:sqref>D50:J52</xm:sqref>
        </x14:dataValidation>
      </x14:dataValidations>
    </ext>
  </extLst>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rgb="FF92D050"/>
  </sheetPr>
  <dimension ref="A1:N72"/>
  <sheetViews>
    <sheetView view="pageBreakPreview" topLeftCell="B44" zoomScale="58" zoomScaleNormal="25" zoomScaleSheetLayoutView="40" workbookViewId="0">
      <selection activeCell="D58" sqref="D58"/>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41</v>
      </c>
      <c r="B11" s="2" t="s">
        <v>58</v>
      </c>
      <c r="C11" s="413" t="str">
        <f>VLOOKUP(A11,PROPONENTES!A10:B94,2,FALSE)</f>
        <v>CONSORCIO INTER AXPROCOL</v>
      </c>
      <c r="D11" s="413"/>
      <c r="E11" s="413"/>
      <c r="F11" s="413"/>
      <c r="G11" s="413"/>
      <c r="H11" s="131" t="s">
        <v>59</v>
      </c>
      <c r="I11" s="417" t="str">
        <f>IF(AND(F22="CUMPLE",G22="CUMPLE",H22="CUMPLE",L14="CUMPLE",D72="CUMPLE",K18="CUMPLE"),"CUMPLE","NO CUMPLE")</f>
        <v>NO 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1</v>
      </c>
      <c r="J14" s="147">
        <f>+L8</f>
        <v>986.3076290832455</v>
      </c>
      <c r="K14" s="147">
        <f>+E22</f>
        <v>10950.491999999998</v>
      </c>
      <c r="L14" s="18" t="str">
        <f>IF(K14&gt;=J14,"CUMPLE","NO CUMPLE")</f>
        <v>CUMPLE</v>
      </c>
    </row>
    <row r="15" spans="1:12" ht="33.75" customHeight="1" x14ac:dyDescent="0.2">
      <c r="B15" s="382"/>
      <c r="C15" s="92" t="str">
        <f>IF(VLOOKUP(C11,PROPONENTES!B10:N94,2,FALSE)=0,"",VLOOKUP(C11,PROPONENTES!B10:N94,2,FALSE))</f>
        <v>CONSULTORIA E INTERVENTORIAS TECNICAS PROFESIONALES S.A.S</v>
      </c>
      <c r="D15" s="93">
        <f>IF(VLOOKUP(C11,PROPONENTES!B10:N94,3,FALSE)=0,"",VLOOKUP(C11,PROPONENTES!B10:N94,3,FALSE))</f>
        <v>0.5</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9386.1359999999986</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AXECOL S.A.S.</v>
      </c>
      <c r="D16" s="93">
        <f>IF(VLOOKUP(C11,PROPONENTES!B10:N94,5,FALSE)=0,"",VLOOKUP(C11,PROPONENTES!B10:N94,5,FALSE))</f>
        <v>0.5</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1564.356</v>
      </c>
      <c r="F16" s="95" t="str">
        <f>IF(C16="","",IF(E16&gt;=$J$14*0.5,"SI","NO"))</f>
        <v>SI</v>
      </c>
      <c r="G16" s="96" t="str">
        <f>IF(C16="","",IF(E16&gt;=$J$14*0.05,"SI",IF(E16=0,"NO APORTA EXPERIENCIA",)))</f>
        <v>SI</v>
      </c>
      <c r="H16" s="96" t="str">
        <f>IF(C16="","",IF(AND(G16="NO APORTA EXPERIENCIA",D16&lt;=10%),"SI",IF(G16="SI","NO APLICA","NO - PORCENTAJE MAYOR AL 10%")))</f>
        <v>NO APLICA</v>
      </c>
      <c r="I16" s="162"/>
      <c r="J16" s="162"/>
      <c r="K16" s="162"/>
      <c r="L16" s="161">
        <f>AVERAGEIF(D67:J67,"CUMPLE",D48:J48)</f>
        <v>10950.491999999998</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0</v>
      </c>
      <c r="J18" s="128">
        <v>1</v>
      </c>
      <c r="K18" s="385" t="str">
        <f>IF(AND(I18&gt;=J18,I19&gt;=J19,I20&gt;=J20,I21&gt;=J21),"CUMPLE","NO CUMPLE")</f>
        <v>NO CUMPLE</v>
      </c>
      <c r="L18" s="386"/>
    </row>
    <row r="19" spans="2:14" ht="50.25" customHeight="1" x14ac:dyDescent="0.2">
      <c r="B19" s="382"/>
      <c r="C19" s="92"/>
      <c r="D19" s="93"/>
      <c r="E19" s="94"/>
      <c r="F19" s="95"/>
      <c r="G19" s="96"/>
      <c r="H19" s="96"/>
      <c r="I19" s="128">
        <f>COUNTIFS(D58:J58,"CUMPLE",D67:J67,"CUMPLE")</f>
        <v>1</v>
      </c>
      <c r="J19" s="128">
        <v>1</v>
      </c>
      <c r="K19" s="387"/>
      <c r="L19" s="388"/>
    </row>
    <row r="20" spans="2:14" ht="50.25" customHeight="1" x14ac:dyDescent="0.2">
      <c r="B20" s="382"/>
      <c r="C20" s="92"/>
      <c r="D20" s="93"/>
      <c r="E20" s="94"/>
      <c r="F20" s="95"/>
      <c r="G20" s="96"/>
      <c r="H20" s="96"/>
      <c r="I20" s="128">
        <f>COUNTIFS(D60:J60,"CUMPLE",D67:J67,"CUMPLE")</f>
        <v>1</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1</v>
      </c>
      <c r="J21" s="128">
        <v>1</v>
      </c>
      <c r="K21" s="389"/>
      <c r="L21" s="390"/>
    </row>
    <row r="22" spans="2:14" ht="84.75" customHeight="1" x14ac:dyDescent="0.2">
      <c r="B22" s="29" t="s">
        <v>75</v>
      </c>
      <c r="C22" s="24">
        <f>+VLOOKUP(C11,PROPONENTES!B10:N94,12,FALSE)</f>
        <v>2</v>
      </c>
      <c r="D22" s="93">
        <f>+VLOOKUP(C11,PROPONENTES!B10:N94,13,FALSE)</f>
        <v>1</v>
      </c>
      <c r="E22" s="32">
        <f>SUM(E15:E21)</f>
        <v>10950.491999999998</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766</v>
      </c>
      <c r="E26" s="84"/>
      <c r="F26" s="84"/>
      <c r="G26" s="84"/>
      <c r="H26" s="84"/>
      <c r="I26" s="84"/>
      <c r="J26" s="84"/>
      <c r="K26" s="145"/>
      <c r="L26" s="140"/>
    </row>
    <row r="27" spans="2:14" ht="39.75" customHeight="1" x14ac:dyDescent="0.2">
      <c r="B27" s="371" t="s">
        <v>80</v>
      </c>
      <c r="C27" s="372"/>
      <c r="D27" s="84" t="s">
        <v>767</v>
      </c>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824</v>
      </c>
      <c r="E29" s="85"/>
      <c r="F29" s="85"/>
      <c r="G29" s="85"/>
      <c r="H29" s="85"/>
      <c r="I29" s="85"/>
      <c r="J29" s="85"/>
      <c r="K29" s="145"/>
      <c r="L29" s="140"/>
    </row>
    <row r="30" spans="2:14" ht="156.75" customHeight="1" x14ac:dyDescent="0.2">
      <c r="B30" s="374"/>
      <c r="C30" s="25" t="s">
        <v>84</v>
      </c>
      <c r="D30" s="85" t="s">
        <v>825</v>
      </c>
      <c r="E30" s="85"/>
      <c r="F30" s="85"/>
      <c r="G30" s="85"/>
      <c r="H30" s="85"/>
      <c r="I30" s="85"/>
      <c r="J30" s="85"/>
      <c r="K30" s="145"/>
      <c r="L30" s="140"/>
    </row>
    <row r="31" spans="2:14" ht="52.5" customHeight="1" x14ac:dyDescent="0.2">
      <c r="B31" s="374"/>
      <c r="C31" s="25" t="s">
        <v>85</v>
      </c>
      <c r="D31" s="89">
        <v>39860</v>
      </c>
      <c r="E31" s="89"/>
      <c r="F31" s="89"/>
      <c r="G31" s="89"/>
      <c r="H31" s="89"/>
      <c r="I31" s="89"/>
      <c r="J31" s="89"/>
      <c r="K31" s="145"/>
      <c r="L31" s="140"/>
    </row>
    <row r="32" spans="2:14" ht="54.75" customHeight="1" x14ac:dyDescent="0.2">
      <c r="B32" s="374"/>
      <c r="C32" s="25" t="s">
        <v>86</v>
      </c>
      <c r="D32" s="89">
        <v>41260</v>
      </c>
      <c r="E32" s="89"/>
      <c r="F32" s="89"/>
      <c r="G32" s="89"/>
      <c r="H32" s="89"/>
      <c r="I32" s="89"/>
      <c r="J32" s="89"/>
      <c r="K32" s="145"/>
      <c r="L32" s="140"/>
    </row>
    <row r="33" spans="2:12" ht="41.25" customHeight="1" x14ac:dyDescent="0.2">
      <c r="B33" s="374"/>
      <c r="C33" s="25" t="s">
        <v>87</v>
      </c>
      <c r="D33" s="86">
        <v>2012</v>
      </c>
      <c r="E33" s="86"/>
      <c r="F33" s="86"/>
      <c r="G33" s="86"/>
      <c r="H33" s="86"/>
      <c r="I33" s="86"/>
      <c r="J33" s="86"/>
      <c r="K33" s="145"/>
      <c r="L33" s="140"/>
    </row>
    <row r="34" spans="2:12" ht="63" customHeight="1" x14ac:dyDescent="0.2">
      <c r="B34" s="374"/>
      <c r="C34" s="25" t="s">
        <v>88</v>
      </c>
      <c r="D34" s="85" t="s">
        <v>298</v>
      </c>
      <c r="E34" s="85"/>
      <c r="F34" s="85"/>
      <c r="G34" s="85"/>
      <c r="H34" s="85"/>
      <c r="I34" s="85"/>
      <c r="J34" s="85"/>
      <c r="K34" s="145"/>
      <c r="L34" s="140"/>
    </row>
    <row r="35" spans="2:12" ht="46.5" customHeight="1" x14ac:dyDescent="0.2">
      <c r="B35" s="374"/>
      <c r="C35" s="25" t="s">
        <v>89</v>
      </c>
      <c r="D35" s="85" t="s">
        <v>826</v>
      </c>
      <c r="E35" s="85"/>
      <c r="F35" s="85"/>
      <c r="G35" s="85"/>
      <c r="H35" s="85"/>
      <c r="I35" s="85"/>
      <c r="J35" s="85"/>
      <c r="K35" s="145"/>
      <c r="L35" s="140"/>
    </row>
    <row r="36" spans="2:12" ht="27.75" customHeight="1" x14ac:dyDescent="0.2">
      <c r="B36" s="374"/>
      <c r="C36" s="26" t="s">
        <v>90</v>
      </c>
      <c r="D36" s="90" t="s">
        <v>827</v>
      </c>
      <c r="E36" s="90"/>
      <c r="F36" s="90"/>
      <c r="G36" s="91"/>
      <c r="H36" s="91"/>
      <c r="I36" s="91"/>
      <c r="J36" s="91"/>
      <c r="K36" s="145"/>
      <c r="L36" s="140"/>
    </row>
    <row r="37" spans="2:12" ht="102.75" customHeight="1" x14ac:dyDescent="0.2">
      <c r="B37" s="374"/>
      <c r="C37" s="25" t="s">
        <v>91</v>
      </c>
      <c r="D37" s="87">
        <v>15643.56</v>
      </c>
      <c r="E37" s="158"/>
      <c r="F37" s="87"/>
      <c r="G37" s="87"/>
      <c r="H37" s="87"/>
      <c r="I37" s="87"/>
      <c r="J37" s="87"/>
      <c r="K37" s="242"/>
      <c r="L37" s="243"/>
    </row>
    <row r="38" spans="2:12" ht="48" customHeight="1" x14ac:dyDescent="0.2">
      <c r="B38" s="374"/>
      <c r="C38" s="25" t="s">
        <v>92</v>
      </c>
      <c r="D38" s="97">
        <f>IFERROR(D37*VLOOKUP(D33,'DATOS INICIALES'!$A$12:$B$50,2,0),"0")</f>
        <v>8865205452</v>
      </c>
      <c r="E38" s="97" t="str">
        <f>IFERROR(E37*VLOOKUP(E33,'DATOS INICIALES'!$A$12:$B$50,2,0),"0")</f>
        <v>0</v>
      </c>
      <c r="F38" s="97" t="str">
        <f>IFERROR(F37*VLOOKUP(F33,'DATOS INICIALES'!$A$12:$B$50,2,0),"0")</f>
        <v>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0.6</v>
      </c>
      <c r="E39" s="88"/>
      <c r="F39" s="88"/>
      <c r="G39" s="88"/>
      <c r="H39" s="88"/>
      <c r="I39" s="88"/>
      <c r="J39" s="88"/>
      <c r="K39" s="145"/>
      <c r="L39" s="140"/>
    </row>
    <row r="40" spans="2:12" ht="48.75" customHeight="1" x14ac:dyDescent="0.2">
      <c r="B40" s="374"/>
      <c r="C40" s="25" t="s">
        <v>94</v>
      </c>
      <c r="D40" s="97">
        <f t="shared" ref="D40:J40" si="0">IF(D26="","0",D39*D38)</f>
        <v>5319123271.1999998</v>
      </c>
      <c r="E40" s="97" t="str">
        <f t="shared" si="0"/>
        <v>0</v>
      </c>
      <c r="F40" s="97" t="str">
        <f t="shared" si="0"/>
        <v>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9386.1359999999986</v>
      </c>
      <c r="E41" s="98">
        <f t="shared" si="1"/>
        <v>0</v>
      </c>
      <c r="F41" s="98">
        <f t="shared" si="1"/>
        <v>0</v>
      </c>
      <c r="G41" s="98">
        <f t="shared" si="1"/>
        <v>0</v>
      </c>
      <c r="H41" s="98">
        <f t="shared" si="1"/>
        <v>0</v>
      </c>
      <c r="I41" s="98">
        <f t="shared" si="1"/>
        <v>0</v>
      </c>
      <c r="J41" s="98">
        <f t="shared" si="1"/>
        <v>0</v>
      </c>
      <c r="K41" s="145"/>
      <c r="L41" s="140"/>
    </row>
    <row r="42" spans="2:12" ht="65.25" customHeight="1" x14ac:dyDescent="0.2">
      <c r="B42" s="374"/>
      <c r="C42" s="25" t="s">
        <v>96</v>
      </c>
      <c r="D42" s="88">
        <v>0.1</v>
      </c>
      <c r="E42" s="88"/>
      <c r="F42" s="88"/>
      <c r="G42" s="88"/>
      <c r="H42" s="88"/>
      <c r="I42" s="88"/>
      <c r="J42" s="88"/>
      <c r="K42" s="145"/>
      <c r="L42" s="140"/>
    </row>
    <row r="43" spans="2:12" ht="65.25" customHeight="1" x14ac:dyDescent="0.2">
      <c r="B43" s="374"/>
      <c r="C43" s="25" t="s">
        <v>97</v>
      </c>
      <c r="D43" s="99">
        <f t="shared" ref="D43:J43" si="2">IF(D27="","0",D42*D38)</f>
        <v>886520545.20000005</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1564.356</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10950.491999999998</v>
      </c>
      <c r="E48" s="98">
        <f t="shared" ref="E48:G48" si="6">+E41+E44+E47</f>
        <v>0</v>
      </c>
      <c r="F48" s="98">
        <f t="shared" si="6"/>
        <v>0</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N/A</v>
      </c>
      <c r="F55" s="18" t="str">
        <f t="shared" si="8"/>
        <v>N/A</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26</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N/A</v>
      </c>
      <c r="F67" s="18" t="str">
        <f>IF(F26="","N/A",IF(AND(F49="CUMPLE",F55="CUMPLE",OR(F56="CUMPLE",F56="N/A"),OR(F59="CUMPLE",F59="N/A"),F62="CUMPLE",F63="CUMPLE",OR(F64="CUMPLE",F64="N/A"),F65="CUMPLE",OR(F66="CUMPLE",F66="N/A")),"CUMPLE","NO CUMPLE"))</f>
        <v>N/A</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3009" priority="78" operator="equal">
      <formula>"NO CUMPLE"</formula>
    </cfRule>
    <cfRule type="containsBlanks" dxfId="3008" priority="76">
      <formula>LEN(TRIM(D71))=0</formula>
    </cfRule>
    <cfRule type="cellIs" dxfId="3007" priority="79" operator="equal">
      <formula>"CUMPLE"</formula>
    </cfRule>
    <cfRule type="notContainsErrors" dxfId="3006" priority="77">
      <formula>NOT(ISERROR(D71))</formula>
    </cfRule>
  </conditionalFormatting>
  <conditionalFormatting sqref="D72">
    <cfRule type="cellIs" dxfId="3005" priority="80" operator="equal">
      <formula>"N/A"</formula>
    </cfRule>
    <cfRule type="cellIs" dxfId="3004" priority="82" operator="equal">
      <formula>"NO CUMPLE"</formula>
    </cfRule>
    <cfRule type="cellIs" dxfId="3003" priority="81" operator="equal">
      <formula>"CUMPLE"</formula>
    </cfRule>
    <cfRule type="cellIs" dxfId="3002" priority="83" operator="equal">
      <formula>"""CUMPLE"""</formula>
    </cfRule>
  </conditionalFormatting>
  <conditionalFormatting sqref="D26:J37">
    <cfRule type="containsBlanks" dxfId="3001" priority="5">
      <formula>LEN(TRIM(D26))=0</formula>
    </cfRule>
    <cfRule type="notContainsErrors" dxfId="3000" priority="6">
      <formula>NOT(ISERROR(D26))</formula>
    </cfRule>
  </conditionalFormatting>
  <conditionalFormatting sqref="D36:J36">
    <cfRule type="containsBlanks" dxfId="2999" priority="7">
      <formula>LEN(TRIM(D36))=0</formula>
    </cfRule>
    <cfRule type="notContainsErrors" dxfId="2998" priority="8">
      <formula>NOT(ISERROR(D36))</formula>
    </cfRule>
  </conditionalFormatting>
  <conditionalFormatting sqref="D39:J39">
    <cfRule type="notContainsErrors" dxfId="2997" priority="4">
      <formula>NOT(ISERROR(D39))</formula>
    </cfRule>
    <cfRule type="containsBlanks" dxfId="2996" priority="3">
      <formula>LEN(TRIM(D39))=0</formula>
    </cfRule>
  </conditionalFormatting>
  <conditionalFormatting sqref="D42:J42">
    <cfRule type="containsBlanks" dxfId="2995" priority="1">
      <formula>LEN(TRIM(D42))=0</formula>
    </cfRule>
    <cfRule type="notContainsErrors" dxfId="2994" priority="2">
      <formula>NOT(ISERROR(D42))</formula>
    </cfRule>
  </conditionalFormatting>
  <conditionalFormatting sqref="D45:J45">
    <cfRule type="notContainsErrors" dxfId="2993" priority="40">
      <formula>NOT(ISERROR(D45))</formula>
    </cfRule>
    <cfRule type="containsBlanks" dxfId="2992" priority="39">
      <formula>LEN(TRIM(D45))=0</formula>
    </cfRule>
  </conditionalFormatting>
  <conditionalFormatting sqref="D49:J54">
    <cfRule type="cellIs" dxfId="2991" priority="19" operator="equal">
      <formula>"NO CUMPLE"</formula>
    </cfRule>
    <cfRule type="cellIs" dxfId="2990" priority="20" operator="equal">
      <formula>"CUMPLE"</formula>
    </cfRule>
    <cfRule type="containsBlanks" dxfId="2989" priority="21">
      <formula>LEN(TRIM(D49))=0</formula>
    </cfRule>
    <cfRule type="notContainsErrors" dxfId="2988" priority="22">
      <formula>NOT(ISERROR(D49))</formula>
    </cfRule>
  </conditionalFormatting>
  <conditionalFormatting sqref="D55:J55">
    <cfRule type="cellIs" dxfId="2987" priority="29" operator="equal">
      <formula>"N/A"</formula>
    </cfRule>
    <cfRule type="cellIs" dxfId="2986" priority="32" operator="equal">
      <formula>"""CUMPLE"""</formula>
    </cfRule>
    <cfRule type="cellIs" dxfId="2985" priority="31" operator="equal">
      <formula>"NO CUMPLE"</formula>
    </cfRule>
    <cfRule type="cellIs" dxfId="2984" priority="30" operator="equal">
      <formula>"CUMPLE"</formula>
    </cfRule>
  </conditionalFormatting>
  <conditionalFormatting sqref="D56:J66">
    <cfRule type="cellIs" dxfId="2983" priority="13" operator="equal">
      <formula>"NO CUMPLE"</formula>
    </cfRule>
    <cfRule type="notContainsErrors" dxfId="2982" priority="16">
      <formula>NOT(ISERROR(D56))</formula>
    </cfRule>
    <cfRule type="cellIs" dxfId="2981" priority="14" operator="equal">
      <formula>"CUMPLE"</formula>
    </cfRule>
    <cfRule type="containsBlanks" dxfId="2980" priority="15">
      <formula>LEN(TRIM(D56))=0</formula>
    </cfRule>
  </conditionalFormatting>
  <conditionalFormatting sqref="D67:J67">
    <cfRule type="cellIs" dxfId="2979" priority="25" operator="equal">
      <formula>"N/A"</formula>
    </cfRule>
    <cfRule type="cellIs" dxfId="2978" priority="26" operator="equal">
      <formula>"CUMPLE"</formula>
    </cfRule>
    <cfRule type="cellIs" dxfId="2977" priority="28" operator="equal">
      <formula>"""CUMPLE"""</formula>
    </cfRule>
    <cfRule type="cellIs" dxfId="2976" priority="27" operator="equal">
      <formula>"NO CUMPLE"</formula>
    </cfRule>
  </conditionalFormatting>
  <conditionalFormatting sqref="D62:K66">
    <cfRule type="containsBlanks" dxfId="2975" priority="17">
      <formula>LEN(TRIM(D62))=0</formula>
    </cfRule>
    <cfRule type="notContainsErrors" dxfId="2974" priority="18">
      <formula>NOT(ISERROR(D62))</formula>
    </cfRule>
  </conditionalFormatting>
  <conditionalFormatting sqref="E71:E72">
    <cfRule type="notContainsErrors" dxfId="2973" priority="75">
      <formula>NOT(ISERROR(E71))</formula>
    </cfRule>
    <cfRule type="containsBlanks" dxfId="2972" priority="74">
      <formula>LEN(TRIM(E71))=0</formula>
    </cfRule>
  </conditionalFormatting>
  <conditionalFormatting sqref="F22:H22">
    <cfRule type="cellIs" dxfId="2971" priority="102" operator="equal">
      <formula>"NO CUMPLE"</formula>
    </cfRule>
    <cfRule type="cellIs" dxfId="2970" priority="103" operator="equal">
      <formula>"""CUMPLE"""</formula>
    </cfRule>
    <cfRule type="cellIs" dxfId="2969" priority="101" operator="equal">
      <formula>"CUMPLE"</formula>
    </cfRule>
  </conditionalFormatting>
  <conditionalFormatting sqref="G63:J63">
    <cfRule type="containsBlanks" dxfId="2968" priority="9">
      <formula>LEN(TRIM(G63))=0</formula>
    </cfRule>
    <cfRule type="notContainsErrors" dxfId="2967" priority="10">
      <formula>NOT(ISERROR(G63))</formula>
    </cfRule>
  </conditionalFormatting>
  <conditionalFormatting sqref="I11">
    <cfRule type="containsText" dxfId="2966" priority="107" operator="containsText" text="NO CUMPLE">
      <formula>NOT(ISERROR(SEARCH("NO CUMPLE",I11)))</formula>
    </cfRule>
    <cfRule type="containsText" dxfId="2965" priority="106" operator="containsText" text="HABILITADO">
      <formula>NOT(ISERROR(SEARCH("HABILITADO",I11)))</formula>
    </cfRule>
    <cfRule type="containsText" dxfId="2964" priority="105" operator="containsText" text="HABILITADO">
      <formula>NOT(ISERROR(SEARCH("HABILITADO",I11)))</formula>
    </cfRule>
    <cfRule type="containsText" dxfId="2963" priority="104" operator="containsText" text="INHABILITADO">
      <formula>NOT(ISERROR(SEARCH("INHABILITADO",I11)))</formula>
    </cfRule>
  </conditionalFormatting>
  <conditionalFormatting sqref="K18:K20">
    <cfRule type="cellIs" dxfId="2962" priority="72" operator="equal">
      <formula>"NO CUMPLE"</formula>
    </cfRule>
    <cfRule type="cellIs" dxfId="2961" priority="73" operator="equal">
      <formula>"""CUMPLE"""</formula>
    </cfRule>
    <cfRule type="cellIs" dxfId="2960" priority="71" operator="equal">
      <formula>"CUMPLE"</formula>
    </cfRule>
  </conditionalFormatting>
  <conditionalFormatting sqref="K26:K61 D62:J62">
    <cfRule type="containsBlanks" dxfId="2959" priority="11">
      <formula>LEN(TRIM(D26))=0</formula>
    </cfRule>
    <cfRule type="notContainsErrors" dxfId="2958" priority="12">
      <formula>NOT(ISERROR(D26))</formula>
    </cfRule>
  </conditionalFormatting>
  <conditionalFormatting sqref="K67:L67">
    <cfRule type="containsBlanks" dxfId="2957" priority="23">
      <formula>LEN(TRIM(K67))=0</formula>
    </cfRule>
    <cfRule type="notContainsErrors" dxfId="2956" priority="24">
      <formula>NOT(ISERROR(K67))</formula>
    </cfRule>
  </conditionalFormatting>
  <conditionalFormatting sqref="L14">
    <cfRule type="cellIs" dxfId="2955" priority="100" operator="equal">
      <formula>"""CUMPLE"""</formula>
    </cfRule>
    <cfRule type="cellIs" dxfId="2954" priority="99" operator="equal">
      <formula>"NO CUMPLE"</formula>
    </cfRule>
    <cfRule type="cellIs" dxfId="2953" priority="98" operator="equal">
      <formula>"CUMPLE"</formula>
    </cfRule>
  </conditionalFormatting>
  <dataValidations count="2">
    <dataValidation type="list" allowBlank="1" showInputMessage="1" showErrorMessage="1" sqref="D26:J28" xr:uid="{00000000-0002-0000-2E00-000000000000}">
      <formula1>$C$15:$C$21</formula1>
    </dataValidation>
    <dataValidation type="list" allowBlank="1" showInputMessage="1" showErrorMessage="1" sqref="L62:L67" xr:uid="{00000000-0002-0000-2E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2E00-000002000000}">
          <x14:formula1>
            <xm:f>'DATOS INICIALES'!$A$13:$A$50</xm:f>
          </x14:formula1>
          <xm:sqref>G33:I33</xm:sqref>
        </x14:dataValidation>
        <x14:dataValidation type="list" allowBlank="1" showInputMessage="1" showErrorMessage="1" xr:uid="{00000000-0002-0000-2E00-000003000000}">
          <x14:formula1>
            <xm:f>'DATOS INICIALES'!$A$61:$A$66</xm:f>
          </x14:formula1>
          <xm:sqref>D25:I25</xm:sqref>
        </x14:dataValidation>
        <x14:dataValidation type="list" allowBlank="1" showInputMessage="1" showErrorMessage="1" xr:uid="{00000000-0002-0000-2E00-000004000000}">
          <x14:formula1>
            <xm:f>'DATOS INICIALES'!$A$57:$A$59</xm:f>
          </x14:formula1>
          <xm:sqref>D71 D56:J66</xm:sqref>
        </x14:dataValidation>
        <x14:dataValidation type="list" allowBlank="1" showInputMessage="1" showErrorMessage="1" xr:uid="{00000000-0002-0000-2E00-000005000000}">
          <x14:formula1>
            <xm:f>'DATOS INICIALES'!$C$52:$C$53</xm:f>
          </x14:formula1>
          <xm:sqref>D53:J54</xm:sqref>
        </x14:dataValidation>
        <x14:dataValidation type="list" allowBlank="1" showInputMessage="1" showErrorMessage="1" xr:uid="{00000000-0002-0000-2E00-000006000000}">
          <x14:formula1>
            <xm:f>'DATOS INICIALES'!$A$61:$A$67</xm:f>
          </x14:formula1>
          <xm:sqref>J25</xm:sqref>
        </x14:dataValidation>
        <x14:dataValidation type="list" allowBlank="1" showInputMessage="1" showErrorMessage="1" xr:uid="{00000000-0002-0000-2E00-000007000000}">
          <x14:formula1>
            <xm:f>'DATOS INICIALES'!$A$57:$A$58</xm:f>
          </x14:formula1>
          <xm:sqref>D49:J49</xm:sqref>
        </x14:dataValidation>
        <x14:dataValidation type="list" allowBlank="1" showInputMessage="1" showErrorMessage="1" xr:uid="{00000000-0002-0000-2E00-000008000000}">
          <x14:formula1>
            <xm:f>'DATOS INICIALES'!$D$27:$D$29</xm:f>
          </x14:formula1>
          <xm:sqref>M50:M55</xm:sqref>
        </x14:dataValidation>
        <x14:dataValidation type="list" allowBlank="1" showInputMessage="1" showErrorMessage="1" xr:uid="{00000000-0002-0000-2E00-000009000000}">
          <x14:formula1>
            <xm:f>'DATOS INICIALES'!$C$52:$C$54</xm:f>
          </x14:formula1>
          <xm:sqref>D50:J52</xm:sqref>
        </x14:dataValidation>
      </x14:dataValidations>
    </ext>
  </extLst>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rgb="FF92D050"/>
  </sheetPr>
  <dimension ref="A1:N72"/>
  <sheetViews>
    <sheetView view="pageBreakPreview" topLeftCell="A34" zoomScale="55" zoomScaleNormal="25" zoomScaleSheetLayoutView="55" workbookViewId="0">
      <selection activeCell="F56" sqref="F56"/>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42</v>
      </c>
      <c r="B11" s="2" t="s">
        <v>58</v>
      </c>
      <c r="C11" s="413" t="str">
        <f>VLOOKUP(A11,PROPONENTES!A10:B94,2,FALSE)</f>
        <v>CONSERVACIÓN USAQUEN IC</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4</v>
      </c>
      <c r="J14" s="147">
        <f>+L8</f>
        <v>986.3076290832455</v>
      </c>
      <c r="K14" s="147">
        <f>+E22</f>
        <v>7694.7339999999995</v>
      </c>
      <c r="L14" s="18" t="str">
        <f>IF(K14&gt;=J14,"CUMPLE","NO CUMPLE")</f>
        <v>CUMPLE</v>
      </c>
    </row>
    <row r="15" spans="1:12" ht="33.75" customHeight="1" x14ac:dyDescent="0.2">
      <c r="B15" s="382"/>
      <c r="C15" s="92" t="str">
        <f>IF(VLOOKUP(C11,PROPONENTES!B10:N94,2,FALSE)=0,"",VLOOKUP(C11,PROPONENTES!B10:N94,2,FALSE))</f>
        <v xml:space="preserve"> CAYCO S.A.S</v>
      </c>
      <c r="D15" s="93">
        <f>IF(VLOOKUP(C11,PROPONENTES!B10:N94,3,FALSE)=0,"",VLOOKUP(C11,PROPONENTES!B10:N94,3,FALSE))</f>
        <v>0.9</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7694.7339999999995</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xml:space="preserve"> INGEORBE SAS BIC</v>
      </c>
      <c r="D16" s="93">
        <f>IF(VLOOKUP(C11,PROPONENTES!B10:N94,5,FALSE)=0,"",VLOOKUP(C11,PROPONENTES!B10:N94,5,FALSE))</f>
        <v>0.1</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0</v>
      </c>
      <c r="F16" s="95" t="str">
        <f>IF(C16="","",IF(E16&gt;=$J$14*0.5,"SI","NO"))</f>
        <v>NO</v>
      </c>
      <c r="G16" s="96" t="str">
        <f>IF(C16="","",IF(E16&gt;=$J$14*0.05,"SI",IF(E16=0,"NO APORTA EXPERIENCIA",)))</f>
        <v>NO APORTA EXPERIENCIA</v>
      </c>
      <c r="H16" s="96" t="str">
        <f>IF(C16="","",IF(AND(G16="NO APORTA EXPERIENCIA",D16&lt;=10%),"SI",IF(G16="SI","NO APLICA","NO - PORCENTAJE MAYOR AL 10%")))</f>
        <v>SI</v>
      </c>
      <c r="I16" s="162"/>
      <c r="J16" s="162"/>
      <c r="K16" s="162"/>
      <c r="L16" s="161">
        <f>AVERAGEIF(D67:J67,"CUMPLE",D48:J48)</f>
        <v>1923.6834999999999</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1</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4</v>
      </c>
      <c r="J19" s="128">
        <v>1</v>
      </c>
      <c r="K19" s="387"/>
      <c r="L19" s="388"/>
    </row>
    <row r="20" spans="2:14" ht="50.25" customHeight="1" x14ac:dyDescent="0.2">
      <c r="B20" s="382"/>
      <c r="C20" s="92"/>
      <c r="D20" s="93"/>
      <c r="E20" s="94"/>
      <c r="F20" s="95"/>
      <c r="G20" s="96"/>
      <c r="H20" s="96"/>
      <c r="I20" s="128">
        <f>COUNTIFS(D60:J60,"CUMPLE",D67:J67,"CUMPLE")</f>
        <v>4</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4</v>
      </c>
      <c r="J21" s="128">
        <v>1</v>
      </c>
      <c r="K21" s="389"/>
      <c r="L21" s="390"/>
    </row>
    <row r="22" spans="2:14" ht="84.75" customHeight="1" x14ac:dyDescent="0.2">
      <c r="B22" s="29" t="s">
        <v>75</v>
      </c>
      <c r="C22" s="24">
        <f>+VLOOKUP(C11,PROPONENTES!B10:N94,12,FALSE)</f>
        <v>2</v>
      </c>
      <c r="D22" s="93">
        <f>+VLOOKUP(C11,PROPONENTES!B10:N94,13,FALSE)</f>
        <v>1</v>
      </c>
      <c r="E22" s="32">
        <f>SUM(E15:E21)</f>
        <v>7694.7339999999995</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768</v>
      </c>
      <c r="E26" s="84" t="s">
        <v>768</v>
      </c>
      <c r="F26" s="84" t="s">
        <v>768</v>
      </c>
      <c r="G26" s="84" t="s">
        <v>768</v>
      </c>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270" t="s">
        <v>828</v>
      </c>
      <c r="E29" s="271" t="s">
        <v>829</v>
      </c>
      <c r="F29" s="270" t="s">
        <v>830</v>
      </c>
      <c r="G29" s="270" t="s">
        <v>831</v>
      </c>
      <c r="H29" s="85"/>
      <c r="I29" s="85"/>
      <c r="J29" s="85"/>
      <c r="K29" s="145"/>
      <c r="L29" s="140"/>
    </row>
    <row r="30" spans="2:14" ht="156.75" customHeight="1" x14ac:dyDescent="0.2">
      <c r="B30" s="374"/>
      <c r="C30" s="25" t="s">
        <v>84</v>
      </c>
      <c r="D30" s="85" t="s">
        <v>832</v>
      </c>
      <c r="E30" s="272" t="s">
        <v>833</v>
      </c>
      <c r="F30" s="273" t="s">
        <v>834</v>
      </c>
      <c r="G30" s="273" t="s">
        <v>835</v>
      </c>
      <c r="H30" s="85"/>
      <c r="I30" s="85"/>
      <c r="J30" s="85"/>
      <c r="K30" s="145"/>
      <c r="L30" s="140"/>
    </row>
    <row r="31" spans="2:14" ht="52.5" customHeight="1" x14ac:dyDescent="0.2">
      <c r="B31" s="374"/>
      <c r="C31" s="25" t="s">
        <v>85</v>
      </c>
      <c r="D31" s="274">
        <v>39615</v>
      </c>
      <c r="E31" s="274">
        <v>42024</v>
      </c>
      <c r="F31" s="274">
        <v>41974</v>
      </c>
      <c r="G31" s="274">
        <v>37739</v>
      </c>
      <c r="H31" s="89"/>
      <c r="I31" s="89"/>
      <c r="J31" s="89"/>
      <c r="K31" s="145"/>
      <c r="L31" s="140"/>
    </row>
    <row r="32" spans="2:14" ht="54.75" customHeight="1" x14ac:dyDescent="0.2">
      <c r="B32" s="374"/>
      <c r="C32" s="25" t="s">
        <v>86</v>
      </c>
      <c r="D32" s="274">
        <v>41152</v>
      </c>
      <c r="E32" s="274">
        <v>42855</v>
      </c>
      <c r="F32" s="274">
        <v>42720</v>
      </c>
      <c r="G32" s="274">
        <v>38105</v>
      </c>
      <c r="H32" s="89"/>
      <c r="I32" s="89"/>
      <c r="J32" s="89"/>
      <c r="K32" s="145"/>
      <c r="L32" s="140"/>
    </row>
    <row r="33" spans="2:12" ht="41.25" customHeight="1" x14ac:dyDescent="0.2">
      <c r="B33" s="374"/>
      <c r="C33" s="25" t="s">
        <v>87</v>
      </c>
      <c r="D33" s="86">
        <v>2012</v>
      </c>
      <c r="E33" s="86">
        <v>2017</v>
      </c>
      <c r="F33" s="86">
        <v>2016</v>
      </c>
      <c r="G33" s="86">
        <v>2004</v>
      </c>
      <c r="H33" s="86"/>
      <c r="I33" s="86"/>
      <c r="J33" s="86"/>
      <c r="K33" s="145"/>
      <c r="L33" s="140"/>
    </row>
    <row r="34" spans="2:12" ht="63" customHeight="1" x14ac:dyDescent="0.2">
      <c r="B34" s="374"/>
      <c r="C34" s="25" t="s">
        <v>88</v>
      </c>
      <c r="D34" s="270" t="s">
        <v>836</v>
      </c>
      <c r="E34" s="270" t="s">
        <v>837</v>
      </c>
      <c r="F34" s="270" t="s">
        <v>836</v>
      </c>
      <c r="G34" s="270" t="s">
        <v>836</v>
      </c>
      <c r="H34" s="85"/>
      <c r="I34" s="85"/>
      <c r="J34" s="85"/>
      <c r="K34" s="145"/>
      <c r="L34" s="140"/>
    </row>
    <row r="35" spans="2:12" ht="46.5" customHeight="1" x14ac:dyDescent="0.2">
      <c r="B35" s="374"/>
      <c r="C35" s="25" t="s">
        <v>89</v>
      </c>
      <c r="D35" s="85" t="s">
        <v>838</v>
      </c>
      <c r="E35" s="85" t="s">
        <v>839</v>
      </c>
      <c r="F35" s="85" t="s">
        <v>840</v>
      </c>
      <c r="G35" s="85" t="s">
        <v>841</v>
      </c>
      <c r="H35" s="85"/>
      <c r="I35" s="85"/>
      <c r="J35" s="85"/>
      <c r="K35" s="145"/>
      <c r="L35" s="140"/>
    </row>
    <row r="36" spans="2:12" ht="27.75" customHeight="1" x14ac:dyDescent="0.2">
      <c r="B36" s="374"/>
      <c r="C36" s="26" t="s">
        <v>90</v>
      </c>
      <c r="D36" s="275">
        <v>22</v>
      </c>
      <c r="E36" s="276">
        <v>43</v>
      </c>
      <c r="F36" s="275">
        <v>40</v>
      </c>
      <c r="G36" s="275">
        <v>3</v>
      </c>
      <c r="H36" s="91"/>
      <c r="I36" s="91"/>
      <c r="J36" s="91"/>
      <c r="K36" s="145"/>
      <c r="L36" s="140"/>
    </row>
    <row r="37" spans="2:12" ht="102.75" customHeight="1" x14ac:dyDescent="0.2">
      <c r="B37" s="374"/>
      <c r="C37" s="25" t="s">
        <v>91</v>
      </c>
      <c r="D37" s="87">
        <v>34912.21</v>
      </c>
      <c r="E37" s="158">
        <v>7876.61</v>
      </c>
      <c r="F37" s="87">
        <v>1588.54</v>
      </c>
      <c r="G37" s="87">
        <v>1259.95</v>
      </c>
      <c r="H37" s="87"/>
      <c r="I37" s="87"/>
      <c r="J37" s="87"/>
      <c r="K37" s="242"/>
      <c r="L37" s="243"/>
    </row>
    <row r="38" spans="2:12" ht="48" customHeight="1" x14ac:dyDescent="0.2">
      <c r="B38" s="374"/>
      <c r="C38" s="25" t="s">
        <v>92</v>
      </c>
      <c r="D38" s="97">
        <f>IFERROR(D37*VLOOKUP(D33,'DATOS INICIALES'!$A$12:$B$50,2,0),"0")</f>
        <v>19784749407</v>
      </c>
      <c r="E38" s="97">
        <f>IFERROR(E37*VLOOKUP(E33,'DATOS INICIALES'!$A$12:$B$50,2,0),"0")</f>
        <v>5810709099.3699999</v>
      </c>
      <c r="F38" s="97">
        <f>IFERROR(F37*VLOOKUP(F33,'DATOS INICIALES'!$A$12:$B$50,2,0),"0")</f>
        <v>1095226845.7</v>
      </c>
      <c r="G38" s="97">
        <f>IFERROR(G37*VLOOKUP(G33,'DATOS INICIALES'!$A$12:$B$50,2,0),"0")</f>
        <v>451062100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0.1</v>
      </c>
      <c r="E39" s="88">
        <v>0.3</v>
      </c>
      <c r="F39" s="88">
        <v>1</v>
      </c>
      <c r="G39" s="88">
        <v>0.2</v>
      </c>
      <c r="H39" s="88"/>
      <c r="I39" s="88"/>
      <c r="J39" s="88"/>
      <c r="K39" s="145"/>
      <c r="L39" s="140"/>
    </row>
    <row r="40" spans="2:12" ht="48.75" customHeight="1" x14ac:dyDescent="0.2">
      <c r="B40" s="374"/>
      <c r="C40" s="25" t="s">
        <v>94</v>
      </c>
      <c r="D40" s="97">
        <f t="shared" ref="D40:J40" si="0">IF(D26="","0",D39*D38)</f>
        <v>1978474940.7</v>
      </c>
      <c r="E40" s="97">
        <f t="shared" si="0"/>
        <v>1743212729.8109999</v>
      </c>
      <c r="F40" s="97">
        <f t="shared" si="0"/>
        <v>1095226845.7</v>
      </c>
      <c r="G40" s="97">
        <f t="shared" si="0"/>
        <v>90212420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3491.221</v>
      </c>
      <c r="E41" s="98">
        <f t="shared" si="1"/>
        <v>2362.9829999999997</v>
      </c>
      <c r="F41" s="98">
        <f t="shared" si="1"/>
        <v>1588.54</v>
      </c>
      <c r="G41" s="98">
        <f t="shared" si="1"/>
        <v>251.99</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3491.221</v>
      </c>
      <c r="E48" s="98">
        <f t="shared" ref="E48:G48" si="6">+E41+E44+E47</f>
        <v>2362.9829999999997</v>
      </c>
      <c r="F48" s="98">
        <f t="shared" si="6"/>
        <v>1588.54</v>
      </c>
      <c r="G48" s="98">
        <f t="shared" si="6"/>
        <v>251.99</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CUMPLE</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26</v>
      </c>
      <c r="E57" s="84" t="s">
        <v>26</v>
      </c>
      <c r="F57" s="84" t="s">
        <v>24</v>
      </c>
      <c r="G57" s="84" t="s">
        <v>26</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CUMPLE</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2952" priority="75" operator="equal">
      <formula>"CUMPLE"</formula>
    </cfRule>
    <cfRule type="containsBlanks" dxfId="2951" priority="72">
      <formula>LEN(TRIM(D71))=0</formula>
    </cfRule>
    <cfRule type="notContainsErrors" dxfId="2950" priority="73">
      <formula>NOT(ISERROR(D71))</formula>
    </cfRule>
    <cfRule type="cellIs" dxfId="2949" priority="74" operator="equal">
      <formula>"NO CUMPLE"</formula>
    </cfRule>
  </conditionalFormatting>
  <conditionalFormatting sqref="D72">
    <cfRule type="cellIs" dxfId="2948" priority="77" operator="equal">
      <formula>"CUMPLE"</formula>
    </cfRule>
    <cfRule type="cellIs" dxfId="2947" priority="76" operator="equal">
      <formula>"N/A"</formula>
    </cfRule>
    <cfRule type="cellIs" dxfId="2946" priority="79" operator="equal">
      <formula>"""CUMPLE"""</formula>
    </cfRule>
    <cfRule type="cellIs" dxfId="2945" priority="78" operator="equal">
      <formula>"NO CUMPLE"</formula>
    </cfRule>
  </conditionalFormatting>
  <conditionalFormatting sqref="D26:J37">
    <cfRule type="notContainsErrors" dxfId="2944" priority="4">
      <formula>NOT(ISERROR(D26))</formula>
    </cfRule>
    <cfRule type="containsBlanks" dxfId="2943" priority="3">
      <formula>LEN(TRIM(D26))=0</formula>
    </cfRule>
  </conditionalFormatting>
  <conditionalFormatting sqref="D36:J36">
    <cfRule type="notContainsErrors" dxfId="2942" priority="6">
      <formula>NOT(ISERROR(D36))</formula>
    </cfRule>
    <cfRule type="containsBlanks" dxfId="2941" priority="5">
      <formula>LEN(TRIM(D36))=0</formula>
    </cfRule>
  </conditionalFormatting>
  <conditionalFormatting sqref="D39:J39">
    <cfRule type="containsBlanks" dxfId="2940" priority="1">
      <formula>LEN(TRIM(D39))=0</formula>
    </cfRule>
    <cfRule type="notContainsErrors" dxfId="2939" priority="2">
      <formula>NOT(ISERROR(D39))</formula>
    </cfRule>
  </conditionalFormatting>
  <conditionalFormatting sqref="D42:J42 D45:J45">
    <cfRule type="notContainsErrors" dxfId="2938" priority="38">
      <formula>NOT(ISERROR(D42))</formula>
    </cfRule>
    <cfRule type="containsBlanks" dxfId="2937" priority="37">
      <formula>LEN(TRIM(D42))=0</formula>
    </cfRule>
  </conditionalFormatting>
  <conditionalFormatting sqref="D49:J54">
    <cfRule type="cellIs" dxfId="2936" priority="17" operator="equal">
      <formula>"NO CUMPLE"</formula>
    </cfRule>
    <cfRule type="cellIs" dxfId="2935" priority="18" operator="equal">
      <formula>"CUMPLE"</formula>
    </cfRule>
    <cfRule type="containsBlanks" dxfId="2934" priority="19">
      <formula>LEN(TRIM(D49))=0</formula>
    </cfRule>
    <cfRule type="notContainsErrors" dxfId="2933" priority="20">
      <formula>NOT(ISERROR(D49))</formula>
    </cfRule>
  </conditionalFormatting>
  <conditionalFormatting sqref="D55:J55">
    <cfRule type="cellIs" dxfId="2932" priority="28" operator="equal">
      <formula>"CUMPLE"</formula>
    </cfRule>
    <cfRule type="cellIs" dxfId="2931" priority="30" operator="equal">
      <formula>"""CUMPLE"""</formula>
    </cfRule>
    <cfRule type="cellIs" dxfId="2930" priority="29" operator="equal">
      <formula>"NO CUMPLE"</formula>
    </cfRule>
    <cfRule type="cellIs" dxfId="2929" priority="27" operator="equal">
      <formula>"N/A"</formula>
    </cfRule>
  </conditionalFormatting>
  <conditionalFormatting sqref="D56:J66">
    <cfRule type="cellIs" dxfId="2928" priority="11" operator="equal">
      <formula>"NO CUMPLE"</formula>
    </cfRule>
    <cfRule type="notContainsErrors" dxfId="2927" priority="14">
      <formula>NOT(ISERROR(D56))</formula>
    </cfRule>
    <cfRule type="containsBlanks" dxfId="2926" priority="13">
      <formula>LEN(TRIM(D56))=0</formula>
    </cfRule>
    <cfRule type="cellIs" dxfId="2925" priority="12" operator="equal">
      <formula>"CUMPLE"</formula>
    </cfRule>
  </conditionalFormatting>
  <conditionalFormatting sqref="D67:J67">
    <cfRule type="cellIs" dxfId="2924" priority="23" operator="equal">
      <formula>"N/A"</formula>
    </cfRule>
    <cfRule type="cellIs" dxfId="2923" priority="24" operator="equal">
      <formula>"CUMPLE"</formula>
    </cfRule>
    <cfRule type="cellIs" dxfId="2922" priority="26" operator="equal">
      <formula>"""CUMPLE"""</formula>
    </cfRule>
    <cfRule type="cellIs" dxfId="2921" priority="25" operator="equal">
      <formula>"NO CUMPLE"</formula>
    </cfRule>
  </conditionalFormatting>
  <conditionalFormatting sqref="D62:K66">
    <cfRule type="containsBlanks" dxfId="2920" priority="15">
      <formula>LEN(TRIM(D62))=0</formula>
    </cfRule>
    <cfRule type="notContainsErrors" dxfId="2919" priority="16">
      <formula>NOT(ISERROR(D62))</formula>
    </cfRule>
  </conditionalFormatting>
  <conditionalFormatting sqref="E71:E72">
    <cfRule type="notContainsErrors" dxfId="2918" priority="71">
      <formula>NOT(ISERROR(E71))</formula>
    </cfRule>
    <cfRule type="containsBlanks" dxfId="2917" priority="70">
      <formula>LEN(TRIM(E71))=0</formula>
    </cfRule>
  </conditionalFormatting>
  <conditionalFormatting sqref="F22:H22">
    <cfRule type="cellIs" dxfId="2916" priority="98" operator="equal">
      <formula>"NO CUMPLE"</formula>
    </cfRule>
    <cfRule type="cellIs" dxfId="2915" priority="99" operator="equal">
      <formula>"""CUMPLE"""</formula>
    </cfRule>
    <cfRule type="cellIs" dxfId="2914" priority="97" operator="equal">
      <formula>"CUMPLE"</formula>
    </cfRule>
  </conditionalFormatting>
  <conditionalFormatting sqref="G63:J63">
    <cfRule type="containsBlanks" dxfId="2913" priority="7">
      <formula>LEN(TRIM(G63))=0</formula>
    </cfRule>
    <cfRule type="notContainsErrors" dxfId="2912" priority="8">
      <formula>NOT(ISERROR(G63))</formula>
    </cfRule>
  </conditionalFormatting>
  <conditionalFormatting sqref="I11">
    <cfRule type="containsText" dxfId="2911" priority="103" operator="containsText" text="NO CUMPLE">
      <formula>NOT(ISERROR(SEARCH("NO CUMPLE",I11)))</formula>
    </cfRule>
    <cfRule type="containsText" dxfId="2910" priority="102" operator="containsText" text="HABILITADO">
      <formula>NOT(ISERROR(SEARCH("HABILITADO",I11)))</formula>
    </cfRule>
    <cfRule type="containsText" dxfId="2909" priority="101" operator="containsText" text="HABILITADO">
      <formula>NOT(ISERROR(SEARCH("HABILITADO",I11)))</formula>
    </cfRule>
    <cfRule type="containsText" dxfId="2908" priority="100" operator="containsText" text="INHABILITADO">
      <formula>NOT(ISERROR(SEARCH("INHABILITADO",I11)))</formula>
    </cfRule>
  </conditionalFormatting>
  <conditionalFormatting sqref="K18:K20">
    <cfRule type="cellIs" dxfId="2907" priority="68" operator="equal">
      <formula>"NO CUMPLE"</formula>
    </cfRule>
    <cfRule type="cellIs" dxfId="2906" priority="69" operator="equal">
      <formula>"""CUMPLE"""</formula>
    </cfRule>
    <cfRule type="cellIs" dxfId="2905" priority="67" operator="equal">
      <formula>"CUMPLE"</formula>
    </cfRule>
  </conditionalFormatting>
  <conditionalFormatting sqref="K26:K61 D62:J62">
    <cfRule type="containsBlanks" dxfId="2904" priority="9">
      <formula>LEN(TRIM(D26))=0</formula>
    </cfRule>
    <cfRule type="notContainsErrors" dxfId="2903" priority="10">
      <formula>NOT(ISERROR(D26))</formula>
    </cfRule>
  </conditionalFormatting>
  <conditionalFormatting sqref="K67:L67">
    <cfRule type="containsBlanks" dxfId="2902" priority="21">
      <formula>LEN(TRIM(K67))=0</formula>
    </cfRule>
    <cfRule type="notContainsErrors" dxfId="2901" priority="22">
      <formula>NOT(ISERROR(K67))</formula>
    </cfRule>
  </conditionalFormatting>
  <conditionalFormatting sqref="L14">
    <cfRule type="cellIs" dxfId="2900" priority="96" operator="equal">
      <formula>"""CUMPLE"""</formula>
    </cfRule>
    <cfRule type="cellIs" dxfId="2899" priority="95" operator="equal">
      <formula>"NO CUMPLE"</formula>
    </cfRule>
    <cfRule type="cellIs" dxfId="2898" priority="94" operator="equal">
      <formula>"CUMPLE"</formula>
    </cfRule>
  </conditionalFormatting>
  <dataValidations count="2">
    <dataValidation type="list" allowBlank="1" showInputMessage="1" showErrorMessage="1" sqref="L62:L67" xr:uid="{00000000-0002-0000-2F00-000000000000}">
      <formula1>"0,1,2,3,4,5,6"</formula1>
    </dataValidation>
    <dataValidation type="list" allowBlank="1" showInputMessage="1" showErrorMessage="1" sqref="D26:J28" xr:uid="{00000000-0002-0000-2F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2F00-000002000000}">
          <x14:formula1>
            <xm:f>'DATOS INICIALES'!$A$57:$A$58</xm:f>
          </x14:formula1>
          <xm:sqref>D49:J49</xm:sqref>
        </x14:dataValidation>
        <x14:dataValidation type="list" allowBlank="1" showInputMessage="1" showErrorMessage="1" xr:uid="{00000000-0002-0000-2F00-000003000000}">
          <x14:formula1>
            <xm:f>'DATOS INICIALES'!$A$61:$A$67</xm:f>
          </x14:formula1>
          <xm:sqref>J25</xm:sqref>
        </x14:dataValidation>
        <x14:dataValidation type="list" allowBlank="1" showInputMessage="1" showErrorMessage="1" xr:uid="{00000000-0002-0000-2F00-000004000000}">
          <x14:formula1>
            <xm:f>'DATOS INICIALES'!$C$52:$C$53</xm:f>
          </x14:formula1>
          <xm:sqref>D53:J54</xm:sqref>
        </x14:dataValidation>
        <x14:dataValidation type="list" allowBlank="1" showInputMessage="1" showErrorMessage="1" xr:uid="{00000000-0002-0000-2F00-000005000000}">
          <x14:formula1>
            <xm:f>'DATOS INICIALES'!$A$57:$A$59</xm:f>
          </x14:formula1>
          <xm:sqref>D71 D56:J66</xm:sqref>
        </x14:dataValidation>
        <x14:dataValidation type="list" allowBlank="1" showInputMessage="1" showErrorMessage="1" xr:uid="{00000000-0002-0000-2F00-000006000000}">
          <x14:formula1>
            <xm:f>'DATOS INICIALES'!$A$61:$A$66</xm:f>
          </x14:formula1>
          <xm:sqref>D25:I25</xm:sqref>
        </x14:dataValidation>
        <x14:dataValidation type="list" allowBlank="1" showInputMessage="1" showErrorMessage="1" xr:uid="{00000000-0002-0000-2F00-000007000000}">
          <x14:formula1>
            <xm:f>'DATOS INICIALES'!$A$13:$A$50</xm:f>
          </x14:formula1>
          <xm:sqref>H33:I33</xm:sqref>
        </x14:dataValidation>
        <x14:dataValidation type="list" allowBlank="1" showInputMessage="1" showErrorMessage="1" xr:uid="{00000000-0002-0000-2F00-000008000000}">
          <x14:formula1>
            <xm:f>'DATOS INICIALES'!$D$27:$D$29</xm:f>
          </x14:formula1>
          <xm:sqref>M50:M55</xm:sqref>
        </x14:dataValidation>
        <x14:dataValidation type="list" allowBlank="1" showInputMessage="1" showErrorMessage="1" xr:uid="{00000000-0002-0000-2F00-000009000000}">
          <x14:formula1>
            <xm:f>'DATOS INICIALES'!$C$52:$C$54</xm:f>
          </x14:formula1>
          <xm:sqref>D50:J52</xm:sqref>
        </x14:dataValidation>
        <x14:dataValidation type="list" allowBlank="1" showInputMessage="1" showErrorMessage="1" xr:uid="{00000000-0002-0000-2F00-00000A000000}">
          <x14:formula1>
            <xm:f>'/Users/ldrr/Desktop/SDDE/REVISION DE CARPETAS/C:\Users\ASUS\OneDrive\Escritorio\alcaldia local de usaquen\2025\16. EVALUACION DE PROCESOS\INTERVENTORIA DE VIAS\consolidado equipo\[JUAN CAMILO_ Evaluación_Tecnica_fdlusa-CMA-003-2025.xlsx]DATOS INICIALES'!#REF!</xm:f>
          </x14:formula1>
          <xm:sqref>G33</xm:sqref>
        </x14:dataValidation>
      </x14:dataValidations>
    </ext>
  </extLst>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rgb="FF92D050"/>
  </sheetPr>
  <dimension ref="A1:N72"/>
  <sheetViews>
    <sheetView view="pageBreakPreview" topLeftCell="A37" zoomScale="55" zoomScaleNormal="25" zoomScaleSheetLayoutView="55" workbookViewId="0">
      <selection activeCell="E30" sqref="E30"/>
    </sheetView>
  </sheetViews>
  <sheetFormatPr baseColWidth="10" defaultColWidth="11.5" defaultRowHeight="15" x14ac:dyDescent="0.2"/>
  <cols>
    <col min="1" max="1" width="5.5" customWidth="1"/>
    <col min="2" max="2" width="30.83203125" customWidth="1"/>
    <col min="3" max="3" width="63.1640625" customWidth="1"/>
    <col min="4" max="4" width="56" customWidth="1"/>
    <col min="5" max="5" width="43.33203125" customWidth="1"/>
    <col min="6" max="6" width="38.6640625" customWidth="1"/>
    <col min="7"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43</v>
      </c>
      <c r="B11" s="2" t="s">
        <v>58</v>
      </c>
      <c r="C11" s="413" t="str">
        <f>VLOOKUP(A11,PROPONENTES!A10:B94,2,FALSE)</f>
        <v>CONSORCIO HGR–INCON 13</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3</v>
      </c>
      <c r="J14" s="147">
        <f>+L8</f>
        <v>986.3076290832455</v>
      </c>
      <c r="K14" s="147">
        <f>+E22</f>
        <v>5799.366</v>
      </c>
      <c r="L14" s="18" t="str">
        <f>IF(K14&gt;=J14,"CUMPLE","NO CUMPLE")</f>
        <v>CUMPLE</v>
      </c>
    </row>
    <row r="15" spans="1:12" ht="33.75" customHeight="1" x14ac:dyDescent="0.2">
      <c r="B15" s="382"/>
      <c r="C15" s="92" t="str">
        <f>IF(VLOOKUP(C11,PROPONENTES!B10:N94,2,FALSE)=0,"",VLOOKUP(C11,PROPONENTES!B10:N94,2,FALSE))</f>
        <v>INTERVENTORIAS Y CONSTRUCCIONES S.A.S.</v>
      </c>
      <c r="D15" s="93">
        <f>IF(VLOOKUP(C11,PROPONENTES!B10:N94,3,FALSE)=0,"",VLOOKUP(C11,PROPONENTES!B10:N94,3,FALSE))</f>
        <v>0.95</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5669.9989999999998</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HGR CONSULTORIA S.A.S</v>
      </c>
      <c r="D16" s="93">
        <f>IF(VLOOKUP(C11,PROPONENTES!B10:N94,5,FALSE)=0,"",VLOOKUP(C11,PROPONENTES!B10:N94,5,FALSE))</f>
        <v>0.05</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129.36700000000002</v>
      </c>
      <c r="F16" s="95" t="str">
        <f>IF(C16="","",IF(E16&gt;=$J$14*0.5,"SI","NO"))</f>
        <v>NO</v>
      </c>
      <c r="G16" s="96" t="str">
        <f>IF(C16="","",IF(E16&gt;=$J$14*0.05,"SI",IF(E16=0,"NO APORTA EXPERIENCIA",)))</f>
        <v>SI</v>
      </c>
      <c r="H16" s="96" t="str">
        <f>IF(C16="","",IF(AND(G16="NO APORTA EXPERIENCIA",D16&lt;=10%),"SI",IF(G16="SI","NO APLICA","NO - PORCENTAJE MAYOR AL 10%")))</f>
        <v>NO APLICA</v>
      </c>
      <c r="I16" s="162"/>
      <c r="J16" s="162"/>
      <c r="K16" s="162"/>
      <c r="L16" s="161">
        <f>AVERAGEIF(D67:J67,"CUMPLE",D48:J48)</f>
        <v>1933.1220000000001</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1</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3</v>
      </c>
      <c r="J19" s="128">
        <v>1</v>
      </c>
      <c r="K19" s="387"/>
      <c r="L19" s="388"/>
    </row>
    <row r="20" spans="2:14" ht="50.25" customHeight="1" x14ac:dyDescent="0.2">
      <c r="B20" s="382"/>
      <c r="C20" s="92"/>
      <c r="D20" s="93"/>
      <c r="E20" s="94"/>
      <c r="F20" s="95"/>
      <c r="G20" s="96"/>
      <c r="H20" s="96"/>
      <c r="I20" s="128">
        <f>COUNTIFS(D60:J60,"CUMPLE",D67:J67,"CUMPLE")</f>
        <v>3</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3</v>
      </c>
      <c r="J21" s="128">
        <v>1</v>
      </c>
      <c r="K21" s="389"/>
      <c r="L21" s="390"/>
    </row>
    <row r="22" spans="2:14" ht="84.75" customHeight="1" x14ac:dyDescent="0.2">
      <c r="B22" s="29" t="s">
        <v>75</v>
      </c>
      <c r="C22" s="24">
        <f>+VLOOKUP(C11,PROPONENTES!B10:N94,12,FALSE)</f>
        <v>2</v>
      </c>
      <c r="D22" s="93">
        <f>+VLOOKUP(C11,PROPONENTES!B10:N94,13,FALSE)</f>
        <v>1</v>
      </c>
      <c r="E22" s="32">
        <f>SUM(E15:E21)</f>
        <v>5799.366</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770</v>
      </c>
      <c r="E26" s="84" t="s">
        <v>770</v>
      </c>
      <c r="F26" s="84" t="s">
        <v>770</v>
      </c>
      <c r="G26" s="84"/>
      <c r="H26" s="84"/>
      <c r="I26" s="84"/>
      <c r="J26" s="84"/>
      <c r="K26" s="145"/>
      <c r="L26" s="140"/>
    </row>
    <row r="27" spans="2:14" ht="39.75" customHeight="1" x14ac:dyDescent="0.2">
      <c r="B27" s="371" t="s">
        <v>80</v>
      </c>
      <c r="C27" s="372"/>
      <c r="D27" s="84"/>
      <c r="E27" s="84"/>
      <c r="F27" s="84" t="s">
        <v>771</v>
      </c>
      <c r="G27" s="84"/>
      <c r="H27" s="84"/>
      <c r="I27" s="84"/>
      <c r="J27" s="84"/>
      <c r="K27" s="145"/>
      <c r="L27" s="140"/>
    </row>
    <row r="28" spans="2:14" ht="39.75" customHeight="1" x14ac:dyDescent="0.2">
      <c r="B28" s="371" t="s">
        <v>81</v>
      </c>
      <c r="C28" s="372"/>
      <c r="D28" s="284"/>
      <c r="E28" s="284"/>
      <c r="F28" s="284"/>
      <c r="G28" s="84"/>
      <c r="H28" s="84"/>
      <c r="I28" s="84"/>
      <c r="J28" s="84"/>
      <c r="K28" s="145"/>
      <c r="L28" s="140"/>
    </row>
    <row r="29" spans="2:14" ht="45.75" customHeight="1" x14ac:dyDescent="0.2">
      <c r="B29" s="373" t="s">
        <v>82</v>
      </c>
      <c r="C29" s="25" t="s">
        <v>83</v>
      </c>
      <c r="D29" s="277" t="s">
        <v>842</v>
      </c>
      <c r="E29" s="277" t="s">
        <v>843</v>
      </c>
      <c r="F29" s="278" t="s">
        <v>844</v>
      </c>
      <c r="G29" s="85"/>
      <c r="H29" s="85"/>
      <c r="I29" s="85"/>
      <c r="J29" s="85"/>
      <c r="K29" s="145"/>
      <c r="L29" s="140"/>
    </row>
    <row r="30" spans="2:14" ht="156.75" customHeight="1" x14ac:dyDescent="0.2">
      <c r="B30" s="374"/>
      <c r="C30" s="25" t="s">
        <v>84</v>
      </c>
      <c r="D30" s="285" t="s">
        <v>845</v>
      </c>
      <c r="E30" s="279" t="s">
        <v>846</v>
      </c>
      <c r="F30" s="286" t="s">
        <v>847</v>
      </c>
      <c r="G30" s="85"/>
      <c r="H30" s="85"/>
      <c r="I30" s="85"/>
      <c r="J30" s="85"/>
      <c r="K30" s="145"/>
      <c r="L30" s="140"/>
    </row>
    <row r="31" spans="2:14" ht="52.5" customHeight="1" x14ac:dyDescent="0.2">
      <c r="B31" s="374"/>
      <c r="C31" s="25" t="s">
        <v>85</v>
      </c>
      <c r="D31" s="280">
        <v>41429</v>
      </c>
      <c r="E31" s="280">
        <v>41646</v>
      </c>
      <c r="F31" s="281">
        <v>44896</v>
      </c>
      <c r="G31" s="89"/>
      <c r="H31" s="89"/>
      <c r="I31" s="89"/>
      <c r="J31" s="89"/>
      <c r="K31" s="145"/>
      <c r="L31" s="140"/>
    </row>
    <row r="32" spans="2:14" ht="54.75" customHeight="1" x14ac:dyDescent="0.2">
      <c r="B32" s="374"/>
      <c r="C32" s="25" t="s">
        <v>86</v>
      </c>
      <c r="D32" s="280">
        <v>42497</v>
      </c>
      <c r="E32" s="280">
        <v>42582</v>
      </c>
      <c r="F32" s="281">
        <v>45550</v>
      </c>
      <c r="G32" s="89"/>
      <c r="H32" s="89"/>
      <c r="I32" s="89"/>
      <c r="J32" s="89"/>
      <c r="K32" s="145"/>
      <c r="L32" s="140"/>
    </row>
    <row r="33" spans="2:12" ht="41.25" customHeight="1" x14ac:dyDescent="0.2">
      <c r="B33" s="374"/>
      <c r="C33" s="25" t="s">
        <v>87</v>
      </c>
      <c r="D33" s="86">
        <v>2016</v>
      </c>
      <c r="E33" s="86">
        <v>2016</v>
      </c>
      <c r="F33" s="86">
        <v>2024</v>
      </c>
      <c r="G33" s="86"/>
      <c r="H33" s="86"/>
      <c r="I33" s="86"/>
      <c r="J33" s="86"/>
      <c r="K33" s="145"/>
      <c r="L33" s="140"/>
    </row>
    <row r="34" spans="2:12" ht="63" customHeight="1" x14ac:dyDescent="0.2">
      <c r="B34" s="374"/>
      <c r="C34" s="25" t="s">
        <v>88</v>
      </c>
      <c r="D34" s="277" t="s">
        <v>848</v>
      </c>
      <c r="E34" s="277" t="s">
        <v>322</v>
      </c>
      <c r="F34" s="278" t="s">
        <v>849</v>
      </c>
      <c r="G34" s="85"/>
      <c r="H34" s="85"/>
      <c r="I34" s="85"/>
      <c r="J34" s="85"/>
      <c r="K34" s="145"/>
      <c r="L34" s="140"/>
    </row>
    <row r="35" spans="2:12" ht="46.5" customHeight="1" x14ac:dyDescent="0.2">
      <c r="B35" s="374"/>
      <c r="C35" s="25" t="s">
        <v>89</v>
      </c>
      <c r="D35" s="85" t="s">
        <v>770</v>
      </c>
      <c r="E35" s="85" t="s">
        <v>850</v>
      </c>
      <c r="F35" s="85" t="s">
        <v>851</v>
      </c>
      <c r="G35" s="85"/>
      <c r="H35" s="85"/>
      <c r="I35" s="85"/>
      <c r="J35" s="85"/>
      <c r="K35" s="145"/>
      <c r="L35" s="140"/>
    </row>
    <row r="36" spans="2:12" ht="27.75" customHeight="1" x14ac:dyDescent="0.2">
      <c r="B36" s="374"/>
      <c r="C36" s="26" t="s">
        <v>90</v>
      </c>
      <c r="D36" s="282">
        <v>60</v>
      </c>
      <c r="E36" s="282">
        <v>59</v>
      </c>
      <c r="F36" s="283" t="s">
        <v>852</v>
      </c>
      <c r="G36" s="91"/>
      <c r="H36" s="91"/>
      <c r="I36" s="91"/>
      <c r="J36" s="91"/>
      <c r="K36" s="145"/>
      <c r="L36" s="140"/>
    </row>
    <row r="37" spans="2:12" ht="102.75" customHeight="1" x14ac:dyDescent="0.2">
      <c r="B37" s="374"/>
      <c r="C37" s="25" t="s">
        <v>91</v>
      </c>
      <c r="D37" s="87">
        <v>1203.94</v>
      </c>
      <c r="E37" s="87">
        <v>6693.62</v>
      </c>
      <c r="F37" s="87">
        <v>2587.34</v>
      </c>
      <c r="G37" s="87"/>
      <c r="H37" s="87"/>
      <c r="I37" s="87"/>
      <c r="J37" s="87"/>
      <c r="K37" s="242"/>
      <c r="L37" s="243"/>
    </row>
    <row r="38" spans="2:12" ht="48" customHeight="1" x14ac:dyDescent="0.2">
      <c r="B38" s="374"/>
      <c r="C38" s="25" t="s">
        <v>92</v>
      </c>
      <c r="D38" s="97">
        <f>IFERROR(D37*VLOOKUP(D33,'DATOS INICIALES'!$A$12:$B$50,2,0),"0")</f>
        <v>830062452.70000005</v>
      </c>
      <c r="E38" s="97">
        <f>IFERROR(E37*VLOOKUP(E33,'DATOS INICIALES'!$A$12:$B$50,2,0),"0")</f>
        <v>4614949777.1000004</v>
      </c>
      <c r="F38" s="97">
        <f>IFERROR(F37*VLOOKUP(F33,'DATOS INICIALES'!$A$12:$B$50,2,0),"0")</f>
        <v>3363542000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1</v>
      </c>
      <c r="E39" s="88">
        <v>0.3</v>
      </c>
      <c r="F39" s="88">
        <v>0.95</v>
      </c>
      <c r="G39" s="88"/>
      <c r="H39" s="88"/>
      <c r="I39" s="88"/>
      <c r="J39" s="88"/>
      <c r="K39" s="145"/>
      <c r="L39" s="140"/>
    </row>
    <row r="40" spans="2:12" ht="48.75" customHeight="1" x14ac:dyDescent="0.2">
      <c r="B40" s="374"/>
      <c r="C40" s="25" t="s">
        <v>94</v>
      </c>
      <c r="D40" s="97">
        <f t="shared" ref="D40:J40" si="0">IF(D26="","0",D39*D38)</f>
        <v>830062452.70000005</v>
      </c>
      <c r="E40" s="97">
        <f t="shared" si="0"/>
        <v>1384484933.1300001</v>
      </c>
      <c r="F40" s="97">
        <f t="shared" si="0"/>
        <v>3195364900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1203.94</v>
      </c>
      <c r="E41" s="98">
        <f t="shared" si="1"/>
        <v>2008.0859999999998</v>
      </c>
      <c r="F41" s="98">
        <f t="shared" si="1"/>
        <v>2457.973</v>
      </c>
      <c r="G41" s="98">
        <f t="shared" si="1"/>
        <v>0</v>
      </c>
      <c r="H41" s="98">
        <f t="shared" si="1"/>
        <v>0</v>
      </c>
      <c r="I41" s="98">
        <f t="shared" si="1"/>
        <v>0</v>
      </c>
      <c r="J41" s="98">
        <f t="shared" si="1"/>
        <v>0</v>
      </c>
      <c r="K41" s="145"/>
      <c r="L41" s="140"/>
    </row>
    <row r="42" spans="2:12" ht="65.25" customHeight="1" x14ac:dyDescent="0.2">
      <c r="B42" s="374"/>
      <c r="C42" s="25" t="s">
        <v>96</v>
      </c>
      <c r="D42" s="88"/>
      <c r="E42" s="88"/>
      <c r="F42" s="88">
        <v>0.05</v>
      </c>
      <c r="G42" s="88"/>
      <c r="H42" s="88"/>
      <c r="I42" s="88"/>
      <c r="J42" s="88"/>
      <c r="K42" s="145"/>
      <c r="L42" s="140"/>
    </row>
    <row r="43" spans="2:12" ht="65.25" customHeight="1" x14ac:dyDescent="0.2">
      <c r="B43" s="374"/>
      <c r="C43" s="25" t="s">
        <v>97</v>
      </c>
      <c r="D43" s="99" t="str">
        <f t="shared" ref="D43:J43" si="2">IF(D27="","0",D42*D38)</f>
        <v>0</v>
      </c>
      <c r="E43" s="99" t="str">
        <f t="shared" si="2"/>
        <v>0</v>
      </c>
      <c r="F43" s="99">
        <f t="shared" si="2"/>
        <v>168177100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129.36700000000002</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1203.94</v>
      </c>
      <c r="E48" s="98">
        <f t="shared" ref="E48:G48" si="6">+E41+E44+E47</f>
        <v>2008.0859999999998</v>
      </c>
      <c r="F48" s="98">
        <f t="shared" si="6"/>
        <v>2587.34</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26</v>
      </c>
      <c r="E57" s="84" t="s">
        <v>24</v>
      </c>
      <c r="F57" s="84" t="s">
        <v>26</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2897" priority="76" operator="equal">
      <formula>"NO CUMPLE"</formula>
    </cfRule>
    <cfRule type="containsBlanks" dxfId="2896" priority="74">
      <formula>LEN(TRIM(D71))=0</formula>
    </cfRule>
    <cfRule type="cellIs" dxfId="2895" priority="77" operator="equal">
      <formula>"CUMPLE"</formula>
    </cfRule>
    <cfRule type="notContainsErrors" dxfId="2894" priority="75">
      <formula>NOT(ISERROR(D71))</formula>
    </cfRule>
  </conditionalFormatting>
  <conditionalFormatting sqref="D72">
    <cfRule type="cellIs" dxfId="2893" priority="78" operator="equal">
      <formula>"N/A"</formula>
    </cfRule>
    <cfRule type="cellIs" dxfId="2892" priority="80" operator="equal">
      <formula>"NO CUMPLE"</formula>
    </cfRule>
    <cfRule type="cellIs" dxfId="2891" priority="79" operator="equal">
      <formula>"CUMPLE"</formula>
    </cfRule>
    <cfRule type="cellIs" dxfId="2890" priority="81" operator="equal">
      <formula>"""CUMPLE"""</formula>
    </cfRule>
  </conditionalFormatting>
  <conditionalFormatting sqref="D26:J37">
    <cfRule type="containsBlanks" dxfId="2889" priority="5">
      <formula>LEN(TRIM(D26))=0</formula>
    </cfRule>
    <cfRule type="notContainsErrors" dxfId="2888" priority="6">
      <formula>NOT(ISERROR(D26))</formula>
    </cfRule>
  </conditionalFormatting>
  <conditionalFormatting sqref="D36:J36">
    <cfRule type="containsBlanks" dxfId="2887" priority="7">
      <formula>LEN(TRIM(D36))=0</formula>
    </cfRule>
    <cfRule type="notContainsErrors" dxfId="2886" priority="8">
      <formula>NOT(ISERROR(D36))</formula>
    </cfRule>
  </conditionalFormatting>
  <conditionalFormatting sqref="D39:J39">
    <cfRule type="notContainsErrors" dxfId="2885" priority="4">
      <formula>NOT(ISERROR(D39))</formula>
    </cfRule>
    <cfRule type="containsBlanks" dxfId="2884" priority="3">
      <formula>LEN(TRIM(D39))=0</formula>
    </cfRule>
  </conditionalFormatting>
  <conditionalFormatting sqref="D42:J42">
    <cfRule type="containsBlanks" dxfId="2883" priority="1">
      <formula>LEN(TRIM(D42))=0</formula>
    </cfRule>
    <cfRule type="notContainsErrors" dxfId="2882" priority="2">
      <formula>NOT(ISERROR(D42))</formula>
    </cfRule>
  </conditionalFormatting>
  <conditionalFormatting sqref="D45:J45">
    <cfRule type="notContainsErrors" dxfId="2881" priority="40">
      <formula>NOT(ISERROR(D45))</formula>
    </cfRule>
    <cfRule type="containsBlanks" dxfId="2880" priority="39">
      <formula>LEN(TRIM(D45))=0</formula>
    </cfRule>
  </conditionalFormatting>
  <conditionalFormatting sqref="D49:J54">
    <cfRule type="cellIs" dxfId="2879" priority="19" operator="equal">
      <formula>"NO CUMPLE"</formula>
    </cfRule>
    <cfRule type="cellIs" dxfId="2878" priority="20" operator="equal">
      <formula>"CUMPLE"</formula>
    </cfRule>
    <cfRule type="containsBlanks" dxfId="2877" priority="21">
      <formula>LEN(TRIM(D49))=0</formula>
    </cfRule>
    <cfRule type="notContainsErrors" dxfId="2876" priority="22">
      <formula>NOT(ISERROR(D49))</formula>
    </cfRule>
  </conditionalFormatting>
  <conditionalFormatting sqref="D55:J55">
    <cfRule type="cellIs" dxfId="2875" priority="29" operator="equal">
      <formula>"N/A"</formula>
    </cfRule>
    <cfRule type="cellIs" dxfId="2874" priority="32" operator="equal">
      <formula>"""CUMPLE"""</formula>
    </cfRule>
    <cfRule type="cellIs" dxfId="2873" priority="31" operator="equal">
      <formula>"NO CUMPLE"</formula>
    </cfRule>
    <cfRule type="cellIs" dxfId="2872" priority="30" operator="equal">
      <formula>"CUMPLE"</formula>
    </cfRule>
  </conditionalFormatting>
  <conditionalFormatting sqref="D56:J66">
    <cfRule type="cellIs" dxfId="2871" priority="13" operator="equal">
      <formula>"NO CUMPLE"</formula>
    </cfRule>
    <cfRule type="notContainsErrors" dxfId="2870" priority="16">
      <formula>NOT(ISERROR(D56))</formula>
    </cfRule>
    <cfRule type="cellIs" dxfId="2869" priority="14" operator="equal">
      <formula>"CUMPLE"</formula>
    </cfRule>
    <cfRule type="containsBlanks" dxfId="2868" priority="15">
      <formula>LEN(TRIM(D56))=0</formula>
    </cfRule>
  </conditionalFormatting>
  <conditionalFormatting sqref="D67:J67">
    <cfRule type="cellIs" dxfId="2867" priority="25" operator="equal">
      <formula>"N/A"</formula>
    </cfRule>
    <cfRule type="cellIs" dxfId="2866" priority="26" operator="equal">
      <formula>"CUMPLE"</formula>
    </cfRule>
    <cfRule type="cellIs" dxfId="2865" priority="28" operator="equal">
      <formula>"""CUMPLE"""</formula>
    </cfRule>
    <cfRule type="cellIs" dxfId="2864" priority="27" operator="equal">
      <formula>"NO CUMPLE"</formula>
    </cfRule>
  </conditionalFormatting>
  <conditionalFormatting sqref="D62:K66">
    <cfRule type="containsBlanks" dxfId="2863" priority="17">
      <formula>LEN(TRIM(D62))=0</formula>
    </cfRule>
    <cfRule type="notContainsErrors" dxfId="2862" priority="18">
      <formula>NOT(ISERROR(D62))</formula>
    </cfRule>
  </conditionalFormatting>
  <conditionalFormatting sqref="E71:E72">
    <cfRule type="notContainsErrors" dxfId="2861" priority="73">
      <formula>NOT(ISERROR(E71))</formula>
    </cfRule>
    <cfRule type="containsBlanks" dxfId="2860" priority="72">
      <formula>LEN(TRIM(E71))=0</formula>
    </cfRule>
  </conditionalFormatting>
  <conditionalFormatting sqref="F22:H22">
    <cfRule type="cellIs" dxfId="2859" priority="100" operator="equal">
      <formula>"NO CUMPLE"</formula>
    </cfRule>
    <cfRule type="cellIs" dxfId="2858" priority="101" operator="equal">
      <formula>"""CUMPLE"""</formula>
    </cfRule>
    <cfRule type="cellIs" dxfId="2857" priority="99" operator="equal">
      <formula>"CUMPLE"</formula>
    </cfRule>
  </conditionalFormatting>
  <conditionalFormatting sqref="G63:J63">
    <cfRule type="containsBlanks" dxfId="2856" priority="9">
      <formula>LEN(TRIM(G63))=0</formula>
    </cfRule>
    <cfRule type="notContainsErrors" dxfId="2855" priority="10">
      <formula>NOT(ISERROR(G63))</formula>
    </cfRule>
  </conditionalFormatting>
  <conditionalFormatting sqref="I11">
    <cfRule type="containsText" dxfId="2854" priority="105" operator="containsText" text="NO CUMPLE">
      <formula>NOT(ISERROR(SEARCH("NO CUMPLE",I11)))</formula>
    </cfRule>
    <cfRule type="containsText" dxfId="2853" priority="104" operator="containsText" text="HABILITADO">
      <formula>NOT(ISERROR(SEARCH("HABILITADO",I11)))</formula>
    </cfRule>
    <cfRule type="containsText" dxfId="2852" priority="103" operator="containsText" text="HABILITADO">
      <formula>NOT(ISERROR(SEARCH("HABILITADO",I11)))</formula>
    </cfRule>
    <cfRule type="containsText" dxfId="2851" priority="102" operator="containsText" text="INHABILITADO">
      <formula>NOT(ISERROR(SEARCH("INHABILITADO",I11)))</formula>
    </cfRule>
  </conditionalFormatting>
  <conditionalFormatting sqref="K18:K20">
    <cfRule type="cellIs" dxfId="2850" priority="70" operator="equal">
      <formula>"NO CUMPLE"</formula>
    </cfRule>
    <cfRule type="cellIs" dxfId="2849" priority="71" operator="equal">
      <formula>"""CUMPLE"""</formula>
    </cfRule>
    <cfRule type="cellIs" dxfId="2848" priority="69" operator="equal">
      <formula>"CUMPLE"</formula>
    </cfRule>
  </conditionalFormatting>
  <conditionalFormatting sqref="K26:K61 D62:J62">
    <cfRule type="containsBlanks" dxfId="2847" priority="11">
      <formula>LEN(TRIM(D26))=0</formula>
    </cfRule>
    <cfRule type="notContainsErrors" dxfId="2846" priority="12">
      <formula>NOT(ISERROR(D26))</formula>
    </cfRule>
  </conditionalFormatting>
  <conditionalFormatting sqref="K67:L67">
    <cfRule type="containsBlanks" dxfId="2845" priority="23">
      <formula>LEN(TRIM(K67))=0</formula>
    </cfRule>
    <cfRule type="notContainsErrors" dxfId="2844" priority="24">
      <formula>NOT(ISERROR(K67))</formula>
    </cfRule>
  </conditionalFormatting>
  <conditionalFormatting sqref="L14">
    <cfRule type="cellIs" dxfId="2843" priority="98" operator="equal">
      <formula>"""CUMPLE"""</formula>
    </cfRule>
    <cfRule type="cellIs" dxfId="2842" priority="97" operator="equal">
      <formula>"NO CUMPLE"</formula>
    </cfRule>
    <cfRule type="cellIs" dxfId="2841" priority="96" operator="equal">
      <formula>"CUMPLE"</formula>
    </cfRule>
  </conditionalFormatting>
  <dataValidations count="2">
    <dataValidation type="list" allowBlank="1" showInputMessage="1" showErrorMessage="1" sqref="L62:L67" xr:uid="{00000000-0002-0000-3000-000000000000}">
      <formula1>"0,1,2,3,4,5,6"</formula1>
    </dataValidation>
    <dataValidation type="list" allowBlank="1" showInputMessage="1" showErrorMessage="1" sqref="D26:J28" xr:uid="{00000000-0002-0000-30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3000-000002000000}">
          <x14:formula1>
            <xm:f>'DATOS INICIALES'!$A$57:$A$58</xm:f>
          </x14:formula1>
          <xm:sqref>D49:J49</xm:sqref>
        </x14:dataValidation>
        <x14:dataValidation type="list" allowBlank="1" showInputMessage="1" showErrorMessage="1" xr:uid="{00000000-0002-0000-3000-000003000000}">
          <x14:formula1>
            <xm:f>'DATOS INICIALES'!$A$61:$A$67</xm:f>
          </x14:formula1>
          <xm:sqref>J25</xm:sqref>
        </x14:dataValidation>
        <x14:dataValidation type="list" allowBlank="1" showInputMessage="1" showErrorMessage="1" xr:uid="{00000000-0002-0000-3000-000004000000}">
          <x14:formula1>
            <xm:f>'DATOS INICIALES'!$C$52:$C$53</xm:f>
          </x14:formula1>
          <xm:sqref>D53:J54</xm:sqref>
        </x14:dataValidation>
        <x14:dataValidation type="list" allowBlank="1" showInputMessage="1" showErrorMessage="1" xr:uid="{00000000-0002-0000-3000-000005000000}">
          <x14:formula1>
            <xm:f>'DATOS INICIALES'!$A$57:$A$59</xm:f>
          </x14:formula1>
          <xm:sqref>D71 D56:J66</xm:sqref>
        </x14:dataValidation>
        <x14:dataValidation type="list" allowBlank="1" showInputMessage="1" showErrorMessage="1" xr:uid="{00000000-0002-0000-3000-000006000000}">
          <x14:formula1>
            <xm:f>'DATOS INICIALES'!$A$61:$A$66</xm:f>
          </x14:formula1>
          <xm:sqref>D25:I25</xm:sqref>
        </x14:dataValidation>
        <x14:dataValidation type="list" allowBlank="1" showInputMessage="1" showErrorMessage="1" xr:uid="{00000000-0002-0000-3000-000007000000}">
          <x14:formula1>
            <xm:f>'DATOS INICIALES'!$A$13:$A$50</xm:f>
          </x14:formula1>
          <xm:sqref>G33:I33</xm:sqref>
        </x14:dataValidation>
        <x14:dataValidation type="list" allowBlank="1" showInputMessage="1" showErrorMessage="1" xr:uid="{00000000-0002-0000-3000-000008000000}">
          <x14:formula1>
            <xm:f>'DATOS INICIALES'!$D$27:$D$29</xm:f>
          </x14:formula1>
          <xm:sqref>M50:M55</xm:sqref>
        </x14:dataValidation>
        <x14:dataValidation type="list" allowBlank="1" showInputMessage="1" showErrorMessage="1" xr:uid="{00000000-0002-0000-3000-000009000000}">
          <x14:formula1>
            <xm:f>'DATOS INICIALES'!$C$52:$C$54</xm:f>
          </x14:formula1>
          <xm:sqref>D50:J52</xm:sqref>
        </x14:dataValidation>
      </x14:dataValidations>
    </ext>
  </extLst>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tabColor rgb="FF92D050"/>
  </sheetPr>
  <dimension ref="A1:N72"/>
  <sheetViews>
    <sheetView view="pageBreakPreview" topLeftCell="A7" zoomScale="40" zoomScaleNormal="25" zoomScaleSheetLayoutView="40" workbookViewId="0">
      <selection activeCell="I14" sqref="I14"/>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44</v>
      </c>
      <c r="B11" s="2" t="s">
        <v>58</v>
      </c>
      <c r="C11" s="413" t="str">
        <f>VLOOKUP(A11,PROPONENTES!A10:B94,2,FALSE)</f>
        <v>DF CONSULTORIA SAS</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2</v>
      </c>
      <c r="J14" s="147">
        <f>+L8</f>
        <v>986.3076290832455</v>
      </c>
      <c r="K14" s="147">
        <f>+E22</f>
        <v>5932.5</v>
      </c>
      <c r="L14" s="18" t="str">
        <f>IF(K14&gt;=J14,"CUMPLE","NO CUMPLE")</f>
        <v>CUMPLE</v>
      </c>
    </row>
    <row r="15" spans="1:12" ht="33.75" customHeight="1" x14ac:dyDescent="0.2">
      <c r="B15" s="382"/>
      <c r="C15" s="92" t="str">
        <f>IF(VLOOKUP(C11,PROPONENTES!B10:N94,2,FALSE)=0,"",VLOOKUP(C11,PROPONENTES!B10:N94,2,FALSE))</f>
        <v>DF CONSULTORIA SAS</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5932.5</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2966.25</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2</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2</v>
      </c>
      <c r="J19" s="128">
        <v>1</v>
      </c>
      <c r="K19" s="387"/>
      <c r="L19" s="388"/>
    </row>
    <row r="20" spans="2:14" ht="50.25" customHeight="1" x14ac:dyDescent="0.2">
      <c r="B20" s="382"/>
      <c r="C20" s="92"/>
      <c r="D20" s="93"/>
      <c r="E20" s="94"/>
      <c r="F20" s="95"/>
      <c r="G20" s="96"/>
      <c r="H20" s="96"/>
      <c r="I20" s="128">
        <f>COUNTIFS(D60:J60,"CUMPLE",D67:J67,"CUMPLE")</f>
        <v>2</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2</v>
      </c>
      <c r="J21" s="128">
        <v>1</v>
      </c>
      <c r="K21" s="389"/>
      <c r="L21" s="390"/>
    </row>
    <row r="22" spans="2:14" ht="84.75" customHeight="1" x14ac:dyDescent="0.2">
      <c r="B22" s="29" t="s">
        <v>75</v>
      </c>
      <c r="C22" s="24">
        <f>+VLOOKUP(C11,PROPONENTES!B10:N94,12,FALSE)</f>
        <v>1</v>
      </c>
      <c r="D22" s="93">
        <f>+VLOOKUP(C11,PROPONENTES!B10:N94,13,FALSE)</f>
        <v>1</v>
      </c>
      <c r="E22" s="32">
        <f>SUM(E15:E21)</f>
        <v>5932.5</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196</v>
      </c>
      <c r="E26" s="84" t="s">
        <v>196</v>
      </c>
      <c r="F26" s="84"/>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287" t="s">
        <v>853</v>
      </c>
      <c r="E29" s="288" t="s">
        <v>854</v>
      </c>
      <c r="F29" s="85"/>
      <c r="G29" s="85"/>
      <c r="H29" s="85"/>
      <c r="I29" s="85"/>
      <c r="J29" s="85"/>
      <c r="K29" s="145"/>
      <c r="L29" s="140"/>
    </row>
    <row r="30" spans="2:14" ht="156.75" customHeight="1" x14ac:dyDescent="0.2">
      <c r="B30" s="374"/>
      <c r="C30" s="25" t="s">
        <v>84</v>
      </c>
      <c r="D30" s="289" t="s">
        <v>855</v>
      </c>
      <c r="E30" s="289" t="s">
        <v>856</v>
      </c>
      <c r="F30" s="85"/>
      <c r="G30" s="85"/>
      <c r="H30" s="85"/>
      <c r="I30" s="85"/>
      <c r="J30" s="85"/>
      <c r="K30" s="145"/>
      <c r="L30" s="140"/>
    </row>
    <row r="31" spans="2:14" ht="52.5" customHeight="1" x14ac:dyDescent="0.2">
      <c r="B31" s="374"/>
      <c r="C31" s="25" t="s">
        <v>85</v>
      </c>
      <c r="D31" s="290">
        <v>40137</v>
      </c>
      <c r="E31" s="290">
        <v>43514</v>
      </c>
      <c r="F31" s="89"/>
      <c r="G31" s="89"/>
      <c r="H31" s="89"/>
      <c r="I31" s="89"/>
      <c r="J31" s="89"/>
      <c r="K31" s="145"/>
      <c r="L31" s="140"/>
    </row>
    <row r="32" spans="2:14" ht="54.75" customHeight="1" x14ac:dyDescent="0.2">
      <c r="B32" s="374"/>
      <c r="C32" s="25" t="s">
        <v>86</v>
      </c>
      <c r="D32" s="290">
        <v>41232</v>
      </c>
      <c r="E32" s="290">
        <v>44001</v>
      </c>
      <c r="F32" s="89"/>
      <c r="G32" s="89"/>
      <c r="H32" s="89"/>
      <c r="I32" s="89"/>
      <c r="J32" s="89"/>
      <c r="K32" s="145"/>
      <c r="L32" s="140"/>
    </row>
    <row r="33" spans="2:12" ht="41.25" customHeight="1" x14ac:dyDescent="0.2">
      <c r="B33" s="374"/>
      <c r="C33" s="25" t="s">
        <v>87</v>
      </c>
      <c r="D33" s="86">
        <v>2012</v>
      </c>
      <c r="E33" s="86">
        <v>2020</v>
      </c>
      <c r="F33" s="86"/>
      <c r="G33" s="86"/>
      <c r="H33" s="86"/>
      <c r="I33" s="86"/>
      <c r="J33" s="86"/>
      <c r="K33" s="145"/>
      <c r="L33" s="140"/>
    </row>
    <row r="34" spans="2:12" ht="63" customHeight="1" x14ac:dyDescent="0.2">
      <c r="B34" s="374"/>
      <c r="C34" s="25" t="s">
        <v>88</v>
      </c>
      <c r="D34" s="288" t="s">
        <v>793</v>
      </c>
      <c r="E34" s="288" t="s">
        <v>857</v>
      </c>
      <c r="F34" s="85"/>
      <c r="G34" s="85"/>
      <c r="H34" s="85"/>
      <c r="I34" s="85"/>
      <c r="J34" s="85"/>
      <c r="K34" s="145"/>
      <c r="L34" s="140"/>
    </row>
    <row r="35" spans="2:12" ht="46.5" customHeight="1" x14ac:dyDescent="0.2">
      <c r="B35" s="374"/>
      <c r="C35" s="25" t="s">
        <v>89</v>
      </c>
      <c r="D35" s="85" t="s">
        <v>858</v>
      </c>
      <c r="E35" s="85" t="s">
        <v>859</v>
      </c>
      <c r="F35" s="85"/>
      <c r="G35" s="85"/>
      <c r="H35" s="85"/>
      <c r="I35" s="85"/>
      <c r="J35" s="85"/>
      <c r="K35" s="145"/>
      <c r="L35" s="140"/>
    </row>
    <row r="36" spans="2:12" ht="27.75" customHeight="1" x14ac:dyDescent="0.2">
      <c r="B36" s="374"/>
      <c r="C36" s="26" t="s">
        <v>90</v>
      </c>
      <c r="D36" s="90">
        <v>6</v>
      </c>
      <c r="E36" s="90">
        <v>87</v>
      </c>
      <c r="F36" s="90"/>
      <c r="G36" s="91"/>
      <c r="H36" s="91"/>
      <c r="I36" s="91"/>
      <c r="J36" s="91"/>
      <c r="K36" s="145"/>
      <c r="L36" s="140"/>
    </row>
    <row r="37" spans="2:12" ht="102.75" customHeight="1" x14ac:dyDescent="0.2">
      <c r="B37" s="374"/>
      <c r="C37" s="25" t="s">
        <v>91</v>
      </c>
      <c r="D37" s="87">
        <v>8401.5499999999993</v>
      </c>
      <c r="E37" s="158">
        <v>3463.45</v>
      </c>
      <c r="F37" s="87"/>
      <c r="G37" s="87"/>
      <c r="H37" s="87"/>
      <c r="I37" s="87"/>
      <c r="J37" s="87"/>
      <c r="K37" s="242"/>
      <c r="L37" s="243"/>
    </row>
    <row r="38" spans="2:12" ht="48" customHeight="1" x14ac:dyDescent="0.2">
      <c r="B38" s="374"/>
      <c r="C38" s="25" t="s">
        <v>92</v>
      </c>
      <c r="D38" s="97">
        <f>IFERROR(D37*VLOOKUP(D33,'DATOS INICIALES'!$A$12:$B$50,2,0),"0")</f>
        <v>4761158385</v>
      </c>
      <c r="E38" s="97">
        <f>IFERROR(E37*VLOOKUP(E33,'DATOS INICIALES'!$A$12:$B$50,2,0),"0")</f>
        <v>3040226800.3499999</v>
      </c>
      <c r="F38" s="97" t="str">
        <f>IFERROR(F37*VLOOKUP(F33,'DATOS INICIALES'!$A$12:$B$50,2,0),"0")</f>
        <v>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0.5</v>
      </c>
      <c r="E39" s="88">
        <v>0.5</v>
      </c>
      <c r="F39" s="88"/>
      <c r="G39" s="88"/>
      <c r="H39" s="88"/>
      <c r="I39" s="88"/>
      <c r="J39" s="88"/>
      <c r="K39" s="145"/>
      <c r="L39" s="140"/>
    </row>
    <row r="40" spans="2:12" ht="48.75" customHeight="1" x14ac:dyDescent="0.2">
      <c r="B40" s="374"/>
      <c r="C40" s="25" t="s">
        <v>94</v>
      </c>
      <c r="D40" s="97">
        <f t="shared" ref="D40:J40" si="0">IF(D26="","0",D39*D38)</f>
        <v>2380579192.5</v>
      </c>
      <c r="E40" s="97">
        <f t="shared" si="0"/>
        <v>1520113400.175</v>
      </c>
      <c r="F40" s="97" t="str">
        <f t="shared" si="0"/>
        <v>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4200.7749999999996</v>
      </c>
      <c r="E41" s="98">
        <f t="shared" si="1"/>
        <v>1731.7249999999999</v>
      </c>
      <c r="F41" s="98">
        <f t="shared" si="1"/>
        <v>0</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4200.7749999999996</v>
      </c>
      <c r="E48" s="98">
        <f t="shared" ref="E48:G48" si="6">+E41+E44+E47</f>
        <v>1731.7249999999999</v>
      </c>
      <c r="F48" s="98">
        <f t="shared" si="6"/>
        <v>0</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N/A</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N/A</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2840" priority="75" operator="equal">
      <formula>"CUMPLE"</formula>
    </cfRule>
    <cfRule type="containsBlanks" dxfId="2839" priority="72">
      <formula>LEN(TRIM(D71))=0</formula>
    </cfRule>
    <cfRule type="notContainsErrors" dxfId="2838" priority="73">
      <formula>NOT(ISERROR(D71))</formula>
    </cfRule>
    <cfRule type="cellIs" dxfId="2837" priority="74" operator="equal">
      <formula>"NO CUMPLE"</formula>
    </cfRule>
  </conditionalFormatting>
  <conditionalFormatting sqref="D72">
    <cfRule type="cellIs" dxfId="2836" priority="77" operator="equal">
      <formula>"CUMPLE"</formula>
    </cfRule>
    <cfRule type="cellIs" dxfId="2835" priority="76" operator="equal">
      <formula>"N/A"</formula>
    </cfRule>
    <cfRule type="cellIs" dxfId="2834" priority="79" operator="equal">
      <formula>"""CUMPLE"""</formula>
    </cfRule>
    <cfRule type="cellIs" dxfId="2833" priority="78" operator="equal">
      <formula>"NO CUMPLE"</formula>
    </cfRule>
  </conditionalFormatting>
  <conditionalFormatting sqref="D26:J37">
    <cfRule type="notContainsErrors" dxfId="2832" priority="4">
      <formula>NOT(ISERROR(D26))</formula>
    </cfRule>
    <cfRule type="containsBlanks" dxfId="2831" priority="3">
      <formula>LEN(TRIM(D26))=0</formula>
    </cfRule>
  </conditionalFormatting>
  <conditionalFormatting sqref="D36:J36">
    <cfRule type="notContainsErrors" dxfId="2830" priority="6">
      <formula>NOT(ISERROR(D36))</formula>
    </cfRule>
    <cfRule type="containsBlanks" dxfId="2829" priority="5">
      <formula>LEN(TRIM(D36))=0</formula>
    </cfRule>
  </conditionalFormatting>
  <conditionalFormatting sqref="D39:J39">
    <cfRule type="containsBlanks" dxfId="2828" priority="1">
      <formula>LEN(TRIM(D39))=0</formula>
    </cfRule>
    <cfRule type="notContainsErrors" dxfId="2827" priority="2">
      <formula>NOT(ISERROR(D39))</formula>
    </cfRule>
  </conditionalFormatting>
  <conditionalFormatting sqref="D42:J42 D45:J45">
    <cfRule type="notContainsErrors" dxfId="2826" priority="38">
      <formula>NOT(ISERROR(D42))</formula>
    </cfRule>
    <cfRule type="containsBlanks" dxfId="2825" priority="37">
      <formula>LEN(TRIM(D42))=0</formula>
    </cfRule>
  </conditionalFormatting>
  <conditionalFormatting sqref="D49:J54">
    <cfRule type="cellIs" dxfId="2824" priority="17" operator="equal">
      <formula>"NO CUMPLE"</formula>
    </cfRule>
    <cfRule type="cellIs" dxfId="2823" priority="18" operator="equal">
      <formula>"CUMPLE"</formula>
    </cfRule>
    <cfRule type="containsBlanks" dxfId="2822" priority="19">
      <formula>LEN(TRIM(D49))=0</formula>
    </cfRule>
    <cfRule type="notContainsErrors" dxfId="2821" priority="20">
      <formula>NOT(ISERROR(D49))</formula>
    </cfRule>
  </conditionalFormatting>
  <conditionalFormatting sqref="D55:J55">
    <cfRule type="cellIs" dxfId="2820" priority="28" operator="equal">
      <formula>"CUMPLE"</formula>
    </cfRule>
    <cfRule type="cellIs" dxfId="2819" priority="30" operator="equal">
      <formula>"""CUMPLE"""</formula>
    </cfRule>
    <cfRule type="cellIs" dxfId="2818" priority="29" operator="equal">
      <formula>"NO CUMPLE"</formula>
    </cfRule>
    <cfRule type="cellIs" dxfId="2817" priority="27" operator="equal">
      <formula>"N/A"</formula>
    </cfRule>
  </conditionalFormatting>
  <conditionalFormatting sqref="D56:J66">
    <cfRule type="cellIs" dxfId="2816" priority="11" operator="equal">
      <formula>"NO CUMPLE"</formula>
    </cfRule>
    <cfRule type="notContainsErrors" dxfId="2815" priority="14">
      <formula>NOT(ISERROR(D56))</formula>
    </cfRule>
    <cfRule type="containsBlanks" dxfId="2814" priority="13">
      <formula>LEN(TRIM(D56))=0</formula>
    </cfRule>
    <cfRule type="cellIs" dxfId="2813" priority="12" operator="equal">
      <formula>"CUMPLE"</formula>
    </cfRule>
  </conditionalFormatting>
  <conditionalFormatting sqref="D67:J67">
    <cfRule type="cellIs" dxfId="2812" priority="23" operator="equal">
      <formula>"N/A"</formula>
    </cfRule>
    <cfRule type="cellIs" dxfId="2811" priority="24" operator="equal">
      <formula>"CUMPLE"</formula>
    </cfRule>
    <cfRule type="cellIs" dxfId="2810" priority="26" operator="equal">
      <formula>"""CUMPLE"""</formula>
    </cfRule>
    <cfRule type="cellIs" dxfId="2809" priority="25" operator="equal">
      <formula>"NO CUMPLE"</formula>
    </cfRule>
  </conditionalFormatting>
  <conditionalFormatting sqref="D62:K66">
    <cfRule type="containsBlanks" dxfId="2808" priority="15">
      <formula>LEN(TRIM(D62))=0</formula>
    </cfRule>
    <cfRule type="notContainsErrors" dxfId="2807" priority="16">
      <formula>NOT(ISERROR(D62))</formula>
    </cfRule>
  </conditionalFormatting>
  <conditionalFormatting sqref="E71:E72">
    <cfRule type="notContainsErrors" dxfId="2806" priority="71">
      <formula>NOT(ISERROR(E71))</formula>
    </cfRule>
    <cfRule type="containsBlanks" dxfId="2805" priority="70">
      <formula>LEN(TRIM(E71))=0</formula>
    </cfRule>
  </conditionalFormatting>
  <conditionalFormatting sqref="F22:H22">
    <cfRule type="cellIs" dxfId="2804" priority="98" operator="equal">
      <formula>"NO CUMPLE"</formula>
    </cfRule>
    <cfRule type="cellIs" dxfId="2803" priority="99" operator="equal">
      <formula>"""CUMPLE"""</formula>
    </cfRule>
    <cfRule type="cellIs" dxfId="2802" priority="97" operator="equal">
      <formula>"CUMPLE"</formula>
    </cfRule>
  </conditionalFormatting>
  <conditionalFormatting sqref="G63:J63">
    <cfRule type="containsBlanks" dxfId="2801" priority="7">
      <formula>LEN(TRIM(G63))=0</formula>
    </cfRule>
    <cfRule type="notContainsErrors" dxfId="2800" priority="8">
      <formula>NOT(ISERROR(G63))</formula>
    </cfRule>
  </conditionalFormatting>
  <conditionalFormatting sqref="I11">
    <cfRule type="containsText" dxfId="2799" priority="103" operator="containsText" text="NO CUMPLE">
      <formula>NOT(ISERROR(SEARCH("NO CUMPLE",I11)))</formula>
    </cfRule>
    <cfRule type="containsText" dxfId="2798" priority="102" operator="containsText" text="HABILITADO">
      <formula>NOT(ISERROR(SEARCH("HABILITADO",I11)))</formula>
    </cfRule>
    <cfRule type="containsText" dxfId="2797" priority="101" operator="containsText" text="HABILITADO">
      <formula>NOT(ISERROR(SEARCH("HABILITADO",I11)))</formula>
    </cfRule>
    <cfRule type="containsText" dxfId="2796" priority="100" operator="containsText" text="INHABILITADO">
      <formula>NOT(ISERROR(SEARCH("INHABILITADO",I11)))</formula>
    </cfRule>
  </conditionalFormatting>
  <conditionalFormatting sqref="K18:K20">
    <cfRule type="cellIs" dxfId="2795" priority="68" operator="equal">
      <formula>"NO CUMPLE"</formula>
    </cfRule>
    <cfRule type="cellIs" dxfId="2794" priority="69" operator="equal">
      <formula>"""CUMPLE"""</formula>
    </cfRule>
    <cfRule type="cellIs" dxfId="2793" priority="67" operator="equal">
      <formula>"CUMPLE"</formula>
    </cfRule>
  </conditionalFormatting>
  <conditionalFormatting sqref="K26:K61 D62:J62">
    <cfRule type="containsBlanks" dxfId="2792" priority="9">
      <formula>LEN(TRIM(D26))=0</formula>
    </cfRule>
    <cfRule type="notContainsErrors" dxfId="2791" priority="10">
      <formula>NOT(ISERROR(D26))</formula>
    </cfRule>
  </conditionalFormatting>
  <conditionalFormatting sqref="K67:L67">
    <cfRule type="containsBlanks" dxfId="2790" priority="21">
      <formula>LEN(TRIM(K67))=0</formula>
    </cfRule>
    <cfRule type="notContainsErrors" dxfId="2789" priority="22">
      <formula>NOT(ISERROR(K67))</formula>
    </cfRule>
  </conditionalFormatting>
  <conditionalFormatting sqref="L14">
    <cfRule type="cellIs" dxfId="2788" priority="96" operator="equal">
      <formula>"""CUMPLE"""</formula>
    </cfRule>
    <cfRule type="cellIs" dxfId="2787" priority="95" operator="equal">
      <formula>"NO CUMPLE"</formula>
    </cfRule>
    <cfRule type="cellIs" dxfId="2786" priority="94" operator="equal">
      <formula>"CUMPLE"</formula>
    </cfRule>
  </conditionalFormatting>
  <dataValidations count="2">
    <dataValidation type="list" allowBlank="1" showInputMessage="1" showErrorMessage="1" sqref="D26:J28" xr:uid="{00000000-0002-0000-3100-000000000000}">
      <formula1>$C$15:$C$21</formula1>
    </dataValidation>
    <dataValidation type="list" allowBlank="1" showInputMessage="1" showErrorMessage="1" sqref="L62:L67" xr:uid="{00000000-0002-0000-31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legacyDrawing r:id="rId2"/>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3100-000002000000}">
          <x14:formula1>
            <xm:f>'DATOS INICIALES'!$A$13:$A$50</xm:f>
          </x14:formula1>
          <xm:sqref>G33:I33</xm:sqref>
        </x14:dataValidation>
        <x14:dataValidation type="list" allowBlank="1" showInputMessage="1" showErrorMessage="1" xr:uid="{00000000-0002-0000-3100-000003000000}">
          <x14:formula1>
            <xm:f>'DATOS INICIALES'!$A$61:$A$66</xm:f>
          </x14:formula1>
          <xm:sqref>D25:I25</xm:sqref>
        </x14:dataValidation>
        <x14:dataValidation type="list" allowBlank="1" showInputMessage="1" showErrorMessage="1" xr:uid="{00000000-0002-0000-3100-000004000000}">
          <x14:formula1>
            <xm:f>'DATOS INICIALES'!$A$57:$A$59</xm:f>
          </x14:formula1>
          <xm:sqref>D71 D56:J66</xm:sqref>
        </x14:dataValidation>
        <x14:dataValidation type="list" allowBlank="1" showInputMessage="1" showErrorMessage="1" xr:uid="{00000000-0002-0000-3100-000005000000}">
          <x14:formula1>
            <xm:f>'DATOS INICIALES'!$C$52:$C$53</xm:f>
          </x14:formula1>
          <xm:sqref>D53:J54</xm:sqref>
        </x14:dataValidation>
        <x14:dataValidation type="list" allowBlank="1" showInputMessage="1" showErrorMessage="1" xr:uid="{00000000-0002-0000-3100-000006000000}">
          <x14:formula1>
            <xm:f>'DATOS INICIALES'!$A$61:$A$67</xm:f>
          </x14:formula1>
          <xm:sqref>J25</xm:sqref>
        </x14:dataValidation>
        <x14:dataValidation type="list" allowBlank="1" showInputMessage="1" showErrorMessage="1" xr:uid="{00000000-0002-0000-3100-000007000000}">
          <x14:formula1>
            <xm:f>'DATOS INICIALES'!$A$57:$A$58</xm:f>
          </x14:formula1>
          <xm:sqref>D49:J49</xm:sqref>
        </x14:dataValidation>
        <x14:dataValidation type="list" allowBlank="1" showInputMessage="1" showErrorMessage="1" xr:uid="{00000000-0002-0000-3100-000008000000}">
          <x14:formula1>
            <xm:f>'DATOS INICIALES'!$D$27:$D$29</xm:f>
          </x14:formula1>
          <xm:sqref>M50:M55</xm:sqref>
        </x14:dataValidation>
        <x14:dataValidation type="list" allowBlank="1" showInputMessage="1" showErrorMessage="1" xr:uid="{00000000-0002-0000-3100-000009000000}">
          <x14:formula1>
            <xm:f>'DATOS INICIALES'!$C$52:$C$54</xm:f>
          </x14:formula1>
          <xm:sqref>D50:J52</xm:sqref>
        </x14:dataValidation>
      </x14:dataValidations>
    </ext>
  </extLst>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tabColor rgb="FF92D050"/>
  </sheetPr>
  <dimension ref="A1:N72"/>
  <sheetViews>
    <sheetView view="pageBreakPreview" topLeftCell="A34" zoomScale="55" zoomScaleNormal="25" zoomScaleSheetLayoutView="55" workbookViewId="0">
      <selection activeCell="D42" sqref="D42"/>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45</v>
      </c>
      <c r="B11" s="2" t="s">
        <v>58</v>
      </c>
      <c r="C11" s="413" t="str">
        <f>VLOOKUP(A11,PROPONENTES!A10:B94,2,FALSE)</f>
        <v>ARINCO SAS</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2</v>
      </c>
      <c r="J14" s="147">
        <f>+L8</f>
        <v>986.3076290832455</v>
      </c>
      <c r="K14" s="147">
        <f>+E22</f>
        <v>3157.4940000000001</v>
      </c>
      <c r="L14" s="18" t="str">
        <f>IF(K14&gt;=J14,"CUMPLE","NO CUMPLE")</f>
        <v>CUMPLE</v>
      </c>
    </row>
    <row r="15" spans="1:12" ht="33.75" customHeight="1" x14ac:dyDescent="0.2">
      <c r="B15" s="382"/>
      <c r="C15" s="92" t="str">
        <f>IF(VLOOKUP(C11,PROPONENTES!B10:N94,2,FALSE)=0,"",VLOOKUP(C11,PROPONENTES!B10:N94,2,FALSE))</f>
        <v>ARQUITECTURA E INGENIERIA DE CONSULTA ARINCO S.A.S.</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3157.4940000000001</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1578.7470000000001</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2</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2</v>
      </c>
      <c r="J19" s="128">
        <v>1</v>
      </c>
      <c r="K19" s="387"/>
      <c r="L19" s="388"/>
    </row>
    <row r="20" spans="2:14" ht="50.25" customHeight="1" x14ac:dyDescent="0.2">
      <c r="B20" s="382"/>
      <c r="C20" s="92"/>
      <c r="D20" s="93"/>
      <c r="E20" s="94"/>
      <c r="F20" s="95"/>
      <c r="G20" s="96"/>
      <c r="H20" s="96"/>
      <c r="I20" s="128">
        <f>COUNTIFS(D60:J60,"CUMPLE",D67:J67,"CUMPLE")</f>
        <v>2</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2</v>
      </c>
      <c r="J21" s="128">
        <v>1</v>
      </c>
      <c r="K21" s="389"/>
      <c r="L21" s="390"/>
    </row>
    <row r="22" spans="2:14" ht="84.75" customHeight="1" x14ac:dyDescent="0.2">
      <c r="B22" s="29" t="s">
        <v>75</v>
      </c>
      <c r="C22" s="24">
        <f>+VLOOKUP(C11,PROPONENTES!B10:N94,12,FALSE)</f>
        <v>1</v>
      </c>
      <c r="D22" s="93">
        <f>+VLOOKUP(C11,PROPONENTES!B10:N94,13,FALSE)</f>
        <v>1</v>
      </c>
      <c r="E22" s="32">
        <f>SUM(E15:E21)</f>
        <v>3157.4940000000001</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860</v>
      </c>
      <c r="E26" s="84" t="s">
        <v>860</v>
      </c>
      <c r="F26" s="84"/>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877</v>
      </c>
      <c r="E29" s="85" t="s">
        <v>878</v>
      </c>
      <c r="F29" s="85"/>
      <c r="G29" s="85"/>
      <c r="H29" s="85"/>
      <c r="I29" s="85"/>
      <c r="J29" s="85"/>
      <c r="K29" s="145"/>
      <c r="L29" s="140"/>
    </row>
    <row r="30" spans="2:14" ht="156.75" customHeight="1" x14ac:dyDescent="0.2">
      <c r="B30" s="374"/>
      <c r="C30" s="25" t="s">
        <v>84</v>
      </c>
      <c r="D30" s="85" t="s">
        <v>879</v>
      </c>
      <c r="E30" s="85" t="s">
        <v>880</v>
      </c>
      <c r="F30" s="85"/>
      <c r="G30" s="85"/>
      <c r="H30" s="85"/>
      <c r="I30" s="85"/>
      <c r="J30" s="85"/>
      <c r="K30" s="145"/>
      <c r="L30" s="140"/>
    </row>
    <row r="31" spans="2:14" ht="52.5" customHeight="1" x14ac:dyDescent="0.2">
      <c r="B31" s="374"/>
      <c r="C31" s="25" t="s">
        <v>85</v>
      </c>
      <c r="D31" s="89">
        <v>38191</v>
      </c>
      <c r="E31" s="89">
        <v>36403</v>
      </c>
      <c r="F31" s="89"/>
      <c r="G31" s="89"/>
      <c r="H31" s="89"/>
      <c r="I31" s="89"/>
      <c r="J31" s="89"/>
      <c r="K31" s="145"/>
      <c r="L31" s="140"/>
    </row>
    <row r="32" spans="2:14" ht="54.75" customHeight="1" x14ac:dyDescent="0.2">
      <c r="B32" s="374"/>
      <c r="C32" s="25" t="s">
        <v>86</v>
      </c>
      <c r="D32" s="89">
        <v>39835</v>
      </c>
      <c r="E32" s="89">
        <v>36766</v>
      </c>
      <c r="F32" s="89"/>
      <c r="G32" s="89"/>
      <c r="H32" s="89"/>
      <c r="I32" s="89"/>
      <c r="J32" s="89"/>
      <c r="K32" s="145"/>
      <c r="L32" s="140"/>
    </row>
    <row r="33" spans="2:12" ht="41.25" customHeight="1" x14ac:dyDescent="0.2">
      <c r="B33" s="374"/>
      <c r="C33" s="25" t="s">
        <v>87</v>
      </c>
      <c r="D33" s="86">
        <v>2009</v>
      </c>
      <c r="E33" s="86">
        <v>2000</v>
      </c>
      <c r="F33" s="86"/>
      <c r="G33" s="86"/>
      <c r="H33" s="86"/>
      <c r="I33" s="86"/>
      <c r="J33" s="86"/>
      <c r="K33" s="145"/>
      <c r="L33" s="140"/>
    </row>
    <row r="34" spans="2:12" ht="63" customHeight="1" x14ac:dyDescent="0.2">
      <c r="B34" s="374"/>
      <c r="C34" s="25" t="s">
        <v>88</v>
      </c>
      <c r="D34" s="85" t="s">
        <v>881</v>
      </c>
      <c r="E34" s="85" t="s">
        <v>321</v>
      </c>
      <c r="F34" s="85"/>
      <c r="G34" s="85"/>
      <c r="H34" s="85"/>
      <c r="I34" s="85"/>
      <c r="J34" s="85"/>
      <c r="K34" s="145"/>
      <c r="L34" s="140"/>
    </row>
    <row r="35" spans="2:12" ht="46.5" customHeight="1" x14ac:dyDescent="0.2">
      <c r="B35" s="374"/>
      <c r="C35" s="25" t="s">
        <v>89</v>
      </c>
      <c r="D35" s="85" t="s">
        <v>860</v>
      </c>
      <c r="E35" s="85" t="s">
        <v>860</v>
      </c>
      <c r="F35" s="85"/>
      <c r="G35" s="85"/>
      <c r="H35" s="85"/>
      <c r="I35" s="85"/>
      <c r="J35" s="85"/>
      <c r="K35" s="145"/>
      <c r="L35" s="140"/>
    </row>
    <row r="36" spans="2:12" ht="27.75" customHeight="1" x14ac:dyDescent="0.2">
      <c r="B36" s="374"/>
      <c r="C36" s="26" t="s">
        <v>90</v>
      </c>
      <c r="D36" s="90">
        <v>28</v>
      </c>
      <c r="E36" s="90">
        <v>11</v>
      </c>
      <c r="F36" s="90"/>
      <c r="G36" s="91"/>
      <c r="H36" s="91"/>
      <c r="I36" s="91"/>
      <c r="J36" s="91"/>
      <c r="K36" s="145"/>
      <c r="L36" s="140"/>
    </row>
    <row r="37" spans="2:12" ht="102.75" customHeight="1" x14ac:dyDescent="0.2">
      <c r="B37" s="374"/>
      <c r="C37" s="25" t="s">
        <v>91</v>
      </c>
      <c r="D37" s="87">
        <v>18580.36</v>
      </c>
      <c r="E37" s="158">
        <v>740.88</v>
      </c>
      <c r="F37" s="87"/>
      <c r="G37" s="87"/>
      <c r="H37" s="87"/>
      <c r="I37" s="87"/>
      <c r="J37" s="87"/>
      <c r="K37" s="242"/>
      <c r="L37" s="243"/>
    </row>
    <row r="38" spans="2:12" ht="48" customHeight="1" x14ac:dyDescent="0.2">
      <c r="B38" s="374"/>
      <c r="C38" s="25" t="s">
        <v>92</v>
      </c>
      <c r="D38" s="97">
        <f>IFERROR(D37*VLOOKUP(D33,'DATOS INICIALES'!$A$12:$B$50,2,0),"0")</f>
        <v>9232580884</v>
      </c>
      <c r="E38" s="97">
        <f>IFERROR(E37*VLOOKUP(E33,'DATOS INICIALES'!$A$12:$B$50,2,0),"0")</f>
        <v>192702888</v>
      </c>
      <c r="F38" s="97" t="str">
        <f>IFERROR(F37*VLOOKUP(F33,'DATOS INICIALES'!$A$12:$B$50,2,0),"0")</f>
        <v>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0.15</v>
      </c>
      <c r="E39" s="88">
        <v>0.5</v>
      </c>
      <c r="F39" s="88"/>
      <c r="G39" s="88"/>
      <c r="H39" s="88"/>
      <c r="I39" s="88"/>
      <c r="J39" s="88"/>
      <c r="K39" s="145"/>
      <c r="L39" s="140"/>
    </row>
    <row r="40" spans="2:12" ht="48.75" customHeight="1" x14ac:dyDescent="0.2">
      <c r="B40" s="374"/>
      <c r="C40" s="25" t="s">
        <v>94</v>
      </c>
      <c r="D40" s="97">
        <f t="shared" ref="D40:J40" si="0">IF(D26="","0",D39*D38)</f>
        <v>1384887132.5999999</v>
      </c>
      <c r="E40" s="97">
        <f t="shared" si="0"/>
        <v>96351444</v>
      </c>
      <c r="F40" s="97" t="str">
        <f t="shared" si="0"/>
        <v>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2787.0540000000001</v>
      </c>
      <c r="E41" s="98">
        <f t="shared" si="1"/>
        <v>370.44</v>
      </c>
      <c r="F41" s="98">
        <f t="shared" si="1"/>
        <v>0</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2787.0540000000001</v>
      </c>
      <c r="E48" s="98">
        <f t="shared" ref="E48:G48" si="6">+E41+E44+E47</f>
        <v>370.44</v>
      </c>
      <c r="F48" s="98">
        <f t="shared" si="6"/>
        <v>0</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N/A</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N/A</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2785" priority="75" operator="equal">
      <formula>"CUMPLE"</formula>
    </cfRule>
    <cfRule type="containsBlanks" dxfId="2784" priority="72">
      <formula>LEN(TRIM(D71))=0</formula>
    </cfRule>
    <cfRule type="notContainsErrors" dxfId="2783" priority="73">
      <formula>NOT(ISERROR(D71))</formula>
    </cfRule>
    <cfRule type="cellIs" dxfId="2782" priority="74" operator="equal">
      <formula>"NO CUMPLE"</formula>
    </cfRule>
  </conditionalFormatting>
  <conditionalFormatting sqref="D72">
    <cfRule type="cellIs" dxfId="2781" priority="77" operator="equal">
      <formula>"CUMPLE"</formula>
    </cfRule>
    <cfRule type="cellIs" dxfId="2780" priority="76" operator="equal">
      <formula>"N/A"</formula>
    </cfRule>
    <cfRule type="cellIs" dxfId="2779" priority="79" operator="equal">
      <formula>"""CUMPLE"""</formula>
    </cfRule>
    <cfRule type="cellIs" dxfId="2778" priority="78" operator="equal">
      <formula>"NO CUMPLE"</formula>
    </cfRule>
  </conditionalFormatting>
  <conditionalFormatting sqref="D26:J37">
    <cfRule type="notContainsErrors" dxfId="2777" priority="4">
      <formula>NOT(ISERROR(D26))</formula>
    </cfRule>
    <cfRule type="containsBlanks" dxfId="2776" priority="3">
      <formula>LEN(TRIM(D26))=0</formula>
    </cfRule>
  </conditionalFormatting>
  <conditionalFormatting sqref="D36:J36">
    <cfRule type="notContainsErrors" dxfId="2775" priority="6">
      <formula>NOT(ISERROR(D36))</formula>
    </cfRule>
    <cfRule type="containsBlanks" dxfId="2774" priority="5">
      <formula>LEN(TRIM(D36))=0</formula>
    </cfRule>
  </conditionalFormatting>
  <conditionalFormatting sqref="D39:J39">
    <cfRule type="containsBlanks" dxfId="2773" priority="1">
      <formula>LEN(TRIM(D39))=0</formula>
    </cfRule>
    <cfRule type="notContainsErrors" dxfId="2772" priority="2">
      <formula>NOT(ISERROR(D39))</formula>
    </cfRule>
  </conditionalFormatting>
  <conditionalFormatting sqref="D42:J42 D45:J45">
    <cfRule type="notContainsErrors" dxfId="2771" priority="38">
      <formula>NOT(ISERROR(D42))</formula>
    </cfRule>
    <cfRule type="containsBlanks" dxfId="2770" priority="37">
      <formula>LEN(TRIM(D42))=0</formula>
    </cfRule>
  </conditionalFormatting>
  <conditionalFormatting sqref="D49:J54">
    <cfRule type="cellIs" dxfId="2769" priority="17" operator="equal">
      <formula>"NO CUMPLE"</formula>
    </cfRule>
    <cfRule type="cellIs" dxfId="2768" priority="18" operator="equal">
      <formula>"CUMPLE"</formula>
    </cfRule>
    <cfRule type="containsBlanks" dxfId="2767" priority="19">
      <formula>LEN(TRIM(D49))=0</formula>
    </cfRule>
    <cfRule type="notContainsErrors" dxfId="2766" priority="20">
      <formula>NOT(ISERROR(D49))</formula>
    </cfRule>
  </conditionalFormatting>
  <conditionalFormatting sqref="D55:J55">
    <cfRule type="cellIs" dxfId="2765" priority="28" operator="equal">
      <formula>"CUMPLE"</formula>
    </cfRule>
    <cfRule type="cellIs" dxfId="2764" priority="30" operator="equal">
      <formula>"""CUMPLE"""</formula>
    </cfRule>
    <cfRule type="cellIs" dxfId="2763" priority="29" operator="equal">
      <formula>"NO CUMPLE"</formula>
    </cfRule>
    <cfRule type="cellIs" dxfId="2762" priority="27" operator="equal">
      <formula>"N/A"</formula>
    </cfRule>
  </conditionalFormatting>
  <conditionalFormatting sqref="D56:J66">
    <cfRule type="cellIs" dxfId="2761" priority="11" operator="equal">
      <formula>"NO CUMPLE"</formula>
    </cfRule>
    <cfRule type="notContainsErrors" dxfId="2760" priority="14">
      <formula>NOT(ISERROR(D56))</formula>
    </cfRule>
    <cfRule type="containsBlanks" dxfId="2759" priority="13">
      <formula>LEN(TRIM(D56))=0</formula>
    </cfRule>
    <cfRule type="cellIs" dxfId="2758" priority="12" operator="equal">
      <formula>"CUMPLE"</formula>
    </cfRule>
  </conditionalFormatting>
  <conditionalFormatting sqref="D67:J67">
    <cfRule type="cellIs" dxfId="2757" priority="23" operator="equal">
      <formula>"N/A"</formula>
    </cfRule>
    <cfRule type="cellIs" dxfId="2756" priority="24" operator="equal">
      <formula>"CUMPLE"</formula>
    </cfRule>
    <cfRule type="cellIs" dxfId="2755" priority="26" operator="equal">
      <formula>"""CUMPLE"""</formula>
    </cfRule>
    <cfRule type="cellIs" dxfId="2754" priority="25" operator="equal">
      <formula>"NO CUMPLE"</formula>
    </cfRule>
  </conditionalFormatting>
  <conditionalFormatting sqref="D62:K66">
    <cfRule type="containsBlanks" dxfId="2753" priority="15">
      <formula>LEN(TRIM(D62))=0</formula>
    </cfRule>
    <cfRule type="notContainsErrors" dxfId="2752" priority="16">
      <formula>NOT(ISERROR(D62))</formula>
    </cfRule>
  </conditionalFormatting>
  <conditionalFormatting sqref="E71:E72">
    <cfRule type="notContainsErrors" dxfId="2751" priority="71">
      <formula>NOT(ISERROR(E71))</formula>
    </cfRule>
    <cfRule type="containsBlanks" dxfId="2750" priority="70">
      <formula>LEN(TRIM(E71))=0</formula>
    </cfRule>
  </conditionalFormatting>
  <conditionalFormatting sqref="F22:H22">
    <cfRule type="cellIs" dxfId="2749" priority="98" operator="equal">
      <formula>"NO CUMPLE"</formula>
    </cfRule>
    <cfRule type="cellIs" dxfId="2748" priority="99" operator="equal">
      <formula>"""CUMPLE"""</formula>
    </cfRule>
    <cfRule type="cellIs" dxfId="2747" priority="97" operator="equal">
      <formula>"CUMPLE"</formula>
    </cfRule>
  </conditionalFormatting>
  <conditionalFormatting sqref="G63:J63">
    <cfRule type="containsBlanks" dxfId="2746" priority="7">
      <formula>LEN(TRIM(G63))=0</formula>
    </cfRule>
    <cfRule type="notContainsErrors" dxfId="2745" priority="8">
      <formula>NOT(ISERROR(G63))</formula>
    </cfRule>
  </conditionalFormatting>
  <conditionalFormatting sqref="I11">
    <cfRule type="containsText" dxfId="2744" priority="103" operator="containsText" text="NO CUMPLE">
      <formula>NOT(ISERROR(SEARCH("NO CUMPLE",I11)))</formula>
    </cfRule>
    <cfRule type="containsText" dxfId="2743" priority="102" operator="containsText" text="HABILITADO">
      <formula>NOT(ISERROR(SEARCH("HABILITADO",I11)))</formula>
    </cfRule>
    <cfRule type="containsText" dxfId="2742" priority="101" operator="containsText" text="HABILITADO">
      <formula>NOT(ISERROR(SEARCH("HABILITADO",I11)))</formula>
    </cfRule>
    <cfRule type="containsText" dxfId="2741" priority="100" operator="containsText" text="INHABILITADO">
      <formula>NOT(ISERROR(SEARCH("INHABILITADO",I11)))</formula>
    </cfRule>
  </conditionalFormatting>
  <conditionalFormatting sqref="K18:K20">
    <cfRule type="cellIs" dxfId="2740" priority="68" operator="equal">
      <formula>"NO CUMPLE"</formula>
    </cfRule>
    <cfRule type="cellIs" dxfId="2739" priority="69" operator="equal">
      <formula>"""CUMPLE"""</formula>
    </cfRule>
    <cfRule type="cellIs" dxfId="2738" priority="67" operator="equal">
      <formula>"CUMPLE"</formula>
    </cfRule>
  </conditionalFormatting>
  <conditionalFormatting sqref="K26:K61 D62:J62">
    <cfRule type="containsBlanks" dxfId="2737" priority="9">
      <formula>LEN(TRIM(D26))=0</formula>
    </cfRule>
    <cfRule type="notContainsErrors" dxfId="2736" priority="10">
      <formula>NOT(ISERROR(D26))</formula>
    </cfRule>
  </conditionalFormatting>
  <conditionalFormatting sqref="K67:L67">
    <cfRule type="containsBlanks" dxfId="2735" priority="21">
      <formula>LEN(TRIM(K67))=0</formula>
    </cfRule>
    <cfRule type="notContainsErrors" dxfId="2734" priority="22">
      <formula>NOT(ISERROR(K67))</formula>
    </cfRule>
  </conditionalFormatting>
  <conditionalFormatting sqref="L14">
    <cfRule type="cellIs" dxfId="2733" priority="96" operator="equal">
      <formula>"""CUMPLE"""</formula>
    </cfRule>
    <cfRule type="cellIs" dxfId="2732" priority="95" operator="equal">
      <formula>"NO CUMPLE"</formula>
    </cfRule>
    <cfRule type="cellIs" dxfId="2731" priority="94" operator="equal">
      <formula>"CUMPLE"</formula>
    </cfRule>
  </conditionalFormatting>
  <dataValidations count="2">
    <dataValidation type="list" allowBlank="1" showInputMessage="1" showErrorMessage="1" sqref="L62:L67" xr:uid="{00000000-0002-0000-3200-000000000000}">
      <formula1>"0,1,2,3,4,5,6"</formula1>
    </dataValidation>
    <dataValidation type="list" allowBlank="1" showInputMessage="1" showErrorMessage="1" sqref="D26:J28" xr:uid="{00000000-0002-0000-32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3200-000002000000}">
          <x14:formula1>
            <xm:f>'DATOS INICIALES'!$A$57:$A$58</xm:f>
          </x14:formula1>
          <xm:sqref>D49:J49</xm:sqref>
        </x14:dataValidation>
        <x14:dataValidation type="list" allowBlank="1" showInputMessage="1" showErrorMessage="1" xr:uid="{00000000-0002-0000-3200-000003000000}">
          <x14:formula1>
            <xm:f>'DATOS INICIALES'!$A$61:$A$67</xm:f>
          </x14:formula1>
          <xm:sqref>J25</xm:sqref>
        </x14:dataValidation>
        <x14:dataValidation type="list" allowBlank="1" showInputMessage="1" showErrorMessage="1" xr:uid="{00000000-0002-0000-3200-000004000000}">
          <x14:formula1>
            <xm:f>'DATOS INICIALES'!$C$52:$C$53</xm:f>
          </x14:formula1>
          <xm:sqref>D53:J54</xm:sqref>
        </x14:dataValidation>
        <x14:dataValidation type="list" allowBlank="1" showInputMessage="1" showErrorMessage="1" xr:uid="{00000000-0002-0000-3200-000005000000}">
          <x14:formula1>
            <xm:f>'DATOS INICIALES'!$A$57:$A$59</xm:f>
          </x14:formula1>
          <xm:sqref>D71 D56:J66</xm:sqref>
        </x14:dataValidation>
        <x14:dataValidation type="list" allowBlank="1" showInputMessage="1" showErrorMessage="1" xr:uid="{00000000-0002-0000-3200-000006000000}">
          <x14:formula1>
            <xm:f>'DATOS INICIALES'!$A$61:$A$66</xm:f>
          </x14:formula1>
          <xm:sqref>D25:I25</xm:sqref>
        </x14:dataValidation>
        <x14:dataValidation type="list" allowBlank="1" showInputMessage="1" showErrorMessage="1" xr:uid="{00000000-0002-0000-3200-000007000000}">
          <x14:formula1>
            <xm:f>'DATOS INICIALES'!$A$13:$A$50</xm:f>
          </x14:formula1>
          <xm:sqref>G33:I33</xm:sqref>
        </x14:dataValidation>
        <x14:dataValidation type="list" allowBlank="1" showInputMessage="1" showErrorMessage="1" xr:uid="{00000000-0002-0000-3200-000008000000}">
          <x14:formula1>
            <xm:f>'DATOS INICIALES'!$D$27:$D$29</xm:f>
          </x14:formula1>
          <xm:sqref>M50:M55</xm:sqref>
        </x14:dataValidation>
        <x14:dataValidation type="list" allowBlank="1" showInputMessage="1" showErrorMessage="1" xr:uid="{00000000-0002-0000-3200-000009000000}">
          <x14:formula1>
            <xm:f>'DATOS INICIALES'!$C$52:$C$54</xm:f>
          </x14:formula1>
          <xm:sqref>D50:J52</xm:sqref>
        </x14:dataValidation>
      </x14:dataValidations>
    </ext>
  </extLst>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tabColor rgb="FF92D050"/>
  </sheetPr>
  <dimension ref="A1:N72"/>
  <sheetViews>
    <sheetView view="pageBreakPreview" topLeftCell="A31" zoomScale="40" zoomScaleNormal="25" zoomScaleSheetLayoutView="40" workbookViewId="0">
      <selection activeCell="D39" sqref="D39:E39"/>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46</v>
      </c>
      <c r="B11" s="2" t="s">
        <v>58</v>
      </c>
      <c r="C11" s="413" t="str">
        <f>VLOOKUP(A11,PROPONENTES!A10:B94,2,FALSE)</f>
        <v>MALLAUSA</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2</v>
      </c>
      <c r="J14" s="147">
        <f>+L8</f>
        <v>986.3076290832455</v>
      </c>
      <c r="K14" s="147">
        <f>+E22</f>
        <v>3219.5200000000004</v>
      </c>
      <c r="L14" s="18" t="str">
        <f>IF(K14&gt;=J14,"CUMPLE","NO CUMPLE")</f>
        <v>CUMPLE</v>
      </c>
    </row>
    <row r="15" spans="1:12" ht="33.75" customHeight="1" x14ac:dyDescent="0.2">
      <c r="B15" s="382"/>
      <c r="C15" s="92" t="str">
        <f>IF(VLOOKUP(C11,PROPONENTES!B10:N94,2,FALSE)=0,"",VLOOKUP(C11,PROPONENTES!B10:N94,2,FALSE))</f>
        <v>MAESTRE BROCHERO LUIS ALFONSO</v>
      </c>
      <c r="D15" s="93">
        <f>IF(VLOOKUP(C11,PROPONENTES!B10:N94,3,FALSE)=0,"",VLOOKUP(C11,PROPONENTES!B10:N94,3,FALSE))</f>
        <v>0.5</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146</v>
      </c>
      <c r="F15" s="95" t="str">
        <f>IF(C15="","",IF(E15&gt;=$J$14*0.5,"SI","NO"))</f>
        <v>NO</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M&amp;D EMAUS CONSTRUCCIONES S.A.S</v>
      </c>
      <c r="D16" s="93">
        <f>IF(VLOOKUP(C11,PROPONENTES!B10:N94,5,FALSE)=0,"",VLOOKUP(C11,PROPONENTES!B10:N94,5,FALSE))</f>
        <v>0.4</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3073.5200000000004</v>
      </c>
      <c r="F16" s="95" t="str">
        <f>IF(C16="","",IF(E16&gt;=$J$14*0.5,"SI","NO"))</f>
        <v>SI</v>
      </c>
      <c r="G16" s="96" t="str">
        <f>IF(C16="","",IF(E16&gt;=$J$14*0.05,"SI",IF(E16=0,"NO APORTA EXPERIENCIA",)))</f>
        <v>SI</v>
      </c>
      <c r="H16" s="96" t="str">
        <f>IF(C16="","",IF(AND(G16="NO APORTA EXPERIENCIA",D16&lt;=10%),"SI",IF(G16="SI","NO APLICA","NO - PORCENTAJE MAYOR AL 10%")))</f>
        <v>NO APLICA</v>
      </c>
      <c r="I16" s="162"/>
      <c r="J16" s="162"/>
      <c r="K16" s="162"/>
      <c r="L16" s="161">
        <f>AVERAGEIF(D67:J67,"CUMPLE",D48:J48)</f>
        <v>1609.7600000000002</v>
      </c>
    </row>
    <row r="17" spans="2:14" ht="33.75" customHeight="1" x14ac:dyDescent="0.2">
      <c r="B17" s="382"/>
      <c r="C17" s="92" t="str">
        <f>IF(VLOOKUP(C11,PROPONENTES!B10:N94,6,FALSE)=0,"",VLOOKUP(C11,PROPONENTES!B10:N94,6,FALSE))</f>
        <v>M&amp;D INGECONTRUCCION S.A.S.</v>
      </c>
      <c r="D17" s="93">
        <f>IF(VLOOKUP(C11,PROPONENTES!B10:N94,7,FALSE)=0,"",VLOOKUP(C11,PROPONENTES!B10:N94,7,FALSE))</f>
        <v>0.1</v>
      </c>
      <c r="E17" s="94">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0</v>
      </c>
      <c r="F17" s="95" t="str">
        <f>IF(C17="","",IF(E17&gt;=$J$14*0.5,"SI","NO"))</f>
        <v>NO</v>
      </c>
      <c r="G17" s="96" t="str">
        <f>IF(C17="","",IF(E17&gt;=$J$14*0.05,"SI",IF(E17=0,"NO APORTA EXPERIENCIA",)))</f>
        <v>NO APORTA EXPERIENCIA</v>
      </c>
      <c r="H17" s="96" t="str">
        <f>IF(C17="","",IF(AND(G17="NO APORTA EXPERIENCIA",D17&lt;=10%),"SI",IF(G17="SI","NO APLICA","NO - PORCENTAJE MAYOR AL 10%")))</f>
        <v>SI</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2</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2</v>
      </c>
      <c r="J19" s="128">
        <v>1</v>
      </c>
      <c r="K19" s="387"/>
      <c r="L19" s="388"/>
    </row>
    <row r="20" spans="2:14" ht="50.25" customHeight="1" x14ac:dyDescent="0.2">
      <c r="B20" s="382"/>
      <c r="C20" s="92"/>
      <c r="D20" s="93"/>
      <c r="E20" s="94"/>
      <c r="F20" s="95"/>
      <c r="G20" s="96"/>
      <c r="H20" s="96"/>
      <c r="I20" s="128">
        <f>COUNTIFS(D60:J60,"CUMPLE",D67:J67,"CUMPLE")</f>
        <v>2</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2</v>
      </c>
      <c r="J21" s="128">
        <v>1</v>
      </c>
      <c r="K21" s="389"/>
      <c r="L21" s="390"/>
    </row>
    <row r="22" spans="2:14" ht="84.75" customHeight="1" x14ac:dyDescent="0.2">
      <c r="B22" s="29" t="s">
        <v>75</v>
      </c>
      <c r="C22" s="24">
        <f>+VLOOKUP(C11,PROPONENTES!B10:N94,12,FALSE)</f>
        <v>3</v>
      </c>
      <c r="D22" s="93">
        <f>+VLOOKUP(C11,PROPONENTES!B10:N94,13,FALSE)</f>
        <v>1</v>
      </c>
      <c r="E22" s="32">
        <f>SUM(E15:E21)</f>
        <v>3219.5200000000004</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862</v>
      </c>
      <c r="E26" s="84" t="s">
        <v>861</v>
      </c>
      <c r="F26" s="84"/>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882</v>
      </c>
      <c r="E29" s="85" t="s">
        <v>883</v>
      </c>
      <c r="F29" s="85"/>
      <c r="G29" s="85"/>
      <c r="H29" s="85"/>
      <c r="I29" s="85"/>
      <c r="J29" s="85"/>
      <c r="K29" s="145"/>
      <c r="L29" s="140"/>
    </row>
    <row r="30" spans="2:14" ht="156.75" customHeight="1" x14ac:dyDescent="0.2">
      <c r="B30" s="374"/>
      <c r="C30" s="25" t="s">
        <v>84</v>
      </c>
      <c r="D30" s="85" t="s">
        <v>884</v>
      </c>
      <c r="E30" s="85" t="s">
        <v>885</v>
      </c>
      <c r="F30" s="85"/>
      <c r="G30" s="85"/>
      <c r="H30" s="85"/>
      <c r="I30" s="85"/>
      <c r="J30" s="85"/>
      <c r="K30" s="145"/>
      <c r="L30" s="140"/>
    </row>
    <row r="31" spans="2:14" ht="52.5" customHeight="1" x14ac:dyDescent="0.2">
      <c r="B31" s="374"/>
      <c r="C31" s="25" t="s">
        <v>85</v>
      </c>
      <c r="D31" s="89">
        <v>38912</v>
      </c>
      <c r="E31" s="89">
        <v>43733</v>
      </c>
      <c r="F31" s="89"/>
      <c r="G31" s="89"/>
      <c r="H31" s="89"/>
      <c r="I31" s="89"/>
      <c r="J31" s="89"/>
      <c r="K31" s="145"/>
      <c r="L31" s="140"/>
    </row>
    <row r="32" spans="2:14" ht="54.75" customHeight="1" x14ac:dyDescent="0.2">
      <c r="B32" s="374"/>
      <c r="C32" s="25" t="s">
        <v>86</v>
      </c>
      <c r="D32" s="89">
        <v>39772</v>
      </c>
      <c r="E32" s="89">
        <v>43812</v>
      </c>
      <c r="F32" s="89"/>
      <c r="G32" s="89"/>
      <c r="H32" s="89"/>
      <c r="I32" s="89"/>
      <c r="J32" s="89"/>
      <c r="K32" s="145"/>
      <c r="L32" s="140"/>
    </row>
    <row r="33" spans="2:12" ht="41.25" customHeight="1" x14ac:dyDescent="0.2">
      <c r="B33" s="374"/>
      <c r="C33" s="25" t="s">
        <v>87</v>
      </c>
      <c r="D33" s="86">
        <v>2008</v>
      </c>
      <c r="E33" s="86">
        <v>2019</v>
      </c>
      <c r="F33" s="86"/>
      <c r="G33" s="86"/>
      <c r="H33" s="86"/>
      <c r="I33" s="86"/>
      <c r="J33" s="86"/>
      <c r="K33" s="145"/>
      <c r="L33" s="140"/>
    </row>
    <row r="34" spans="2:12" ht="63" customHeight="1" x14ac:dyDescent="0.2">
      <c r="B34" s="374"/>
      <c r="C34" s="25" t="s">
        <v>88</v>
      </c>
      <c r="D34" s="85" t="s">
        <v>886</v>
      </c>
      <c r="E34" s="85" t="s">
        <v>887</v>
      </c>
      <c r="F34" s="85"/>
      <c r="G34" s="85"/>
      <c r="H34" s="85"/>
      <c r="I34" s="85"/>
      <c r="J34" s="85"/>
      <c r="K34" s="145"/>
      <c r="L34" s="140"/>
    </row>
    <row r="35" spans="2:12" ht="46.5" customHeight="1" x14ac:dyDescent="0.2">
      <c r="B35" s="374"/>
      <c r="C35" s="25" t="s">
        <v>89</v>
      </c>
      <c r="D35" s="85" t="s">
        <v>862</v>
      </c>
      <c r="E35" s="85" t="s">
        <v>861</v>
      </c>
      <c r="F35" s="85"/>
      <c r="G35" s="85"/>
      <c r="H35" s="85"/>
      <c r="I35" s="85"/>
      <c r="J35" s="85"/>
      <c r="K35" s="145"/>
      <c r="L35" s="140"/>
    </row>
    <row r="36" spans="2:12" ht="27.75" customHeight="1" x14ac:dyDescent="0.2">
      <c r="B36" s="374"/>
      <c r="C36" s="26" t="s">
        <v>90</v>
      </c>
      <c r="D36" s="90">
        <v>24</v>
      </c>
      <c r="E36" s="90">
        <v>33</v>
      </c>
      <c r="F36" s="90"/>
      <c r="G36" s="91"/>
      <c r="H36" s="91"/>
      <c r="I36" s="91"/>
      <c r="J36" s="91"/>
      <c r="K36" s="145"/>
      <c r="L36" s="140"/>
    </row>
    <row r="37" spans="2:12" ht="102.75" customHeight="1" x14ac:dyDescent="0.2">
      <c r="B37" s="374"/>
      <c r="C37" s="25" t="s">
        <v>91</v>
      </c>
      <c r="D37" s="87">
        <v>3841.9</v>
      </c>
      <c r="E37" s="158">
        <v>146</v>
      </c>
      <c r="F37" s="87"/>
      <c r="G37" s="87"/>
      <c r="H37" s="87"/>
      <c r="I37" s="87"/>
      <c r="J37" s="87"/>
      <c r="K37" s="242"/>
      <c r="L37" s="243"/>
    </row>
    <row r="38" spans="2:12" ht="48" customHeight="1" x14ac:dyDescent="0.2">
      <c r="B38" s="374"/>
      <c r="C38" s="25" t="s">
        <v>92</v>
      </c>
      <c r="D38" s="97">
        <f>IFERROR(D37*VLOOKUP(D33,'DATOS INICIALES'!$A$12:$B$50,2,0),"0")</f>
        <v>1773036850</v>
      </c>
      <c r="E38" s="97">
        <f>IFERROR(E37*VLOOKUP(E33,'DATOS INICIALES'!$A$12:$B$50,2,0),"0")</f>
        <v>120904936</v>
      </c>
      <c r="F38" s="97" t="str">
        <f>IFERROR(F37*VLOOKUP(F33,'DATOS INICIALES'!$A$12:$B$50,2,0),"0")</f>
        <v>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0.8</v>
      </c>
      <c r="E39" s="88">
        <v>1</v>
      </c>
      <c r="F39" s="88"/>
      <c r="G39" s="88"/>
      <c r="H39" s="88"/>
      <c r="I39" s="88"/>
      <c r="J39" s="88"/>
      <c r="K39" s="145"/>
      <c r="L39" s="140"/>
    </row>
    <row r="40" spans="2:12" ht="48.75" customHeight="1" x14ac:dyDescent="0.2">
      <c r="B40" s="374"/>
      <c r="C40" s="25" t="s">
        <v>94</v>
      </c>
      <c r="D40" s="97">
        <f t="shared" ref="D40:J40" si="0">IF(D26="","0",D39*D38)</f>
        <v>1418429480</v>
      </c>
      <c r="E40" s="97">
        <f t="shared" si="0"/>
        <v>120904936</v>
      </c>
      <c r="F40" s="97" t="str">
        <f t="shared" si="0"/>
        <v>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3073.5200000000004</v>
      </c>
      <c r="E41" s="98">
        <f t="shared" si="1"/>
        <v>146</v>
      </c>
      <c r="F41" s="98">
        <f t="shared" si="1"/>
        <v>0</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3073.5200000000004</v>
      </c>
      <c r="E48" s="98">
        <f t="shared" ref="E48:G48" si="6">+E41+E44+E47</f>
        <v>146</v>
      </c>
      <c r="F48" s="98">
        <f t="shared" si="6"/>
        <v>0</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N/A</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N/A</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2730" priority="75" operator="equal">
      <formula>"CUMPLE"</formula>
    </cfRule>
    <cfRule type="containsBlanks" dxfId="2729" priority="72">
      <formula>LEN(TRIM(D71))=0</formula>
    </cfRule>
    <cfRule type="notContainsErrors" dxfId="2728" priority="73">
      <formula>NOT(ISERROR(D71))</formula>
    </cfRule>
    <cfRule type="cellIs" dxfId="2727" priority="74" operator="equal">
      <formula>"NO CUMPLE"</formula>
    </cfRule>
  </conditionalFormatting>
  <conditionalFormatting sqref="D72">
    <cfRule type="cellIs" dxfId="2726" priority="77" operator="equal">
      <formula>"CUMPLE"</formula>
    </cfRule>
    <cfRule type="cellIs" dxfId="2725" priority="76" operator="equal">
      <formula>"N/A"</formula>
    </cfRule>
    <cfRule type="cellIs" dxfId="2724" priority="79" operator="equal">
      <formula>"""CUMPLE"""</formula>
    </cfRule>
    <cfRule type="cellIs" dxfId="2723" priority="78" operator="equal">
      <formula>"NO CUMPLE"</formula>
    </cfRule>
  </conditionalFormatting>
  <conditionalFormatting sqref="D26:J37">
    <cfRule type="notContainsErrors" dxfId="2722" priority="4">
      <formula>NOT(ISERROR(D26))</formula>
    </cfRule>
    <cfRule type="containsBlanks" dxfId="2721" priority="3">
      <formula>LEN(TRIM(D26))=0</formula>
    </cfRule>
  </conditionalFormatting>
  <conditionalFormatting sqref="D36:J36">
    <cfRule type="notContainsErrors" dxfId="2720" priority="6">
      <formula>NOT(ISERROR(D36))</formula>
    </cfRule>
    <cfRule type="containsBlanks" dxfId="2719" priority="5">
      <formula>LEN(TRIM(D36))=0</formula>
    </cfRule>
  </conditionalFormatting>
  <conditionalFormatting sqref="D39:J39">
    <cfRule type="containsBlanks" dxfId="2718" priority="1">
      <formula>LEN(TRIM(D39))=0</formula>
    </cfRule>
    <cfRule type="notContainsErrors" dxfId="2717" priority="2">
      <formula>NOT(ISERROR(D39))</formula>
    </cfRule>
  </conditionalFormatting>
  <conditionalFormatting sqref="D42:J42 D45:J45">
    <cfRule type="notContainsErrors" dxfId="2716" priority="38">
      <formula>NOT(ISERROR(D42))</formula>
    </cfRule>
    <cfRule type="containsBlanks" dxfId="2715" priority="37">
      <formula>LEN(TRIM(D42))=0</formula>
    </cfRule>
  </conditionalFormatting>
  <conditionalFormatting sqref="D49:J54">
    <cfRule type="cellIs" dxfId="2714" priority="17" operator="equal">
      <formula>"NO CUMPLE"</formula>
    </cfRule>
    <cfRule type="cellIs" dxfId="2713" priority="18" operator="equal">
      <formula>"CUMPLE"</formula>
    </cfRule>
    <cfRule type="containsBlanks" dxfId="2712" priority="19">
      <formula>LEN(TRIM(D49))=0</formula>
    </cfRule>
    <cfRule type="notContainsErrors" dxfId="2711" priority="20">
      <formula>NOT(ISERROR(D49))</formula>
    </cfRule>
  </conditionalFormatting>
  <conditionalFormatting sqref="D55:J55">
    <cfRule type="cellIs" dxfId="2710" priority="28" operator="equal">
      <formula>"CUMPLE"</formula>
    </cfRule>
    <cfRule type="cellIs" dxfId="2709" priority="30" operator="equal">
      <formula>"""CUMPLE"""</formula>
    </cfRule>
    <cfRule type="cellIs" dxfId="2708" priority="29" operator="equal">
      <formula>"NO CUMPLE"</formula>
    </cfRule>
    <cfRule type="cellIs" dxfId="2707" priority="27" operator="equal">
      <formula>"N/A"</formula>
    </cfRule>
  </conditionalFormatting>
  <conditionalFormatting sqref="D56:J66">
    <cfRule type="cellIs" dxfId="2706" priority="11" operator="equal">
      <formula>"NO CUMPLE"</formula>
    </cfRule>
    <cfRule type="notContainsErrors" dxfId="2705" priority="14">
      <formula>NOT(ISERROR(D56))</formula>
    </cfRule>
    <cfRule type="containsBlanks" dxfId="2704" priority="13">
      <formula>LEN(TRIM(D56))=0</formula>
    </cfRule>
    <cfRule type="cellIs" dxfId="2703" priority="12" operator="equal">
      <formula>"CUMPLE"</formula>
    </cfRule>
  </conditionalFormatting>
  <conditionalFormatting sqref="D67:J67">
    <cfRule type="cellIs" dxfId="2702" priority="23" operator="equal">
      <formula>"N/A"</formula>
    </cfRule>
    <cfRule type="cellIs" dxfId="2701" priority="24" operator="equal">
      <formula>"CUMPLE"</formula>
    </cfRule>
    <cfRule type="cellIs" dxfId="2700" priority="26" operator="equal">
      <formula>"""CUMPLE"""</formula>
    </cfRule>
    <cfRule type="cellIs" dxfId="2699" priority="25" operator="equal">
      <formula>"NO CUMPLE"</formula>
    </cfRule>
  </conditionalFormatting>
  <conditionalFormatting sqref="D62:K66">
    <cfRule type="containsBlanks" dxfId="2698" priority="15">
      <formula>LEN(TRIM(D62))=0</formula>
    </cfRule>
    <cfRule type="notContainsErrors" dxfId="2697" priority="16">
      <formula>NOT(ISERROR(D62))</formula>
    </cfRule>
  </conditionalFormatting>
  <conditionalFormatting sqref="E71:E72">
    <cfRule type="notContainsErrors" dxfId="2696" priority="71">
      <formula>NOT(ISERROR(E71))</formula>
    </cfRule>
    <cfRule type="containsBlanks" dxfId="2695" priority="70">
      <formula>LEN(TRIM(E71))=0</formula>
    </cfRule>
  </conditionalFormatting>
  <conditionalFormatting sqref="F22:H22">
    <cfRule type="cellIs" dxfId="2694" priority="98" operator="equal">
      <formula>"NO CUMPLE"</formula>
    </cfRule>
    <cfRule type="cellIs" dxfId="2693" priority="99" operator="equal">
      <formula>"""CUMPLE"""</formula>
    </cfRule>
    <cfRule type="cellIs" dxfId="2692" priority="97" operator="equal">
      <formula>"CUMPLE"</formula>
    </cfRule>
  </conditionalFormatting>
  <conditionalFormatting sqref="G63:J63">
    <cfRule type="containsBlanks" dxfId="2691" priority="7">
      <formula>LEN(TRIM(G63))=0</formula>
    </cfRule>
    <cfRule type="notContainsErrors" dxfId="2690" priority="8">
      <formula>NOT(ISERROR(G63))</formula>
    </cfRule>
  </conditionalFormatting>
  <conditionalFormatting sqref="I11">
    <cfRule type="containsText" dxfId="2689" priority="103" operator="containsText" text="NO CUMPLE">
      <formula>NOT(ISERROR(SEARCH("NO CUMPLE",I11)))</formula>
    </cfRule>
    <cfRule type="containsText" dxfId="2688" priority="102" operator="containsText" text="HABILITADO">
      <formula>NOT(ISERROR(SEARCH("HABILITADO",I11)))</formula>
    </cfRule>
    <cfRule type="containsText" dxfId="2687" priority="101" operator="containsText" text="HABILITADO">
      <formula>NOT(ISERROR(SEARCH("HABILITADO",I11)))</formula>
    </cfRule>
    <cfRule type="containsText" dxfId="2686" priority="100" operator="containsText" text="INHABILITADO">
      <formula>NOT(ISERROR(SEARCH("INHABILITADO",I11)))</formula>
    </cfRule>
  </conditionalFormatting>
  <conditionalFormatting sqref="K18:K20">
    <cfRule type="cellIs" dxfId="2685" priority="68" operator="equal">
      <formula>"NO CUMPLE"</formula>
    </cfRule>
    <cfRule type="cellIs" dxfId="2684" priority="69" operator="equal">
      <formula>"""CUMPLE"""</formula>
    </cfRule>
    <cfRule type="cellIs" dxfId="2683" priority="67" operator="equal">
      <formula>"CUMPLE"</formula>
    </cfRule>
  </conditionalFormatting>
  <conditionalFormatting sqref="K26:K61 D62:J62">
    <cfRule type="containsBlanks" dxfId="2682" priority="9">
      <formula>LEN(TRIM(D26))=0</formula>
    </cfRule>
    <cfRule type="notContainsErrors" dxfId="2681" priority="10">
      <formula>NOT(ISERROR(D26))</formula>
    </cfRule>
  </conditionalFormatting>
  <conditionalFormatting sqref="K67:L67">
    <cfRule type="containsBlanks" dxfId="2680" priority="21">
      <formula>LEN(TRIM(K67))=0</formula>
    </cfRule>
    <cfRule type="notContainsErrors" dxfId="2679" priority="22">
      <formula>NOT(ISERROR(K67))</formula>
    </cfRule>
  </conditionalFormatting>
  <conditionalFormatting sqref="L14">
    <cfRule type="cellIs" dxfId="2678" priority="96" operator="equal">
      <formula>"""CUMPLE"""</formula>
    </cfRule>
    <cfRule type="cellIs" dxfId="2677" priority="95" operator="equal">
      <formula>"NO CUMPLE"</formula>
    </cfRule>
    <cfRule type="cellIs" dxfId="2676" priority="94" operator="equal">
      <formula>"CUMPLE"</formula>
    </cfRule>
  </conditionalFormatting>
  <dataValidations count="2">
    <dataValidation type="list" allowBlank="1" showInputMessage="1" showErrorMessage="1" sqref="D26:J28" xr:uid="{00000000-0002-0000-3300-000000000000}">
      <formula1>$C$15:$C$21</formula1>
    </dataValidation>
    <dataValidation type="list" allowBlank="1" showInputMessage="1" showErrorMessage="1" sqref="L62:L67" xr:uid="{00000000-0002-0000-33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3300-000002000000}">
          <x14:formula1>
            <xm:f>'DATOS INICIALES'!$A$13:$A$50</xm:f>
          </x14:formula1>
          <xm:sqref>G33:I33</xm:sqref>
        </x14:dataValidation>
        <x14:dataValidation type="list" allowBlank="1" showInputMessage="1" showErrorMessage="1" xr:uid="{00000000-0002-0000-3300-000003000000}">
          <x14:formula1>
            <xm:f>'DATOS INICIALES'!$A$61:$A$66</xm:f>
          </x14:formula1>
          <xm:sqref>D25:I25</xm:sqref>
        </x14:dataValidation>
        <x14:dataValidation type="list" allowBlank="1" showInputMessage="1" showErrorMessage="1" xr:uid="{00000000-0002-0000-3300-000004000000}">
          <x14:formula1>
            <xm:f>'DATOS INICIALES'!$A$57:$A$59</xm:f>
          </x14:formula1>
          <xm:sqref>D71 D56:J66</xm:sqref>
        </x14:dataValidation>
        <x14:dataValidation type="list" allowBlank="1" showInputMessage="1" showErrorMessage="1" xr:uid="{00000000-0002-0000-3300-000005000000}">
          <x14:formula1>
            <xm:f>'DATOS INICIALES'!$C$52:$C$53</xm:f>
          </x14:formula1>
          <xm:sqref>D53:J54</xm:sqref>
        </x14:dataValidation>
        <x14:dataValidation type="list" allowBlank="1" showInputMessage="1" showErrorMessage="1" xr:uid="{00000000-0002-0000-3300-000006000000}">
          <x14:formula1>
            <xm:f>'DATOS INICIALES'!$A$61:$A$67</xm:f>
          </x14:formula1>
          <xm:sqref>J25</xm:sqref>
        </x14:dataValidation>
        <x14:dataValidation type="list" allowBlank="1" showInputMessage="1" showErrorMessage="1" xr:uid="{00000000-0002-0000-3300-000007000000}">
          <x14:formula1>
            <xm:f>'DATOS INICIALES'!$A$57:$A$58</xm:f>
          </x14:formula1>
          <xm:sqref>D49:J49</xm:sqref>
        </x14:dataValidation>
        <x14:dataValidation type="list" allowBlank="1" showInputMessage="1" showErrorMessage="1" xr:uid="{00000000-0002-0000-3300-000008000000}">
          <x14:formula1>
            <xm:f>'DATOS INICIALES'!$D$27:$D$29</xm:f>
          </x14:formula1>
          <xm:sqref>M50:M55</xm:sqref>
        </x14:dataValidation>
        <x14:dataValidation type="list" allowBlank="1" showInputMessage="1" showErrorMessage="1" xr:uid="{00000000-0002-0000-3300-000009000000}">
          <x14:formula1>
            <xm:f>'DATOS INICIALES'!$C$52:$C$54</xm:f>
          </x14:formula1>
          <xm:sqref>D50:J52</xm:sqref>
        </x14:dataValidation>
      </x14:dataValidations>
    </ext>
  </extLst>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tabColor rgb="FF92D050"/>
  </sheetPr>
  <dimension ref="A1:N72"/>
  <sheetViews>
    <sheetView view="pageBreakPreview" zoomScale="40" zoomScaleNormal="25" zoomScaleSheetLayoutView="40" workbookViewId="0">
      <selection activeCell="H56" sqref="H56"/>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47</v>
      </c>
      <c r="B11" s="2" t="s">
        <v>58</v>
      </c>
      <c r="C11" s="413" t="str">
        <f>VLOOKUP(A11,PROPONENTES!A10:B94,2,FALSE)</f>
        <v>CONSORCIO VÍAS URBANAS P&amp;C-U-2025</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2</v>
      </c>
      <c r="J14" s="147">
        <f>+L8</f>
        <v>986.3076290832455</v>
      </c>
      <c r="K14" s="147">
        <f>+E22</f>
        <v>3335</v>
      </c>
      <c r="L14" s="18" t="str">
        <f>IF(K14&gt;=J14,"CUMPLE","NO CUMPLE")</f>
        <v>CUMPLE</v>
      </c>
    </row>
    <row r="15" spans="1:12" ht="33.75" customHeight="1" x14ac:dyDescent="0.2">
      <c r="B15" s="382"/>
      <c r="C15" s="92" t="str">
        <f>IF(VLOOKUP(C11,PROPONENTES!B10:N94,2,FALSE)=0,"",VLOOKUP(C11,PROPONENTES!B10:N94,2,FALSE))</f>
        <v>PROYECTISTAS ASOCIADOS SAS</v>
      </c>
      <c r="D15" s="93">
        <f>IF(VLOOKUP(C11,PROPONENTES!B10:N94,3,FALSE)=0,"",VLOOKUP(C11,PROPONENTES!B10:N94,3,FALSE))</f>
        <v>0.91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3335</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CONSTRUCTORA TEATINO VARGAS – CONSTRUTEV SAS</v>
      </c>
      <c r="D16" s="93">
        <f>IF(VLOOKUP(C11,PROPONENTES!B10:N94,5,FALSE)=0,"",VLOOKUP(C11,PROPONENTES!B10:N94,5,FALSE))</f>
        <v>0.09</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0</v>
      </c>
      <c r="F16" s="95" t="str">
        <f>IF(C16="","",IF(E16&gt;=$J$14*0.5,"SI","NO"))</f>
        <v>NO</v>
      </c>
      <c r="G16" s="96" t="str">
        <f>IF(C16="","",IF(E16&gt;=$J$14*0.05,"SI",IF(E16=0,"NO APORTA EXPERIENCIA",)))</f>
        <v>NO APORTA EXPERIENCIA</v>
      </c>
      <c r="H16" s="96" t="str">
        <f>IF(C16="","",IF(AND(G16="NO APORTA EXPERIENCIA",D16&lt;=10%),"SI",IF(G16="SI","NO APLICA","NO - PORCENTAJE MAYOR AL 10%")))</f>
        <v>SI</v>
      </c>
      <c r="I16" s="162"/>
      <c r="J16" s="162"/>
      <c r="K16" s="162"/>
      <c r="L16" s="161">
        <f>AVERAGEIF(D67:J67,"CUMPLE",D48:J48)</f>
        <v>1667.5</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2</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2</v>
      </c>
      <c r="J19" s="128">
        <v>1</v>
      </c>
      <c r="K19" s="387"/>
      <c r="L19" s="388"/>
    </row>
    <row r="20" spans="2:14" ht="50.25" customHeight="1" x14ac:dyDescent="0.2">
      <c r="B20" s="382"/>
      <c r="C20" s="92"/>
      <c r="D20" s="93"/>
      <c r="E20" s="94"/>
      <c r="F20" s="95"/>
      <c r="G20" s="96"/>
      <c r="H20" s="96"/>
      <c r="I20" s="128">
        <f>COUNTIFS(D60:J60,"CUMPLE",D67:J67,"CUMPLE")</f>
        <v>2</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2</v>
      </c>
      <c r="J21" s="128">
        <v>1</v>
      </c>
      <c r="K21" s="389"/>
      <c r="L21" s="390"/>
    </row>
    <row r="22" spans="2:14" ht="84.75" customHeight="1" x14ac:dyDescent="0.2">
      <c r="B22" s="29" t="s">
        <v>75</v>
      </c>
      <c r="C22" s="24">
        <f>+VLOOKUP(C11,PROPONENTES!B10:N94,12,FALSE)</f>
        <v>2</v>
      </c>
      <c r="D22" s="93">
        <f>+VLOOKUP(C11,PROPONENTES!B10:N94,13,FALSE)</f>
        <v>1</v>
      </c>
      <c r="E22" s="32">
        <f>SUM(E15:E21)</f>
        <v>3335</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864</v>
      </c>
      <c r="E26" s="84" t="s">
        <v>864</v>
      </c>
      <c r="F26" s="84"/>
      <c r="G26" s="84"/>
      <c r="H26" s="84"/>
      <c r="I26" s="84"/>
      <c r="J26" s="84"/>
      <c r="K26" s="145"/>
      <c r="L26" s="140"/>
    </row>
    <row r="27" spans="2:14" ht="39.75" customHeight="1" x14ac:dyDescent="0.2">
      <c r="B27" s="371" t="s">
        <v>80</v>
      </c>
      <c r="C27" s="372"/>
      <c r="D27" s="84" t="s">
        <v>888</v>
      </c>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889</v>
      </c>
      <c r="E29" s="85" t="s">
        <v>890</v>
      </c>
      <c r="F29" s="85"/>
      <c r="G29" s="85"/>
      <c r="H29" s="85"/>
      <c r="I29" s="85"/>
      <c r="J29" s="85"/>
      <c r="K29" s="145"/>
      <c r="L29" s="140"/>
    </row>
    <row r="30" spans="2:14" ht="156.75" customHeight="1" x14ac:dyDescent="0.2">
      <c r="B30" s="374"/>
      <c r="C30" s="25" t="s">
        <v>84</v>
      </c>
      <c r="D30" s="85" t="s">
        <v>891</v>
      </c>
      <c r="E30" s="85" t="s">
        <v>892</v>
      </c>
      <c r="F30" s="85"/>
      <c r="G30" s="85"/>
      <c r="H30" s="85"/>
      <c r="I30" s="85"/>
      <c r="J30" s="85"/>
      <c r="K30" s="145"/>
      <c r="L30" s="140"/>
    </row>
    <row r="31" spans="2:14" ht="52.5" customHeight="1" x14ac:dyDescent="0.2">
      <c r="B31" s="374"/>
      <c r="C31" s="25" t="s">
        <v>85</v>
      </c>
      <c r="D31" s="89">
        <v>42807</v>
      </c>
      <c r="E31" s="89">
        <v>42352</v>
      </c>
      <c r="F31" s="89"/>
      <c r="G31" s="89"/>
      <c r="H31" s="89"/>
      <c r="I31" s="89"/>
      <c r="J31" s="89"/>
      <c r="K31" s="145"/>
      <c r="L31" s="140"/>
    </row>
    <row r="32" spans="2:14" ht="54.75" customHeight="1" x14ac:dyDescent="0.2">
      <c r="B32" s="374"/>
      <c r="C32" s="25" t="s">
        <v>86</v>
      </c>
      <c r="D32" s="89">
        <v>43596</v>
      </c>
      <c r="E32" s="89">
        <v>43677</v>
      </c>
      <c r="F32" s="89"/>
      <c r="G32" s="89"/>
      <c r="H32" s="89"/>
      <c r="I32" s="89"/>
      <c r="J32" s="89"/>
      <c r="K32" s="145"/>
      <c r="L32" s="140"/>
    </row>
    <row r="33" spans="2:12" ht="41.25" customHeight="1" x14ac:dyDescent="0.2">
      <c r="B33" s="374"/>
      <c r="C33" s="25" t="s">
        <v>87</v>
      </c>
      <c r="D33" s="86">
        <v>2019</v>
      </c>
      <c r="E33" s="86">
        <v>2019</v>
      </c>
      <c r="F33" s="86"/>
      <c r="G33" s="86"/>
      <c r="H33" s="86"/>
      <c r="I33" s="86"/>
      <c r="J33" s="86"/>
      <c r="K33" s="145"/>
      <c r="L33" s="140"/>
    </row>
    <row r="34" spans="2:12" ht="63" customHeight="1" x14ac:dyDescent="0.2">
      <c r="B34" s="374"/>
      <c r="C34" s="25" t="s">
        <v>88</v>
      </c>
      <c r="D34" s="85" t="s">
        <v>893</v>
      </c>
      <c r="E34" s="85" t="s">
        <v>894</v>
      </c>
      <c r="F34" s="85"/>
      <c r="G34" s="85"/>
      <c r="H34" s="85"/>
      <c r="I34" s="85"/>
      <c r="J34" s="85"/>
      <c r="K34" s="145"/>
      <c r="L34" s="140"/>
    </row>
    <row r="35" spans="2:12" ht="46.5" customHeight="1" x14ac:dyDescent="0.2">
      <c r="B35" s="374"/>
      <c r="C35" s="25" t="s">
        <v>89</v>
      </c>
      <c r="D35" s="85" t="s">
        <v>895</v>
      </c>
      <c r="E35" s="85" t="s">
        <v>895</v>
      </c>
      <c r="F35" s="85"/>
      <c r="G35" s="85"/>
      <c r="H35" s="85"/>
      <c r="I35" s="85"/>
      <c r="J35" s="85"/>
      <c r="K35" s="145"/>
      <c r="L35" s="140"/>
    </row>
    <row r="36" spans="2:12" ht="27.75" customHeight="1" x14ac:dyDescent="0.2">
      <c r="B36" s="374"/>
      <c r="C36" s="26" t="s">
        <v>90</v>
      </c>
      <c r="D36" s="90">
        <v>79</v>
      </c>
      <c r="E36" s="90">
        <v>80</v>
      </c>
      <c r="F36" s="90"/>
      <c r="G36" s="91"/>
      <c r="H36" s="91"/>
      <c r="I36" s="91"/>
      <c r="J36" s="91"/>
      <c r="K36" s="145"/>
      <c r="L36" s="140"/>
    </row>
    <row r="37" spans="2:12" ht="102.75" customHeight="1" x14ac:dyDescent="0.2">
      <c r="B37" s="374"/>
      <c r="C37" s="25" t="s">
        <v>91</v>
      </c>
      <c r="D37" s="87">
        <v>1753.78</v>
      </c>
      <c r="E37" s="158">
        <v>2414.9699999999998</v>
      </c>
      <c r="F37" s="87"/>
      <c r="G37" s="87"/>
      <c r="H37" s="87"/>
      <c r="I37" s="87"/>
      <c r="J37" s="87"/>
      <c r="K37" s="242"/>
      <c r="L37" s="243"/>
    </row>
    <row r="38" spans="2:12" ht="48" customHeight="1" x14ac:dyDescent="0.2">
      <c r="B38" s="374"/>
      <c r="C38" s="25" t="s">
        <v>92</v>
      </c>
      <c r="D38" s="97">
        <f>IFERROR(D37*VLOOKUP(D33,'DATOS INICIALES'!$A$12:$B$50,2,0),"0")</f>
        <v>1452333278.48</v>
      </c>
      <c r="E38" s="97">
        <f>IFERROR(E37*VLOOKUP(E33,'DATOS INICIALES'!$A$12:$B$50,2,0),"0")</f>
        <v>1999875296.5199997</v>
      </c>
      <c r="F38" s="97" t="str">
        <f>IFERROR(F37*VLOOKUP(F33,'DATOS INICIALES'!$A$12:$B$50,2,0),"0")</f>
        <v>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0.8</v>
      </c>
      <c r="E39" s="88">
        <v>0.8</v>
      </c>
      <c r="F39" s="88"/>
      <c r="G39" s="88"/>
      <c r="H39" s="88"/>
      <c r="I39" s="88"/>
      <c r="J39" s="88"/>
      <c r="K39" s="145"/>
      <c r="L39" s="140"/>
    </row>
    <row r="40" spans="2:12" ht="48.75" customHeight="1" x14ac:dyDescent="0.2">
      <c r="B40" s="374"/>
      <c r="C40" s="25" t="s">
        <v>94</v>
      </c>
      <c r="D40" s="97">
        <f t="shared" ref="D40:J40" si="0">IF(D26="","0",D39*D38)</f>
        <v>1161866622.7840002</v>
      </c>
      <c r="E40" s="97">
        <f t="shared" si="0"/>
        <v>1599900237.2159998</v>
      </c>
      <c r="F40" s="97" t="str">
        <f t="shared" si="0"/>
        <v>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1403.0240000000001</v>
      </c>
      <c r="E41" s="98">
        <f t="shared" si="1"/>
        <v>1931.9759999999999</v>
      </c>
      <c r="F41" s="98">
        <f t="shared" si="1"/>
        <v>0</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1403.0240000000001</v>
      </c>
      <c r="E48" s="98">
        <f t="shared" ref="E48:G48" si="6">+E41+E44+E47</f>
        <v>1931.9759999999999</v>
      </c>
      <c r="F48" s="98">
        <f t="shared" si="6"/>
        <v>0</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N/A</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N/A</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2:C72"/>
    <mergeCell ref="I22:L22"/>
    <mergeCell ref="B66:C66"/>
    <mergeCell ref="B67:C67"/>
    <mergeCell ref="B69:E69"/>
    <mergeCell ref="B70:C70"/>
    <mergeCell ref="B71:C71"/>
    <mergeCell ref="B63:C63"/>
    <mergeCell ref="B64:C64"/>
    <mergeCell ref="B65:C65"/>
    <mergeCell ref="B60:C60"/>
    <mergeCell ref="B61:C61"/>
    <mergeCell ref="B62:C62"/>
    <mergeCell ref="B57:C57"/>
    <mergeCell ref="B58:C58"/>
    <mergeCell ref="B59:C59"/>
    <mergeCell ref="B56:C56"/>
    <mergeCell ref="B50:B55"/>
    <mergeCell ref="B29:B47"/>
    <mergeCell ref="B28:C28"/>
    <mergeCell ref="B13:H13"/>
    <mergeCell ref="B14:B21"/>
    <mergeCell ref="B26:C26"/>
    <mergeCell ref="B27:C27"/>
    <mergeCell ref="K17:L17"/>
    <mergeCell ref="K18:L21"/>
    <mergeCell ref="B23:L23"/>
    <mergeCell ref="B24:L24"/>
    <mergeCell ref="K25:L25"/>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2675" priority="75" operator="equal">
      <formula>"CUMPLE"</formula>
    </cfRule>
    <cfRule type="containsBlanks" dxfId="2674" priority="72">
      <formula>LEN(TRIM(D71))=0</formula>
    </cfRule>
    <cfRule type="notContainsErrors" dxfId="2673" priority="73">
      <formula>NOT(ISERROR(D71))</formula>
    </cfRule>
    <cfRule type="cellIs" dxfId="2672" priority="74" operator="equal">
      <formula>"NO CUMPLE"</formula>
    </cfRule>
  </conditionalFormatting>
  <conditionalFormatting sqref="D72">
    <cfRule type="cellIs" dxfId="2671" priority="77" operator="equal">
      <formula>"CUMPLE"</formula>
    </cfRule>
    <cfRule type="cellIs" dxfId="2670" priority="76" operator="equal">
      <formula>"N/A"</formula>
    </cfRule>
    <cfRule type="cellIs" dxfId="2669" priority="79" operator="equal">
      <formula>"""CUMPLE"""</formula>
    </cfRule>
    <cfRule type="cellIs" dxfId="2668" priority="78" operator="equal">
      <formula>"NO CUMPLE"</formula>
    </cfRule>
  </conditionalFormatting>
  <conditionalFormatting sqref="D26:J37">
    <cfRule type="notContainsErrors" dxfId="2667" priority="4">
      <formula>NOT(ISERROR(D26))</formula>
    </cfRule>
    <cfRule type="containsBlanks" dxfId="2666" priority="3">
      <formula>LEN(TRIM(D26))=0</formula>
    </cfRule>
  </conditionalFormatting>
  <conditionalFormatting sqref="D36:J36">
    <cfRule type="notContainsErrors" dxfId="2665" priority="6">
      <formula>NOT(ISERROR(D36))</formula>
    </cfRule>
    <cfRule type="containsBlanks" dxfId="2664" priority="5">
      <formula>LEN(TRIM(D36))=0</formula>
    </cfRule>
  </conditionalFormatting>
  <conditionalFormatting sqref="D39:J39">
    <cfRule type="containsBlanks" dxfId="2663" priority="1">
      <formula>LEN(TRIM(D39))=0</formula>
    </cfRule>
    <cfRule type="notContainsErrors" dxfId="2662" priority="2">
      <formula>NOT(ISERROR(D39))</formula>
    </cfRule>
  </conditionalFormatting>
  <conditionalFormatting sqref="D42:J42 D45:J45">
    <cfRule type="notContainsErrors" dxfId="2661" priority="38">
      <formula>NOT(ISERROR(D42))</formula>
    </cfRule>
    <cfRule type="containsBlanks" dxfId="2660" priority="37">
      <formula>LEN(TRIM(D42))=0</formula>
    </cfRule>
  </conditionalFormatting>
  <conditionalFormatting sqref="D49:J54">
    <cfRule type="cellIs" dxfId="2659" priority="17" operator="equal">
      <formula>"NO CUMPLE"</formula>
    </cfRule>
    <cfRule type="cellIs" dxfId="2658" priority="18" operator="equal">
      <formula>"CUMPLE"</formula>
    </cfRule>
    <cfRule type="containsBlanks" dxfId="2657" priority="19">
      <formula>LEN(TRIM(D49))=0</formula>
    </cfRule>
    <cfRule type="notContainsErrors" dxfId="2656" priority="20">
      <formula>NOT(ISERROR(D49))</formula>
    </cfRule>
  </conditionalFormatting>
  <conditionalFormatting sqref="D55:J55">
    <cfRule type="cellIs" dxfId="2655" priority="28" operator="equal">
      <formula>"CUMPLE"</formula>
    </cfRule>
    <cfRule type="cellIs" dxfId="2654" priority="30" operator="equal">
      <formula>"""CUMPLE"""</formula>
    </cfRule>
    <cfRule type="cellIs" dxfId="2653" priority="29" operator="equal">
      <formula>"NO CUMPLE"</formula>
    </cfRule>
    <cfRule type="cellIs" dxfId="2652" priority="27" operator="equal">
      <formula>"N/A"</formula>
    </cfRule>
  </conditionalFormatting>
  <conditionalFormatting sqref="D56:J66">
    <cfRule type="cellIs" dxfId="2651" priority="11" operator="equal">
      <formula>"NO CUMPLE"</formula>
    </cfRule>
    <cfRule type="notContainsErrors" dxfId="2650" priority="14">
      <formula>NOT(ISERROR(D56))</formula>
    </cfRule>
    <cfRule type="containsBlanks" dxfId="2649" priority="13">
      <formula>LEN(TRIM(D56))=0</formula>
    </cfRule>
    <cfRule type="cellIs" dxfId="2648" priority="12" operator="equal">
      <formula>"CUMPLE"</formula>
    </cfRule>
  </conditionalFormatting>
  <conditionalFormatting sqref="D67:J67">
    <cfRule type="cellIs" dxfId="2647" priority="23" operator="equal">
      <formula>"N/A"</formula>
    </cfRule>
    <cfRule type="cellIs" dxfId="2646" priority="24" operator="equal">
      <formula>"CUMPLE"</formula>
    </cfRule>
    <cfRule type="cellIs" dxfId="2645" priority="26" operator="equal">
      <formula>"""CUMPLE"""</formula>
    </cfRule>
    <cfRule type="cellIs" dxfId="2644" priority="25" operator="equal">
      <formula>"NO CUMPLE"</formula>
    </cfRule>
  </conditionalFormatting>
  <conditionalFormatting sqref="D62:K66">
    <cfRule type="containsBlanks" dxfId="2643" priority="15">
      <formula>LEN(TRIM(D62))=0</formula>
    </cfRule>
    <cfRule type="notContainsErrors" dxfId="2642" priority="16">
      <formula>NOT(ISERROR(D62))</formula>
    </cfRule>
  </conditionalFormatting>
  <conditionalFormatting sqref="E71:E72">
    <cfRule type="notContainsErrors" dxfId="2641" priority="71">
      <formula>NOT(ISERROR(E71))</formula>
    </cfRule>
    <cfRule type="containsBlanks" dxfId="2640" priority="70">
      <formula>LEN(TRIM(E71))=0</formula>
    </cfRule>
  </conditionalFormatting>
  <conditionalFormatting sqref="F22:H22">
    <cfRule type="cellIs" dxfId="2639" priority="98" operator="equal">
      <formula>"NO CUMPLE"</formula>
    </cfRule>
    <cfRule type="cellIs" dxfId="2638" priority="99" operator="equal">
      <formula>"""CUMPLE"""</formula>
    </cfRule>
    <cfRule type="cellIs" dxfId="2637" priority="97" operator="equal">
      <formula>"CUMPLE"</formula>
    </cfRule>
  </conditionalFormatting>
  <conditionalFormatting sqref="G63:J63">
    <cfRule type="containsBlanks" dxfId="2636" priority="7">
      <formula>LEN(TRIM(G63))=0</formula>
    </cfRule>
    <cfRule type="notContainsErrors" dxfId="2635" priority="8">
      <formula>NOT(ISERROR(G63))</formula>
    </cfRule>
  </conditionalFormatting>
  <conditionalFormatting sqref="I11">
    <cfRule type="containsText" dxfId="2634" priority="103" operator="containsText" text="NO CUMPLE">
      <formula>NOT(ISERROR(SEARCH("NO CUMPLE",I11)))</formula>
    </cfRule>
    <cfRule type="containsText" dxfId="2633" priority="102" operator="containsText" text="HABILITADO">
      <formula>NOT(ISERROR(SEARCH("HABILITADO",I11)))</formula>
    </cfRule>
    <cfRule type="containsText" dxfId="2632" priority="101" operator="containsText" text="HABILITADO">
      <formula>NOT(ISERROR(SEARCH("HABILITADO",I11)))</formula>
    </cfRule>
    <cfRule type="containsText" dxfId="2631" priority="100" operator="containsText" text="INHABILITADO">
      <formula>NOT(ISERROR(SEARCH("INHABILITADO",I11)))</formula>
    </cfRule>
  </conditionalFormatting>
  <conditionalFormatting sqref="K18:K20">
    <cfRule type="cellIs" dxfId="2630" priority="68" operator="equal">
      <formula>"NO CUMPLE"</formula>
    </cfRule>
    <cfRule type="cellIs" dxfId="2629" priority="69" operator="equal">
      <formula>"""CUMPLE"""</formula>
    </cfRule>
    <cfRule type="cellIs" dxfId="2628" priority="67" operator="equal">
      <formula>"CUMPLE"</formula>
    </cfRule>
  </conditionalFormatting>
  <conditionalFormatting sqref="K26:K61 D62:J62">
    <cfRule type="containsBlanks" dxfId="2627" priority="9">
      <formula>LEN(TRIM(D26))=0</formula>
    </cfRule>
    <cfRule type="notContainsErrors" dxfId="2626" priority="10">
      <formula>NOT(ISERROR(D26))</formula>
    </cfRule>
  </conditionalFormatting>
  <conditionalFormatting sqref="K67:L67">
    <cfRule type="containsBlanks" dxfId="2625" priority="21">
      <formula>LEN(TRIM(K67))=0</formula>
    </cfRule>
    <cfRule type="notContainsErrors" dxfId="2624" priority="22">
      <formula>NOT(ISERROR(K67))</formula>
    </cfRule>
  </conditionalFormatting>
  <conditionalFormatting sqref="L14">
    <cfRule type="cellIs" dxfId="2623" priority="96" operator="equal">
      <formula>"""CUMPLE"""</formula>
    </cfRule>
    <cfRule type="cellIs" dxfId="2622" priority="95" operator="equal">
      <formula>"NO CUMPLE"</formula>
    </cfRule>
    <cfRule type="cellIs" dxfId="2621" priority="94" operator="equal">
      <formula>"CUMPLE"</formula>
    </cfRule>
  </conditionalFormatting>
  <dataValidations count="2">
    <dataValidation type="list" allowBlank="1" showInputMessage="1" showErrorMessage="1" sqref="L62:L67" xr:uid="{00000000-0002-0000-3400-000000000000}">
      <formula1>"0,1,2,3,4,5,6"</formula1>
    </dataValidation>
    <dataValidation type="list" allowBlank="1" showInputMessage="1" showErrorMessage="1" sqref="D26:J28" xr:uid="{00000000-0002-0000-34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3400-000002000000}">
          <x14:formula1>
            <xm:f>'DATOS INICIALES'!$A$57:$A$58</xm:f>
          </x14:formula1>
          <xm:sqref>D49:J49</xm:sqref>
        </x14:dataValidation>
        <x14:dataValidation type="list" allowBlank="1" showInputMessage="1" showErrorMessage="1" xr:uid="{00000000-0002-0000-3400-000003000000}">
          <x14:formula1>
            <xm:f>'DATOS INICIALES'!$A$61:$A$67</xm:f>
          </x14:formula1>
          <xm:sqref>J25</xm:sqref>
        </x14:dataValidation>
        <x14:dataValidation type="list" allowBlank="1" showInputMessage="1" showErrorMessage="1" xr:uid="{00000000-0002-0000-3400-000004000000}">
          <x14:formula1>
            <xm:f>'DATOS INICIALES'!$C$52:$C$53</xm:f>
          </x14:formula1>
          <xm:sqref>D53:J54</xm:sqref>
        </x14:dataValidation>
        <x14:dataValidation type="list" allowBlank="1" showInputMessage="1" showErrorMessage="1" xr:uid="{00000000-0002-0000-3400-000005000000}">
          <x14:formula1>
            <xm:f>'DATOS INICIALES'!$A$57:$A$59</xm:f>
          </x14:formula1>
          <xm:sqref>D71 D56:J66</xm:sqref>
        </x14:dataValidation>
        <x14:dataValidation type="list" allowBlank="1" showInputMessage="1" showErrorMessage="1" xr:uid="{00000000-0002-0000-3400-000006000000}">
          <x14:formula1>
            <xm:f>'DATOS INICIALES'!$A$61:$A$66</xm:f>
          </x14:formula1>
          <xm:sqref>D25:I25</xm:sqref>
        </x14:dataValidation>
        <x14:dataValidation type="list" allowBlank="1" showInputMessage="1" showErrorMessage="1" xr:uid="{00000000-0002-0000-3400-000007000000}">
          <x14:formula1>
            <xm:f>'DATOS INICIALES'!$A$13:$A$50</xm:f>
          </x14:formula1>
          <xm:sqref>G33:I33</xm:sqref>
        </x14:dataValidation>
        <x14:dataValidation type="list" allowBlank="1" showInputMessage="1" showErrorMessage="1" xr:uid="{00000000-0002-0000-3400-000008000000}">
          <x14:formula1>
            <xm:f>'DATOS INICIALES'!$D$27:$D$29</xm:f>
          </x14:formula1>
          <xm:sqref>M50:M55</xm:sqref>
        </x14:dataValidation>
        <x14:dataValidation type="list" allowBlank="1" showInputMessage="1" showErrorMessage="1" xr:uid="{00000000-0002-0000-3400-000009000000}">
          <x14:formula1>
            <xm:f>'DATOS INICIALES'!$C$52:$C$54</xm:f>
          </x14:formula1>
          <xm:sqref>D50:J52</xm:sqref>
        </x14:dataValidation>
      </x14:dataValidations>
    </ext>
  </extLst>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tabColor rgb="FF92D050"/>
  </sheetPr>
  <dimension ref="A1:N72"/>
  <sheetViews>
    <sheetView view="pageBreakPreview" zoomScale="40" zoomScaleNormal="25" zoomScaleSheetLayoutView="40" workbookViewId="0">
      <selection activeCell="J18" sqref="J18"/>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48</v>
      </c>
      <c r="B11" s="2" t="s">
        <v>58</v>
      </c>
      <c r="C11" s="413" t="str">
        <f>VLOOKUP(A11,PROPONENTES!A10:B94,2,FALSE)</f>
        <v>GES-USAQUEN-003</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5</v>
      </c>
      <c r="J14" s="147">
        <f>+L8</f>
        <v>986.3076290832455</v>
      </c>
      <c r="K14" s="147">
        <f>+E22</f>
        <v>5444.4205000000002</v>
      </c>
      <c r="L14" s="18" t="str">
        <f>IF(K14&gt;=J14,"CUMPLE","NO CUMPLE")</f>
        <v>CUMPLE</v>
      </c>
    </row>
    <row r="15" spans="1:12" ht="33.75" customHeight="1" x14ac:dyDescent="0.2">
      <c r="B15" s="382"/>
      <c r="C15" s="92" t="str">
        <f>IF(VLOOKUP(C11,PROPONENTES!B10:N94,2,FALSE)=0,"",VLOOKUP(C11,PROPONENTES!B10:N94,2,FALSE))</f>
        <v>SEDIC S.A.</v>
      </c>
      <c r="D15" s="93">
        <f>IF(VLOOKUP(C11,PROPONENTES!B10:N94,3,FALSE)=0,"",VLOOKUP(C11,PROPONENTES!B10:N94,3,FALSE))</f>
        <v>0.51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2621.8224999999998</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SEDIC CONSULTING S.A.S.</v>
      </c>
      <c r="D16" s="93">
        <f>IF(VLOOKUP(C11,PROPONENTES!B10:N94,5,FALSE)=0,"",VLOOKUP(C11,PROPONENTES!B10:N94,5,FALSE))</f>
        <v>0.49</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2822.598</v>
      </c>
      <c r="F16" s="95" t="str">
        <f>IF(C16="","",IF(E16&gt;=$J$14*0.5,"SI","NO"))</f>
        <v>SI</v>
      </c>
      <c r="G16" s="96" t="str">
        <f>IF(C16="","",IF(E16&gt;=$J$14*0.05,"SI",IF(E16=0,"NO APORTA EXPERIENCIA",)))</f>
        <v>SI</v>
      </c>
      <c r="H16" s="96" t="str">
        <f>IF(C16="","",IF(AND(G16="NO APORTA EXPERIENCIA",D16&lt;=10%),"SI",IF(G16="SI","NO APLICA","NO - PORCENTAJE MAYOR AL 10%")))</f>
        <v>NO APLICA</v>
      </c>
      <c r="I16" s="162"/>
      <c r="J16" s="162"/>
      <c r="K16" s="162"/>
      <c r="L16" s="161">
        <f>AVERAGEIF(D67:J67,"CUMPLE",D48:J48)</f>
        <v>1088.8841</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5</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5</v>
      </c>
      <c r="J19" s="128">
        <v>1</v>
      </c>
      <c r="K19" s="387"/>
      <c r="L19" s="388"/>
    </row>
    <row r="20" spans="2:14" ht="50.25" customHeight="1" x14ac:dyDescent="0.2">
      <c r="B20" s="382"/>
      <c r="C20" s="92"/>
      <c r="D20" s="93"/>
      <c r="E20" s="94"/>
      <c r="F20" s="95"/>
      <c r="G20" s="96"/>
      <c r="H20" s="96"/>
      <c r="I20" s="128">
        <f>COUNTIFS(D60:J60,"CUMPLE",D67:J67,"CUMPLE")</f>
        <v>5</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5</v>
      </c>
      <c r="J21" s="128">
        <v>1</v>
      </c>
      <c r="K21" s="389"/>
      <c r="L21" s="390"/>
    </row>
    <row r="22" spans="2:14" ht="84.75" customHeight="1" x14ac:dyDescent="0.2">
      <c r="B22" s="29" t="s">
        <v>75</v>
      </c>
      <c r="C22" s="24">
        <f>+VLOOKUP(C11,PROPONENTES!B10:N94,12,FALSE)</f>
        <v>2</v>
      </c>
      <c r="D22" s="93">
        <f>+VLOOKUP(C11,PROPONENTES!B10:N94,13,FALSE)</f>
        <v>1</v>
      </c>
      <c r="E22" s="32">
        <f>SUM(E15:E21)</f>
        <v>5444.4205000000002</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866</v>
      </c>
      <c r="E26" s="84" t="s">
        <v>866</v>
      </c>
      <c r="F26" s="84" t="s">
        <v>867</v>
      </c>
      <c r="G26" s="84" t="s">
        <v>867</v>
      </c>
      <c r="H26" s="84" t="s">
        <v>867</v>
      </c>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896</v>
      </c>
      <c r="E29" s="85" t="s">
        <v>897</v>
      </c>
      <c r="F29" s="85" t="s">
        <v>898</v>
      </c>
      <c r="G29" s="85" t="s">
        <v>899</v>
      </c>
      <c r="H29" s="85" t="s">
        <v>900</v>
      </c>
      <c r="I29" s="85"/>
      <c r="J29" s="85"/>
      <c r="K29" s="145"/>
      <c r="L29" s="140"/>
    </row>
    <row r="30" spans="2:14" ht="156.75" customHeight="1" x14ac:dyDescent="0.2">
      <c r="B30" s="374"/>
      <c r="C30" s="25" t="s">
        <v>84</v>
      </c>
      <c r="D30" s="85" t="s">
        <v>901</v>
      </c>
      <c r="E30" s="85" t="s">
        <v>902</v>
      </c>
      <c r="F30" s="85" t="s">
        <v>903</v>
      </c>
      <c r="G30" s="85" t="s">
        <v>904</v>
      </c>
      <c r="H30" s="85" t="s">
        <v>905</v>
      </c>
      <c r="I30" s="85"/>
      <c r="J30" s="85"/>
      <c r="K30" s="521"/>
      <c r="L30" s="522"/>
    </row>
    <row r="31" spans="2:14" ht="52.5" customHeight="1" x14ac:dyDescent="0.2">
      <c r="B31" s="374"/>
      <c r="C31" s="25" t="s">
        <v>85</v>
      </c>
      <c r="D31" s="89">
        <v>38686</v>
      </c>
      <c r="E31" s="89">
        <v>35719</v>
      </c>
      <c r="F31" s="89">
        <v>36363</v>
      </c>
      <c r="G31" s="89">
        <v>38446</v>
      </c>
      <c r="H31" s="89">
        <v>40395</v>
      </c>
      <c r="I31" s="89"/>
      <c r="J31" s="89"/>
      <c r="K31" s="145"/>
      <c r="L31" s="140"/>
    </row>
    <row r="32" spans="2:14" ht="54.75" customHeight="1" x14ac:dyDescent="0.2">
      <c r="B32" s="374"/>
      <c r="C32" s="25" t="s">
        <v>86</v>
      </c>
      <c r="D32" s="89">
        <v>39492</v>
      </c>
      <c r="E32" s="89">
        <v>35915</v>
      </c>
      <c r="F32" s="89">
        <v>36790</v>
      </c>
      <c r="G32" s="89">
        <v>38446</v>
      </c>
      <c r="H32" s="89">
        <v>40658</v>
      </c>
      <c r="I32" s="89"/>
      <c r="J32" s="89"/>
      <c r="K32" s="145"/>
      <c r="L32" s="140"/>
    </row>
    <row r="33" spans="2:12" ht="41.25" customHeight="1" x14ac:dyDescent="0.2">
      <c r="B33" s="374"/>
      <c r="C33" s="25" t="s">
        <v>87</v>
      </c>
      <c r="D33" s="86">
        <v>2008</v>
      </c>
      <c r="E33" s="86">
        <v>1998</v>
      </c>
      <c r="F33" s="86">
        <v>2000</v>
      </c>
      <c r="G33" s="86">
        <v>2005</v>
      </c>
      <c r="H33" s="86">
        <v>2011</v>
      </c>
      <c r="I33" s="86"/>
      <c r="J33" s="86"/>
      <c r="K33" s="145"/>
      <c r="L33" s="140"/>
    </row>
    <row r="34" spans="2:12" ht="63" customHeight="1" x14ac:dyDescent="0.2">
      <c r="B34" s="374"/>
      <c r="C34" s="25" t="s">
        <v>88</v>
      </c>
      <c r="D34" s="85" t="s">
        <v>322</v>
      </c>
      <c r="E34" s="85" t="s">
        <v>906</v>
      </c>
      <c r="F34" s="85" t="s">
        <v>321</v>
      </c>
      <c r="G34" s="85" t="s">
        <v>321</v>
      </c>
      <c r="H34" s="85" t="s">
        <v>907</v>
      </c>
      <c r="I34" s="85"/>
      <c r="J34" s="85"/>
      <c r="K34" s="145"/>
      <c r="L34" s="140"/>
    </row>
    <row r="35" spans="2:12" ht="46.5" customHeight="1" x14ac:dyDescent="0.2">
      <c r="B35" s="374"/>
      <c r="C35" s="25" t="s">
        <v>89</v>
      </c>
      <c r="D35" s="85" t="s">
        <v>866</v>
      </c>
      <c r="E35" s="85" t="s">
        <v>866</v>
      </c>
      <c r="F35" s="85" t="s">
        <v>867</v>
      </c>
      <c r="G35" s="85" t="s">
        <v>867</v>
      </c>
      <c r="H35" s="85" t="s">
        <v>867</v>
      </c>
      <c r="I35" s="85"/>
      <c r="J35" s="85"/>
      <c r="K35" s="145"/>
      <c r="L35" s="140"/>
    </row>
    <row r="36" spans="2:12" ht="27.75" customHeight="1" x14ac:dyDescent="0.2">
      <c r="B36" s="374"/>
      <c r="C36" s="26" t="s">
        <v>90</v>
      </c>
      <c r="D36" s="90">
        <v>72</v>
      </c>
      <c r="E36" s="90">
        <v>51</v>
      </c>
      <c r="F36" s="90">
        <v>55</v>
      </c>
      <c r="G36" s="91">
        <v>70</v>
      </c>
      <c r="H36" s="91">
        <v>95</v>
      </c>
      <c r="I36" s="91"/>
      <c r="J36" s="91"/>
      <c r="K36" s="145"/>
      <c r="L36" s="140"/>
    </row>
    <row r="37" spans="2:12" ht="102.75" customHeight="1" x14ac:dyDescent="0.2">
      <c r="B37" s="374"/>
      <c r="C37" s="25" t="s">
        <v>91</v>
      </c>
      <c r="D37" s="87">
        <v>2550.9499999999998</v>
      </c>
      <c r="E37" s="158">
        <v>708.61</v>
      </c>
      <c r="F37" s="87">
        <v>1871.78</v>
      </c>
      <c r="G37" s="87">
        <v>1359.51</v>
      </c>
      <c r="H37" s="87">
        <v>799.1</v>
      </c>
      <c r="I37" s="87"/>
      <c r="J37" s="87"/>
      <c r="K37" s="242"/>
      <c r="L37" s="243"/>
    </row>
    <row r="38" spans="2:12" ht="48" customHeight="1" x14ac:dyDescent="0.2">
      <c r="B38" s="374"/>
      <c r="C38" s="25" t="s">
        <v>92</v>
      </c>
      <c r="D38" s="97">
        <f>IFERROR(D37*VLOOKUP(D33,'DATOS INICIALES'!$A$12:$B$50,2,0),"0")</f>
        <v>1177263425</v>
      </c>
      <c r="E38" s="97">
        <f>IFERROR(E37*VLOOKUP(E33,'DATOS INICIALES'!$A$12:$B$50,2,0),"0")</f>
        <v>144433141.86000001</v>
      </c>
      <c r="F38" s="97">
        <f>IFERROR(F37*VLOOKUP(F33,'DATOS INICIALES'!$A$12:$B$50,2,0),"0")</f>
        <v>486849978</v>
      </c>
      <c r="G38" s="97">
        <f>IFERROR(G37*VLOOKUP(G33,'DATOS INICIALES'!$A$12:$B$50,2,0),"0")</f>
        <v>518653065</v>
      </c>
      <c r="H38" s="97">
        <f>IFERROR(H37*VLOOKUP(H33,'DATOS INICIALES'!$A$12:$B$50,2,0),"0")</f>
        <v>427997960</v>
      </c>
      <c r="I38" s="97" t="str">
        <f>IFERROR(I37*VLOOKUP(I33,'DATOS INICIALES'!$A$12:$B$50,2,0),"0")</f>
        <v>0</v>
      </c>
      <c r="J38" s="97" t="str">
        <f>IFERROR(J37*VLOOKUP(J33,'DATOS INICIALES'!$A$12:$B$50,2,0),"0")</f>
        <v>0</v>
      </c>
      <c r="K38" s="145"/>
      <c r="L38" s="140"/>
    </row>
    <row r="39" spans="2:12" ht="33.75" customHeight="1" x14ac:dyDescent="0.2">
      <c r="B39" s="374"/>
      <c r="C39" s="25" t="s">
        <v>93</v>
      </c>
      <c r="D39" s="88">
        <v>0.75</v>
      </c>
      <c r="E39" s="88">
        <v>1</v>
      </c>
      <c r="F39" s="88">
        <v>0.5</v>
      </c>
      <c r="G39" s="88">
        <v>0.8</v>
      </c>
      <c r="H39" s="88">
        <v>1</v>
      </c>
      <c r="I39" s="88"/>
      <c r="J39" s="88"/>
      <c r="K39" s="145"/>
      <c r="L39" s="140"/>
    </row>
    <row r="40" spans="2:12" ht="48.75" customHeight="1" x14ac:dyDescent="0.2">
      <c r="B40" s="374"/>
      <c r="C40" s="25" t="s">
        <v>94</v>
      </c>
      <c r="D40" s="97">
        <f t="shared" ref="D40:J40" si="0">IF(D26="","0",D39*D38)</f>
        <v>882947568.75</v>
      </c>
      <c r="E40" s="97">
        <f t="shared" si="0"/>
        <v>144433141.86000001</v>
      </c>
      <c r="F40" s="97">
        <f t="shared" si="0"/>
        <v>243424989</v>
      </c>
      <c r="G40" s="97">
        <f t="shared" si="0"/>
        <v>414922452</v>
      </c>
      <c r="H40" s="97">
        <f t="shared" si="0"/>
        <v>427997960</v>
      </c>
      <c r="I40" s="97" t="str">
        <f t="shared" si="0"/>
        <v>0</v>
      </c>
      <c r="J40" s="97" t="str">
        <f t="shared" si="0"/>
        <v>0</v>
      </c>
      <c r="K40" s="145"/>
      <c r="L40" s="140"/>
    </row>
    <row r="41" spans="2:12" ht="65.25" customHeight="1" x14ac:dyDescent="0.2">
      <c r="B41" s="374"/>
      <c r="C41" s="25" t="s">
        <v>95</v>
      </c>
      <c r="D41" s="98">
        <f t="shared" ref="D41:J41" si="1">IFERROR(D37*D39,"0")</f>
        <v>1913.2124999999999</v>
      </c>
      <c r="E41" s="98">
        <f t="shared" si="1"/>
        <v>708.61</v>
      </c>
      <c r="F41" s="98">
        <f t="shared" si="1"/>
        <v>935.89</v>
      </c>
      <c r="G41" s="98">
        <f t="shared" si="1"/>
        <v>1087.6079999999999</v>
      </c>
      <c r="H41" s="98">
        <f t="shared" si="1"/>
        <v>799.1</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1913.2124999999999</v>
      </c>
      <c r="E48" s="98">
        <f t="shared" ref="E48:G48" si="6">+E41+E44+E47</f>
        <v>708.61</v>
      </c>
      <c r="F48" s="98">
        <f t="shared" si="6"/>
        <v>935.89</v>
      </c>
      <c r="G48" s="98">
        <f t="shared" si="6"/>
        <v>1087.6079999999999</v>
      </c>
      <c r="H48" s="98">
        <f>+H41+H44+H47</f>
        <v>799.1</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CUMPLE</v>
      </c>
      <c r="H55" s="18" t="str">
        <f t="shared" si="8"/>
        <v>CUMPLE</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CUMPLE</v>
      </c>
      <c r="H67" s="18" t="str">
        <f t="shared" ref="H67:J67" si="9">IF(H26="","N/A",IF(AND(H49="CUMPLE",H55="CUMPLE",OR(H56="CUMPLE",H56="N/A"),OR(H59="CUMPLE",H59="N/A"),H62="CUMPLE",H63="CUMPLE",OR(H64="CUMPLE",H64="N/A"),H65="CUMPLE",OR(H66="CUMPLE",H66="N/A")),"CUMPLE","NO CUMPLE"))</f>
        <v>CUMPLE</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2">
    <mergeCell ref="I22:L22"/>
    <mergeCell ref="B66:C66"/>
    <mergeCell ref="B67:C67"/>
    <mergeCell ref="B69:E69"/>
    <mergeCell ref="B70:C70"/>
    <mergeCell ref="B63:C63"/>
    <mergeCell ref="B64:C64"/>
    <mergeCell ref="B65:C65"/>
    <mergeCell ref="B60:C60"/>
    <mergeCell ref="B61:C61"/>
    <mergeCell ref="B62:C62"/>
    <mergeCell ref="B57:C57"/>
    <mergeCell ref="B58:C58"/>
    <mergeCell ref="B59:C59"/>
    <mergeCell ref="B13:H13"/>
    <mergeCell ref="B14:B21"/>
    <mergeCell ref="B26:C26"/>
    <mergeCell ref="B27:C27"/>
    <mergeCell ref="B72:C72"/>
    <mergeCell ref="B71:C71"/>
    <mergeCell ref="B24:L24"/>
    <mergeCell ref="K25:L25"/>
    <mergeCell ref="B56:C56"/>
    <mergeCell ref="B50:B55"/>
    <mergeCell ref="B29:B47"/>
    <mergeCell ref="B28:C28"/>
    <mergeCell ref="K30:L30"/>
    <mergeCell ref="K17:L17"/>
    <mergeCell ref="K18:L21"/>
    <mergeCell ref="B23:L23"/>
    <mergeCell ref="B12:L12"/>
    <mergeCell ref="B2:L2"/>
    <mergeCell ref="B3:L3"/>
    <mergeCell ref="B4:L4"/>
    <mergeCell ref="B5:L5"/>
    <mergeCell ref="B7:I7"/>
    <mergeCell ref="J7:L7"/>
    <mergeCell ref="C8:I8"/>
    <mergeCell ref="C9:I9"/>
    <mergeCell ref="C10:I10"/>
    <mergeCell ref="C11:G11"/>
    <mergeCell ref="I11:L11"/>
  </mergeCells>
  <conditionalFormatting sqref="D71">
    <cfRule type="cellIs" dxfId="2620" priority="77" operator="equal">
      <formula>"CUMPLE"</formula>
    </cfRule>
    <cfRule type="cellIs" dxfId="2619" priority="76" operator="equal">
      <formula>"NO CUMPLE"</formula>
    </cfRule>
    <cfRule type="containsBlanks" dxfId="2618" priority="74">
      <formula>LEN(TRIM(D71))=0</formula>
    </cfRule>
    <cfRule type="notContainsErrors" dxfId="2617" priority="75">
      <formula>NOT(ISERROR(D71))</formula>
    </cfRule>
  </conditionalFormatting>
  <conditionalFormatting sqref="D72">
    <cfRule type="cellIs" dxfId="2616" priority="78" operator="equal">
      <formula>"N/A"</formula>
    </cfRule>
    <cfRule type="cellIs" dxfId="2615" priority="80" operator="equal">
      <formula>"NO CUMPLE"</formula>
    </cfRule>
    <cfRule type="cellIs" dxfId="2614" priority="79" operator="equal">
      <formula>"CUMPLE"</formula>
    </cfRule>
    <cfRule type="cellIs" dxfId="2613" priority="81" operator="equal">
      <formula>"""CUMPLE"""</formula>
    </cfRule>
  </conditionalFormatting>
  <conditionalFormatting sqref="D26:J37">
    <cfRule type="notContainsErrors" dxfId="2612" priority="6">
      <formula>NOT(ISERROR(D26))</formula>
    </cfRule>
    <cfRule type="containsBlanks" dxfId="2611" priority="5">
      <formula>LEN(TRIM(D26))=0</formula>
    </cfRule>
  </conditionalFormatting>
  <conditionalFormatting sqref="D36:J36">
    <cfRule type="notContainsErrors" dxfId="2610" priority="8">
      <formula>NOT(ISERROR(D36))</formula>
    </cfRule>
    <cfRule type="containsBlanks" dxfId="2609" priority="7">
      <formula>LEN(TRIM(D36))=0</formula>
    </cfRule>
  </conditionalFormatting>
  <conditionalFormatting sqref="D39:J39">
    <cfRule type="containsBlanks" dxfId="2608" priority="3">
      <formula>LEN(TRIM(D39))=0</formula>
    </cfRule>
    <cfRule type="notContainsErrors" dxfId="2607" priority="4">
      <formula>NOT(ISERROR(D39))</formula>
    </cfRule>
  </conditionalFormatting>
  <conditionalFormatting sqref="D42:J42 D45:J45">
    <cfRule type="notContainsErrors" dxfId="2606" priority="40">
      <formula>NOT(ISERROR(D42))</formula>
    </cfRule>
    <cfRule type="containsBlanks" dxfId="2605" priority="39">
      <formula>LEN(TRIM(D42))=0</formula>
    </cfRule>
  </conditionalFormatting>
  <conditionalFormatting sqref="D49:J54">
    <cfRule type="notContainsErrors" dxfId="2604" priority="22">
      <formula>NOT(ISERROR(D49))</formula>
    </cfRule>
    <cfRule type="containsBlanks" dxfId="2603" priority="21">
      <formula>LEN(TRIM(D49))=0</formula>
    </cfRule>
    <cfRule type="cellIs" dxfId="2602" priority="19" operator="equal">
      <formula>"NO CUMPLE"</formula>
    </cfRule>
    <cfRule type="cellIs" dxfId="2601" priority="20" operator="equal">
      <formula>"CUMPLE"</formula>
    </cfRule>
  </conditionalFormatting>
  <conditionalFormatting sqref="D55:J55">
    <cfRule type="cellIs" dxfId="2600" priority="31" operator="equal">
      <formula>"NO CUMPLE"</formula>
    </cfRule>
    <cfRule type="cellIs" dxfId="2599" priority="32" operator="equal">
      <formula>"""CUMPLE"""</formula>
    </cfRule>
    <cfRule type="cellIs" dxfId="2598" priority="29" operator="equal">
      <formula>"N/A"</formula>
    </cfRule>
    <cfRule type="cellIs" dxfId="2597" priority="30" operator="equal">
      <formula>"CUMPLE"</formula>
    </cfRule>
  </conditionalFormatting>
  <conditionalFormatting sqref="D56:J66">
    <cfRule type="cellIs" dxfId="2596" priority="14" operator="equal">
      <formula>"CUMPLE"</formula>
    </cfRule>
    <cfRule type="cellIs" dxfId="2595" priority="13" operator="equal">
      <formula>"NO CUMPLE"</formula>
    </cfRule>
    <cfRule type="containsBlanks" dxfId="2594" priority="15">
      <formula>LEN(TRIM(D56))=0</formula>
    </cfRule>
    <cfRule type="notContainsErrors" dxfId="2593" priority="16">
      <formula>NOT(ISERROR(D56))</formula>
    </cfRule>
  </conditionalFormatting>
  <conditionalFormatting sqref="D62:J62">
    <cfRule type="notContainsErrors" dxfId="2592" priority="12">
      <formula>NOT(ISERROR(D62))</formula>
    </cfRule>
    <cfRule type="containsBlanks" dxfId="2591" priority="11">
      <formula>LEN(TRIM(D62))=0</formula>
    </cfRule>
  </conditionalFormatting>
  <conditionalFormatting sqref="D67:J67">
    <cfRule type="cellIs" dxfId="2590" priority="26" operator="equal">
      <formula>"CUMPLE"</formula>
    </cfRule>
    <cfRule type="cellIs" dxfId="2589" priority="25" operator="equal">
      <formula>"N/A"</formula>
    </cfRule>
    <cfRule type="cellIs" dxfId="2588" priority="27" operator="equal">
      <formula>"NO CUMPLE"</formula>
    </cfRule>
    <cfRule type="cellIs" dxfId="2587" priority="28" operator="equal">
      <formula>"""CUMPLE"""</formula>
    </cfRule>
  </conditionalFormatting>
  <conditionalFormatting sqref="D62:K66">
    <cfRule type="containsBlanks" dxfId="2586" priority="17">
      <formula>LEN(TRIM(D62))=0</formula>
    </cfRule>
    <cfRule type="notContainsErrors" dxfId="2585" priority="18">
      <formula>NOT(ISERROR(D62))</formula>
    </cfRule>
  </conditionalFormatting>
  <conditionalFormatting sqref="E71:E72">
    <cfRule type="notContainsErrors" dxfId="2584" priority="73">
      <formula>NOT(ISERROR(E71))</formula>
    </cfRule>
    <cfRule type="containsBlanks" dxfId="2583" priority="72">
      <formula>LEN(TRIM(E71))=0</formula>
    </cfRule>
  </conditionalFormatting>
  <conditionalFormatting sqref="F22:H22">
    <cfRule type="cellIs" dxfId="2582" priority="100" operator="equal">
      <formula>"NO CUMPLE"</formula>
    </cfRule>
    <cfRule type="cellIs" dxfId="2581" priority="99" operator="equal">
      <formula>"CUMPLE"</formula>
    </cfRule>
    <cfRule type="cellIs" dxfId="2580" priority="101" operator="equal">
      <formula>"""CUMPLE"""</formula>
    </cfRule>
  </conditionalFormatting>
  <conditionalFormatting sqref="G63:J63">
    <cfRule type="containsBlanks" dxfId="2579" priority="9">
      <formula>LEN(TRIM(G63))=0</formula>
    </cfRule>
    <cfRule type="notContainsErrors" dxfId="2578" priority="10">
      <formula>NOT(ISERROR(G63))</formula>
    </cfRule>
  </conditionalFormatting>
  <conditionalFormatting sqref="I11">
    <cfRule type="containsText" dxfId="2577" priority="105" operator="containsText" text="NO CUMPLE">
      <formula>NOT(ISERROR(SEARCH("NO CUMPLE",I11)))</formula>
    </cfRule>
    <cfRule type="containsText" dxfId="2576" priority="104" operator="containsText" text="HABILITADO">
      <formula>NOT(ISERROR(SEARCH("HABILITADO",I11)))</formula>
    </cfRule>
    <cfRule type="containsText" dxfId="2575" priority="103" operator="containsText" text="HABILITADO">
      <formula>NOT(ISERROR(SEARCH("HABILITADO",I11)))</formula>
    </cfRule>
    <cfRule type="containsText" dxfId="2574" priority="102" operator="containsText" text="INHABILITADO">
      <formula>NOT(ISERROR(SEARCH("INHABILITADO",I11)))</formula>
    </cfRule>
  </conditionalFormatting>
  <conditionalFormatting sqref="K18:K20">
    <cfRule type="cellIs" dxfId="2573" priority="70" operator="equal">
      <formula>"NO CUMPLE"</formula>
    </cfRule>
    <cfRule type="cellIs" dxfId="2572" priority="69" operator="equal">
      <formula>"CUMPLE"</formula>
    </cfRule>
    <cfRule type="cellIs" dxfId="2571" priority="71" operator="equal">
      <formula>"""CUMPLE"""</formula>
    </cfRule>
  </conditionalFormatting>
  <conditionalFormatting sqref="K26:K61">
    <cfRule type="containsBlanks" dxfId="2570" priority="1">
      <formula>LEN(TRIM(K26))=0</formula>
    </cfRule>
    <cfRule type="notContainsErrors" dxfId="2569" priority="2">
      <formula>NOT(ISERROR(K26))</formula>
    </cfRule>
  </conditionalFormatting>
  <conditionalFormatting sqref="K67:L67">
    <cfRule type="containsBlanks" dxfId="2568" priority="23">
      <formula>LEN(TRIM(K67))=0</formula>
    </cfRule>
    <cfRule type="notContainsErrors" dxfId="2567" priority="24">
      <formula>NOT(ISERROR(K67))</formula>
    </cfRule>
  </conditionalFormatting>
  <conditionalFormatting sqref="L14">
    <cfRule type="cellIs" dxfId="2566" priority="98" operator="equal">
      <formula>"""CUMPLE"""</formula>
    </cfRule>
    <cfRule type="cellIs" dxfId="2565" priority="97" operator="equal">
      <formula>"NO CUMPLE"</formula>
    </cfRule>
    <cfRule type="cellIs" dxfId="2564" priority="96" operator="equal">
      <formula>"CUMPLE"</formula>
    </cfRule>
  </conditionalFormatting>
  <dataValidations count="2">
    <dataValidation type="list" allowBlank="1" showInputMessage="1" showErrorMessage="1" sqref="D26:J28" xr:uid="{00000000-0002-0000-3500-000000000000}">
      <formula1>$C$15:$C$21</formula1>
    </dataValidation>
    <dataValidation type="list" allowBlank="1" showInputMessage="1" showErrorMessage="1" sqref="L62:L67" xr:uid="{00000000-0002-0000-35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3500-000002000000}">
          <x14:formula1>
            <xm:f>'DATOS INICIALES'!$A$13:$A$50</xm:f>
          </x14:formula1>
          <xm:sqref>I33</xm:sqref>
        </x14:dataValidation>
        <x14:dataValidation type="list" allowBlank="1" showInputMessage="1" showErrorMessage="1" xr:uid="{00000000-0002-0000-3500-000003000000}">
          <x14:formula1>
            <xm:f>'DATOS INICIALES'!$A$61:$A$66</xm:f>
          </x14:formula1>
          <xm:sqref>D25:I25</xm:sqref>
        </x14:dataValidation>
        <x14:dataValidation type="list" allowBlank="1" showInputMessage="1" showErrorMessage="1" xr:uid="{00000000-0002-0000-3500-000004000000}">
          <x14:formula1>
            <xm:f>'DATOS INICIALES'!$A$57:$A$59</xm:f>
          </x14:formula1>
          <xm:sqref>D71 D56:J66</xm:sqref>
        </x14:dataValidation>
        <x14:dataValidation type="list" allowBlank="1" showInputMessage="1" showErrorMessage="1" xr:uid="{00000000-0002-0000-3500-000005000000}">
          <x14:formula1>
            <xm:f>'DATOS INICIALES'!$C$52:$C$53</xm:f>
          </x14:formula1>
          <xm:sqref>D53:J54</xm:sqref>
        </x14:dataValidation>
        <x14:dataValidation type="list" allowBlank="1" showInputMessage="1" showErrorMessage="1" xr:uid="{00000000-0002-0000-3500-000006000000}">
          <x14:formula1>
            <xm:f>'DATOS INICIALES'!$A$61:$A$67</xm:f>
          </x14:formula1>
          <xm:sqref>J25</xm:sqref>
        </x14:dataValidation>
        <x14:dataValidation type="list" allowBlank="1" showInputMessage="1" showErrorMessage="1" xr:uid="{00000000-0002-0000-3500-000007000000}">
          <x14:formula1>
            <xm:f>'DATOS INICIALES'!$A$57:$A$58</xm:f>
          </x14:formula1>
          <xm:sqref>D49:J49</xm:sqref>
        </x14:dataValidation>
        <x14:dataValidation type="list" allowBlank="1" showInputMessage="1" showErrorMessage="1" xr:uid="{00000000-0002-0000-3500-000008000000}">
          <x14:formula1>
            <xm:f>'DATOS INICIALES'!$D$27:$D$29</xm:f>
          </x14:formula1>
          <xm:sqref>M50:M55</xm:sqref>
        </x14:dataValidation>
        <x14:dataValidation type="list" allowBlank="1" showInputMessage="1" showErrorMessage="1" xr:uid="{00000000-0002-0000-3500-000009000000}">
          <x14:formula1>
            <xm:f>'DATOS INICIALES'!$C$52:$C$54</xm:f>
          </x14:formula1>
          <xm:sqref>D50:J52</xm:sqref>
        </x14:dataValidation>
        <x14:dataValidation type="list" allowBlank="1" showInputMessage="1" showErrorMessage="1" xr:uid="{00000000-0002-0000-3500-00000A000000}">
          <x14:formula1>
            <xm:f>'/Users/ldrr/Desktop/SDDE/REVISION DE CARPETAS/C:\Users\ASUS\OneDrive\Escritorio\alcaldia local de usaquen\2025\16. EVALUACION DE PROCESOS\INTERVENTORIA DE VIAS\consolidado equipo\[Nicolas_ Evaluación_Tecnica_fdlusa-CMA-003-2025 45 a 54.xlsx]DATOS INICIALES'!#REF!</xm:f>
          </x14:formula1>
          <xm:sqref>G33:H33</xm:sqref>
        </x14:dataValidation>
      </x14:dataValidations>
    </ext>
  </extLst>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tabColor rgb="FF92D050"/>
  </sheetPr>
  <dimension ref="A1:N72"/>
  <sheetViews>
    <sheetView view="pageBreakPreview" zoomScale="55" zoomScaleNormal="25" zoomScaleSheetLayoutView="55" workbookViewId="0">
      <selection activeCell="K56" sqref="K56"/>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49</v>
      </c>
      <c r="B11" s="2" t="s">
        <v>58</v>
      </c>
      <c r="C11" s="413" t="str">
        <f>VLOOKUP(A11,PROPONENTES!A10:B94,2,FALSE)</f>
        <v>CONSORCIO SOLIING USAQUEN</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2</v>
      </c>
      <c r="J14" s="147">
        <f>+L8</f>
        <v>986.3076290832455</v>
      </c>
      <c r="K14" s="147">
        <f>+E22</f>
        <v>11402.11</v>
      </c>
      <c r="L14" s="18" t="str">
        <f>IF(K14&gt;=J14,"CUMPLE","NO CUMPLE")</f>
        <v>CUMPLE</v>
      </c>
    </row>
    <row r="15" spans="1:12" ht="33.75" customHeight="1" x14ac:dyDescent="0.2">
      <c r="B15" s="382"/>
      <c r="C15" s="92" t="str">
        <f>IF(VLOOKUP(C11,PROPONENTES!B10:N94,2,FALSE)=0,"",VLOOKUP(C11,PROPONENTES!B10:N94,2,FALSE))</f>
        <v>SOLUCIONES PARA LA INGENIERÍA SAS</v>
      </c>
      <c r="D15" s="93">
        <f>IF(VLOOKUP(C11,PROPONENTES!B10:N94,3,FALSE)=0,"",VLOOKUP(C11,PROPONENTES!B10:N94,3,FALSE))</f>
        <v>0.9</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1357.24</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INFRAESTRUCTURA INTEGRAL SAS</v>
      </c>
      <c r="D16" s="93">
        <f>IF(VLOOKUP(C11,PROPONENTES!B10:N94,5,FALSE)=0,"",VLOOKUP(C11,PROPONENTES!B10:N94,5,FALSE))</f>
        <v>0.1</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10044.870000000001</v>
      </c>
      <c r="F16" s="95" t="str">
        <f>IF(C16="","",IF(E16&gt;=$J$14*0.5,"SI","NO"))</f>
        <v>SI</v>
      </c>
      <c r="G16" s="96" t="str">
        <f>IF(C16="","",IF(E16&gt;=$J$14*0.05,"SI",IF(E16=0,"NO APORTA EXPERIENCIA",)))</f>
        <v>SI</v>
      </c>
      <c r="H16" s="96" t="str">
        <f>IF(C16="","",IF(AND(G16="NO APORTA EXPERIENCIA",D16&lt;=10%),"SI",IF(G16="SI","NO APLICA","NO - PORCENTAJE MAYOR AL 10%")))</f>
        <v>NO APLICA</v>
      </c>
      <c r="I16" s="162"/>
      <c r="J16" s="162"/>
      <c r="K16" s="162"/>
      <c r="L16" s="161">
        <f>AVERAGEIF(D67:J67,"CUMPLE",D48:J48)</f>
        <v>5701.0550000000003</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1</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2</v>
      </c>
      <c r="J19" s="128">
        <v>1</v>
      </c>
      <c r="K19" s="387"/>
      <c r="L19" s="388"/>
    </row>
    <row r="20" spans="2:14" ht="50.25" customHeight="1" x14ac:dyDescent="0.2">
      <c r="B20" s="382"/>
      <c r="C20" s="92"/>
      <c r="D20" s="93"/>
      <c r="E20" s="94"/>
      <c r="F20" s="95"/>
      <c r="G20" s="96"/>
      <c r="H20" s="96"/>
      <c r="I20" s="128">
        <f>COUNTIFS(D60:J60,"CUMPLE",D67:J67,"CUMPLE")</f>
        <v>2</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2</v>
      </c>
      <c r="J21" s="128">
        <v>1</v>
      </c>
      <c r="K21" s="389"/>
      <c r="L21" s="390"/>
    </row>
    <row r="22" spans="2:14" ht="84.75" customHeight="1" x14ac:dyDescent="0.2">
      <c r="B22" s="29" t="s">
        <v>75</v>
      </c>
      <c r="C22" s="24">
        <f>+VLOOKUP(C11,PROPONENTES!B10:N94,12,FALSE)</f>
        <v>2</v>
      </c>
      <c r="D22" s="93">
        <f>+VLOOKUP(C11,PROPONENTES!B10:N94,13,FALSE)</f>
        <v>1</v>
      </c>
      <c r="E22" s="32">
        <f>SUM(E15:E21)</f>
        <v>11402.11</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868</v>
      </c>
      <c r="E26" s="84" t="s">
        <v>869</v>
      </c>
      <c r="F26" s="84"/>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908</v>
      </c>
      <c r="E29" s="85" t="s">
        <v>909</v>
      </c>
      <c r="F29" s="85"/>
      <c r="G29" s="85"/>
      <c r="H29" s="85"/>
      <c r="I29" s="85"/>
      <c r="J29" s="85"/>
      <c r="K29" s="145"/>
      <c r="L29" s="140"/>
    </row>
    <row r="30" spans="2:14" ht="156.75" customHeight="1" x14ac:dyDescent="0.2">
      <c r="B30" s="374"/>
      <c r="C30" s="25" t="s">
        <v>84</v>
      </c>
      <c r="D30" s="85" t="s">
        <v>910</v>
      </c>
      <c r="E30" s="85" t="s">
        <v>911</v>
      </c>
      <c r="F30" s="85"/>
      <c r="G30" s="85"/>
      <c r="H30" s="85"/>
      <c r="I30" s="85"/>
      <c r="J30" s="85"/>
      <c r="K30" s="145"/>
      <c r="L30" s="140"/>
    </row>
    <row r="31" spans="2:14" ht="52.5" customHeight="1" x14ac:dyDescent="0.2">
      <c r="B31" s="374"/>
      <c r="C31" s="25" t="s">
        <v>85</v>
      </c>
      <c r="D31" s="89">
        <v>44224</v>
      </c>
      <c r="E31" s="89">
        <v>39615</v>
      </c>
      <c r="F31" s="89"/>
      <c r="G31" s="89"/>
      <c r="H31" s="89"/>
      <c r="I31" s="89"/>
      <c r="J31" s="89"/>
      <c r="K31" s="145"/>
      <c r="L31" s="140"/>
    </row>
    <row r="32" spans="2:14" ht="54.75" customHeight="1" x14ac:dyDescent="0.2">
      <c r="B32" s="374"/>
      <c r="C32" s="25" t="s">
        <v>86</v>
      </c>
      <c r="D32" s="89">
        <v>44740</v>
      </c>
      <c r="E32" s="89">
        <v>41502</v>
      </c>
      <c r="F32" s="89"/>
      <c r="G32" s="89"/>
      <c r="H32" s="89"/>
      <c r="I32" s="89"/>
      <c r="J32" s="89"/>
      <c r="K32" s="145"/>
      <c r="L32" s="140"/>
    </row>
    <row r="33" spans="2:12" ht="41.25" customHeight="1" x14ac:dyDescent="0.2">
      <c r="B33" s="374"/>
      <c r="C33" s="25" t="s">
        <v>87</v>
      </c>
      <c r="D33" s="86">
        <v>2022</v>
      </c>
      <c r="E33" s="86">
        <v>2013</v>
      </c>
      <c r="F33" s="86"/>
      <c r="G33" s="86"/>
      <c r="H33" s="86"/>
      <c r="I33" s="86"/>
      <c r="J33" s="86"/>
      <c r="K33" s="145"/>
      <c r="L33" s="140"/>
    </row>
    <row r="34" spans="2:12" ht="63" customHeight="1" x14ac:dyDescent="0.2">
      <c r="B34" s="374"/>
      <c r="C34" s="25" t="s">
        <v>88</v>
      </c>
      <c r="D34" s="85" t="s">
        <v>793</v>
      </c>
      <c r="E34" s="85" t="s">
        <v>793</v>
      </c>
      <c r="F34" s="85"/>
      <c r="G34" s="85"/>
      <c r="H34" s="85"/>
      <c r="I34" s="85"/>
      <c r="J34" s="85"/>
      <c r="K34" s="145"/>
      <c r="L34" s="140"/>
    </row>
    <row r="35" spans="2:12" ht="46.5" customHeight="1" x14ac:dyDescent="0.2">
      <c r="B35" s="374"/>
      <c r="C35" s="25" t="s">
        <v>89</v>
      </c>
      <c r="D35" s="85" t="s">
        <v>868</v>
      </c>
      <c r="E35" s="85" t="s">
        <v>869</v>
      </c>
      <c r="F35" s="85"/>
      <c r="G35" s="85"/>
      <c r="H35" s="85"/>
      <c r="I35" s="85"/>
      <c r="J35" s="85"/>
      <c r="K35" s="145"/>
      <c r="L35" s="140"/>
    </row>
    <row r="36" spans="2:12" ht="27.75" customHeight="1" x14ac:dyDescent="0.2">
      <c r="B36" s="374"/>
      <c r="C36" s="26" t="s">
        <v>90</v>
      </c>
      <c r="D36" s="90">
        <v>14</v>
      </c>
      <c r="E36" s="90">
        <v>42</v>
      </c>
      <c r="F36" s="90"/>
      <c r="G36" s="91"/>
      <c r="H36" s="91"/>
      <c r="I36" s="91"/>
      <c r="J36" s="91"/>
      <c r="K36" s="145"/>
      <c r="L36" s="140"/>
    </row>
    <row r="37" spans="2:12" ht="102.75" customHeight="1" x14ac:dyDescent="0.2">
      <c r="B37" s="374"/>
      <c r="C37" s="25" t="s">
        <v>91</v>
      </c>
      <c r="D37" s="87">
        <v>2714.48</v>
      </c>
      <c r="E37" s="158">
        <v>50224.35</v>
      </c>
      <c r="F37" s="87"/>
      <c r="G37" s="87"/>
      <c r="H37" s="87"/>
      <c r="I37" s="87"/>
      <c r="J37" s="87"/>
      <c r="K37" s="242"/>
      <c r="L37" s="243"/>
    </row>
    <row r="38" spans="2:12" ht="48" customHeight="1" x14ac:dyDescent="0.2">
      <c r="B38" s="374"/>
      <c r="C38" s="25" t="s">
        <v>92</v>
      </c>
      <c r="D38" s="97">
        <f>IFERROR(D37*VLOOKUP(D33,'DATOS INICIALES'!$A$12:$B$50,2,0),"0")</f>
        <v>2714480000</v>
      </c>
      <c r="E38" s="97">
        <f>IFERROR(E37*VLOOKUP(E33,'DATOS INICIALES'!$A$12:$B$50,2,0),"0")</f>
        <v>29607254325</v>
      </c>
      <c r="F38" s="97" t="str">
        <f>IFERROR(F37*VLOOKUP(F33,'DATOS INICIALES'!$A$12:$B$50,2,0),"0")</f>
        <v>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0.5</v>
      </c>
      <c r="E39" s="88">
        <v>0.2</v>
      </c>
      <c r="F39" s="88"/>
      <c r="G39" s="88"/>
      <c r="H39" s="88"/>
      <c r="I39" s="88"/>
      <c r="J39" s="88"/>
      <c r="K39" s="145"/>
      <c r="L39" s="140"/>
    </row>
    <row r="40" spans="2:12" ht="48.75" customHeight="1" x14ac:dyDescent="0.2">
      <c r="B40" s="374"/>
      <c r="C40" s="25" t="s">
        <v>94</v>
      </c>
      <c r="D40" s="97">
        <f t="shared" ref="D40:J40" si="0">IF(D26="","0",D39*D38)</f>
        <v>1357240000</v>
      </c>
      <c r="E40" s="97">
        <f t="shared" si="0"/>
        <v>5921450865</v>
      </c>
      <c r="F40" s="97" t="str">
        <f t="shared" si="0"/>
        <v>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1357.24</v>
      </c>
      <c r="E41" s="98">
        <f t="shared" si="1"/>
        <v>10044.870000000001</v>
      </c>
      <c r="F41" s="98">
        <f t="shared" si="1"/>
        <v>0</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1357.24</v>
      </c>
      <c r="E48" s="98">
        <f t="shared" ref="E48:G48" si="6">+E41+E44+E47</f>
        <v>10044.870000000001</v>
      </c>
      <c r="F48" s="98">
        <f t="shared" si="6"/>
        <v>0</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523" t="s">
        <v>912</v>
      </c>
      <c r="L49" s="524"/>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N/A</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26</v>
      </c>
      <c r="F57" s="84" t="s">
        <v>24</v>
      </c>
      <c r="G57" s="84" t="s">
        <v>24</v>
      </c>
      <c r="H57" s="84" t="s">
        <v>24</v>
      </c>
      <c r="I57" s="84" t="s">
        <v>24</v>
      </c>
      <c r="J57" s="84" t="s">
        <v>24</v>
      </c>
      <c r="K57" s="525" t="s">
        <v>913</v>
      </c>
      <c r="L57" s="526"/>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N/A</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3">
    <mergeCell ref="B70:C70"/>
    <mergeCell ref="B71:C71"/>
    <mergeCell ref="B72:C72"/>
    <mergeCell ref="B65:C65"/>
    <mergeCell ref="B66:C66"/>
    <mergeCell ref="B67:C67"/>
    <mergeCell ref="B69:E69"/>
    <mergeCell ref="B62:C62"/>
    <mergeCell ref="B63:C63"/>
    <mergeCell ref="B64:C64"/>
    <mergeCell ref="B59:C59"/>
    <mergeCell ref="B60:C60"/>
    <mergeCell ref="B61:C61"/>
    <mergeCell ref="K18:L21"/>
    <mergeCell ref="B56:C56"/>
    <mergeCell ref="B57:C57"/>
    <mergeCell ref="B58:C58"/>
    <mergeCell ref="B50:B55"/>
    <mergeCell ref="B28:C28"/>
    <mergeCell ref="B29:B47"/>
    <mergeCell ref="K57:L57"/>
    <mergeCell ref="B2:L2"/>
    <mergeCell ref="B3:L3"/>
    <mergeCell ref="B4:L4"/>
    <mergeCell ref="B5:L5"/>
    <mergeCell ref="B7:I7"/>
    <mergeCell ref="J7:L7"/>
    <mergeCell ref="C8:I8"/>
    <mergeCell ref="C9:I9"/>
    <mergeCell ref="C10:I10"/>
    <mergeCell ref="C11:G11"/>
    <mergeCell ref="K49:L49"/>
    <mergeCell ref="I11:L11"/>
    <mergeCell ref="B24:L24"/>
    <mergeCell ref="K25:L25"/>
    <mergeCell ref="B26:C26"/>
    <mergeCell ref="B27:C27"/>
    <mergeCell ref="B23:L23"/>
    <mergeCell ref="I22:L22"/>
    <mergeCell ref="B12:L12"/>
    <mergeCell ref="B13:H13"/>
    <mergeCell ref="B14:B21"/>
    <mergeCell ref="K17:L17"/>
  </mergeCells>
  <conditionalFormatting sqref="D71">
    <cfRule type="cellIs" dxfId="2563" priority="77" operator="equal">
      <formula>"CUMPLE"</formula>
    </cfRule>
    <cfRule type="cellIs" dxfId="2562" priority="76" operator="equal">
      <formula>"NO CUMPLE"</formula>
    </cfRule>
    <cfRule type="containsBlanks" dxfId="2561" priority="74">
      <formula>LEN(TRIM(D71))=0</formula>
    </cfRule>
    <cfRule type="notContainsErrors" dxfId="2560" priority="75">
      <formula>NOT(ISERROR(D71))</formula>
    </cfRule>
  </conditionalFormatting>
  <conditionalFormatting sqref="D72">
    <cfRule type="cellIs" dxfId="2559" priority="78" operator="equal">
      <formula>"N/A"</formula>
    </cfRule>
    <cfRule type="cellIs" dxfId="2558" priority="80" operator="equal">
      <formula>"NO CUMPLE"</formula>
    </cfRule>
    <cfRule type="cellIs" dxfId="2557" priority="79" operator="equal">
      <formula>"CUMPLE"</formula>
    </cfRule>
    <cfRule type="cellIs" dxfId="2556" priority="81" operator="equal">
      <formula>"""CUMPLE"""</formula>
    </cfRule>
  </conditionalFormatting>
  <conditionalFormatting sqref="D26:J37">
    <cfRule type="notContainsErrors" dxfId="2555" priority="8">
      <formula>NOT(ISERROR(D26))</formula>
    </cfRule>
    <cfRule type="containsBlanks" dxfId="2554" priority="7">
      <formula>LEN(TRIM(D26))=0</formula>
    </cfRule>
  </conditionalFormatting>
  <conditionalFormatting sqref="D36:J36">
    <cfRule type="notContainsErrors" dxfId="2553" priority="10">
      <formula>NOT(ISERROR(D36))</formula>
    </cfRule>
    <cfRule type="containsBlanks" dxfId="2552" priority="9">
      <formula>LEN(TRIM(D36))=0</formula>
    </cfRule>
  </conditionalFormatting>
  <conditionalFormatting sqref="D39:J39">
    <cfRule type="containsBlanks" dxfId="2551" priority="5">
      <formula>LEN(TRIM(D39))=0</formula>
    </cfRule>
    <cfRule type="notContainsErrors" dxfId="2550" priority="6">
      <formula>NOT(ISERROR(D39))</formula>
    </cfRule>
  </conditionalFormatting>
  <conditionalFormatting sqref="D42:J42 D45:J45">
    <cfRule type="notContainsErrors" dxfId="2549" priority="42">
      <formula>NOT(ISERROR(D42))</formula>
    </cfRule>
    <cfRule type="containsBlanks" dxfId="2548" priority="41">
      <formula>LEN(TRIM(D42))=0</formula>
    </cfRule>
  </conditionalFormatting>
  <conditionalFormatting sqref="D49:J54">
    <cfRule type="notContainsErrors" dxfId="2547" priority="24">
      <formula>NOT(ISERROR(D49))</formula>
    </cfRule>
    <cfRule type="containsBlanks" dxfId="2546" priority="23">
      <formula>LEN(TRIM(D49))=0</formula>
    </cfRule>
    <cfRule type="cellIs" dxfId="2545" priority="21" operator="equal">
      <formula>"NO CUMPLE"</formula>
    </cfRule>
    <cfRule type="cellIs" dxfId="2544" priority="22" operator="equal">
      <formula>"CUMPLE"</formula>
    </cfRule>
  </conditionalFormatting>
  <conditionalFormatting sqref="D55:J55">
    <cfRule type="cellIs" dxfId="2543" priority="33" operator="equal">
      <formula>"NO CUMPLE"</formula>
    </cfRule>
    <cfRule type="cellIs" dxfId="2542" priority="34" operator="equal">
      <formula>"""CUMPLE"""</formula>
    </cfRule>
    <cfRule type="cellIs" dxfId="2541" priority="31" operator="equal">
      <formula>"N/A"</formula>
    </cfRule>
    <cfRule type="cellIs" dxfId="2540" priority="32" operator="equal">
      <formula>"CUMPLE"</formula>
    </cfRule>
  </conditionalFormatting>
  <conditionalFormatting sqref="D56:J66">
    <cfRule type="cellIs" dxfId="2539" priority="16" operator="equal">
      <formula>"CUMPLE"</formula>
    </cfRule>
    <cfRule type="cellIs" dxfId="2538" priority="15" operator="equal">
      <formula>"NO CUMPLE"</formula>
    </cfRule>
    <cfRule type="containsBlanks" dxfId="2537" priority="17">
      <formula>LEN(TRIM(D56))=0</formula>
    </cfRule>
    <cfRule type="notContainsErrors" dxfId="2536" priority="18">
      <formula>NOT(ISERROR(D56))</formula>
    </cfRule>
  </conditionalFormatting>
  <conditionalFormatting sqref="D62:J62">
    <cfRule type="notContainsErrors" dxfId="2535" priority="14">
      <formula>NOT(ISERROR(D62))</formula>
    </cfRule>
    <cfRule type="containsBlanks" dxfId="2534" priority="13">
      <formula>LEN(TRIM(D62))=0</formula>
    </cfRule>
  </conditionalFormatting>
  <conditionalFormatting sqref="D67:J67">
    <cfRule type="cellIs" dxfId="2533" priority="28" operator="equal">
      <formula>"CUMPLE"</formula>
    </cfRule>
    <cfRule type="cellIs" dxfId="2532" priority="27" operator="equal">
      <formula>"N/A"</formula>
    </cfRule>
    <cfRule type="cellIs" dxfId="2531" priority="29" operator="equal">
      <formula>"NO CUMPLE"</formula>
    </cfRule>
    <cfRule type="cellIs" dxfId="2530" priority="30" operator="equal">
      <formula>"""CUMPLE"""</formula>
    </cfRule>
  </conditionalFormatting>
  <conditionalFormatting sqref="D62:K66">
    <cfRule type="containsBlanks" dxfId="2529" priority="19">
      <formula>LEN(TRIM(D62))=0</formula>
    </cfRule>
    <cfRule type="notContainsErrors" dxfId="2528" priority="20">
      <formula>NOT(ISERROR(D62))</formula>
    </cfRule>
  </conditionalFormatting>
  <conditionalFormatting sqref="E71:E72">
    <cfRule type="notContainsErrors" dxfId="2527" priority="73">
      <formula>NOT(ISERROR(E71))</formula>
    </cfRule>
    <cfRule type="containsBlanks" dxfId="2526" priority="72">
      <formula>LEN(TRIM(E71))=0</formula>
    </cfRule>
  </conditionalFormatting>
  <conditionalFormatting sqref="F22:H22">
    <cfRule type="cellIs" dxfId="2525" priority="96" operator="equal">
      <formula>"NO CUMPLE"</formula>
    </cfRule>
    <cfRule type="cellIs" dxfId="2524" priority="95" operator="equal">
      <formula>"CUMPLE"</formula>
    </cfRule>
    <cfRule type="cellIs" dxfId="2523" priority="97" operator="equal">
      <formula>"""CUMPLE"""</formula>
    </cfRule>
  </conditionalFormatting>
  <conditionalFormatting sqref="G63:J63">
    <cfRule type="containsBlanks" dxfId="2522" priority="11">
      <formula>LEN(TRIM(G63))=0</formula>
    </cfRule>
    <cfRule type="notContainsErrors" dxfId="2521" priority="12">
      <formula>NOT(ISERROR(G63))</formula>
    </cfRule>
  </conditionalFormatting>
  <conditionalFormatting sqref="I11">
    <cfRule type="containsText" dxfId="2520" priority="101" operator="containsText" text="NO CUMPLE">
      <formula>NOT(ISERROR(SEARCH("NO CUMPLE",I11)))</formula>
    </cfRule>
    <cfRule type="containsText" dxfId="2519" priority="100" operator="containsText" text="HABILITADO">
      <formula>NOT(ISERROR(SEARCH("HABILITADO",I11)))</formula>
    </cfRule>
    <cfRule type="containsText" dxfId="2518" priority="99" operator="containsText" text="HABILITADO">
      <formula>NOT(ISERROR(SEARCH("HABILITADO",I11)))</formula>
    </cfRule>
    <cfRule type="containsText" dxfId="2517" priority="98" operator="containsText" text="INHABILITADO">
      <formula>NOT(ISERROR(SEARCH("INHABILITADO",I11)))</formula>
    </cfRule>
  </conditionalFormatting>
  <conditionalFormatting sqref="K18:K20">
    <cfRule type="cellIs" dxfId="2516" priority="70" operator="equal">
      <formula>"NO CUMPLE"</formula>
    </cfRule>
    <cfRule type="cellIs" dxfId="2515" priority="69" operator="equal">
      <formula>"CUMPLE"</formula>
    </cfRule>
    <cfRule type="cellIs" dxfId="2514" priority="71" operator="equal">
      <formula>"""CUMPLE"""</formula>
    </cfRule>
  </conditionalFormatting>
  <conditionalFormatting sqref="K26:K61">
    <cfRule type="containsBlanks" dxfId="2513" priority="1">
      <formula>LEN(TRIM(K26))=0</formula>
    </cfRule>
    <cfRule type="notContainsErrors" dxfId="2512" priority="2">
      <formula>NOT(ISERROR(K26))</formula>
    </cfRule>
  </conditionalFormatting>
  <conditionalFormatting sqref="K67:L67">
    <cfRule type="containsBlanks" dxfId="2511" priority="25">
      <formula>LEN(TRIM(K67))=0</formula>
    </cfRule>
    <cfRule type="notContainsErrors" dxfId="2510" priority="26">
      <formula>NOT(ISERROR(K67))</formula>
    </cfRule>
  </conditionalFormatting>
  <conditionalFormatting sqref="L14">
    <cfRule type="cellIs" dxfId="2509" priority="94" operator="equal">
      <formula>"""CUMPLE"""</formula>
    </cfRule>
    <cfRule type="cellIs" dxfId="2508" priority="93" operator="equal">
      <formula>"NO CUMPLE"</formula>
    </cfRule>
    <cfRule type="cellIs" dxfId="2507" priority="92" operator="equal">
      <formula>"CUMPLE"</formula>
    </cfRule>
  </conditionalFormatting>
  <dataValidations count="2">
    <dataValidation type="list" allowBlank="1" showInputMessage="1" showErrorMessage="1" sqref="L62:L67" xr:uid="{00000000-0002-0000-3600-000000000000}">
      <formula1>"0,1,2,3,4,5,6"</formula1>
    </dataValidation>
    <dataValidation type="list" allowBlank="1" showInputMessage="1" showErrorMessage="1" sqref="D26:J28" xr:uid="{00000000-0002-0000-36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3600-000002000000}">
          <x14:formula1>
            <xm:f>'DATOS INICIALES'!$D$27:$D$29</xm:f>
          </x14:formula1>
          <xm:sqref>M50:M55</xm:sqref>
        </x14:dataValidation>
        <x14:dataValidation type="list" allowBlank="1" showInputMessage="1" showErrorMessage="1" xr:uid="{00000000-0002-0000-3600-000003000000}">
          <x14:formula1>
            <xm:f>'DATOS INICIALES'!$A$57:$A$58</xm:f>
          </x14:formula1>
          <xm:sqref>D49:J49</xm:sqref>
        </x14:dataValidation>
        <x14:dataValidation type="list" allowBlank="1" showInputMessage="1" showErrorMessage="1" xr:uid="{00000000-0002-0000-3600-000004000000}">
          <x14:formula1>
            <xm:f>'DATOS INICIALES'!$A$61:$A$67</xm:f>
          </x14:formula1>
          <xm:sqref>J25</xm:sqref>
        </x14:dataValidation>
        <x14:dataValidation type="list" allowBlank="1" showInputMessage="1" showErrorMessage="1" xr:uid="{00000000-0002-0000-3600-000005000000}">
          <x14:formula1>
            <xm:f>'DATOS INICIALES'!$C$52:$C$53</xm:f>
          </x14:formula1>
          <xm:sqref>D53:J54</xm:sqref>
        </x14:dataValidation>
        <x14:dataValidation type="list" allowBlank="1" showInputMessage="1" showErrorMessage="1" xr:uid="{00000000-0002-0000-3600-000006000000}">
          <x14:formula1>
            <xm:f>'DATOS INICIALES'!$A$57:$A$59</xm:f>
          </x14:formula1>
          <xm:sqref>D71 D56:J66</xm:sqref>
        </x14:dataValidation>
        <x14:dataValidation type="list" allowBlank="1" showInputMessage="1" showErrorMessage="1" xr:uid="{00000000-0002-0000-3600-000007000000}">
          <x14:formula1>
            <xm:f>'DATOS INICIALES'!$A$61:$A$66</xm:f>
          </x14:formula1>
          <xm:sqref>D25:I25</xm:sqref>
        </x14:dataValidation>
        <x14:dataValidation type="list" allowBlank="1" showInputMessage="1" showErrorMessage="1" xr:uid="{00000000-0002-0000-3600-000008000000}">
          <x14:formula1>
            <xm:f>'DATOS INICIALES'!$A$13:$A$50</xm:f>
          </x14:formula1>
          <xm:sqref>G33:I33</xm:sqref>
        </x14:dataValidation>
        <x14:dataValidation type="list" allowBlank="1" showInputMessage="1" showErrorMessage="1" xr:uid="{00000000-0002-0000-3600-000009000000}">
          <x14:formula1>
            <xm:f>'DATOS INICIALES'!$C$52:$C$54</xm:f>
          </x14:formula1>
          <xm:sqref>D50:J52</xm:sqref>
        </x14:dataValidation>
      </x14:dataValidations>
    </ext>
  </extLst>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tabColor rgb="FF92D050"/>
  </sheetPr>
  <dimension ref="A1:N72"/>
  <sheetViews>
    <sheetView view="pageBreakPreview" zoomScale="40" zoomScaleNormal="25" zoomScaleSheetLayoutView="40" workbookViewId="0">
      <selection activeCell="F71" sqref="F71"/>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50</v>
      </c>
      <c r="B11" s="2" t="s">
        <v>58</v>
      </c>
      <c r="C11" s="413" t="str">
        <f>VLOOKUP(A11,PROPONENTES!A10:B94,2,FALSE)</f>
        <v>INEXIA</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4</v>
      </c>
      <c r="J14" s="147">
        <f>+L8</f>
        <v>986.3076290832455</v>
      </c>
      <c r="K14" s="147">
        <f>+E22</f>
        <v>26420.688000000002</v>
      </c>
      <c r="L14" s="18" t="str">
        <f>IF(K14&gt;=J14,"CUMPLE","NO CUMPLE")</f>
        <v>CUMPLE</v>
      </c>
    </row>
    <row r="15" spans="1:12" ht="33.75" customHeight="1" x14ac:dyDescent="0.2">
      <c r="B15" s="382"/>
      <c r="C15" s="92" t="str">
        <f>IF(VLOOKUP(C11,PROPONENTES!B10:N94,2,FALSE)=0,"",VLOOKUP(C11,PROPONENTES!B10:N94,2,FALSE))</f>
        <v>INEXIA S.A.S</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26420.688000000002</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6605.1720000000005</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4</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4</v>
      </c>
      <c r="J19" s="128">
        <v>1</v>
      </c>
      <c r="K19" s="387"/>
      <c r="L19" s="388"/>
    </row>
    <row r="20" spans="2:14" ht="50.25" customHeight="1" x14ac:dyDescent="0.2">
      <c r="B20" s="382"/>
      <c r="C20" s="92"/>
      <c r="D20" s="93"/>
      <c r="E20" s="94"/>
      <c r="F20" s="95"/>
      <c r="G20" s="96"/>
      <c r="H20" s="96"/>
      <c r="I20" s="128">
        <f>COUNTIFS(D60:J60,"CUMPLE",D67:J67,"CUMPLE")</f>
        <v>4</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4</v>
      </c>
      <c r="J21" s="128">
        <v>1</v>
      </c>
      <c r="K21" s="389"/>
      <c r="L21" s="390"/>
    </row>
    <row r="22" spans="2:14" ht="84.75" customHeight="1" x14ac:dyDescent="0.2">
      <c r="B22" s="29" t="s">
        <v>75</v>
      </c>
      <c r="C22" s="24">
        <f>+VLOOKUP(C11,PROPONENTES!B10:N94,12,FALSE)</f>
        <v>1</v>
      </c>
      <c r="D22" s="93">
        <f>+VLOOKUP(C11,PROPONENTES!B10:N94,13,FALSE)</f>
        <v>1</v>
      </c>
      <c r="E22" s="32">
        <f>SUM(E15:E21)</f>
        <v>26420.688000000002</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870</v>
      </c>
      <c r="E26" s="84" t="s">
        <v>870</v>
      </c>
      <c r="F26" s="84" t="s">
        <v>870</v>
      </c>
      <c r="G26" s="84" t="s">
        <v>870</v>
      </c>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c r="E29" s="85"/>
      <c r="F29" s="85"/>
      <c r="G29" s="85" t="s">
        <v>914</v>
      </c>
      <c r="H29" s="85"/>
      <c r="I29" s="85"/>
      <c r="J29" s="85"/>
      <c r="K29" s="523" t="s">
        <v>923</v>
      </c>
      <c r="L29" s="524"/>
    </row>
    <row r="30" spans="2:14" ht="156.75" customHeight="1" x14ac:dyDescent="0.2">
      <c r="B30" s="374"/>
      <c r="C30" s="25" t="s">
        <v>84</v>
      </c>
      <c r="D30" s="85" t="s">
        <v>915</v>
      </c>
      <c r="E30" s="85" t="s">
        <v>916</v>
      </c>
      <c r="F30" s="85" t="s">
        <v>917</v>
      </c>
      <c r="G30" s="85" t="s">
        <v>918</v>
      </c>
      <c r="H30" s="85"/>
      <c r="I30" s="85"/>
      <c r="J30" s="85"/>
      <c r="K30" s="145"/>
      <c r="L30" s="140"/>
    </row>
    <row r="31" spans="2:14" ht="52.5" customHeight="1" x14ac:dyDescent="0.2">
      <c r="B31" s="374"/>
      <c r="C31" s="25" t="s">
        <v>85</v>
      </c>
      <c r="D31" s="89">
        <v>36354</v>
      </c>
      <c r="E31" s="89">
        <v>37858</v>
      </c>
      <c r="F31" s="89">
        <v>37285</v>
      </c>
      <c r="G31" s="89">
        <v>42206</v>
      </c>
      <c r="H31" s="89"/>
      <c r="I31" s="89"/>
      <c r="J31" s="89"/>
      <c r="K31" s="145"/>
      <c r="L31" s="140"/>
    </row>
    <row r="32" spans="2:14" ht="54.75" customHeight="1" x14ac:dyDescent="0.2">
      <c r="B32" s="374"/>
      <c r="C32" s="25" t="s">
        <v>86</v>
      </c>
      <c r="D32" s="89">
        <v>37802</v>
      </c>
      <c r="E32" s="89">
        <v>39212</v>
      </c>
      <c r="F32" s="89">
        <v>38869</v>
      </c>
      <c r="G32" s="89">
        <v>43329</v>
      </c>
      <c r="H32" s="89"/>
      <c r="I32" s="89"/>
      <c r="J32" s="89"/>
      <c r="K32" s="145"/>
      <c r="L32" s="140"/>
    </row>
    <row r="33" spans="2:12" ht="41.25" customHeight="1" x14ac:dyDescent="0.2">
      <c r="B33" s="374"/>
      <c r="C33" s="25" t="s">
        <v>87</v>
      </c>
      <c r="D33" s="86">
        <v>2003</v>
      </c>
      <c r="E33" s="86">
        <v>2007</v>
      </c>
      <c r="F33" s="86">
        <v>2006</v>
      </c>
      <c r="G33" s="86">
        <v>2018</v>
      </c>
      <c r="H33" s="86"/>
      <c r="I33" s="86"/>
      <c r="J33" s="86"/>
      <c r="K33" s="145"/>
      <c r="L33" s="140"/>
    </row>
    <row r="34" spans="2:12" ht="63" customHeight="1" x14ac:dyDescent="0.2">
      <c r="B34" s="374"/>
      <c r="C34" s="25" t="s">
        <v>88</v>
      </c>
      <c r="D34" s="85" t="s">
        <v>919</v>
      </c>
      <c r="E34" s="85" t="s">
        <v>920</v>
      </c>
      <c r="F34" s="85" t="s">
        <v>921</v>
      </c>
      <c r="G34" s="85" t="s">
        <v>922</v>
      </c>
      <c r="H34" s="85"/>
      <c r="I34" s="85"/>
      <c r="J34" s="85"/>
      <c r="K34" s="145"/>
      <c r="L34" s="140"/>
    </row>
    <row r="35" spans="2:12" ht="46.5" customHeight="1" x14ac:dyDescent="0.2">
      <c r="B35" s="374"/>
      <c r="C35" s="25" t="s">
        <v>89</v>
      </c>
      <c r="D35" s="85" t="s">
        <v>870</v>
      </c>
      <c r="E35" s="85" t="s">
        <v>870</v>
      </c>
      <c r="F35" s="85" t="s">
        <v>870</v>
      </c>
      <c r="G35" s="85" t="s">
        <v>870</v>
      </c>
      <c r="H35" s="85"/>
      <c r="I35" s="85"/>
      <c r="J35" s="85"/>
      <c r="K35" s="145"/>
      <c r="L35" s="140"/>
    </row>
    <row r="36" spans="2:12" ht="27.75" customHeight="1" x14ac:dyDescent="0.2">
      <c r="B36" s="374"/>
      <c r="C36" s="26" t="s">
        <v>90</v>
      </c>
      <c r="D36" s="90">
        <v>3</v>
      </c>
      <c r="E36" s="90">
        <v>4</v>
      </c>
      <c r="F36" s="90">
        <v>7</v>
      </c>
      <c r="G36" s="91">
        <v>68</v>
      </c>
      <c r="H36" s="91"/>
      <c r="I36" s="91"/>
      <c r="J36" s="91"/>
      <c r="K36" s="145"/>
      <c r="L36" s="140"/>
    </row>
    <row r="37" spans="2:12" ht="102.75" customHeight="1" x14ac:dyDescent="0.2">
      <c r="B37" s="374"/>
      <c r="C37" s="25" t="s">
        <v>91</v>
      </c>
      <c r="D37" s="87">
        <v>10491.25</v>
      </c>
      <c r="E37" s="158">
        <v>4702.22</v>
      </c>
      <c r="F37" s="87">
        <v>7123.95</v>
      </c>
      <c r="G37" s="87">
        <v>6838.78</v>
      </c>
      <c r="H37" s="87"/>
      <c r="I37" s="87"/>
      <c r="J37" s="87"/>
      <c r="K37" s="242"/>
      <c r="L37" s="243"/>
    </row>
    <row r="38" spans="2:12" ht="48" customHeight="1" x14ac:dyDescent="0.2">
      <c r="B38" s="374"/>
      <c r="C38" s="25" t="s">
        <v>92</v>
      </c>
      <c r="D38" s="97">
        <f>IFERROR(D37*VLOOKUP(D33,'DATOS INICIALES'!$A$12:$B$50,2,0),"0")</f>
        <v>3483095000</v>
      </c>
      <c r="E38" s="97">
        <f>IFERROR(E37*VLOOKUP(E33,'DATOS INICIALES'!$A$12:$B$50,2,0),"0")</f>
        <v>2039352814</v>
      </c>
      <c r="F38" s="97">
        <f>IFERROR(F37*VLOOKUP(F33,'DATOS INICIALES'!$A$12:$B$50,2,0),"0")</f>
        <v>2906571600</v>
      </c>
      <c r="G38" s="97">
        <f>IFERROR(G37*VLOOKUP(G33,'DATOS INICIALES'!$A$12:$B$50,2,0),"0")</f>
        <v>5342742164.7600002</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1</v>
      </c>
      <c r="E39" s="88">
        <v>1</v>
      </c>
      <c r="F39" s="88">
        <v>1</v>
      </c>
      <c r="G39" s="88">
        <v>0.6</v>
      </c>
      <c r="H39" s="88"/>
      <c r="I39" s="88"/>
      <c r="J39" s="88"/>
      <c r="K39" s="145"/>
      <c r="L39" s="140"/>
    </row>
    <row r="40" spans="2:12" ht="48.75" customHeight="1" x14ac:dyDescent="0.2">
      <c r="B40" s="374"/>
      <c r="C40" s="25" t="s">
        <v>94</v>
      </c>
      <c r="D40" s="97">
        <f t="shared" ref="D40:J40" si="0">IF(D26="","0",D39*D38)</f>
        <v>3483095000</v>
      </c>
      <c r="E40" s="97">
        <f t="shared" si="0"/>
        <v>2039352814</v>
      </c>
      <c r="F40" s="97">
        <f t="shared" si="0"/>
        <v>2906571600</v>
      </c>
      <c r="G40" s="97">
        <f t="shared" si="0"/>
        <v>3205645298.8559999</v>
      </c>
      <c r="H40" s="97" t="str">
        <f t="shared" si="0"/>
        <v>0</v>
      </c>
      <c r="I40" s="97" t="str">
        <f t="shared" si="0"/>
        <v>0</v>
      </c>
      <c r="J40" s="97" t="str">
        <f t="shared" si="0"/>
        <v>0</v>
      </c>
      <c r="K40" s="145"/>
      <c r="L40" s="140"/>
    </row>
    <row r="41" spans="2:12" ht="65.25" customHeight="1" x14ac:dyDescent="0.2">
      <c r="B41" s="374"/>
      <c r="C41" s="25" t="s">
        <v>95</v>
      </c>
      <c r="D41" s="98">
        <f t="shared" ref="D41:J41" si="1">IFERROR(D37*D39,"0")</f>
        <v>10491.25</v>
      </c>
      <c r="E41" s="98">
        <f t="shared" si="1"/>
        <v>4702.22</v>
      </c>
      <c r="F41" s="98">
        <f t="shared" si="1"/>
        <v>7123.95</v>
      </c>
      <c r="G41" s="98">
        <f t="shared" si="1"/>
        <v>4103.268</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10491.25</v>
      </c>
      <c r="E48" s="98">
        <f t="shared" ref="E48:G48" si="6">+E41+E44+E47</f>
        <v>4702.22</v>
      </c>
      <c r="F48" s="98">
        <f t="shared" si="6"/>
        <v>7123.95</v>
      </c>
      <c r="G48" s="98">
        <f t="shared" si="6"/>
        <v>4103.268</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CUMPLE</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CUMPLE</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2">
    <mergeCell ref="B70:C70"/>
    <mergeCell ref="B71:C71"/>
    <mergeCell ref="B72:C72"/>
    <mergeCell ref="B65:C65"/>
    <mergeCell ref="B66:C66"/>
    <mergeCell ref="B67:C67"/>
    <mergeCell ref="B69:E69"/>
    <mergeCell ref="B62:C62"/>
    <mergeCell ref="B63:C63"/>
    <mergeCell ref="B64:C64"/>
    <mergeCell ref="B59:C59"/>
    <mergeCell ref="B60:C60"/>
    <mergeCell ref="B61:C61"/>
    <mergeCell ref="K18:L21"/>
    <mergeCell ref="B56:C56"/>
    <mergeCell ref="B57:C57"/>
    <mergeCell ref="B58:C58"/>
    <mergeCell ref="B50:B55"/>
    <mergeCell ref="B28:C28"/>
    <mergeCell ref="B29:B47"/>
    <mergeCell ref="B2:L2"/>
    <mergeCell ref="B3:L3"/>
    <mergeCell ref="B4:L4"/>
    <mergeCell ref="B5:L5"/>
    <mergeCell ref="B7:I7"/>
    <mergeCell ref="J7:L7"/>
    <mergeCell ref="C8:I8"/>
    <mergeCell ref="C9:I9"/>
    <mergeCell ref="C10:I10"/>
    <mergeCell ref="C11:G11"/>
    <mergeCell ref="K29:L29"/>
    <mergeCell ref="I11:L11"/>
    <mergeCell ref="B24:L24"/>
    <mergeCell ref="K25:L25"/>
    <mergeCell ref="B26:C26"/>
    <mergeCell ref="B27:C27"/>
    <mergeCell ref="B23:L23"/>
    <mergeCell ref="I22:L22"/>
    <mergeCell ref="B12:L12"/>
    <mergeCell ref="B13:H13"/>
    <mergeCell ref="B14:B21"/>
    <mergeCell ref="K17:L17"/>
  </mergeCells>
  <conditionalFormatting sqref="D71">
    <cfRule type="cellIs" dxfId="2506" priority="77" operator="equal">
      <formula>"CUMPLE"</formula>
    </cfRule>
    <cfRule type="cellIs" dxfId="2505" priority="76" operator="equal">
      <formula>"NO CUMPLE"</formula>
    </cfRule>
    <cfRule type="containsBlanks" dxfId="2504" priority="74">
      <formula>LEN(TRIM(D71))=0</formula>
    </cfRule>
    <cfRule type="notContainsErrors" dxfId="2503" priority="75">
      <formula>NOT(ISERROR(D71))</formula>
    </cfRule>
  </conditionalFormatting>
  <conditionalFormatting sqref="D72">
    <cfRule type="cellIs" dxfId="2502" priority="78" operator="equal">
      <formula>"N/A"</formula>
    </cfRule>
    <cfRule type="cellIs" dxfId="2501" priority="80" operator="equal">
      <formula>"NO CUMPLE"</formula>
    </cfRule>
    <cfRule type="cellIs" dxfId="2500" priority="79" operator="equal">
      <formula>"CUMPLE"</formula>
    </cfRule>
    <cfRule type="cellIs" dxfId="2499" priority="81" operator="equal">
      <formula>"""CUMPLE"""</formula>
    </cfRule>
  </conditionalFormatting>
  <conditionalFormatting sqref="D26:J37">
    <cfRule type="notContainsErrors" dxfId="2498" priority="6">
      <formula>NOT(ISERROR(D26))</formula>
    </cfRule>
    <cfRule type="containsBlanks" dxfId="2497" priority="5">
      <formula>LEN(TRIM(D26))=0</formula>
    </cfRule>
  </conditionalFormatting>
  <conditionalFormatting sqref="D36:J36">
    <cfRule type="notContainsErrors" dxfId="2496" priority="8">
      <formula>NOT(ISERROR(D36))</formula>
    </cfRule>
    <cfRule type="containsBlanks" dxfId="2495" priority="7">
      <formula>LEN(TRIM(D36))=0</formula>
    </cfRule>
  </conditionalFormatting>
  <conditionalFormatting sqref="D39:J39">
    <cfRule type="containsBlanks" dxfId="2494" priority="3">
      <formula>LEN(TRIM(D39))=0</formula>
    </cfRule>
    <cfRule type="notContainsErrors" dxfId="2493" priority="4">
      <formula>NOT(ISERROR(D39))</formula>
    </cfRule>
  </conditionalFormatting>
  <conditionalFormatting sqref="D42:J42 D45:J45">
    <cfRule type="notContainsErrors" dxfId="2492" priority="40">
      <formula>NOT(ISERROR(D42))</formula>
    </cfRule>
    <cfRule type="containsBlanks" dxfId="2491" priority="39">
      <formula>LEN(TRIM(D42))=0</formula>
    </cfRule>
  </conditionalFormatting>
  <conditionalFormatting sqref="D49:J54">
    <cfRule type="notContainsErrors" dxfId="2490" priority="22">
      <formula>NOT(ISERROR(D49))</formula>
    </cfRule>
    <cfRule type="containsBlanks" dxfId="2489" priority="21">
      <formula>LEN(TRIM(D49))=0</formula>
    </cfRule>
    <cfRule type="cellIs" dxfId="2488" priority="19" operator="equal">
      <formula>"NO CUMPLE"</formula>
    </cfRule>
    <cfRule type="cellIs" dxfId="2487" priority="20" operator="equal">
      <formula>"CUMPLE"</formula>
    </cfRule>
  </conditionalFormatting>
  <conditionalFormatting sqref="D55:J55">
    <cfRule type="cellIs" dxfId="2486" priority="31" operator="equal">
      <formula>"NO CUMPLE"</formula>
    </cfRule>
    <cfRule type="cellIs" dxfId="2485" priority="32" operator="equal">
      <formula>"""CUMPLE"""</formula>
    </cfRule>
    <cfRule type="cellIs" dxfId="2484" priority="29" operator="equal">
      <formula>"N/A"</formula>
    </cfRule>
    <cfRule type="cellIs" dxfId="2483" priority="30" operator="equal">
      <formula>"CUMPLE"</formula>
    </cfRule>
  </conditionalFormatting>
  <conditionalFormatting sqref="D56:J66">
    <cfRule type="cellIs" dxfId="2482" priority="14" operator="equal">
      <formula>"CUMPLE"</formula>
    </cfRule>
    <cfRule type="cellIs" dxfId="2481" priority="13" operator="equal">
      <formula>"NO CUMPLE"</formula>
    </cfRule>
    <cfRule type="containsBlanks" dxfId="2480" priority="15">
      <formula>LEN(TRIM(D56))=0</formula>
    </cfRule>
    <cfRule type="notContainsErrors" dxfId="2479" priority="16">
      <formula>NOT(ISERROR(D56))</formula>
    </cfRule>
  </conditionalFormatting>
  <conditionalFormatting sqref="D62:J62">
    <cfRule type="notContainsErrors" dxfId="2478" priority="12">
      <formula>NOT(ISERROR(D62))</formula>
    </cfRule>
    <cfRule type="containsBlanks" dxfId="2477" priority="11">
      <formula>LEN(TRIM(D62))=0</formula>
    </cfRule>
  </conditionalFormatting>
  <conditionalFormatting sqref="D67:J67">
    <cfRule type="cellIs" dxfId="2476" priority="26" operator="equal">
      <formula>"CUMPLE"</formula>
    </cfRule>
    <cfRule type="cellIs" dxfId="2475" priority="25" operator="equal">
      <formula>"N/A"</formula>
    </cfRule>
    <cfRule type="cellIs" dxfId="2474" priority="27" operator="equal">
      <formula>"NO CUMPLE"</formula>
    </cfRule>
    <cfRule type="cellIs" dxfId="2473" priority="28" operator="equal">
      <formula>"""CUMPLE"""</formula>
    </cfRule>
  </conditionalFormatting>
  <conditionalFormatting sqref="D62:K66">
    <cfRule type="containsBlanks" dxfId="2472" priority="17">
      <formula>LEN(TRIM(D62))=0</formula>
    </cfRule>
    <cfRule type="notContainsErrors" dxfId="2471" priority="18">
      <formula>NOT(ISERROR(D62))</formula>
    </cfRule>
  </conditionalFormatting>
  <conditionalFormatting sqref="E71:E72">
    <cfRule type="notContainsErrors" dxfId="2470" priority="73">
      <formula>NOT(ISERROR(E71))</formula>
    </cfRule>
    <cfRule type="containsBlanks" dxfId="2469" priority="72">
      <formula>LEN(TRIM(E71))=0</formula>
    </cfRule>
  </conditionalFormatting>
  <conditionalFormatting sqref="F22:H22">
    <cfRule type="cellIs" dxfId="2468" priority="96" operator="equal">
      <formula>"NO CUMPLE"</formula>
    </cfRule>
    <cfRule type="cellIs" dxfId="2467" priority="95" operator="equal">
      <formula>"CUMPLE"</formula>
    </cfRule>
    <cfRule type="cellIs" dxfId="2466" priority="97" operator="equal">
      <formula>"""CUMPLE"""</formula>
    </cfRule>
  </conditionalFormatting>
  <conditionalFormatting sqref="G63:J63">
    <cfRule type="containsBlanks" dxfId="2465" priority="9">
      <formula>LEN(TRIM(G63))=0</formula>
    </cfRule>
    <cfRule type="notContainsErrors" dxfId="2464" priority="10">
      <formula>NOT(ISERROR(G63))</formula>
    </cfRule>
  </conditionalFormatting>
  <conditionalFormatting sqref="I11">
    <cfRule type="containsText" dxfId="2463" priority="101" operator="containsText" text="NO CUMPLE">
      <formula>NOT(ISERROR(SEARCH("NO CUMPLE",I11)))</formula>
    </cfRule>
    <cfRule type="containsText" dxfId="2462" priority="100" operator="containsText" text="HABILITADO">
      <formula>NOT(ISERROR(SEARCH("HABILITADO",I11)))</formula>
    </cfRule>
    <cfRule type="containsText" dxfId="2461" priority="99" operator="containsText" text="HABILITADO">
      <formula>NOT(ISERROR(SEARCH("HABILITADO",I11)))</formula>
    </cfRule>
    <cfRule type="containsText" dxfId="2460" priority="98" operator="containsText" text="INHABILITADO">
      <formula>NOT(ISERROR(SEARCH("INHABILITADO",I11)))</formula>
    </cfRule>
  </conditionalFormatting>
  <conditionalFormatting sqref="K18:K20">
    <cfRule type="cellIs" dxfId="2459" priority="70" operator="equal">
      <formula>"NO CUMPLE"</formula>
    </cfRule>
    <cfRule type="cellIs" dxfId="2458" priority="69" operator="equal">
      <formula>"CUMPLE"</formula>
    </cfRule>
    <cfRule type="cellIs" dxfId="2457" priority="71" operator="equal">
      <formula>"""CUMPLE"""</formula>
    </cfRule>
  </conditionalFormatting>
  <conditionalFormatting sqref="K26:K61">
    <cfRule type="containsBlanks" dxfId="2456" priority="1">
      <formula>LEN(TRIM(K26))=0</formula>
    </cfRule>
    <cfRule type="notContainsErrors" dxfId="2455" priority="2">
      <formula>NOT(ISERROR(K26))</formula>
    </cfRule>
  </conditionalFormatting>
  <conditionalFormatting sqref="K67:L67">
    <cfRule type="containsBlanks" dxfId="2454" priority="23">
      <formula>LEN(TRIM(K67))=0</formula>
    </cfRule>
    <cfRule type="notContainsErrors" dxfId="2453" priority="24">
      <formula>NOT(ISERROR(K67))</formula>
    </cfRule>
  </conditionalFormatting>
  <conditionalFormatting sqref="L14">
    <cfRule type="cellIs" dxfId="2452" priority="94" operator="equal">
      <formula>"""CUMPLE"""</formula>
    </cfRule>
    <cfRule type="cellIs" dxfId="2451" priority="93" operator="equal">
      <formula>"NO CUMPLE"</formula>
    </cfRule>
    <cfRule type="cellIs" dxfId="2450" priority="92" operator="equal">
      <formula>"CUMPLE"</formula>
    </cfRule>
  </conditionalFormatting>
  <dataValidations count="2">
    <dataValidation type="list" allowBlank="1" showInputMessage="1" showErrorMessage="1" sqref="D26:J28" xr:uid="{00000000-0002-0000-3700-000000000000}">
      <formula1>$C$15:$C$21</formula1>
    </dataValidation>
    <dataValidation type="list" allowBlank="1" showInputMessage="1" showErrorMessage="1" sqref="L62:L67" xr:uid="{00000000-0002-0000-37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3700-000002000000}">
          <x14:formula1>
            <xm:f>'DATOS INICIALES'!$D$27:$D$29</xm:f>
          </x14:formula1>
          <xm:sqref>M50:M55</xm:sqref>
        </x14:dataValidation>
        <x14:dataValidation type="list" allowBlank="1" showInputMessage="1" showErrorMessage="1" xr:uid="{00000000-0002-0000-3700-000003000000}">
          <x14:formula1>
            <xm:f>'DATOS INICIALES'!$A$13:$A$50</xm:f>
          </x14:formula1>
          <xm:sqref>H33:I33</xm:sqref>
        </x14:dataValidation>
        <x14:dataValidation type="list" allowBlank="1" showInputMessage="1" showErrorMessage="1" xr:uid="{00000000-0002-0000-3700-000004000000}">
          <x14:formula1>
            <xm:f>'DATOS INICIALES'!$A$61:$A$66</xm:f>
          </x14:formula1>
          <xm:sqref>D25:I25</xm:sqref>
        </x14:dataValidation>
        <x14:dataValidation type="list" allowBlank="1" showInputMessage="1" showErrorMessage="1" xr:uid="{00000000-0002-0000-3700-000005000000}">
          <x14:formula1>
            <xm:f>'DATOS INICIALES'!$A$57:$A$59</xm:f>
          </x14:formula1>
          <xm:sqref>D71 D56:J66</xm:sqref>
        </x14:dataValidation>
        <x14:dataValidation type="list" allowBlank="1" showInputMessage="1" showErrorMessage="1" xr:uid="{00000000-0002-0000-3700-000006000000}">
          <x14:formula1>
            <xm:f>'DATOS INICIALES'!$C$52:$C$53</xm:f>
          </x14:formula1>
          <xm:sqref>D53:J54</xm:sqref>
        </x14:dataValidation>
        <x14:dataValidation type="list" allowBlank="1" showInputMessage="1" showErrorMessage="1" xr:uid="{00000000-0002-0000-3700-000007000000}">
          <x14:formula1>
            <xm:f>'DATOS INICIALES'!$A$61:$A$67</xm:f>
          </x14:formula1>
          <xm:sqref>J25</xm:sqref>
        </x14:dataValidation>
        <x14:dataValidation type="list" allowBlank="1" showInputMessage="1" showErrorMessage="1" xr:uid="{00000000-0002-0000-3700-000008000000}">
          <x14:formula1>
            <xm:f>'DATOS INICIALES'!$A$57:$A$58</xm:f>
          </x14:formula1>
          <xm:sqref>D49:J49</xm:sqref>
        </x14:dataValidation>
        <x14:dataValidation type="list" allowBlank="1" showInputMessage="1" showErrorMessage="1" xr:uid="{00000000-0002-0000-3700-000009000000}">
          <x14:formula1>
            <xm:f>'DATOS INICIALES'!$C$52:$C$54</xm:f>
          </x14:formula1>
          <xm:sqref>D50:J52</xm:sqref>
        </x14:dataValidation>
        <x14:dataValidation type="list" allowBlank="1" showInputMessage="1" showErrorMessage="1" xr:uid="{00000000-0002-0000-3700-00000A000000}">
          <x14:formula1>
            <xm:f>'/Users/ldrr/Desktop/SDDE/REVISION DE CARPETAS/C:\Users\ASUS\OneDrive\Escritorio\alcaldia local de usaquen\2025\16. EVALUACION DE PROCESOS\INTERVENTORIA DE VIAS\consolidado equipo\[Nicolas_ Evaluación_Tecnica_fdlusa-CMA-003-2025 45 a 54.xlsx]DATOS INICIALES'!#REF!</xm:f>
          </x14:formula1>
          <xm:sqref>G33</xm:sqref>
        </x14:dataValidation>
      </x14:dataValidations>
    </ext>
  </extLst>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tabColor rgb="FF92D050"/>
  </sheetPr>
  <dimension ref="A1:N72"/>
  <sheetViews>
    <sheetView view="pageBreakPreview" topLeftCell="D16" zoomScale="70" zoomScaleNormal="25" zoomScaleSheetLayoutView="70" workbookViewId="0">
      <selection activeCell="D30" sqref="D30"/>
    </sheetView>
  </sheetViews>
  <sheetFormatPr baseColWidth="10" defaultColWidth="11.5" defaultRowHeight="15" x14ac:dyDescent="0.2"/>
  <cols>
    <col min="1" max="1" width="13.6640625" customWidth="1"/>
    <col min="2" max="2" width="30.83203125" customWidth="1"/>
    <col min="3" max="3" width="63.1640625" customWidth="1"/>
    <col min="4" max="4" width="48.1640625" customWidth="1"/>
    <col min="5" max="5" width="54.8320312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6">
        <v>51</v>
      </c>
      <c r="B11" s="2" t="s">
        <v>58</v>
      </c>
      <c r="C11" s="413" t="str">
        <f>VLOOKUP(A11,PROPONENTES!A10:B94,2,FALSE)</f>
        <v>INCOLTA S.A.S.</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1</v>
      </c>
      <c r="J14" s="147">
        <f>+L8</f>
        <v>986.3076290832455</v>
      </c>
      <c r="K14" s="147">
        <f>+E22</f>
        <v>2021.6171999999999</v>
      </c>
      <c r="L14" s="18" t="str">
        <f>IF(K14&gt;=J14,"CUMPLE","NO CUMPLE")</f>
        <v>CUMPLE</v>
      </c>
    </row>
    <row r="15" spans="1:12" ht="33.75" customHeight="1" x14ac:dyDescent="0.2">
      <c r="B15" s="382"/>
      <c r="C15" s="92" t="str">
        <f>IF(VLOOKUP(C11,PROPONENTES!B10:N94,2,FALSE)=0,"",VLOOKUP(C11,PROPONENTES!B10:N94,2,FALSE))</f>
        <v>INCOLTA INTERVENTORÍAS Y CONSULTORÍAS S.A.S.</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2021.6171999999999</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2021.6171999999999</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1</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1</v>
      </c>
      <c r="J19" s="128">
        <v>1</v>
      </c>
      <c r="K19" s="387"/>
      <c r="L19" s="388"/>
    </row>
    <row r="20" spans="2:14" ht="50.25" customHeight="1" x14ac:dyDescent="0.2">
      <c r="B20" s="382"/>
      <c r="C20" s="92"/>
      <c r="D20" s="93"/>
      <c r="E20" s="94"/>
      <c r="F20" s="95"/>
      <c r="G20" s="96"/>
      <c r="H20" s="96"/>
      <c r="I20" s="128">
        <f>COUNTIFS(D60:J60,"CUMPLE",D67:J67,"CUMPLE")</f>
        <v>1</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1</v>
      </c>
      <c r="J21" s="128">
        <v>1</v>
      </c>
      <c r="K21" s="389"/>
      <c r="L21" s="390"/>
    </row>
    <row r="22" spans="2:14" ht="84.75" customHeight="1" x14ac:dyDescent="0.2">
      <c r="B22" s="29" t="s">
        <v>75</v>
      </c>
      <c r="C22" s="24">
        <f>+VLOOKUP(C11,PROPONENTES!B10:N94,12,FALSE)</f>
        <v>1</v>
      </c>
      <c r="D22" s="93">
        <f>+VLOOKUP(C11,PROPONENTES!B10:N94,13,FALSE)</f>
        <v>1</v>
      </c>
      <c r="E22" s="32">
        <f>SUM(E15:E21)</f>
        <v>2021.6171999999999</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871</v>
      </c>
      <c r="E26" s="84" t="s">
        <v>871</v>
      </c>
      <c r="F26" s="84"/>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924</v>
      </c>
      <c r="E29" s="85" t="s">
        <v>925</v>
      </c>
      <c r="F29" s="85"/>
      <c r="G29" s="85"/>
      <c r="H29" s="85"/>
      <c r="I29" s="85"/>
      <c r="J29" s="85"/>
      <c r="K29" s="145"/>
      <c r="L29" s="140"/>
    </row>
    <row r="30" spans="2:14" ht="166.75" customHeight="1" x14ac:dyDescent="0.2">
      <c r="B30" s="374"/>
      <c r="C30" s="25" t="s">
        <v>84</v>
      </c>
      <c r="D30" s="85" t="s">
        <v>926</v>
      </c>
      <c r="E30" s="85" t="s">
        <v>1429</v>
      </c>
      <c r="F30" s="85"/>
      <c r="G30" s="85"/>
      <c r="H30" s="85"/>
      <c r="I30" s="85"/>
      <c r="J30" s="85"/>
      <c r="K30" s="525" t="s">
        <v>1431</v>
      </c>
      <c r="L30" s="526"/>
    </row>
    <row r="31" spans="2:14" ht="52.5" customHeight="1" x14ac:dyDescent="0.2">
      <c r="B31" s="374"/>
      <c r="C31" s="25" t="s">
        <v>85</v>
      </c>
      <c r="D31" s="89">
        <v>41233</v>
      </c>
      <c r="E31" s="89">
        <v>43269</v>
      </c>
      <c r="F31" s="89"/>
      <c r="G31" s="89"/>
      <c r="H31" s="89"/>
      <c r="I31" s="89"/>
      <c r="J31" s="89"/>
      <c r="K31" s="145"/>
      <c r="L31" s="140"/>
    </row>
    <row r="32" spans="2:14" ht="54.75" customHeight="1" x14ac:dyDescent="0.2">
      <c r="B32" s="374"/>
      <c r="C32" s="25" t="s">
        <v>86</v>
      </c>
      <c r="D32" s="89">
        <v>41748</v>
      </c>
      <c r="E32" s="89">
        <v>44755</v>
      </c>
      <c r="F32" s="89"/>
      <c r="G32" s="89"/>
      <c r="H32" s="89"/>
      <c r="I32" s="89"/>
      <c r="J32" s="89"/>
      <c r="K32" s="145"/>
      <c r="L32" s="140"/>
    </row>
    <row r="33" spans="2:12" ht="41.25" customHeight="1" x14ac:dyDescent="0.2">
      <c r="B33" s="374"/>
      <c r="C33" s="25" t="s">
        <v>87</v>
      </c>
      <c r="D33" s="86">
        <v>2014</v>
      </c>
      <c r="E33" s="86">
        <v>2022</v>
      </c>
      <c r="F33" s="86"/>
      <c r="G33" s="86"/>
      <c r="H33" s="86"/>
      <c r="I33" s="86"/>
      <c r="J33" s="86"/>
      <c r="K33" s="145"/>
      <c r="L33" s="140"/>
    </row>
    <row r="34" spans="2:12" ht="63" customHeight="1" x14ac:dyDescent="0.2">
      <c r="B34" s="374"/>
      <c r="C34" s="25" t="s">
        <v>88</v>
      </c>
      <c r="D34" s="85" t="s">
        <v>927</v>
      </c>
      <c r="E34" s="85" t="s">
        <v>928</v>
      </c>
      <c r="F34" s="85"/>
      <c r="G34" s="85"/>
      <c r="H34" s="85"/>
      <c r="I34" s="85"/>
      <c r="J34" s="85"/>
      <c r="K34" s="145"/>
      <c r="L34" s="140"/>
    </row>
    <row r="35" spans="2:12" ht="46.5" customHeight="1" x14ac:dyDescent="0.2">
      <c r="B35" s="374"/>
      <c r="C35" s="25" t="s">
        <v>89</v>
      </c>
      <c r="D35" s="85" t="s">
        <v>871</v>
      </c>
      <c r="E35" s="85" t="s">
        <v>871</v>
      </c>
      <c r="F35" s="85"/>
      <c r="G35" s="85"/>
      <c r="H35" s="85"/>
      <c r="I35" s="85"/>
      <c r="J35" s="85"/>
      <c r="K35" s="145"/>
      <c r="L35" s="140"/>
    </row>
    <row r="36" spans="2:12" ht="27.75" customHeight="1" x14ac:dyDescent="0.2">
      <c r="B36" s="374"/>
      <c r="C36" s="26" t="s">
        <v>90</v>
      </c>
      <c r="D36" s="90">
        <v>26</v>
      </c>
      <c r="E36" s="90">
        <v>82</v>
      </c>
      <c r="F36" s="90"/>
      <c r="G36" s="91"/>
      <c r="H36" s="91"/>
      <c r="I36" s="91"/>
      <c r="J36" s="91"/>
      <c r="K36" s="145"/>
      <c r="L36" s="140"/>
    </row>
    <row r="37" spans="2:12" ht="102.75" customHeight="1" x14ac:dyDescent="0.2">
      <c r="B37" s="374"/>
      <c r="C37" s="25" t="s">
        <v>91</v>
      </c>
      <c r="D37" s="87">
        <v>2929.88</v>
      </c>
      <c r="E37" s="158">
        <v>2945.28</v>
      </c>
      <c r="F37" s="87"/>
      <c r="G37" s="87"/>
      <c r="H37" s="87"/>
      <c r="I37" s="87"/>
      <c r="J37" s="87"/>
      <c r="K37" s="242"/>
      <c r="L37" s="243"/>
    </row>
    <row r="38" spans="2:12" ht="48" customHeight="1" x14ac:dyDescent="0.2">
      <c r="B38" s="374"/>
      <c r="C38" s="25" t="s">
        <v>92</v>
      </c>
      <c r="D38" s="97">
        <f>IFERROR(D37*VLOOKUP(D33,'DATOS INICIALES'!$A$12:$B$50,2,0),"0")</f>
        <v>1804806080</v>
      </c>
      <c r="E38" s="97">
        <f>IFERROR(E37*VLOOKUP(E33,'DATOS INICIALES'!$A$12:$B$50,2,0),"0")</f>
        <v>2945280000</v>
      </c>
      <c r="F38" s="97" t="str">
        <f>IFERROR(F37*VLOOKUP(F33,'DATOS INICIALES'!$A$12:$B$50,2,0),"0")</f>
        <v>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0.69</v>
      </c>
      <c r="E39" s="88">
        <v>0.45</v>
      </c>
      <c r="F39" s="88"/>
      <c r="G39" s="88"/>
      <c r="H39" s="88"/>
      <c r="I39" s="88"/>
      <c r="J39" s="88"/>
      <c r="K39" s="145"/>
      <c r="L39" s="140"/>
    </row>
    <row r="40" spans="2:12" ht="48.75" customHeight="1" x14ac:dyDescent="0.2">
      <c r="B40" s="374"/>
      <c r="C40" s="25" t="s">
        <v>94</v>
      </c>
      <c r="D40" s="97">
        <f t="shared" ref="D40:J40" si="0">IF(D26="","0",D39*D38)</f>
        <v>1245316195.1999998</v>
      </c>
      <c r="E40" s="97">
        <f t="shared" si="0"/>
        <v>1325376000</v>
      </c>
      <c r="F40" s="97" t="str">
        <f t="shared" si="0"/>
        <v>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2021.6171999999999</v>
      </c>
      <c r="E41" s="98">
        <f t="shared" si="1"/>
        <v>1325.3760000000002</v>
      </c>
      <c r="F41" s="98">
        <f t="shared" si="1"/>
        <v>0</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2021.6171999999999</v>
      </c>
      <c r="E48" s="98">
        <f t="shared" ref="E48:G48" si="6">+E41+E44+E47</f>
        <v>1325.3760000000002</v>
      </c>
      <c r="F48" s="98">
        <f t="shared" si="6"/>
        <v>0</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N/A</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26</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NO CUMPLE</v>
      </c>
      <c r="F67" s="18" t="str">
        <f>IF(F26="","N/A",IF(AND(F49="CUMPLE",F55="CUMPLE",OR(F56="CUMPLE",F56="N/A"),OR(F59="CUMPLE",F59="N/A"),F62="CUMPLE",F63="CUMPLE",OR(F64="CUMPLE",F64="N/A"),F65="CUMPLE",OR(F66="CUMPLE",F66="N/A")),"CUMPLE","NO CUMPLE"))</f>
        <v>N/A</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2">
    <mergeCell ref="B62:C62"/>
    <mergeCell ref="B63:C63"/>
    <mergeCell ref="B64:C64"/>
    <mergeCell ref="B59:C59"/>
    <mergeCell ref="B60:C60"/>
    <mergeCell ref="B61:C61"/>
    <mergeCell ref="B70:C70"/>
    <mergeCell ref="B71:C71"/>
    <mergeCell ref="B72:C72"/>
    <mergeCell ref="B65:C65"/>
    <mergeCell ref="B66:C66"/>
    <mergeCell ref="B67:C67"/>
    <mergeCell ref="B69:E69"/>
    <mergeCell ref="B58:C58"/>
    <mergeCell ref="B50:B55"/>
    <mergeCell ref="B28:C28"/>
    <mergeCell ref="B29:B47"/>
    <mergeCell ref="I22:L22"/>
    <mergeCell ref="B24:L24"/>
    <mergeCell ref="K25:L25"/>
    <mergeCell ref="B26:C26"/>
    <mergeCell ref="B27:C27"/>
    <mergeCell ref="B23:L23"/>
    <mergeCell ref="K30:L30"/>
    <mergeCell ref="B56:C56"/>
    <mergeCell ref="B57:C57"/>
    <mergeCell ref="B12:L12"/>
    <mergeCell ref="B13:H13"/>
    <mergeCell ref="B14:B21"/>
    <mergeCell ref="K17:L17"/>
    <mergeCell ref="K18:L21"/>
    <mergeCell ref="C8:I8"/>
    <mergeCell ref="C9:I9"/>
    <mergeCell ref="C10:I10"/>
    <mergeCell ref="C11:G11"/>
    <mergeCell ref="B2:L2"/>
    <mergeCell ref="B3:L3"/>
    <mergeCell ref="B4:L4"/>
    <mergeCell ref="B5:L5"/>
    <mergeCell ref="B7:I7"/>
    <mergeCell ref="J7:L7"/>
    <mergeCell ref="I11:L11"/>
  </mergeCells>
  <conditionalFormatting sqref="D71">
    <cfRule type="cellIs" dxfId="2449" priority="73" operator="equal">
      <formula>"CUMPLE"</formula>
    </cfRule>
    <cfRule type="containsBlanks" dxfId="2448" priority="70">
      <formula>LEN(TRIM(D71))=0</formula>
    </cfRule>
    <cfRule type="notContainsErrors" dxfId="2447" priority="71">
      <formula>NOT(ISERROR(D71))</formula>
    </cfRule>
    <cfRule type="cellIs" dxfId="2446" priority="72" operator="equal">
      <formula>"NO CUMPLE"</formula>
    </cfRule>
  </conditionalFormatting>
  <conditionalFormatting sqref="D72">
    <cfRule type="cellIs" dxfId="2445" priority="75" operator="equal">
      <formula>"CUMPLE"</formula>
    </cfRule>
    <cfRule type="cellIs" dxfId="2444" priority="74" operator="equal">
      <formula>"N/A"</formula>
    </cfRule>
    <cfRule type="cellIs" dxfId="2443" priority="77" operator="equal">
      <formula>"""CUMPLE"""</formula>
    </cfRule>
    <cfRule type="cellIs" dxfId="2442" priority="76" operator="equal">
      <formula>"NO CUMPLE"</formula>
    </cfRule>
  </conditionalFormatting>
  <conditionalFormatting sqref="D26:J37">
    <cfRule type="notContainsErrors" dxfId="2441" priority="4">
      <formula>NOT(ISERROR(D26))</formula>
    </cfRule>
    <cfRule type="containsBlanks" dxfId="2440" priority="3">
      <formula>LEN(TRIM(D26))=0</formula>
    </cfRule>
  </conditionalFormatting>
  <conditionalFormatting sqref="D36:J36">
    <cfRule type="notContainsErrors" dxfId="2439" priority="6">
      <formula>NOT(ISERROR(D36))</formula>
    </cfRule>
    <cfRule type="containsBlanks" dxfId="2438" priority="5">
      <formula>LEN(TRIM(D36))=0</formula>
    </cfRule>
  </conditionalFormatting>
  <conditionalFormatting sqref="D39:J39">
    <cfRule type="containsBlanks" dxfId="2437" priority="1">
      <formula>LEN(TRIM(D39))=0</formula>
    </cfRule>
    <cfRule type="notContainsErrors" dxfId="2436" priority="2">
      <formula>NOT(ISERROR(D39))</formula>
    </cfRule>
  </conditionalFormatting>
  <conditionalFormatting sqref="D42:J42 D45:J45">
    <cfRule type="notContainsErrors" dxfId="2435" priority="38">
      <formula>NOT(ISERROR(D42))</formula>
    </cfRule>
    <cfRule type="containsBlanks" dxfId="2434" priority="37">
      <formula>LEN(TRIM(D42))=0</formula>
    </cfRule>
  </conditionalFormatting>
  <conditionalFormatting sqref="D49:J54">
    <cfRule type="cellIs" dxfId="2433" priority="17" operator="equal">
      <formula>"NO CUMPLE"</formula>
    </cfRule>
    <cfRule type="cellIs" dxfId="2432" priority="18" operator="equal">
      <formula>"CUMPLE"</formula>
    </cfRule>
    <cfRule type="containsBlanks" dxfId="2431" priority="19">
      <formula>LEN(TRIM(D49))=0</formula>
    </cfRule>
    <cfRule type="notContainsErrors" dxfId="2430" priority="20">
      <formula>NOT(ISERROR(D49))</formula>
    </cfRule>
  </conditionalFormatting>
  <conditionalFormatting sqref="D55:J55">
    <cfRule type="cellIs" dxfId="2429" priority="28" operator="equal">
      <formula>"CUMPLE"</formula>
    </cfRule>
    <cfRule type="cellIs" dxfId="2428" priority="30" operator="equal">
      <formula>"""CUMPLE"""</formula>
    </cfRule>
    <cfRule type="cellIs" dxfId="2427" priority="29" operator="equal">
      <formula>"NO CUMPLE"</formula>
    </cfRule>
    <cfRule type="cellIs" dxfId="2426" priority="27" operator="equal">
      <formula>"N/A"</formula>
    </cfRule>
  </conditionalFormatting>
  <conditionalFormatting sqref="D56:J66">
    <cfRule type="cellIs" dxfId="2425" priority="11" operator="equal">
      <formula>"NO CUMPLE"</formula>
    </cfRule>
    <cfRule type="notContainsErrors" dxfId="2424" priority="14">
      <formula>NOT(ISERROR(D56))</formula>
    </cfRule>
    <cfRule type="containsBlanks" dxfId="2423" priority="13">
      <formula>LEN(TRIM(D56))=0</formula>
    </cfRule>
    <cfRule type="cellIs" dxfId="2422" priority="12" operator="equal">
      <formula>"CUMPLE"</formula>
    </cfRule>
  </conditionalFormatting>
  <conditionalFormatting sqref="D67:J67">
    <cfRule type="cellIs" dxfId="2421" priority="23" operator="equal">
      <formula>"N/A"</formula>
    </cfRule>
    <cfRule type="cellIs" dxfId="2420" priority="24" operator="equal">
      <formula>"CUMPLE"</formula>
    </cfRule>
    <cfRule type="cellIs" dxfId="2419" priority="26" operator="equal">
      <formula>"""CUMPLE"""</formula>
    </cfRule>
    <cfRule type="cellIs" dxfId="2418" priority="25" operator="equal">
      <formula>"NO CUMPLE"</formula>
    </cfRule>
  </conditionalFormatting>
  <conditionalFormatting sqref="D62:K66">
    <cfRule type="containsBlanks" dxfId="2417" priority="15">
      <formula>LEN(TRIM(D62))=0</formula>
    </cfRule>
    <cfRule type="notContainsErrors" dxfId="2416" priority="16">
      <formula>NOT(ISERROR(D62))</formula>
    </cfRule>
  </conditionalFormatting>
  <conditionalFormatting sqref="E71:E72">
    <cfRule type="notContainsErrors" dxfId="2415" priority="69">
      <formula>NOT(ISERROR(E71))</formula>
    </cfRule>
    <cfRule type="containsBlanks" dxfId="2414" priority="68">
      <formula>LEN(TRIM(E71))=0</formula>
    </cfRule>
  </conditionalFormatting>
  <conditionalFormatting sqref="F22:H22">
    <cfRule type="cellIs" dxfId="2413" priority="92" operator="equal">
      <formula>"NO CUMPLE"</formula>
    </cfRule>
    <cfRule type="cellIs" dxfId="2412" priority="93" operator="equal">
      <formula>"""CUMPLE"""</formula>
    </cfRule>
    <cfRule type="cellIs" dxfId="2411" priority="91" operator="equal">
      <formula>"CUMPLE"</formula>
    </cfRule>
  </conditionalFormatting>
  <conditionalFormatting sqref="G63:J63">
    <cfRule type="containsBlanks" dxfId="2410" priority="7">
      <formula>LEN(TRIM(G63))=0</formula>
    </cfRule>
    <cfRule type="notContainsErrors" dxfId="2409" priority="8">
      <formula>NOT(ISERROR(G63))</formula>
    </cfRule>
  </conditionalFormatting>
  <conditionalFormatting sqref="I11">
    <cfRule type="containsText" dxfId="2408" priority="97" operator="containsText" text="NO CUMPLE">
      <formula>NOT(ISERROR(SEARCH("NO CUMPLE",I11)))</formula>
    </cfRule>
    <cfRule type="containsText" dxfId="2407" priority="96" operator="containsText" text="HABILITADO">
      <formula>NOT(ISERROR(SEARCH("HABILITADO",I11)))</formula>
    </cfRule>
    <cfRule type="containsText" dxfId="2406" priority="95" operator="containsText" text="HABILITADO">
      <formula>NOT(ISERROR(SEARCH("HABILITADO",I11)))</formula>
    </cfRule>
    <cfRule type="containsText" dxfId="2405" priority="94" operator="containsText" text="INHABILITADO">
      <formula>NOT(ISERROR(SEARCH("INHABILITADO",I11)))</formula>
    </cfRule>
  </conditionalFormatting>
  <conditionalFormatting sqref="K18:K20">
    <cfRule type="cellIs" dxfId="2404" priority="66" operator="equal">
      <formula>"NO CUMPLE"</formula>
    </cfRule>
    <cfRule type="cellIs" dxfId="2403" priority="67" operator="equal">
      <formula>"""CUMPLE"""</formula>
    </cfRule>
    <cfRule type="cellIs" dxfId="2402" priority="65" operator="equal">
      <formula>"CUMPLE"</formula>
    </cfRule>
  </conditionalFormatting>
  <conditionalFormatting sqref="K26:K61 D62:J62">
    <cfRule type="containsBlanks" dxfId="2401" priority="9">
      <formula>LEN(TRIM(D26))=0</formula>
    </cfRule>
    <cfRule type="notContainsErrors" dxfId="2400" priority="10">
      <formula>NOT(ISERROR(D26))</formula>
    </cfRule>
  </conditionalFormatting>
  <conditionalFormatting sqref="K67:L67">
    <cfRule type="containsBlanks" dxfId="2399" priority="21">
      <formula>LEN(TRIM(K67))=0</formula>
    </cfRule>
    <cfRule type="notContainsErrors" dxfId="2398" priority="22">
      <formula>NOT(ISERROR(K67))</formula>
    </cfRule>
  </conditionalFormatting>
  <conditionalFormatting sqref="L14">
    <cfRule type="cellIs" dxfId="2397" priority="90" operator="equal">
      <formula>"""CUMPLE"""</formula>
    </cfRule>
    <cfRule type="cellIs" dxfId="2396" priority="89" operator="equal">
      <formula>"NO CUMPLE"</formula>
    </cfRule>
    <cfRule type="cellIs" dxfId="2395" priority="88" operator="equal">
      <formula>"CUMPLE"</formula>
    </cfRule>
  </conditionalFormatting>
  <dataValidations count="2">
    <dataValidation type="list" allowBlank="1" showInputMessage="1" showErrorMessage="1" sqref="L62:L67" xr:uid="{00000000-0002-0000-3800-000000000000}">
      <formula1>"0,1,2,3,4,5,6"</formula1>
    </dataValidation>
    <dataValidation type="list" allowBlank="1" showInputMessage="1" showErrorMessage="1" sqref="D26:J28" xr:uid="{00000000-0002-0000-38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3800-000002000000}">
          <x14:formula1>
            <xm:f>'DATOS INICIALES'!$D$27:$D$29</xm:f>
          </x14:formula1>
          <xm:sqref>M50:M55</xm:sqref>
        </x14:dataValidation>
        <x14:dataValidation type="list" allowBlank="1" showInputMessage="1" showErrorMessage="1" xr:uid="{00000000-0002-0000-3800-000003000000}">
          <x14:formula1>
            <xm:f>'DATOS INICIALES'!$A$57:$A$58</xm:f>
          </x14:formula1>
          <xm:sqref>D49:J49</xm:sqref>
        </x14:dataValidation>
        <x14:dataValidation type="list" allowBlank="1" showInputMessage="1" showErrorMessage="1" xr:uid="{00000000-0002-0000-3800-000004000000}">
          <x14:formula1>
            <xm:f>'DATOS INICIALES'!$A$61:$A$67</xm:f>
          </x14:formula1>
          <xm:sqref>J25</xm:sqref>
        </x14:dataValidation>
        <x14:dataValidation type="list" allowBlank="1" showInputMessage="1" showErrorMessage="1" xr:uid="{00000000-0002-0000-3800-000005000000}">
          <x14:formula1>
            <xm:f>'DATOS INICIALES'!$C$52:$C$53</xm:f>
          </x14:formula1>
          <xm:sqref>D53:J54</xm:sqref>
        </x14:dataValidation>
        <x14:dataValidation type="list" allowBlank="1" showInputMessage="1" showErrorMessage="1" xr:uid="{00000000-0002-0000-3800-000006000000}">
          <x14:formula1>
            <xm:f>'DATOS INICIALES'!$A$57:$A$59</xm:f>
          </x14:formula1>
          <xm:sqref>D71 D56:J66</xm:sqref>
        </x14:dataValidation>
        <x14:dataValidation type="list" allowBlank="1" showInputMessage="1" showErrorMessage="1" xr:uid="{00000000-0002-0000-3800-000007000000}">
          <x14:formula1>
            <xm:f>'DATOS INICIALES'!$A$61:$A$66</xm:f>
          </x14:formula1>
          <xm:sqref>D25:I25</xm:sqref>
        </x14:dataValidation>
        <x14:dataValidation type="list" allowBlank="1" showInputMessage="1" showErrorMessage="1" xr:uid="{00000000-0002-0000-3800-000008000000}">
          <x14:formula1>
            <xm:f>'DATOS INICIALES'!$A$13:$A$50</xm:f>
          </x14:formula1>
          <xm:sqref>G33:I33</xm:sqref>
        </x14:dataValidation>
        <x14:dataValidation type="list" allowBlank="1" showInputMessage="1" showErrorMessage="1" xr:uid="{00000000-0002-0000-3800-000009000000}">
          <x14:formula1>
            <xm:f>'DATOS INICIALES'!$C$52:$C$54</xm:f>
          </x14:formula1>
          <xm:sqref>D50:J52</xm:sqref>
        </x14:dataValidation>
      </x14:dataValidations>
    </ext>
  </extLst>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tabColor rgb="FF92D050"/>
  </sheetPr>
  <dimension ref="A1:N72"/>
  <sheetViews>
    <sheetView view="pageBreakPreview" zoomScale="40" zoomScaleNormal="25" zoomScaleSheetLayoutView="40" workbookViewId="0">
      <selection activeCell="L16" sqref="L16"/>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52</v>
      </c>
      <c r="B11" s="2" t="s">
        <v>58</v>
      </c>
      <c r="C11" s="413" t="str">
        <f>VLOOKUP(A11,PROPONENTES!A10:B94,2,FALSE)</f>
        <v>DIN INGENIERIA SAS</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2</v>
      </c>
      <c r="J14" s="147">
        <f>+L8</f>
        <v>986.3076290832455</v>
      </c>
      <c r="K14" s="147">
        <f>+E22</f>
        <v>3054.5839999999998</v>
      </c>
      <c r="L14" s="18" t="str">
        <f>IF(K14&gt;=J14,"CUMPLE","NO CUMPLE")</f>
        <v>CUMPLE</v>
      </c>
    </row>
    <row r="15" spans="1:12" ht="33.75" customHeight="1" x14ac:dyDescent="0.2">
      <c r="B15" s="382"/>
      <c r="C15" s="92" t="str">
        <f>IF(VLOOKUP(C11,PROPONENTES!B10:N94,2,FALSE)=0,"",VLOOKUP(C11,PROPONENTES!B10:N94,2,FALSE))</f>
        <v>DIN INGENIERÍA S.A.S.</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3054.5839999999998</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1527.2919999999999</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1</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2</v>
      </c>
      <c r="J19" s="128">
        <v>1</v>
      </c>
      <c r="K19" s="387"/>
      <c r="L19" s="388"/>
    </row>
    <row r="20" spans="2:14" ht="50.25" customHeight="1" x14ac:dyDescent="0.2">
      <c r="B20" s="382"/>
      <c r="C20" s="92"/>
      <c r="D20" s="93"/>
      <c r="E20" s="94"/>
      <c r="F20" s="95"/>
      <c r="G20" s="96"/>
      <c r="H20" s="96"/>
      <c r="I20" s="128">
        <f>COUNTIFS(D60:J60,"CUMPLE",D67:J67,"CUMPLE")</f>
        <v>2</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2</v>
      </c>
      <c r="J21" s="128">
        <v>1</v>
      </c>
      <c r="K21" s="389"/>
      <c r="L21" s="390"/>
    </row>
    <row r="22" spans="2:14" ht="84.75" customHeight="1" x14ac:dyDescent="0.2">
      <c r="B22" s="29" t="s">
        <v>75</v>
      </c>
      <c r="C22" s="24">
        <f>+VLOOKUP(C11,PROPONENTES!B10:N94,12,FALSE)</f>
        <v>1</v>
      </c>
      <c r="D22" s="93">
        <f>+VLOOKUP(C11,PROPONENTES!B10:N94,13,FALSE)</f>
        <v>1</v>
      </c>
      <c r="E22" s="32">
        <f>SUM(E15:E21)</f>
        <v>3054.5839999999998</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872</v>
      </c>
      <c r="E26" s="84" t="s">
        <v>872</v>
      </c>
      <c r="F26" s="84"/>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929</v>
      </c>
      <c r="E29" s="85" t="s">
        <v>930</v>
      </c>
      <c r="F29" s="85"/>
      <c r="G29" s="85"/>
      <c r="H29" s="85"/>
      <c r="I29" s="85"/>
      <c r="J29" s="85"/>
      <c r="K29" s="145"/>
      <c r="L29" s="140"/>
    </row>
    <row r="30" spans="2:14" ht="156.75" customHeight="1" x14ac:dyDescent="0.2">
      <c r="B30" s="374"/>
      <c r="C30" s="25" t="s">
        <v>84</v>
      </c>
      <c r="D30" s="85" t="s">
        <v>931</v>
      </c>
      <c r="E30" s="85" t="s">
        <v>932</v>
      </c>
      <c r="F30" s="85"/>
      <c r="G30" s="85"/>
      <c r="H30" s="85"/>
      <c r="I30" s="85"/>
      <c r="J30" s="85"/>
      <c r="K30" s="145"/>
      <c r="L30" s="140"/>
    </row>
    <row r="31" spans="2:14" ht="52.5" customHeight="1" x14ac:dyDescent="0.2">
      <c r="B31" s="374"/>
      <c r="C31" s="25" t="s">
        <v>85</v>
      </c>
      <c r="D31" s="89">
        <v>39154</v>
      </c>
      <c r="E31" s="89">
        <v>44938</v>
      </c>
      <c r="F31" s="89"/>
      <c r="G31" s="89"/>
      <c r="H31" s="89"/>
      <c r="I31" s="89"/>
      <c r="J31" s="89"/>
      <c r="K31" s="145"/>
      <c r="L31" s="140"/>
    </row>
    <row r="32" spans="2:14" ht="54.75" customHeight="1" x14ac:dyDescent="0.2">
      <c r="B32" s="374"/>
      <c r="C32" s="25" t="s">
        <v>86</v>
      </c>
      <c r="D32" s="89">
        <v>39948</v>
      </c>
      <c r="E32" s="89">
        <v>45439</v>
      </c>
      <c r="F32" s="89"/>
      <c r="G32" s="89"/>
      <c r="H32" s="89"/>
      <c r="I32" s="89"/>
      <c r="J32" s="89"/>
      <c r="K32" s="145"/>
      <c r="L32" s="140"/>
    </row>
    <row r="33" spans="2:12" ht="41.25" customHeight="1" x14ac:dyDescent="0.2">
      <c r="B33" s="374"/>
      <c r="C33" s="25" t="s">
        <v>87</v>
      </c>
      <c r="D33" s="86">
        <v>2009</v>
      </c>
      <c r="E33" s="86">
        <v>2024</v>
      </c>
      <c r="F33" s="86"/>
      <c r="G33" s="86"/>
      <c r="H33" s="86"/>
      <c r="I33" s="86"/>
      <c r="J33" s="86"/>
      <c r="K33" s="145"/>
      <c r="L33" s="140"/>
    </row>
    <row r="34" spans="2:12" ht="63" customHeight="1" x14ac:dyDescent="0.2">
      <c r="B34" s="374"/>
      <c r="C34" s="25" t="s">
        <v>88</v>
      </c>
      <c r="D34" s="85" t="s">
        <v>793</v>
      </c>
      <c r="E34" s="85" t="s">
        <v>933</v>
      </c>
      <c r="F34" s="85"/>
      <c r="G34" s="85"/>
      <c r="H34" s="85"/>
      <c r="I34" s="85"/>
      <c r="J34" s="85"/>
      <c r="K34" s="145"/>
      <c r="L34" s="140"/>
    </row>
    <row r="35" spans="2:12" ht="46.5" customHeight="1" x14ac:dyDescent="0.2">
      <c r="B35" s="374"/>
      <c r="C35" s="25" t="s">
        <v>89</v>
      </c>
      <c r="D35" s="85" t="s">
        <v>872</v>
      </c>
      <c r="E35" s="85" t="s">
        <v>872</v>
      </c>
      <c r="F35" s="85"/>
      <c r="G35" s="85"/>
      <c r="H35" s="85"/>
      <c r="I35" s="85"/>
      <c r="J35" s="85"/>
      <c r="K35" s="145"/>
      <c r="L35" s="140"/>
    </row>
    <row r="36" spans="2:12" ht="27.75" customHeight="1" x14ac:dyDescent="0.2">
      <c r="B36" s="374"/>
      <c r="C36" s="26" t="s">
        <v>90</v>
      </c>
      <c r="D36" s="90">
        <v>13</v>
      </c>
      <c r="E36" s="90">
        <v>130</v>
      </c>
      <c r="F36" s="90"/>
      <c r="G36" s="91"/>
      <c r="H36" s="91"/>
      <c r="I36" s="91"/>
      <c r="J36" s="91"/>
      <c r="K36" s="145"/>
      <c r="L36" s="140"/>
    </row>
    <row r="37" spans="2:12" ht="102.75" customHeight="1" x14ac:dyDescent="0.2">
      <c r="B37" s="374"/>
      <c r="C37" s="25" t="s">
        <v>91</v>
      </c>
      <c r="D37" s="87">
        <v>6150.22</v>
      </c>
      <c r="E37" s="158">
        <v>1824.54</v>
      </c>
      <c r="F37" s="87"/>
      <c r="G37" s="87"/>
      <c r="H37" s="87"/>
      <c r="I37" s="87"/>
      <c r="J37" s="87"/>
      <c r="K37" s="242"/>
      <c r="L37" s="243"/>
    </row>
    <row r="38" spans="2:12" ht="48" customHeight="1" x14ac:dyDescent="0.2">
      <c r="B38" s="374"/>
      <c r="C38" s="25" t="s">
        <v>92</v>
      </c>
      <c r="D38" s="97">
        <f>IFERROR(D37*VLOOKUP(D33,'DATOS INICIALES'!$A$12:$B$50,2,0),"0")</f>
        <v>3056044318</v>
      </c>
      <c r="E38" s="97">
        <f>IFERROR(E37*VLOOKUP(E33,'DATOS INICIALES'!$A$12:$B$50,2,0),"0")</f>
        <v>2371902000</v>
      </c>
      <c r="F38" s="97" t="str">
        <f>IFERROR(F37*VLOOKUP(F33,'DATOS INICIALES'!$A$12:$B$50,2,0),"0")</f>
        <v>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0.2</v>
      </c>
      <c r="E39" s="88">
        <v>1</v>
      </c>
      <c r="F39" s="88"/>
      <c r="G39" s="88"/>
      <c r="H39" s="88"/>
      <c r="I39" s="88"/>
      <c r="J39" s="88"/>
      <c r="K39" s="145"/>
      <c r="L39" s="140"/>
    </row>
    <row r="40" spans="2:12" ht="48.75" customHeight="1" x14ac:dyDescent="0.2">
      <c r="B40" s="374"/>
      <c r="C40" s="25" t="s">
        <v>94</v>
      </c>
      <c r="D40" s="97">
        <f t="shared" ref="D40:J40" si="0">IF(D26="","0",D39*D38)</f>
        <v>611208863.60000002</v>
      </c>
      <c r="E40" s="97">
        <f t="shared" si="0"/>
        <v>2371902000</v>
      </c>
      <c r="F40" s="97" t="str">
        <f t="shared" si="0"/>
        <v>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1230.0440000000001</v>
      </c>
      <c r="E41" s="98">
        <f t="shared" si="1"/>
        <v>1824.54</v>
      </c>
      <c r="F41" s="98">
        <f t="shared" si="1"/>
        <v>0</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1230.0440000000001</v>
      </c>
      <c r="E48" s="98">
        <f t="shared" ref="E48:G48" si="6">+E41+E44+E47</f>
        <v>1824.54</v>
      </c>
      <c r="F48" s="98">
        <f t="shared" si="6"/>
        <v>0</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N/A</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525" t="s">
        <v>934</v>
      </c>
      <c r="L56" s="526"/>
    </row>
    <row r="57" spans="2:12" ht="50.25" customHeight="1" x14ac:dyDescent="0.2">
      <c r="B57" s="431" t="s">
        <v>177</v>
      </c>
      <c r="C57" s="432"/>
      <c r="D57" s="84" t="s">
        <v>24</v>
      </c>
      <c r="E57" s="84" t="s">
        <v>26</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N/A</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2">
    <mergeCell ref="B70:C70"/>
    <mergeCell ref="B71:C71"/>
    <mergeCell ref="B72:C72"/>
    <mergeCell ref="B65:C65"/>
    <mergeCell ref="B66:C66"/>
    <mergeCell ref="B67:C67"/>
    <mergeCell ref="B69:E69"/>
    <mergeCell ref="B62:C62"/>
    <mergeCell ref="B63:C63"/>
    <mergeCell ref="B64:C64"/>
    <mergeCell ref="B59:C59"/>
    <mergeCell ref="B60:C60"/>
    <mergeCell ref="B61:C61"/>
    <mergeCell ref="K18:L21"/>
    <mergeCell ref="B56:C56"/>
    <mergeCell ref="B57:C57"/>
    <mergeCell ref="B58:C58"/>
    <mergeCell ref="B50:B55"/>
    <mergeCell ref="B28:C28"/>
    <mergeCell ref="B29:B47"/>
    <mergeCell ref="B2:L2"/>
    <mergeCell ref="B3:L3"/>
    <mergeCell ref="B4:L4"/>
    <mergeCell ref="B5:L5"/>
    <mergeCell ref="B7:I7"/>
    <mergeCell ref="J7:L7"/>
    <mergeCell ref="C8:I8"/>
    <mergeCell ref="C9:I9"/>
    <mergeCell ref="C10:I10"/>
    <mergeCell ref="C11:G11"/>
    <mergeCell ref="K56:L56"/>
    <mergeCell ref="I11:L11"/>
    <mergeCell ref="B24:L24"/>
    <mergeCell ref="K25:L25"/>
    <mergeCell ref="B26:C26"/>
    <mergeCell ref="B27:C27"/>
    <mergeCell ref="B23:L23"/>
    <mergeCell ref="I22:L22"/>
    <mergeCell ref="B12:L12"/>
    <mergeCell ref="B13:H13"/>
    <mergeCell ref="B14:B21"/>
    <mergeCell ref="K17:L17"/>
  </mergeCells>
  <conditionalFormatting sqref="D71">
    <cfRule type="cellIs" dxfId="2394" priority="75" operator="equal">
      <formula>"CUMPLE"</formula>
    </cfRule>
    <cfRule type="cellIs" dxfId="2393" priority="74" operator="equal">
      <formula>"NO CUMPLE"</formula>
    </cfRule>
    <cfRule type="containsBlanks" dxfId="2392" priority="72">
      <formula>LEN(TRIM(D71))=0</formula>
    </cfRule>
    <cfRule type="notContainsErrors" dxfId="2391" priority="73">
      <formula>NOT(ISERROR(D71))</formula>
    </cfRule>
  </conditionalFormatting>
  <conditionalFormatting sqref="D72">
    <cfRule type="cellIs" dxfId="2390" priority="76" operator="equal">
      <formula>"N/A"</formula>
    </cfRule>
    <cfRule type="cellIs" dxfId="2389" priority="78" operator="equal">
      <formula>"NO CUMPLE"</formula>
    </cfRule>
    <cfRule type="cellIs" dxfId="2388" priority="77" operator="equal">
      <formula>"CUMPLE"</formula>
    </cfRule>
    <cfRule type="cellIs" dxfId="2387" priority="79" operator="equal">
      <formula>"""CUMPLE"""</formula>
    </cfRule>
  </conditionalFormatting>
  <conditionalFormatting sqref="D26:J37">
    <cfRule type="notContainsErrors" dxfId="2386" priority="6">
      <formula>NOT(ISERROR(D26))</formula>
    </cfRule>
    <cfRule type="containsBlanks" dxfId="2385" priority="5">
      <formula>LEN(TRIM(D26))=0</formula>
    </cfRule>
  </conditionalFormatting>
  <conditionalFormatting sqref="D36:J36">
    <cfRule type="notContainsErrors" dxfId="2384" priority="8">
      <formula>NOT(ISERROR(D36))</formula>
    </cfRule>
    <cfRule type="containsBlanks" dxfId="2383" priority="7">
      <formula>LEN(TRIM(D36))=0</formula>
    </cfRule>
  </conditionalFormatting>
  <conditionalFormatting sqref="D39:J39">
    <cfRule type="containsBlanks" dxfId="2382" priority="3">
      <formula>LEN(TRIM(D39))=0</formula>
    </cfRule>
    <cfRule type="notContainsErrors" dxfId="2381" priority="4">
      <formula>NOT(ISERROR(D39))</formula>
    </cfRule>
  </conditionalFormatting>
  <conditionalFormatting sqref="D42:J42 D45:J45">
    <cfRule type="notContainsErrors" dxfId="2380" priority="40">
      <formula>NOT(ISERROR(D42))</formula>
    </cfRule>
    <cfRule type="containsBlanks" dxfId="2379" priority="39">
      <formula>LEN(TRIM(D42))=0</formula>
    </cfRule>
  </conditionalFormatting>
  <conditionalFormatting sqref="D49:J54">
    <cfRule type="notContainsErrors" dxfId="2378" priority="22">
      <formula>NOT(ISERROR(D49))</formula>
    </cfRule>
    <cfRule type="containsBlanks" dxfId="2377" priority="21">
      <formula>LEN(TRIM(D49))=0</formula>
    </cfRule>
    <cfRule type="cellIs" dxfId="2376" priority="19" operator="equal">
      <formula>"NO CUMPLE"</formula>
    </cfRule>
    <cfRule type="cellIs" dxfId="2375" priority="20" operator="equal">
      <formula>"CUMPLE"</formula>
    </cfRule>
  </conditionalFormatting>
  <conditionalFormatting sqref="D55:J55">
    <cfRule type="cellIs" dxfId="2374" priority="31" operator="equal">
      <formula>"NO CUMPLE"</formula>
    </cfRule>
    <cfRule type="cellIs" dxfId="2373" priority="32" operator="equal">
      <formula>"""CUMPLE"""</formula>
    </cfRule>
    <cfRule type="cellIs" dxfId="2372" priority="29" operator="equal">
      <formula>"N/A"</formula>
    </cfRule>
    <cfRule type="cellIs" dxfId="2371" priority="30" operator="equal">
      <formula>"CUMPLE"</formula>
    </cfRule>
  </conditionalFormatting>
  <conditionalFormatting sqref="D56:J66">
    <cfRule type="cellIs" dxfId="2370" priority="14" operator="equal">
      <formula>"CUMPLE"</formula>
    </cfRule>
    <cfRule type="cellIs" dxfId="2369" priority="13" operator="equal">
      <formula>"NO CUMPLE"</formula>
    </cfRule>
    <cfRule type="containsBlanks" dxfId="2368" priority="15">
      <formula>LEN(TRIM(D56))=0</formula>
    </cfRule>
    <cfRule type="notContainsErrors" dxfId="2367" priority="16">
      <formula>NOT(ISERROR(D56))</formula>
    </cfRule>
  </conditionalFormatting>
  <conditionalFormatting sqref="D62:J62">
    <cfRule type="notContainsErrors" dxfId="2366" priority="12">
      <formula>NOT(ISERROR(D62))</formula>
    </cfRule>
    <cfRule type="containsBlanks" dxfId="2365" priority="11">
      <formula>LEN(TRIM(D62))=0</formula>
    </cfRule>
  </conditionalFormatting>
  <conditionalFormatting sqref="D67:J67">
    <cfRule type="cellIs" dxfId="2364" priority="26" operator="equal">
      <formula>"CUMPLE"</formula>
    </cfRule>
    <cfRule type="cellIs" dxfId="2363" priority="25" operator="equal">
      <formula>"N/A"</formula>
    </cfRule>
    <cfRule type="cellIs" dxfId="2362" priority="27" operator="equal">
      <formula>"NO CUMPLE"</formula>
    </cfRule>
    <cfRule type="cellIs" dxfId="2361" priority="28" operator="equal">
      <formula>"""CUMPLE"""</formula>
    </cfRule>
  </conditionalFormatting>
  <conditionalFormatting sqref="D62:K66">
    <cfRule type="containsBlanks" dxfId="2360" priority="17">
      <formula>LEN(TRIM(D62))=0</formula>
    </cfRule>
    <cfRule type="notContainsErrors" dxfId="2359" priority="18">
      <formula>NOT(ISERROR(D62))</formula>
    </cfRule>
  </conditionalFormatting>
  <conditionalFormatting sqref="E71:E72">
    <cfRule type="notContainsErrors" dxfId="2358" priority="71">
      <formula>NOT(ISERROR(E71))</formula>
    </cfRule>
    <cfRule type="containsBlanks" dxfId="2357" priority="70">
      <formula>LEN(TRIM(E71))=0</formula>
    </cfRule>
  </conditionalFormatting>
  <conditionalFormatting sqref="F22:H22">
    <cfRule type="cellIs" dxfId="2356" priority="94" operator="equal">
      <formula>"NO CUMPLE"</formula>
    </cfRule>
    <cfRule type="cellIs" dxfId="2355" priority="93" operator="equal">
      <formula>"CUMPLE"</formula>
    </cfRule>
    <cfRule type="cellIs" dxfId="2354" priority="95" operator="equal">
      <formula>"""CUMPLE"""</formula>
    </cfRule>
  </conditionalFormatting>
  <conditionalFormatting sqref="G63:J63">
    <cfRule type="containsBlanks" dxfId="2353" priority="9">
      <formula>LEN(TRIM(G63))=0</formula>
    </cfRule>
    <cfRule type="notContainsErrors" dxfId="2352" priority="10">
      <formula>NOT(ISERROR(G63))</formula>
    </cfRule>
  </conditionalFormatting>
  <conditionalFormatting sqref="I11">
    <cfRule type="containsText" dxfId="2351" priority="99" operator="containsText" text="NO CUMPLE">
      <formula>NOT(ISERROR(SEARCH("NO CUMPLE",I11)))</formula>
    </cfRule>
    <cfRule type="containsText" dxfId="2350" priority="98" operator="containsText" text="HABILITADO">
      <formula>NOT(ISERROR(SEARCH("HABILITADO",I11)))</formula>
    </cfRule>
    <cfRule type="containsText" dxfId="2349" priority="97" operator="containsText" text="HABILITADO">
      <formula>NOT(ISERROR(SEARCH("HABILITADO",I11)))</formula>
    </cfRule>
    <cfRule type="containsText" dxfId="2348" priority="96" operator="containsText" text="INHABILITADO">
      <formula>NOT(ISERROR(SEARCH("INHABILITADO",I11)))</formula>
    </cfRule>
  </conditionalFormatting>
  <conditionalFormatting sqref="K18:K20">
    <cfRule type="cellIs" dxfId="2347" priority="68" operator="equal">
      <formula>"NO CUMPLE"</formula>
    </cfRule>
    <cfRule type="cellIs" dxfId="2346" priority="67" operator="equal">
      <formula>"CUMPLE"</formula>
    </cfRule>
    <cfRule type="cellIs" dxfId="2345" priority="69" operator="equal">
      <formula>"""CUMPLE"""</formula>
    </cfRule>
  </conditionalFormatting>
  <conditionalFormatting sqref="K26:K61">
    <cfRule type="containsBlanks" dxfId="2344" priority="1">
      <formula>LEN(TRIM(K26))=0</formula>
    </cfRule>
    <cfRule type="notContainsErrors" dxfId="2343" priority="2">
      <formula>NOT(ISERROR(K26))</formula>
    </cfRule>
  </conditionalFormatting>
  <conditionalFormatting sqref="K67:L67">
    <cfRule type="containsBlanks" dxfId="2342" priority="23">
      <formula>LEN(TRIM(K67))=0</formula>
    </cfRule>
    <cfRule type="notContainsErrors" dxfId="2341" priority="24">
      <formula>NOT(ISERROR(K67))</formula>
    </cfRule>
  </conditionalFormatting>
  <conditionalFormatting sqref="L14">
    <cfRule type="cellIs" dxfId="2340" priority="92" operator="equal">
      <formula>"""CUMPLE"""</formula>
    </cfRule>
    <cfRule type="cellIs" dxfId="2339" priority="91" operator="equal">
      <formula>"NO CUMPLE"</formula>
    </cfRule>
    <cfRule type="cellIs" dxfId="2338" priority="90" operator="equal">
      <formula>"CUMPLE"</formula>
    </cfRule>
  </conditionalFormatting>
  <dataValidations count="2">
    <dataValidation type="list" allowBlank="1" showInputMessage="1" showErrorMessage="1" sqref="D26:J28" xr:uid="{00000000-0002-0000-3900-000000000000}">
      <formula1>$C$15:$C$21</formula1>
    </dataValidation>
    <dataValidation type="list" allowBlank="1" showInputMessage="1" showErrorMessage="1" sqref="L62:L67" xr:uid="{00000000-0002-0000-39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3900-000002000000}">
          <x14:formula1>
            <xm:f>'DATOS INICIALES'!$D$27:$D$29</xm:f>
          </x14:formula1>
          <xm:sqref>M50:M55</xm:sqref>
        </x14:dataValidation>
        <x14:dataValidation type="list" allowBlank="1" showInputMessage="1" showErrorMessage="1" xr:uid="{00000000-0002-0000-3900-000003000000}">
          <x14:formula1>
            <xm:f>'DATOS INICIALES'!$A$13:$A$50</xm:f>
          </x14:formula1>
          <xm:sqref>G33:I33</xm:sqref>
        </x14:dataValidation>
        <x14:dataValidation type="list" allowBlank="1" showInputMessage="1" showErrorMessage="1" xr:uid="{00000000-0002-0000-3900-000004000000}">
          <x14:formula1>
            <xm:f>'DATOS INICIALES'!$A$61:$A$66</xm:f>
          </x14:formula1>
          <xm:sqref>D25:I25</xm:sqref>
        </x14:dataValidation>
        <x14:dataValidation type="list" allowBlank="1" showInputMessage="1" showErrorMessage="1" xr:uid="{00000000-0002-0000-3900-000005000000}">
          <x14:formula1>
            <xm:f>'DATOS INICIALES'!$A$57:$A$59</xm:f>
          </x14:formula1>
          <xm:sqref>D71 D56:J66</xm:sqref>
        </x14:dataValidation>
        <x14:dataValidation type="list" allowBlank="1" showInputMessage="1" showErrorMessage="1" xr:uid="{00000000-0002-0000-3900-000006000000}">
          <x14:formula1>
            <xm:f>'DATOS INICIALES'!$C$52:$C$53</xm:f>
          </x14:formula1>
          <xm:sqref>D53:J54</xm:sqref>
        </x14:dataValidation>
        <x14:dataValidation type="list" allowBlank="1" showInputMessage="1" showErrorMessage="1" xr:uid="{00000000-0002-0000-3900-000007000000}">
          <x14:formula1>
            <xm:f>'DATOS INICIALES'!$A$61:$A$67</xm:f>
          </x14:formula1>
          <xm:sqref>J25</xm:sqref>
        </x14:dataValidation>
        <x14:dataValidation type="list" allowBlank="1" showInputMessage="1" showErrorMessage="1" xr:uid="{00000000-0002-0000-3900-000008000000}">
          <x14:formula1>
            <xm:f>'DATOS INICIALES'!$A$57:$A$58</xm:f>
          </x14:formula1>
          <xm:sqref>D49:J49</xm:sqref>
        </x14:dataValidation>
        <x14:dataValidation type="list" allowBlank="1" showInputMessage="1" showErrorMessage="1" xr:uid="{00000000-0002-0000-3900-000009000000}">
          <x14:formula1>
            <xm:f>'DATOS INICIALES'!$C$52:$C$54</xm:f>
          </x14:formula1>
          <xm:sqref>D50:J52</xm:sqref>
        </x14:dataValidation>
      </x14:dataValidations>
    </ext>
  </extLst>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tabColor rgb="FF92D050"/>
  </sheetPr>
  <dimension ref="A1:N72"/>
  <sheetViews>
    <sheetView view="pageBreakPreview" topLeftCell="A10" zoomScale="55" zoomScaleNormal="25" zoomScaleSheetLayoutView="55" workbookViewId="0">
      <selection activeCell="L16" sqref="L16"/>
    </sheetView>
  </sheetViews>
  <sheetFormatPr baseColWidth="10" defaultColWidth="11.5" defaultRowHeight="15" x14ac:dyDescent="0.2"/>
  <cols>
    <col min="1" max="1" width="5.5" customWidth="1"/>
    <col min="2" max="2" width="30.83203125" customWidth="1"/>
    <col min="3" max="3" width="63.1640625" customWidth="1"/>
    <col min="4" max="4" width="54.83203125" customWidth="1"/>
    <col min="5" max="5" width="57.164062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53</v>
      </c>
      <c r="B11" s="2" t="s">
        <v>58</v>
      </c>
      <c r="C11" s="413" t="str">
        <f>VLOOKUP(A11,PROPONENTES!A10:B94,2,FALSE)</f>
        <v>UNIOBRAS DEL ORIENTE S.A.S</v>
      </c>
      <c r="D11" s="413"/>
      <c r="E11" s="413"/>
      <c r="F11" s="413"/>
      <c r="G11" s="413"/>
      <c r="H11" s="131" t="s">
        <v>59</v>
      </c>
      <c r="I11" s="417" t="str">
        <f>IF(AND(F22="CUMPLE",G22="CUMPLE",H22="CUMPLE",L14="CUMPLE",D72="CUMPLE",K18="CUMPLE"),"CUMPLE","NO CUMPLE")</f>
        <v>NO 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0</v>
      </c>
      <c r="J14" s="147">
        <f>+L8</f>
        <v>986.3076290832455</v>
      </c>
      <c r="K14" s="147">
        <f>+E22</f>
        <v>0</v>
      </c>
      <c r="L14" s="18" t="str">
        <f>IF(K14&gt;=J14,"CUMPLE","NO CUMPLE")</f>
        <v>NO CUMPLE</v>
      </c>
    </row>
    <row r="15" spans="1:12" ht="33.75" customHeight="1" x14ac:dyDescent="0.2">
      <c r="B15" s="382"/>
      <c r="C15" s="92" t="str">
        <f>IF(VLOOKUP(C11,PROPONENTES!B10:N94,2,FALSE)=0,"",VLOOKUP(C11,PROPONENTES!B10:N94,2,FALSE))</f>
        <v>UNIOBRAS DEL ORIENTE SAS</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0</v>
      </c>
      <c r="F15" s="95" t="str">
        <f>IF(C15="","",IF(E15&gt;=$J$14*0.5,"SI","NO"))</f>
        <v>NO</v>
      </c>
      <c r="G15" s="96" t="str">
        <f>IF(C15="","",IF(E15&gt;=$J$14*0.05,"SI",IF(E15=0,"NO APORTA EXPERIENCIA",)))</f>
        <v>NO APORTA EXPERIENCIA</v>
      </c>
      <c r="H15" s="96" t="str">
        <f>IF(C15="","",IF(AND(G15="NO APORTA EXPERIENCIA",D15&lt;=10%),"SI",IF(G15="SI","NO APLICA","NO - PORCENTAJE MAYOR AL 10%")))</f>
        <v>NO - PORCENTAJE MAYOR AL 10%</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IF(I14&lt;&gt;0,AVERAGEIF(D67:J67,"CUMPLE",D48:J48),0)</f>
        <v>0</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0</v>
      </c>
      <c r="J18" s="128">
        <v>1</v>
      </c>
      <c r="K18" s="385" t="str">
        <f>IF(AND(I18&gt;=J18,I19&gt;=J19,I20&gt;=J20,I21&gt;=J21),"CUMPLE","NO CUMPLE")</f>
        <v>NO CUMPLE</v>
      </c>
      <c r="L18" s="386"/>
    </row>
    <row r="19" spans="2:14" ht="50.25" customHeight="1" x14ac:dyDescent="0.2">
      <c r="B19" s="382"/>
      <c r="C19" s="92"/>
      <c r="D19" s="93"/>
      <c r="E19" s="94"/>
      <c r="F19" s="95"/>
      <c r="G19" s="96"/>
      <c r="H19" s="96"/>
      <c r="I19" s="128">
        <f>COUNTIFS(D58:J58,"CUMPLE",D67:J67,"CUMPLE")</f>
        <v>0</v>
      </c>
      <c r="J19" s="128">
        <v>1</v>
      </c>
      <c r="K19" s="387"/>
      <c r="L19" s="388"/>
    </row>
    <row r="20" spans="2:14" ht="50.25" customHeight="1" x14ac:dyDescent="0.2">
      <c r="B20" s="382"/>
      <c r="C20" s="92"/>
      <c r="D20" s="93"/>
      <c r="E20" s="94"/>
      <c r="F20" s="95"/>
      <c r="G20" s="96"/>
      <c r="H20" s="96"/>
      <c r="I20" s="128">
        <f>COUNTIFS(D60:J60,"CUMPLE",D67:J67,"CUMPLE")</f>
        <v>0</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0</v>
      </c>
      <c r="J21" s="128">
        <v>1</v>
      </c>
      <c r="K21" s="389"/>
      <c r="L21" s="390"/>
    </row>
    <row r="22" spans="2:14" ht="84.75" customHeight="1" x14ac:dyDescent="0.2">
      <c r="B22" s="29" t="s">
        <v>75</v>
      </c>
      <c r="C22" s="24">
        <f>+VLOOKUP(C11,PROPONENTES!B10:N94,12,FALSE)</f>
        <v>1</v>
      </c>
      <c r="D22" s="93">
        <f>+VLOOKUP(C11,PROPONENTES!B10:N94,13,FALSE)</f>
        <v>1</v>
      </c>
      <c r="E22" s="32">
        <f>SUM(E15:E21)</f>
        <v>0</v>
      </c>
      <c r="F22" s="18" t="str">
        <f>IF(F15="SI","CUMPLE",IF(F16="SI","CUMPLE",IF(F17="SI","CUMPLE",IF(F18="SI","CUMPLE",IF(F21="SI","CUMPLE","NO CUMPLE")))))</f>
        <v>NO 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NO 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873</v>
      </c>
      <c r="E26" s="84" t="s">
        <v>873</v>
      </c>
      <c r="F26" s="84"/>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935</v>
      </c>
      <c r="E29" s="85" t="s">
        <v>936</v>
      </c>
      <c r="F29" s="85"/>
      <c r="G29" s="85"/>
      <c r="H29" s="85"/>
      <c r="I29" s="85"/>
      <c r="J29" s="85"/>
      <c r="K29" s="145"/>
      <c r="L29" s="140"/>
    </row>
    <row r="30" spans="2:14" ht="156.75" customHeight="1" x14ac:dyDescent="0.2">
      <c r="B30" s="374"/>
      <c r="C30" s="25" t="s">
        <v>84</v>
      </c>
      <c r="D30" s="85" t="s">
        <v>937</v>
      </c>
      <c r="E30" s="85" t="s">
        <v>938</v>
      </c>
      <c r="F30" s="85"/>
      <c r="G30" s="85"/>
      <c r="H30" s="85"/>
      <c r="I30" s="85"/>
      <c r="J30" s="85"/>
      <c r="K30" s="145"/>
      <c r="L30" s="140"/>
    </row>
    <row r="31" spans="2:14" ht="52.5" customHeight="1" x14ac:dyDescent="0.2">
      <c r="B31" s="374"/>
      <c r="C31" s="25" t="s">
        <v>85</v>
      </c>
      <c r="D31" s="89">
        <v>41430</v>
      </c>
      <c r="E31" s="89">
        <v>40591</v>
      </c>
      <c r="F31" s="89"/>
      <c r="G31" s="89"/>
      <c r="H31" s="89"/>
      <c r="I31" s="89"/>
      <c r="J31" s="89"/>
      <c r="K31" s="145"/>
      <c r="L31" s="140"/>
    </row>
    <row r="32" spans="2:14" ht="54.75" customHeight="1" x14ac:dyDescent="0.2">
      <c r="B32" s="374"/>
      <c r="C32" s="25" t="s">
        <v>86</v>
      </c>
      <c r="D32" s="89">
        <v>41927</v>
      </c>
      <c r="E32" s="89">
        <v>41212</v>
      </c>
      <c r="F32" s="89"/>
      <c r="G32" s="89"/>
      <c r="H32" s="89"/>
      <c r="I32" s="89"/>
      <c r="J32" s="89"/>
      <c r="K32" s="145"/>
      <c r="L32" s="140"/>
    </row>
    <row r="33" spans="2:12" ht="41.25" customHeight="1" x14ac:dyDescent="0.2">
      <c r="B33" s="374"/>
      <c r="C33" s="25" t="s">
        <v>87</v>
      </c>
      <c r="D33" s="86">
        <v>2014</v>
      </c>
      <c r="E33" s="86">
        <v>2012</v>
      </c>
      <c r="F33" s="86"/>
      <c r="G33" s="86"/>
      <c r="H33" s="86"/>
      <c r="I33" s="86"/>
      <c r="J33" s="86"/>
      <c r="K33" s="145"/>
      <c r="L33" s="140"/>
    </row>
    <row r="34" spans="2:12" ht="63" customHeight="1" x14ac:dyDescent="0.2">
      <c r="B34" s="374"/>
      <c r="C34" s="25" t="s">
        <v>88</v>
      </c>
      <c r="D34" s="85" t="s">
        <v>939</v>
      </c>
      <c r="E34" s="85" t="s">
        <v>939</v>
      </c>
      <c r="F34" s="85"/>
      <c r="G34" s="85"/>
      <c r="H34" s="85"/>
      <c r="I34" s="85"/>
      <c r="J34" s="85"/>
      <c r="K34" s="145"/>
      <c r="L34" s="140"/>
    </row>
    <row r="35" spans="2:12" ht="46.5" customHeight="1" x14ac:dyDescent="0.2">
      <c r="B35" s="374"/>
      <c r="C35" s="25" t="s">
        <v>89</v>
      </c>
      <c r="D35" s="85" t="s">
        <v>873</v>
      </c>
      <c r="E35" s="85" t="s">
        <v>873</v>
      </c>
      <c r="F35" s="85"/>
      <c r="G35" s="85"/>
      <c r="H35" s="85"/>
      <c r="I35" s="85"/>
      <c r="J35" s="85"/>
      <c r="K35" s="145"/>
      <c r="L35" s="140"/>
    </row>
    <row r="36" spans="2:12" ht="27.75" customHeight="1" x14ac:dyDescent="0.2">
      <c r="B36" s="374"/>
      <c r="C36" s="26" t="s">
        <v>90</v>
      </c>
      <c r="D36" s="90">
        <v>170</v>
      </c>
      <c r="E36" s="90">
        <v>166</v>
      </c>
      <c r="F36" s="90"/>
      <c r="G36" s="91"/>
      <c r="H36" s="91"/>
      <c r="I36" s="91"/>
      <c r="J36" s="91"/>
      <c r="K36" s="145"/>
      <c r="L36" s="140"/>
    </row>
    <row r="37" spans="2:12" ht="102.75" customHeight="1" x14ac:dyDescent="0.2">
      <c r="B37" s="374"/>
      <c r="C37" s="25" t="s">
        <v>91</v>
      </c>
      <c r="D37" s="87">
        <v>17356.259999999998</v>
      </c>
      <c r="E37" s="158">
        <v>12030.8</v>
      </c>
      <c r="F37" s="87"/>
      <c r="G37" s="87"/>
      <c r="H37" s="87"/>
      <c r="I37" s="87"/>
      <c r="J37" s="87"/>
      <c r="K37" s="523" t="s">
        <v>940</v>
      </c>
      <c r="L37" s="524"/>
    </row>
    <row r="38" spans="2:12" ht="48" customHeight="1" x14ac:dyDescent="0.2">
      <c r="B38" s="374"/>
      <c r="C38" s="25" t="s">
        <v>92</v>
      </c>
      <c r="D38" s="97">
        <f>IFERROR(D37*VLOOKUP(D33,'DATOS INICIALES'!$A$12:$B$50,2,0),"0")</f>
        <v>10691456159.999998</v>
      </c>
      <c r="E38" s="97">
        <f>IFERROR(E37*VLOOKUP(E33,'DATOS INICIALES'!$A$12:$B$50,2,0),"0")</f>
        <v>6817854360</v>
      </c>
      <c r="F38" s="97" t="str">
        <f>IFERROR(F37*VLOOKUP(F33,'DATOS INICIALES'!$A$12:$B$50,2,0),"0")</f>
        <v>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1</v>
      </c>
      <c r="E39" s="88">
        <v>1</v>
      </c>
      <c r="F39" s="88"/>
      <c r="G39" s="88"/>
      <c r="H39" s="88"/>
      <c r="I39" s="88"/>
      <c r="J39" s="88"/>
      <c r="K39" s="145"/>
      <c r="L39" s="140"/>
    </row>
    <row r="40" spans="2:12" ht="48.75" customHeight="1" x14ac:dyDescent="0.2">
      <c r="B40" s="374"/>
      <c r="C40" s="25" t="s">
        <v>94</v>
      </c>
      <c r="D40" s="97">
        <f t="shared" ref="D40:J40" si="0">IF(D26="","0",D39*D38)</f>
        <v>10691456159.999998</v>
      </c>
      <c r="E40" s="97">
        <f t="shared" si="0"/>
        <v>6817854360</v>
      </c>
      <c r="F40" s="97" t="str">
        <f t="shared" si="0"/>
        <v>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17356.259999999998</v>
      </c>
      <c r="E41" s="98">
        <f t="shared" si="1"/>
        <v>12030.8</v>
      </c>
      <c r="F41" s="98">
        <f t="shared" si="1"/>
        <v>0</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17356.259999999998</v>
      </c>
      <c r="E48" s="98">
        <f t="shared" ref="E48:G48" si="6">+E41+E44+E47</f>
        <v>12030.8</v>
      </c>
      <c r="F48" s="98">
        <f t="shared" si="6"/>
        <v>0</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N/A</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26</v>
      </c>
      <c r="E65" s="84" t="s">
        <v>26</v>
      </c>
      <c r="F65" s="84" t="s">
        <v>24</v>
      </c>
      <c r="G65" s="84" t="s">
        <v>24</v>
      </c>
      <c r="H65" s="84" t="s">
        <v>24</v>
      </c>
      <c r="I65" s="84" t="s">
        <v>24</v>
      </c>
      <c r="J65" s="84" t="s">
        <v>24</v>
      </c>
      <c r="K65" s="527" t="s">
        <v>1432</v>
      </c>
      <c r="L65" s="528"/>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NO CUMPLE</v>
      </c>
      <c r="E67" s="18" t="str">
        <f>IF(E26="","N/A",IF(AND(E49="CUMPLE",E55="CUMPLE",OR(E56="CUMPLE",E56="N/A"),OR(E59="CUMPLE",E59="N/A"),E62="CUMPLE",E63="CUMPLE",OR(E64="CUMPLE",E64="N/A"),E65="CUMPLE",OR(E66="CUMPLE",E66="N/A")),"CUMPLE","NO CUMPLE"))</f>
        <v>NO CUMPLE</v>
      </c>
      <c r="F67" s="18" t="str">
        <f>IF(F26="","N/A",IF(AND(F49="CUMPLE",F55="CUMPLE",OR(F56="CUMPLE",F56="N/A"),OR(F59="CUMPLE",F59="N/A"),F62="CUMPLE",F63="CUMPLE",OR(F64="CUMPLE",F64="N/A"),F65="CUMPLE",OR(F66="CUMPLE",F66="N/A")),"CUMPLE","NO CUMPLE"))</f>
        <v>N/A</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3">
    <mergeCell ref="K65:L65"/>
    <mergeCell ref="B70:C70"/>
    <mergeCell ref="B71:C71"/>
    <mergeCell ref="B72:C72"/>
    <mergeCell ref="B65:C65"/>
    <mergeCell ref="B66:C66"/>
    <mergeCell ref="B67:C67"/>
    <mergeCell ref="B69:E69"/>
    <mergeCell ref="B62:C62"/>
    <mergeCell ref="B63:C63"/>
    <mergeCell ref="B64:C64"/>
    <mergeCell ref="B59:C59"/>
    <mergeCell ref="B60:C60"/>
    <mergeCell ref="B61:C61"/>
    <mergeCell ref="K18:L21"/>
    <mergeCell ref="B56:C56"/>
    <mergeCell ref="B57:C57"/>
    <mergeCell ref="B58:C58"/>
    <mergeCell ref="B50:B55"/>
    <mergeCell ref="B28:C28"/>
    <mergeCell ref="B29:B47"/>
    <mergeCell ref="B2:L2"/>
    <mergeCell ref="B3:L3"/>
    <mergeCell ref="B4:L4"/>
    <mergeCell ref="B5:L5"/>
    <mergeCell ref="B7:I7"/>
    <mergeCell ref="J7:L7"/>
    <mergeCell ref="C8:I8"/>
    <mergeCell ref="C9:I9"/>
    <mergeCell ref="C10:I10"/>
    <mergeCell ref="C11:G11"/>
    <mergeCell ref="K37:L37"/>
    <mergeCell ref="I11:L11"/>
    <mergeCell ref="B24:L24"/>
    <mergeCell ref="K25:L25"/>
    <mergeCell ref="B26:C26"/>
    <mergeCell ref="B27:C27"/>
    <mergeCell ref="B23:L23"/>
    <mergeCell ref="I22:L22"/>
    <mergeCell ref="B12:L12"/>
    <mergeCell ref="B13:H13"/>
    <mergeCell ref="B14:B21"/>
    <mergeCell ref="K17:L17"/>
  </mergeCells>
  <conditionalFormatting sqref="D71">
    <cfRule type="cellIs" dxfId="2337" priority="75" operator="equal">
      <formula>"CUMPLE"</formula>
    </cfRule>
    <cfRule type="containsBlanks" dxfId="2336" priority="72">
      <formula>LEN(TRIM(D71))=0</formula>
    </cfRule>
    <cfRule type="notContainsErrors" dxfId="2335" priority="73">
      <formula>NOT(ISERROR(D71))</formula>
    </cfRule>
    <cfRule type="cellIs" dxfId="2334" priority="74" operator="equal">
      <formula>"NO CUMPLE"</formula>
    </cfRule>
  </conditionalFormatting>
  <conditionalFormatting sqref="D72">
    <cfRule type="cellIs" dxfId="2333" priority="77" operator="equal">
      <formula>"CUMPLE"</formula>
    </cfRule>
    <cfRule type="cellIs" dxfId="2332" priority="79" operator="equal">
      <formula>"""CUMPLE"""</formula>
    </cfRule>
    <cfRule type="cellIs" dxfId="2331" priority="78" operator="equal">
      <formula>"NO CUMPLE"</formula>
    </cfRule>
    <cfRule type="cellIs" dxfId="2330" priority="76" operator="equal">
      <formula>"N/A"</formula>
    </cfRule>
  </conditionalFormatting>
  <conditionalFormatting sqref="D26:J37">
    <cfRule type="containsBlanks" dxfId="2329" priority="5">
      <formula>LEN(TRIM(D26))=0</formula>
    </cfRule>
    <cfRule type="notContainsErrors" dxfId="2328" priority="6">
      <formula>NOT(ISERROR(D26))</formula>
    </cfRule>
  </conditionalFormatting>
  <conditionalFormatting sqref="D36:J36">
    <cfRule type="notContainsErrors" dxfId="2327" priority="8">
      <formula>NOT(ISERROR(D36))</formula>
    </cfRule>
    <cfRule type="containsBlanks" dxfId="2326" priority="7">
      <formula>LEN(TRIM(D36))=0</formula>
    </cfRule>
  </conditionalFormatting>
  <conditionalFormatting sqref="D39:J39">
    <cfRule type="containsBlanks" dxfId="2325" priority="1">
      <formula>LEN(TRIM(D39))=0</formula>
    </cfRule>
    <cfRule type="notContainsErrors" dxfId="2324" priority="2">
      <formula>NOT(ISERROR(D39))</formula>
    </cfRule>
  </conditionalFormatting>
  <conditionalFormatting sqref="D42:J42 D45:J45">
    <cfRule type="notContainsErrors" dxfId="2323" priority="40">
      <formula>NOT(ISERROR(D42))</formula>
    </cfRule>
    <cfRule type="containsBlanks" dxfId="2322" priority="39">
      <formula>LEN(TRIM(D42))=0</formula>
    </cfRule>
  </conditionalFormatting>
  <conditionalFormatting sqref="D49:J54">
    <cfRule type="notContainsErrors" dxfId="2321" priority="22">
      <formula>NOT(ISERROR(D49))</formula>
    </cfRule>
    <cfRule type="containsBlanks" dxfId="2320" priority="21">
      <formula>LEN(TRIM(D49))=0</formula>
    </cfRule>
    <cfRule type="cellIs" dxfId="2319" priority="19" operator="equal">
      <formula>"NO CUMPLE"</formula>
    </cfRule>
    <cfRule type="cellIs" dxfId="2318" priority="20" operator="equal">
      <formula>"CUMPLE"</formula>
    </cfRule>
  </conditionalFormatting>
  <conditionalFormatting sqref="D55:J55">
    <cfRule type="cellIs" dxfId="2317" priority="29" operator="equal">
      <formula>"N/A"</formula>
    </cfRule>
    <cfRule type="cellIs" dxfId="2316" priority="32" operator="equal">
      <formula>"""CUMPLE"""</formula>
    </cfRule>
    <cfRule type="cellIs" dxfId="2315" priority="31" operator="equal">
      <formula>"NO CUMPLE"</formula>
    </cfRule>
    <cfRule type="cellIs" dxfId="2314" priority="30" operator="equal">
      <formula>"CUMPLE"</formula>
    </cfRule>
  </conditionalFormatting>
  <conditionalFormatting sqref="D56:J66">
    <cfRule type="containsBlanks" dxfId="2313" priority="15">
      <formula>LEN(TRIM(D56))=0</formula>
    </cfRule>
    <cfRule type="notContainsErrors" dxfId="2312" priority="16">
      <formula>NOT(ISERROR(D56))</formula>
    </cfRule>
    <cfRule type="cellIs" dxfId="2311" priority="14" operator="equal">
      <formula>"CUMPLE"</formula>
    </cfRule>
    <cfRule type="cellIs" dxfId="2310" priority="13" operator="equal">
      <formula>"NO CUMPLE"</formula>
    </cfRule>
  </conditionalFormatting>
  <conditionalFormatting sqref="D62:J62">
    <cfRule type="notContainsErrors" dxfId="2309" priority="12">
      <formula>NOT(ISERROR(D62))</formula>
    </cfRule>
    <cfRule type="containsBlanks" dxfId="2308" priority="11">
      <formula>LEN(TRIM(D62))=0</formula>
    </cfRule>
  </conditionalFormatting>
  <conditionalFormatting sqref="D67:J67">
    <cfRule type="cellIs" dxfId="2307" priority="26" operator="equal">
      <formula>"CUMPLE"</formula>
    </cfRule>
    <cfRule type="cellIs" dxfId="2306" priority="25" operator="equal">
      <formula>"N/A"</formula>
    </cfRule>
    <cfRule type="cellIs" dxfId="2305" priority="27" operator="equal">
      <formula>"NO CUMPLE"</formula>
    </cfRule>
    <cfRule type="cellIs" dxfId="2304" priority="28" operator="equal">
      <formula>"""CUMPLE"""</formula>
    </cfRule>
  </conditionalFormatting>
  <conditionalFormatting sqref="D62:K64 D65:J65 D66:K66">
    <cfRule type="containsBlanks" dxfId="2303" priority="17">
      <formula>LEN(TRIM(D62))=0</formula>
    </cfRule>
    <cfRule type="notContainsErrors" dxfId="2302" priority="18">
      <formula>NOT(ISERROR(D62))</formula>
    </cfRule>
  </conditionalFormatting>
  <conditionalFormatting sqref="E71:E72">
    <cfRule type="notContainsErrors" dxfId="2301" priority="71">
      <formula>NOT(ISERROR(E71))</formula>
    </cfRule>
    <cfRule type="containsBlanks" dxfId="2300" priority="70">
      <formula>LEN(TRIM(E71))=0</formula>
    </cfRule>
  </conditionalFormatting>
  <conditionalFormatting sqref="F22:H22">
    <cfRule type="cellIs" dxfId="2299" priority="94" operator="equal">
      <formula>"NO CUMPLE"</formula>
    </cfRule>
    <cfRule type="cellIs" dxfId="2298" priority="95" operator="equal">
      <formula>"""CUMPLE"""</formula>
    </cfRule>
    <cfRule type="cellIs" dxfId="2297" priority="93" operator="equal">
      <formula>"CUMPLE"</formula>
    </cfRule>
  </conditionalFormatting>
  <conditionalFormatting sqref="G63:J63">
    <cfRule type="notContainsErrors" dxfId="2296" priority="10">
      <formula>NOT(ISERROR(G63))</formula>
    </cfRule>
    <cfRule type="containsBlanks" dxfId="2295" priority="9">
      <formula>LEN(TRIM(G63))=0</formula>
    </cfRule>
  </conditionalFormatting>
  <conditionalFormatting sqref="I11">
    <cfRule type="containsText" dxfId="2294" priority="99" operator="containsText" text="NO CUMPLE">
      <formula>NOT(ISERROR(SEARCH("NO CUMPLE",I11)))</formula>
    </cfRule>
    <cfRule type="containsText" dxfId="2293" priority="97" operator="containsText" text="HABILITADO">
      <formula>NOT(ISERROR(SEARCH("HABILITADO",I11)))</formula>
    </cfRule>
    <cfRule type="containsText" dxfId="2292" priority="98" operator="containsText" text="HABILITADO">
      <formula>NOT(ISERROR(SEARCH("HABILITADO",I11)))</formula>
    </cfRule>
    <cfRule type="containsText" dxfId="2291" priority="96" operator="containsText" text="INHABILITADO">
      <formula>NOT(ISERROR(SEARCH("INHABILITADO",I11)))</formula>
    </cfRule>
  </conditionalFormatting>
  <conditionalFormatting sqref="K18:K20">
    <cfRule type="cellIs" dxfId="2290" priority="68" operator="equal">
      <formula>"NO CUMPLE"</formula>
    </cfRule>
    <cfRule type="cellIs" dxfId="2289" priority="69" operator="equal">
      <formula>"""CUMPLE"""</formula>
    </cfRule>
    <cfRule type="cellIs" dxfId="2288" priority="67" operator="equal">
      <formula>"CUMPLE"</formula>
    </cfRule>
  </conditionalFormatting>
  <conditionalFormatting sqref="K26:K61">
    <cfRule type="containsBlanks" dxfId="2287" priority="3">
      <formula>LEN(TRIM(K26))=0</formula>
    </cfRule>
    <cfRule type="notContainsErrors" dxfId="2286" priority="4">
      <formula>NOT(ISERROR(K26))</formula>
    </cfRule>
  </conditionalFormatting>
  <conditionalFormatting sqref="K67:L67">
    <cfRule type="containsBlanks" dxfId="2285" priority="23">
      <formula>LEN(TRIM(K67))=0</formula>
    </cfRule>
    <cfRule type="notContainsErrors" dxfId="2284" priority="24">
      <formula>NOT(ISERROR(K67))</formula>
    </cfRule>
  </conditionalFormatting>
  <conditionalFormatting sqref="L14">
    <cfRule type="cellIs" dxfId="2283" priority="90" operator="equal">
      <formula>"CUMPLE"</formula>
    </cfRule>
    <cfRule type="cellIs" dxfId="2282" priority="92" operator="equal">
      <formula>"""CUMPLE"""</formula>
    </cfRule>
    <cfRule type="cellIs" dxfId="2281" priority="91" operator="equal">
      <formula>"NO CUMPLE"</formula>
    </cfRule>
  </conditionalFormatting>
  <dataValidations count="2">
    <dataValidation type="list" allowBlank="1" showInputMessage="1" showErrorMessage="1" sqref="L62:L64 L66:L67" xr:uid="{00000000-0002-0000-3A00-000000000000}">
      <formula1>"0,1,2,3,4,5,6"</formula1>
    </dataValidation>
    <dataValidation type="list" allowBlank="1" showInputMessage="1" showErrorMessage="1" sqref="D26:J28" xr:uid="{00000000-0002-0000-3A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3A00-000002000000}">
          <x14:formula1>
            <xm:f>'DATOS INICIALES'!$D$27:$D$29</xm:f>
          </x14:formula1>
          <xm:sqref>M50:M55</xm:sqref>
        </x14:dataValidation>
        <x14:dataValidation type="list" allowBlank="1" showInputMessage="1" showErrorMessage="1" xr:uid="{00000000-0002-0000-3A00-000003000000}">
          <x14:formula1>
            <xm:f>'DATOS INICIALES'!$A$57:$A$58</xm:f>
          </x14:formula1>
          <xm:sqref>D49:J49</xm:sqref>
        </x14:dataValidation>
        <x14:dataValidation type="list" allowBlank="1" showInputMessage="1" showErrorMessage="1" xr:uid="{00000000-0002-0000-3A00-000004000000}">
          <x14:formula1>
            <xm:f>'DATOS INICIALES'!$A$61:$A$67</xm:f>
          </x14:formula1>
          <xm:sqref>J25</xm:sqref>
        </x14:dataValidation>
        <x14:dataValidation type="list" allowBlank="1" showInputMessage="1" showErrorMessage="1" xr:uid="{00000000-0002-0000-3A00-000005000000}">
          <x14:formula1>
            <xm:f>'DATOS INICIALES'!$C$52:$C$53</xm:f>
          </x14:formula1>
          <xm:sqref>D53:J54</xm:sqref>
        </x14:dataValidation>
        <x14:dataValidation type="list" allowBlank="1" showInputMessage="1" showErrorMessage="1" xr:uid="{00000000-0002-0000-3A00-000006000000}">
          <x14:formula1>
            <xm:f>'DATOS INICIALES'!$A$57:$A$59</xm:f>
          </x14:formula1>
          <xm:sqref>D71 D56:J66</xm:sqref>
        </x14:dataValidation>
        <x14:dataValidation type="list" allowBlank="1" showInputMessage="1" showErrorMessage="1" xr:uid="{00000000-0002-0000-3A00-000007000000}">
          <x14:formula1>
            <xm:f>'DATOS INICIALES'!$A$61:$A$66</xm:f>
          </x14:formula1>
          <xm:sqref>D25:I25</xm:sqref>
        </x14:dataValidation>
        <x14:dataValidation type="list" allowBlank="1" showInputMessage="1" showErrorMessage="1" xr:uid="{00000000-0002-0000-3A00-000008000000}">
          <x14:formula1>
            <xm:f>'DATOS INICIALES'!$A$13:$A$50</xm:f>
          </x14:formula1>
          <xm:sqref>G33:I33</xm:sqref>
        </x14:dataValidation>
        <x14:dataValidation type="list" allowBlank="1" showInputMessage="1" showErrorMessage="1" xr:uid="{00000000-0002-0000-3A00-000009000000}">
          <x14:formula1>
            <xm:f>'DATOS INICIALES'!$C$52:$C$54</xm:f>
          </x14:formula1>
          <xm:sqref>D50:J52</xm:sqref>
        </x14:dataValidation>
      </x14:dataValidations>
    </ext>
  </extLst>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sheetPr>
    <tabColor rgb="FF92D050"/>
  </sheetPr>
  <dimension ref="A1:N72"/>
  <sheetViews>
    <sheetView view="pageBreakPreview" topLeftCell="C23" zoomScale="55" zoomScaleNormal="25" zoomScaleSheetLayoutView="55" workbookViewId="0">
      <selection activeCell="I30" sqref="I30"/>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54</v>
      </c>
      <c r="B11" s="2" t="s">
        <v>58</v>
      </c>
      <c r="C11" s="413" t="str">
        <f>VLOOKUP(A11,PROPONENTES!A10:B94,2,FALSE)</f>
        <v>INGESCOR S.A.S.</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2</v>
      </c>
      <c r="J14" s="147">
        <f>+L8</f>
        <v>986.3076290832455</v>
      </c>
      <c r="K14" s="147">
        <f>+E22</f>
        <v>2051.5860000000002</v>
      </c>
      <c r="L14" s="18" t="str">
        <f>IF(K14&gt;=J14,"CUMPLE","NO CUMPLE")</f>
        <v>CUMPLE</v>
      </c>
    </row>
    <row r="15" spans="1:12" ht="33.75" customHeight="1" x14ac:dyDescent="0.2">
      <c r="B15" s="382"/>
      <c r="C15" s="92" t="str">
        <f>IF(VLOOKUP(C11,PROPONENTES!B10:N94,2,FALSE)=0,"",VLOOKUP(C11,PROPONENTES!B10:N94,2,FALSE))</f>
        <v>INGESCOR S.A.S.</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2051.5860000000002</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AVERAGEIF(D67,"CUMPLE",D48)</f>
        <v>1864.23</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1</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2</v>
      </c>
      <c r="J19" s="128">
        <v>1</v>
      </c>
      <c r="K19" s="387"/>
      <c r="L19" s="388"/>
    </row>
    <row r="20" spans="2:14" ht="50.25" customHeight="1" x14ac:dyDescent="0.2">
      <c r="B20" s="382"/>
      <c r="C20" s="92"/>
      <c r="D20" s="93"/>
      <c r="E20" s="94"/>
      <c r="F20" s="95"/>
      <c r="G20" s="96"/>
      <c r="H20" s="96"/>
      <c r="I20" s="128">
        <f>COUNTIFS(D60:J60,"CUMPLE",D67:J67,"CUMPLE")</f>
        <v>2</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2</v>
      </c>
      <c r="J21" s="128">
        <v>1</v>
      </c>
      <c r="K21" s="389"/>
      <c r="L21" s="390"/>
    </row>
    <row r="22" spans="2:14" ht="84.75" customHeight="1" x14ac:dyDescent="0.2">
      <c r="B22" s="29" t="s">
        <v>75</v>
      </c>
      <c r="C22" s="24">
        <f>+VLOOKUP(C11,PROPONENTES!B10:N94,12,FALSE)</f>
        <v>1</v>
      </c>
      <c r="D22" s="93">
        <f>+VLOOKUP(C11,PROPONENTES!B10:N94,13,FALSE)</f>
        <v>1</v>
      </c>
      <c r="E22" s="32">
        <f>SUM(E15:E21)</f>
        <v>2051.5860000000002</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257</v>
      </c>
      <c r="E26" s="84" t="s">
        <v>257</v>
      </c>
      <c r="F26" s="84"/>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941</v>
      </c>
      <c r="E29" s="85" t="s">
        <v>1424</v>
      </c>
      <c r="F29" s="85"/>
      <c r="G29" s="85"/>
      <c r="H29" s="85"/>
      <c r="I29" s="85"/>
      <c r="J29" s="85"/>
      <c r="K29" s="145"/>
      <c r="L29" s="140"/>
    </row>
    <row r="30" spans="2:14" ht="156.75" customHeight="1" x14ac:dyDescent="0.2">
      <c r="B30" s="374"/>
      <c r="C30" s="25" t="s">
        <v>84</v>
      </c>
      <c r="D30" s="85" t="s">
        <v>942</v>
      </c>
      <c r="E30" s="85" t="s">
        <v>1425</v>
      </c>
      <c r="F30" s="85"/>
      <c r="G30" s="85"/>
      <c r="H30" s="85"/>
      <c r="I30" s="85"/>
      <c r="J30" s="85"/>
      <c r="K30" s="529" t="s">
        <v>1427</v>
      </c>
      <c r="L30" s="530"/>
    </row>
    <row r="31" spans="2:14" ht="52.5" customHeight="1" x14ac:dyDescent="0.2">
      <c r="B31" s="374"/>
      <c r="C31" s="25" t="s">
        <v>85</v>
      </c>
      <c r="D31" s="89">
        <v>44088</v>
      </c>
      <c r="E31" s="89">
        <v>43305</v>
      </c>
      <c r="F31" s="89"/>
      <c r="G31" s="89"/>
      <c r="H31" s="89"/>
      <c r="I31" s="89"/>
      <c r="J31" s="89"/>
      <c r="K31" s="145"/>
      <c r="L31" s="140"/>
    </row>
    <row r="32" spans="2:14" ht="54.75" customHeight="1" x14ac:dyDescent="0.2">
      <c r="B32" s="374"/>
      <c r="C32" s="25" t="s">
        <v>86</v>
      </c>
      <c r="D32" s="89">
        <v>44922</v>
      </c>
      <c r="E32" s="89">
        <v>43729</v>
      </c>
      <c r="F32" s="89"/>
      <c r="G32" s="89"/>
      <c r="H32" s="89"/>
      <c r="I32" s="89"/>
      <c r="J32" s="89"/>
      <c r="K32" s="145"/>
      <c r="L32" s="140"/>
    </row>
    <row r="33" spans="2:12" ht="41.25" customHeight="1" x14ac:dyDescent="0.2">
      <c r="B33" s="374"/>
      <c r="C33" s="25" t="s">
        <v>87</v>
      </c>
      <c r="D33" s="86">
        <v>2022</v>
      </c>
      <c r="E33" s="86">
        <v>2019</v>
      </c>
      <c r="F33" s="86"/>
      <c r="G33" s="86"/>
      <c r="H33" s="86"/>
      <c r="I33" s="86"/>
      <c r="J33" s="86"/>
      <c r="K33" s="145"/>
      <c r="L33" s="140"/>
    </row>
    <row r="34" spans="2:12" ht="63" customHeight="1" x14ac:dyDescent="0.2">
      <c r="B34" s="374"/>
      <c r="C34" s="25" t="s">
        <v>88</v>
      </c>
      <c r="D34" s="85" t="s">
        <v>943</v>
      </c>
      <c r="E34" s="85" t="s">
        <v>322</v>
      </c>
      <c r="F34" s="85"/>
      <c r="G34" s="85"/>
      <c r="H34" s="85"/>
      <c r="I34" s="85"/>
      <c r="J34" s="85"/>
      <c r="K34" s="145"/>
      <c r="L34" s="140"/>
    </row>
    <row r="35" spans="2:12" ht="46.5" customHeight="1" x14ac:dyDescent="0.2">
      <c r="B35" s="374"/>
      <c r="C35" s="25" t="s">
        <v>89</v>
      </c>
      <c r="D35" s="85" t="s">
        <v>257</v>
      </c>
      <c r="E35" s="85" t="s">
        <v>1426</v>
      </c>
      <c r="F35" s="85"/>
      <c r="G35" s="85"/>
      <c r="H35" s="85"/>
      <c r="I35" s="85"/>
      <c r="J35" s="85"/>
      <c r="K35" s="145"/>
      <c r="L35" s="140"/>
    </row>
    <row r="36" spans="2:12" ht="27.75" customHeight="1" x14ac:dyDescent="0.2">
      <c r="B36" s="374"/>
      <c r="C36" s="26" t="s">
        <v>90</v>
      </c>
      <c r="D36" s="90">
        <v>125</v>
      </c>
      <c r="E36" s="90">
        <v>115</v>
      </c>
      <c r="F36" s="90"/>
      <c r="G36" s="91"/>
      <c r="H36" s="91"/>
      <c r="I36" s="91"/>
      <c r="J36" s="91"/>
      <c r="K36" s="145"/>
      <c r="L36" s="140"/>
    </row>
    <row r="37" spans="2:12" ht="102.75" customHeight="1" x14ac:dyDescent="0.2">
      <c r="B37" s="374"/>
      <c r="C37" s="25" t="s">
        <v>91</v>
      </c>
      <c r="D37" s="87">
        <v>3728.46</v>
      </c>
      <c r="E37" s="158">
        <v>936.78</v>
      </c>
      <c r="F37" s="87"/>
      <c r="G37" s="87"/>
      <c r="H37" s="87"/>
      <c r="I37" s="87"/>
      <c r="J37" s="87"/>
      <c r="K37" s="242"/>
      <c r="L37" s="243"/>
    </row>
    <row r="38" spans="2:12" ht="48" customHeight="1" x14ac:dyDescent="0.2">
      <c r="B38" s="374"/>
      <c r="C38" s="25" t="s">
        <v>92</v>
      </c>
      <c r="D38" s="97">
        <f>IFERROR(D37*VLOOKUP(D33,'DATOS INICIALES'!$A$12:$B$50,2,0),"0")</f>
        <v>3728460000</v>
      </c>
      <c r="E38" s="97">
        <f>IFERROR(E37*VLOOKUP(E33,'DATOS INICIALES'!$A$12:$B$50,2,0),"0")</f>
        <v>775762506.48000002</v>
      </c>
      <c r="F38" s="97" t="str">
        <f>IFERROR(F37*VLOOKUP(F33,'DATOS INICIALES'!$A$12:$B$50,2,0),"0")</f>
        <v>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0.5</v>
      </c>
      <c r="E39" s="88">
        <v>0.2</v>
      </c>
      <c r="F39" s="88"/>
      <c r="G39" s="88"/>
      <c r="H39" s="88"/>
      <c r="I39" s="88"/>
      <c r="J39" s="88"/>
      <c r="K39" s="145"/>
      <c r="L39" s="140"/>
    </row>
    <row r="40" spans="2:12" ht="48.75" customHeight="1" x14ac:dyDescent="0.2">
      <c r="B40" s="374"/>
      <c r="C40" s="25" t="s">
        <v>94</v>
      </c>
      <c r="D40" s="97">
        <f t="shared" ref="D40:J40" si="0">IF(D26="","0",D39*D38)</f>
        <v>1864230000</v>
      </c>
      <c r="E40" s="97">
        <f t="shared" si="0"/>
        <v>155152501.296</v>
      </c>
      <c r="F40" s="97" t="str">
        <f t="shared" si="0"/>
        <v>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1864.23</v>
      </c>
      <c r="E41" s="98">
        <f t="shared" si="1"/>
        <v>187.35599999999999</v>
      </c>
      <c r="F41" s="98">
        <f t="shared" si="1"/>
        <v>0</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1864.23</v>
      </c>
      <c r="E48" s="98">
        <f t="shared" ref="E48:G48" si="6">+E41+E44+E47</f>
        <v>187.35599999999999</v>
      </c>
      <c r="F48" s="98">
        <f t="shared" si="6"/>
        <v>0</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N/A</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26</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N/A</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2">
    <mergeCell ref="B72:C72"/>
    <mergeCell ref="B65:C65"/>
    <mergeCell ref="B66:C66"/>
    <mergeCell ref="B67:C67"/>
    <mergeCell ref="B69:E69"/>
    <mergeCell ref="B56:C56"/>
    <mergeCell ref="B57:C57"/>
    <mergeCell ref="B58:C58"/>
    <mergeCell ref="B70:C70"/>
    <mergeCell ref="B71:C71"/>
    <mergeCell ref="B62:C62"/>
    <mergeCell ref="B63:C63"/>
    <mergeCell ref="B64:C64"/>
    <mergeCell ref="B59:C59"/>
    <mergeCell ref="B60:C60"/>
    <mergeCell ref="B61:C61"/>
    <mergeCell ref="C8:I8"/>
    <mergeCell ref="C9:I9"/>
    <mergeCell ref="C10:I10"/>
    <mergeCell ref="B23:L23"/>
    <mergeCell ref="I22:L22"/>
    <mergeCell ref="C11:G11"/>
    <mergeCell ref="I11:L11"/>
    <mergeCell ref="K18:L21"/>
    <mergeCell ref="B2:L2"/>
    <mergeCell ref="B3:L3"/>
    <mergeCell ref="B4:L4"/>
    <mergeCell ref="B5:L5"/>
    <mergeCell ref="B7:I7"/>
    <mergeCell ref="J7:L7"/>
    <mergeCell ref="B50:B55"/>
    <mergeCell ref="B28:C28"/>
    <mergeCell ref="B29:B47"/>
    <mergeCell ref="B12:L12"/>
    <mergeCell ref="B13:H13"/>
    <mergeCell ref="B14:B21"/>
    <mergeCell ref="K17:L17"/>
    <mergeCell ref="K30:L30"/>
    <mergeCell ref="B24:L24"/>
    <mergeCell ref="K25:L25"/>
    <mergeCell ref="B26:C26"/>
    <mergeCell ref="B27:C27"/>
  </mergeCells>
  <conditionalFormatting sqref="D71">
    <cfRule type="cellIs" dxfId="2280" priority="73" operator="equal">
      <formula>"CUMPLE"</formula>
    </cfRule>
    <cfRule type="containsBlanks" dxfId="2279" priority="70">
      <formula>LEN(TRIM(D71))=0</formula>
    </cfRule>
    <cfRule type="notContainsErrors" dxfId="2278" priority="71">
      <formula>NOT(ISERROR(D71))</formula>
    </cfRule>
    <cfRule type="cellIs" dxfId="2277" priority="72" operator="equal">
      <formula>"NO CUMPLE"</formula>
    </cfRule>
  </conditionalFormatting>
  <conditionalFormatting sqref="D72">
    <cfRule type="cellIs" dxfId="2276" priority="75" operator="equal">
      <formula>"CUMPLE"</formula>
    </cfRule>
    <cfRule type="cellIs" dxfId="2275" priority="74" operator="equal">
      <formula>"N/A"</formula>
    </cfRule>
    <cfRule type="cellIs" dxfId="2274" priority="77" operator="equal">
      <formula>"""CUMPLE"""</formula>
    </cfRule>
    <cfRule type="cellIs" dxfId="2273" priority="76" operator="equal">
      <formula>"NO CUMPLE"</formula>
    </cfRule>
  </conditionalFormatting>
  <conditionalFormatting sqref="D26:J37">
    <cfRule type="notContainsErrors" dxfId="2272" priority="4">
      <formula>NOT(ISERROR(D26))</formula>
    </cfRule>
    <cfRule type="containsBlanks" dxfId="2271" priority="3">
      <formula>LEN(TRIM(D26))=0</formula>
    </cfRule>
  </conditionalFormatting>
  <conditionalFormatting sqref="D36:J36">
    <cfRule type="notContainsErrors" dxfId="2270" priority="6">
      <formula>NOT(ISERROR(D36))</formula>
    </cfRule>
    <cfRule type="containsBlanks" dxfId="2269" priority="5">
      <formula>LEN(TRIM(D36))=0</formula>
    </cfRule>
  </conditionalFormatting>
  <conditionalFormatting sqref="D39:J39">
    <cfRule type="containsBlanks" dxfId="2268" priority="1">
      <formula>LEN(TRIM(D39))=0</formula>
    </cfRule>
    <cfRule type="notContainsErrors" dxfId="2267" priority="2">
      <formula>NOT(ISERROR(D39))</formula>
    </cfRule>
  </conditionalFormatting>
  <conditionalFormatting sqref="D42:J42 D45:J45">
    <cfRule type="notContainsErrors" dxfId="2266" priority="38">
      <formula>NOT(ISERROR(D42))</formula>
    </cfRule>
    <cfRule type="containsBlanks" dxfId="2265" priority="37">
      <formula>LEN(TRIM(D42))=0</formula>
    </cfRule>
  </conditionalFormatting>
  <conditionalFormatting sqref="D49:J54">
    <cfRule type="cellIs" dxfId="2264" priority="17" operator="equal">
      <formula>"NO CUMPLE"</formula>
    </cfRule>
    <cfRule type="cellIs" dxfId="2263" priority="18" operator="equal">
      <formula>"CUMPLE"</formula>
    </cfRule>
    <cfRule type="containsBlanks" dxfId="2262" priority="19">
      <formula>LEN(TRIM(D49))=0</formula>
    </cfRule>
    <cfRule type="notContainsErrors" dxfId="2261" priority="20">
      <formula>NOT(ISERROR(D49))</formula>
    </cfRule>
  </conditionalFormatting>
  <conditionalFormatting sqref="D55:J55">
    <cfRule type="cellIs" dxfId="2260" priority="28" operator="equal">
      <formula>"CUMPLE"</formula>
    </cfRule>
    <cfRule type="cellIs" dxfId="2259" priority="30" operator="equal">
      <formula>"""CUMPLE"""</formula>
    </cfRule>
    <cfRule type="cellIs" dxfId="2258" priority="29" operator="equal">
      <formula>"NO CUMPLE"</formula>
    </cfRule>
    <cfRule type="cellIs" dxfId="2257" priority="27" operator="equal">
      <formula>"N/A"</formula>
    </cfRule>
  </conditionalFormatting>
  <conditionalFormatting sqref="D56:J66">
    <cfRule type="cellIs" dxfId="2256" priority="11" operator="equal">
      <formula>"NO CUMPLE"</formula>
    </cfRule>
    <cfRule type="notContainsErrors" dxfId="2255" priority="14">
      <formula>NOT(ISERROR(D56))</formula>
    </cfRule>
    <cfRule type="containsBlanks" dxfId="2254" priority="13">
      <formula>LEN(TRIM(D56))=0</formula>
    </cfRule>
    <cfRule type="cellIs" dxfId="2253" priority="12" operator="equal">
      <formula>"CUMPLE"</formula>
    </cfRule>
  </conditionalFormatting>
  <conditionalFormatting sqref="D67:J67">
    <cfRule type="cellIs" dxfId="2252" priority="23" operator="equal">
      <formula>"N/A"</formula>
    </cfRule>
    <cfRule type="cellIs" dxfId="2251" priority="24" operator="equal">
      <formula>"CUMPLE"</formula>
    </cfRule>
    <cfRule type="cellIs" dxfId="2250" priority="26" operator="equal">
      <formula>"""CUMPLE"""</formula>
    </cfRule>
    <cfRule type="cellIs" dxfId="2249" priority="25" operator="equal">
      <formula>"NO CUMPLE"</formula>
    </cfRule>
  </conditionalFormatting>
  <conditionalFormatting sqref="D62:K66">
    <cfRule type="containsBlanks" dxfId="2248" priority="15">
      <formula>LEN(TRIM(D62))=0</formula>
    </cfRule>
    <cfRule type="notContainsErrors" dxfId="2247" priority="16">
      <formula>NOT(ISERROR(D62))</formula>
    </cfRule>
  </conditionalFormatting>
  <conditionalFormatting sqref="E71:E72">
    <cfRule type="notContainsErrors" dxfId="2246" priority="69">
      <formula>NOT(ISERROR(E71))</formula>
    </cfRule>
    <cfRule type="containsBlanks" dxfId="2245" priority="68">
      <formula>LEN(TRIM(E71))=0</formula>
    </cfRule>
  </conditionalFormatting>
  <conditionalFormatting sqref="F22:H22">
    <cfRule type="cellIs" dxfId="2244" priority="92" operator="equal">
      <formula>"NO CUMPLE"</formula>
    </cfRule>
    <cfRule type="cellIs" dxfId="2243" priority="93" operator="equal">
      <formula>"""CUMPLE"""</formula>
    </cfRule>
    <cfRule type="cellIs" dxfId="2242" priority="91" operator="equal">
      <formula>"CUMPLE"</formula>
    </cfRule>
  </conditionalFormatting>
  <conditionalFormatting sqref="G63:J63">
    <cfRule type="containsBlanks" dxfId="2241" priority="7">
      <formula>LEN(TRIM(G63))=0</formula>
    </cfRule>
    <cfRule type="notContainsErrors" dxfId="2240" priority="8">
      <formula>NOT(ISERROR(G63))</formula>
    </cfRule>
  </conditionalFormatting>
  <conditionalFormatting sqref="I11">
    <cfRule type="containsText" dxfId="2239" priority="97" operator="containsText" text="NO CUMPLE">
      <formula>NOT(ISERROR(SEARCH("NO CUMPLE",I11)))</formula>
    </cfRule>
    <cfRule type="containsText" dxfId="2238" priority="96" operator="containsText" text="HABILITADO">
      <formula>NOT(ISERROR(SEARCH("HABILITADO",I11)))</formula>
    </cfRule>
    <cfRule type="containsText" dxfId="2237" priority="95" operator="containsText" text="HABILITADO">
      <formula>NOT(ISERROR(SEARCH("HABILITADO",I11)))</formula>
    </cfRule>
    <cfRule type="containsText" dxfId="2236" priority="94" operator="containsText" text="INHABILITADO">
      <formula>NOT(ISERROR(SEARCH("INHABILITADO",I11)))</formula>
    </cfRule>
  </conditionalFormatting>
  <conditionalFormatting sqref="K18:K20">
    <cfRule type="cellIs" dxfId="2235" priority="66" operator="equal">
      <formula>"NO CUMPLE"</formula>
    </cfRule>
    <cfRule type="cellIs" dxfId="2234" priority="67" operator="equal">
      <formula>"""CUMPLE"""</formula>
    </cfRule>
    <cfRule type="cellIs" dxfId="2233" priority="65" operator="equal">
      <formula>"CUMPLE"</formula>
    </cfRule>
  </conditionalFormatting>
  <conditionalFormatting sqref="K26:K61 D62:J62">
    <cfRule type="containsBlanks" dxfId="2232" priority="9">
      <formula>LEN(TRIM(D26))=0</formula>
    </cfRule>
    <cfRule type="notContainsErrors" dxfId="2231" priority="10">
      <formula>NOT(ISERROR(D26))</formula>
    </cfRule>
  </conditionalFormatting>
  <conditionalFormatting sqref="K67:L67">
    <cfRule type="containsBlanks" dxfId="2230" priority="21">
      <formula>LEN(TRIM(K67))=0</formula>
    </cfRule>
    <cfRule type="notContainsErrors" dxfId="2229" priority="22">
      <formula>NOT(ISERROR(K67))</formula>
    </cfRule>
  </conditionalFormatting>
  <conditionalFormatting sqref="L14">
    <cfRule type="cellIs" dxfId="2228" priority="90" operator="equal">
      <formula>"""CUMPLE"""</formula>
    </cfRule>
    <cfRule type="cellIs" dxfId="2227" priority="89" operator="equal">
      <formula>"NO CUMPLE"</formula>
    </cfRule>
    <cfRule type="cellIs" dxfId="2226" priority="88" operator="equal">
      <formula>"CUMPLE"</formula>
    </cfRule>
  </conditionalFormatting>
  <dataValidations disablePrompts="1" count="2">
    <dataValidation type="list" allowBlank="1" showInputMessage="1" showErrorMessage="1" sqref="D26:J28" xr:uid="{00000000-0002-0000-3B00-000000000000}">
      <formula1>$C$15:$C$21</formula1>
    </dataValidation>
    <dataValidation type="list" allowBlank="1" showInputMessage="1" showErrorMessage="1" sqref="L62:L67" xr:uid="{00000000-0002-0000-3B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disablePrompts="1" count="8">
        <x14:dataValidation type="list" allowBlank="1" showInputMessage="1" showErrorMessage="1" xr:uid="{00000000-0002-0000-3B00-000002000000}">
          <x14:formula1>
            <xm:f>'DATOS INICIALES'!$D$27:$D$29</xm:f>
          </x14:formula1>
          <xm:sqref>M50:M55</xm:sqref>
        </x14:dataValidation>
        <x14:dataValidation type="list" allowBlank="1" showInputMessage="1" showErrorMessage="1" xr:uid="{00000000-0002-0000-3B00-000003000000}">
          <x14:formula1>
            <xm:f>'DATOS INICIALES'!$A$13:$A$50</xm:f>
          </x14:formula1>
          <xm:sqref>G33:I33</xm:sqref>
        </x14:dataValidation>
        <x14:dataValidation type="list" allowBlank="1" showInputMessage="1" showErrorMessage="1" xr:uid="{00000000-0002-0000-3B00-000004000000}">
          <x14:formula1>
            <xm:f>'DATOS INICIALES'!$A$61:$A$66</xm:f>
          </x14:formula1>
          <xm:sqref>D25:I25</xm:sqref>
        </x14:dataValidation>
        <x14:dataValidation type="list" allowBlank="1" showInputMessage="1" showErrorMessage="1" xr:uid="{00000000-0002-0000-3B00-000005000000}">
          <x14:formula1>
            <xm:f>'DATOS INICIALES'!$A$57:$A$59</xm:f>
          </x14:formula1>
          <xm:sqref>D71 D56:J66</xm:sqref>
        </x14:dataValidation>
        <x14:dataValidation type="list" allowBlank="1" showInputMessage="1" showErrorMessage="1" xr:uid="{00000000-0002-0000-3B00-000006000000}">
          <x14:formula1>
            <xm:f>'DATOS INICIALES'!$C$52:$C$53</xm:f>
          </x14:formula1>
          <xm:sqref>D53:J54</xm:sqref>
        </x14:dataValidation>
        <x14:dataValidation type="list" allowBlank="1" showInputMessage="1" showErrorMessage="1" xr:uid="{00000000-0002-0000-3B00-000007000000}">
          <x14:formula1>
            <xm:f>'DATOS INICIALES'!$A$61:$A$67</xm:f>
          </x14:formula1>
          <xm:sqref>J25</xm:sqref>
        </x14:dataValidation>
        <x14:dataValidation type="list" allowBlank="1" showInputMessage="1" showErrorMessage="1" xr:uid="{00000000-0002-0000-3B00-000008000000}">
          <x14:formula1>
            <xm:f>'DATOS INICIALES'!$A$57:$A$58</xm:f>
          </x14:formula1>
          <xm:sqref>D49:J49</xm:sqref>
        </x14:dataValidation>
        <x14:dataValidation type="list" allowBlank="1" showInputMessage="1" showErrorMessage="1" xr:uid="{00000000-0002-0000-3B00-000009000000}">
          <x14:formula1>
            <xm:f>'DATOS INICIALES'!$C$52:$C$54</xm:f>
          </x14:formula1>
          <xm:sqref>D50:J52</xm:sqref>
        </x14:dataValidation>
      </x14:dataValidations>
    </ext>
  </extLst>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tabColor rgb="FF92D050"/>
  </sheetPr>
  <dimension ref="A1:N72"/>
  <sheetViews>
    <sheetView view="pageBreakPreview" topLeftCell="A46" zoomScale="40" zoomScaleNormal="25" zoomScaleSheetLayoutView="40" workbookViewId="0">
      <selection activeCell="E56" sqref="E56"/>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55</v>
      </c>
      <c r="B11" s="2" t="s">
        <v>58</v>
      </c>
      <c r="C11" s="413" t="str">
        <f>VLOOKUP(A11,PROPONENTES!A10:B94,2,FALSE)</f>
        <v>CONSORCIO FENIX</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3</v>
      </c>
      <c r="J14" s="147">
        <f>+L8</f>
        <v>986.3076290832455</v>
      </c>
      <c r="K14" s="147">
        <f>+E22</f>
        <v>5015.326</v>
      </c>
      <c r="L14" s="18" t="str">
        <f>IF(K14&gt;=J14,"CUMPLE","NO CUMPLE")</f>
        <v>CUMPLE</v>
      </c>
    </row>
    <row r="15" spans="1:12" ht="33.75" customHeight="1" x14ac:dyDescent="0.2">
      <c r="B15" s="382"/>
      <c r="C15" s="92" t="str">
        <f>IF(VLOOKUP(C11,PROPONENTES!B10:N94,2,FALSE)=0,"",VLOOKUP(C11,PROPONENTES!B10:N94,2,FALSE))</f>
        <v xml:space="preserve">NORBERTO BAYONA ESPITIA </v>
      </c>
      <c r="D15" s="93">
        <f>IF(VLOOKUP(C11,PROPONENTES!B10:N94,3,FALSE)=0,"",VLOOKUP(C11,PROPONENTES!B10:N94,3,FALSE))</f>
        <v>0.9</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5015.326</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xml:space="preserve">INAR PROYECTOS DE INGENIERIA Y 
ARQUITECTURA S.A.S </v>
      </c>
      <c r="D16" s="93">
        <f>IF(VLOOKUP(C11,PROPONENTES!B10:N94,5,FALSE)=0,"",VLOOKUP(C11,PROPONENTES!B10:N94,5,FALSE))</f>
        <v>0.1</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0</v>
      </c>
      <c r="F16" s="95" t="str">
        <f>IF(C16="","",IF(E16&gt;=$J$14*0.5,"SI","NO"))</f>
        <v>NO</v>
      </c>
      <c r="G16" s="96" t="str">
        <f>IF(C16="","",IF(E16&gt;=$J$14*0.05,"SI",IF(E16=0,"NO APORTA EXPERIENCIA",)))</f>
        <v>NO APORTA EXPERIENCIA</v>
      </c>
      <c r="H16" s="96" t="str">
        <f>IF(C16="","",IF(AND(G16="NO APORTA EXPERIENCIA",D16&lt;=10%),"SI",IF(G16="SI","NO APLICA","NO - PORCENTAJE MAYOR AL 10%")))</f>
        <v>SI</v>
      </c>
      <c r="I16" s="162"/>
      <c r="J16" s="162"/>
      <c r="K16" s="162"/>
      <c r="L16" s="161">
        <f>AVERAGEIF(D67:J67,"CUMPLE",D48:J48)</f>
        <v>1671.7753333333333</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1</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3</v>
      </c>
      <c r="J19" s="128">
        <v>1</v>
      </c>
      <c r="K19" s="387"/>
      <c r="L19" s="388"/>
    </row>
    <row r="20" spans="2:14" ht="50.25" customHeight="1" x14ac:dyDescent="0.2">
      <c r="B20" s="382"/>
      <c r="C20" s="92"/>
      <c r="D20" s="93"/>
      <c r="E20" s="94"/>
      <c r="F20" s="95"/>
      <c r="G20" s="96"/>
      <c r="H20" s="96"/>
      <c r="I20" s="128">
        <f>COUNTIFS(D60:J60,"CUMPLE",D67:J67,"CUMPLE")</f>
        <v>3</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3</v>
      </c>
      <c r="J21" s="128">
        <v>1</v>
      </c>
      <c r="K21" s="389"/>
      <c r="L21" s="390"/>
    </row>
    <row r="22" spans="2:14" ht="84.75" customHeight="1" x14ac:dyDescent="0.2">
      <c r="B22" s="29" t="s">
        <v>75</v>
      </c>
      <c r="C22" s="24">
        <f>+VLOOKUP(C11,PROPONENTES!B10:N94,12,FALSE)</f>
        <v>2</v>
      </c>
      <c r="D22" s="93">
        <f>+VLOOKUP(C11,PROPONENTES!B10:N94,13,FALSE)</f>
        <v>1</v>
      </c>
      <c r="E22" s="32">
        <f>SUM(E15:E21)</f>
        <v>5015.326</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944</v>
      </c>
      <c r="E26" s="84" t="s">
        <v>944</v>
      </c>
      <c r="F26" s="84" t="s">
        <v>944</v>
      </c>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953</v>
      </c>
      <c r="E29" s="85" t="s">
        <v>954</v>
      </c>
      <c r="F29" s="85" t="s">
        <v>955</v>
      </c>
      <c r="G29" s="85"/>
      <c r="H29" s="85"/>
      <c r="I29" s="85"/>
      <c r="J29" s="85"/>
      <c r="K29" s="145"/>
      <c r="L29" s="140"/>
    </row>
    <row r="30" spans="2:14" ht="156.75" customHeight="1" x14ac:dyDescent="0.2">
      <c r="B30" s="374"/>
      <c r="C30" s="25" t="s">
        <v>84</v>
      </c>
      <c r="D30" s="85" t="s">
        <v>956</v>
      </c>
      <c r="E30" s="85" t="s">
        <v>957</v>
      </c>
      <c r="F30" s="85" t="s">
        <v>958</v>
      </c>
      <c r="G30" s="85"/>
      <c r="H30" s="85"/>
      <c r="I30" s="85"/>
      <c r="J30" s="85"/>
      <c r="K30" s="145"/>
      <c r="L30" s="140"/>
    </row>
    <row r="31" spans="2:14" ht="52.5" customHeight="1" x14ac:dyDescent="0.2">
      <c r="B31" s="374"/>
      <c r="C31" s="25" t="s">
        <v>85</v>
      </c>
      <c r="D31" s="89">
        <v>40140</v>
      </c>
      <c r="E31" s="89">
        <v>41639</v>
      </c>
      <c r="F31" s="89">
        <v>44217</v>
      </c>
      <c r="G31" s="89"/>
      <c r="H31" s="89"/>
      <c r="I31" s="89"/>
      <c r="J31" s="89"/>
      <c r="K31" s="145"/>
      <c r="L31" s="140"/>
    </row>
    <row r="32" spans="2:14" ht="54.75" customHeight="1" x14ac:dyDescent="0.2">
      <c r="B32" s="374"/>
      <c r="C32" s="25" t="s">
        <v>86</v>
      </c>
      <c r="D32" s="89">
        <v>40550</v>
      </c>
      <c r="E32" s="89">
        <v>42628</v>
      </c>
      <c r="F32" s="89" t="s">
        <v>959</v>
      </c>
      <c r="G32" s="89"/>
      <c r="H32" s="89"/>
      <c r="I32" s="89"/>
      <c r="J32" s="89"/>
      <c r="K32" s="145"/>
      <c r="L32" s="140"/>
    </row>
    <row r="33" spans="2:12" ht="41.25" customHeight="1" x14ac:dyDescent="0.2">
      <c r="B33" s="374"/>
      <c r="C33" s="25" t="s">
        <v>87</v>
      </c>
      <c r="D33" s="86">
        <v>2011</v>
      </c>
      <c r="E33" s="86">
        <v>2016</v>
      </c>
      <c r="F33" s="86">
        <v>2022</v>
      </c>
      <c r="G33" s="86"/>
      <c r="H33" s="86"/>
      <c r="I33" s="86"/>
      <c r="J33" s="86"/>
      <c r="K33" s="145"/>
      <c r="L33" s="140"/>
    </row>
    <row r="34" spans="2:12" ht="63" customHeight="1" x14ac:dyDescent="0.2">
      <c r="B34" s="374"/>
      <c r="C34" s="25" t="s">
        <v>88</v>
      </c>
      <c r="D34" s="85" t="s">
        <v>960</v>
      </c>
      <c r="E34" s="85" t="s">
        <v>961</v>
      </c>
      <c r="F34" s="85" t="s">
        <v>962</v>
      </c>
      <c r="G34" s="85"/>
      <c r="H34" s="85"/>
      <c r="I34" s="85"/>
      <c r="J34" s="85"/>
      <c r="K34" s="145"/>
      <c r="L34" s="140"/>
    </row>
    <row r="35" spans="2:12" ht="46.5" customHeight="1" x14ac:dyDescent="0.2">
      <c r="B35" s="374"/>
      <c r="C35" s="25" t="s">
        <v>89</v>
      </c>
      <c r="D35" s="85" t="s">
        <v>944</v>
      </c>
      <c r="E35" s="85" t="s">
        <v>944</v>
      </c>
      <c r="F35" s="85" t="s">
        <v>944</v>
      </c>
      <c r="G35" s="85"/>
      <c r="H35" s="85"/>
      <c r="I35" s="85"/>
      <c r="J35" s="85"/>
      <c r="K35" s="145"/>
      <c r="L35" s="140"/>
    </row>
    <row r="36" spans="2:12" ht="27.75" customHeight="1" x14ac:dyDescent="0.2">
      <c r="B36" s="374"/>
      <c r="C36" s="26" t="s">
        <v>90</v>
      </c>
      <c r="D36" s="90">
        <v>7</v>
      </c>
      <c r="E36" s="90">
        <v>44</v>
      </c>
      <c r="F36" s="90">
        <v>51</v>
      </c>
      <c r="G36" s="91"/>
      <c r="H36" s="91"/>
      <c r="I36" s="91"/>
      <c r="J36" s="91"/>
      <c r="K36" s="145"/>
      <c r="L36" s="140"/>
    </row>
    <row r="37" spans="2:12" ht="102.75" customHeight="1" x14ac:dyDescent="0.2">
      <c r="B37" s="374"/>
      <c r="C37" s="25" t="s">
        <v>91</v>
      </c>
      <c r="D37" s="87">
        <v>1719.39</v>
      </c>
      <c r="E37" s="158">
        <v>4157.43</v>
      </c>
      <c r="F37" s="87">
        <v>2634.59</v>
      </c>
      <c r="G37" s="87"/>
      <c r="H37" s="87"/>
      <c r="I37" s="87"/>
      <c r="J37" s="87"/>
      <c r="K37" s="242"/>
      <c r="L37" s="243"/>
    </row>
    <row r="38" spans="2:12" ht="48" customHeight="1" x14ac:dyDescent="0.2">
      <c r="B38" s="374"/>
      <c r="C38" s="25" t="s">
        <v>92</v>
      </c>
      <c r="D38" s="97">
        <f>IFERROR(D37*VLOOKUP(D33,'DATOS INICIALES'!$A$12:$B$50,2,0),"0")</f>
        <v>920905284</v>
      </c>
      <c r="E38" s="97">
        <f>IFERROR(E37*VLOOKUP(E33,'DATOS INICIALES'!$A$12:$B$50,2,0),"0")</f>
        <v>2866360900.6500001</v>
      </c>
      <c r="F38" s="97">
        <f>IFERROR(F37*VLOOKUP(F33,'DATOS INICIALES'!$A$12:$B$50,2,0),"0")</f>
        <v>2634590000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0.7</v>
      </c>
      <c r="E39" s="88">
        <v>0.6</v>
      </c>
      <c r="F39" s="88">
        <v>0.5</v>
      </c>
      <c r="G39" s="88"/>
      <c r="H39" s="88"/>
      <c r="I39" s="88"/>
      <c r="J39" s="88"/>
      <c r="K39" s="145"/>
      <c r="L39" s="140"/>
    </row>
    <row r="40" spans="2:12" ht="48.75" customHeight="1" x14ac:dyDescent="0.2">
      <c r="B40" s="374"/>
      <c r="C40" s="25" t="s">
        <v>94</v>
      </c>
      <c r="D40" s="97">
        <f t="shared" ref="D40:J40" si="0">IF(D26="","0",D39*D38)</f>
        <v>644633698.79999995</v>
      </c>
      <c r="E40" s="97">
        <f t="shared" si="0"/>
        <v>1719816540.3900001</v>
      </c>
      <c r="F40" s="97">
        <f t="shared" si="0"/>
        <v>1317295000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1203.5730000000001</v>
      </c>
      <c r="E41" s="98">
        <f t="shared" si="1"/>
        <v>2494.4580000000001</v>
      </c>
      <c r="F41" s="98">
        <f t="shared" si="1"/>
        <v>1317.2950000000001</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1203.5730000000001</v>
      </c>
      <c r="E48" s="98">
        <f t="shared" ref="E48:G48" si="6">+E41+E44+E47</f>
        <v>2494.4580000000001</v>
      </c>
      <c r="F48" s="98">
        <f t="shared" si="6"/>
        <v>1317.2950000000001</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26</v>
      </c>
      <c r="E57" s="84" t="s">
        <v>26</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0:C70"/>
    <mergeCell ref="B71:C71"/>
    <mergeCell ref="B72:C72"/>
    <mergeCell ref="B65:C65"/>
    <mergeCell ref="B66:C66"/>
    <mergeCell ref="B67:C67"/>
    <mergeCell ref="B69:E69"/>
    <mergeCell ref="B62:C62"/>
    <mergeCell ref="B63:C63"/>
    <mergeCell ref="B64:C64"/>
    <mergeCell ref="B59:C59"/>
    <mergeCell ref="B60:C60"/>
    <mergeCell ref="B61:C61"/>
    <mergeCell ref="B56:C56"/>
    <mergeCell ref="B57:C57"/>
    <mergeCell ref="B58:C58"/>
    <mergeCell ref="B50:B55"/>
    <mergeCell ref="B28:C28"/>
    <mergeCell ref="B29:B47"/>
    <mergeCell ref="I22:L22"/>
    <mergeCell ref="B12:L12"/>
    <mergeCell ref="B13:H13"/>
    <mergeCell ref="B14:B21"/>
    <mergeCell ref="K17:L17"/>
    <mergeCell ref="K18:L21"/>
    <mergeCell ref="B24:L24"/>
    <mergeCell ref="K25:L25"/>
    <mergeCell ref="B26:C26"/>
    <mergeCell ref="B27:C27"/>
    <mergeCell ref="B23:L23"/>
    <mergeCell ref="C8:I8"/>
    <mergeCell ref="C9:I9"/>
    <mergeCell ref="C10:I10"/>
    <mergeCell ref="C11:G11"/>
    <mergeCell ref="B2:L2"/>
    <mergeCell ref="B3:L3"/>
    <mergeCell ref="B4:L4"/>
    <mergeCell ref="B5:L5"/>
    <mergeCell ref="B7:I7"/>
    <mergeCell ref="J7:L7"/>
    <mergeCell ref="I11:L11"/>
  </mergeCells>
  <conditionalFormatting sqref="D71">
    <cfRule type="cellIs" dxfId="2225" priority="73" operator="equal">
      <formula>"CUMPLE"</formula>
    </cfRule>
    <cfRule type="containsBlanks" dxfId="2224" priority="70">
      <formula>LEN(TRIM(D71))=0</formula>
    </cfRule>
    <cfRule type="notContainsErrors" dxfId="2223" priority="71">
      <formula>NOT(ISERROR(D71))</formula>
    </cfRule>
    <cfRule type="cellIs" dxfId="2222" priority="72" operator="equal">
      <formula>"NO CUMPLE"</formula>
    </cfRule>
  </conditionalFormatting>
  <conditionalFormatting sqref="D72">
    <cfRule type="cellIs" dxfId="2221" priority="75" operator="equal">
      <formula>"CUMPLE"</formula>
    </cfRule>
    <cfRule type="cellIs" dxfId="2220" priority="74" operator="equal">
      <formula>"N/A"</formula>
    </cfRule>
    <cfRule type="cellIs" dxfId="2219" priority="77" operator="equal">
      <formula>"""CUMPLE"""</formula>
    </cfRule>
    <cfRule type="cellIs" dxfId="2218" priority="76" operator="equal">
      <formula>"NO CUMPLE"</formula>
    </cfRule>
  </conditionalFormatting>
  <conditionalFormatting sqref="D26:J37">
    <cfRule type="notContainsErrors" dxfId="2217" priority="4">
      <formula>NOT(ISERROR(D26))</formula>
    </cfRule>
    <cfRule type="containsBlanks" dxfId="2216" priority="3">
      <formula>LEN(TRIM(D26))=0</formula>
    </cfRule>
  </conditionalFormatting>
  <conditionalFormatting sqref="D36:J36">
    <cfRule type="notContainsErrors" dxfId="2215" priority="6">
      <formula>NOT(ISERROR(D36))</formula>
    </cfRule>
    <cfRule type="containsBlanks" dxfId="2214" priority="5">
      <formula>LEN(TRIM(D36))=0</formula>
    </cfRule>
  </conditionalFormatting>
  <conditionalFormatting sqref="D39:J39">
    <cfRule type="containsBlanks" dxfId="2213" priority="1">
      <formula>LEN(TRIM(D39))=0</formula>
    </cfRule>
    <cfRule type="notContainsErrors" dxfId="2212" priority="2">
      <formula>NOT(ISERROR(D39))</formula>
    </cfRule>
  </conditionalFormatting>
  <conditionalFormatting sqref="D42:J42 D45:J45">
    <cfRule type="notContainsErrors" dxfId="2211" priority="38">
      <formula>NOT(ISERROR(D42))</formula>
    </cfRule>
    <cfRule type="containsBlanks" dxfId="2210" priority="37">
      <formula>LEN(TRIM(D42))=0</formula>
    </cfRule>
  </conditionalFormatting>
  <conditionalFormatting sqref="D49:J54">
    <cfRule type="cellIs" dxfId="2209" priority="17" operator="equal">
      <formula>"NO CUMPLE"</formula>
    </cfRule>
    <cfRule type="cellIs" dxfId="2208" priority="18" operator="equal">
      <formula>"CUMPLE"</formula>
    </cfRule>
    <cfRule type="containsBlanks" dxfId="2207" priority="19">
      <formula>LEN(TRIM(D49))=0</formula>
    </cfRule>
    <cfRule type="notContainsErrors" dxfId="2206" priority="20">
      <formula>NOT(ISERROR(D49))</formula>
    </cfRule>
  </conditionalFormatting>
  <conditionalFormatting sqref="D55:J55">
    <cfRule type="cellIs" dxfId="2205" priority="28" operator="equal">
      <formula>"CUMPLE"</formula>
    </cfRule>
    <cfRule type="cellIs" dxfId="2204" priority="30" operator="equal">
      <formula>"""CUMPLE"""</formula>
    </cfRule>
    <cfRule type="cellIs" dxfId="2203" priority="29" operator="equal">
      <formula>"NO CUMPLE"</formula>
    </cfRule>
    <cfRule type="cellIs" dxfId="2202" priority="27" operator="equal">
      <formula>"N/A"</formula>
    </cfRule>
  </conditionalFormatting>
  <conditionalFormatting sqref="D56:J66">
    <cfRule type="cellIs" dxfId="2201" priority="11" operator="equal">
      <formula>"NO CUMPLE"</formula>
    </cfRule>
    <cfRule type="notContainsErrors" dxfId="2200" priority="14">
      <formula>NOT(ISERROR(D56))</formula>
    </cfRule>
    <cfRule type="containsBlanks" dxfId="2199" priority="13">
      <formula>LEN(TRIM(D56))=0</formula>
    </cfRule>
    <cfRule type="cellIs" dxfId="2198" priority="12" operator="equal">
      <formula>"CUMPLE"</formula>
    </cfRule>
  </conditionalFormatting>
  <conditionalFormatting sqref="D67:J67">
    <cfRule type="cellIs" dxfId="2197" priority="23" operator="equal">
      <formula>"N/A"</formula>
    </cfRule>
    <cfRule type="cellIs" dxfId="2196" priority="24" operator="equal">
      <formula>"CUMPLE"</formula>
    </cfRule>
    <cfRule type="cellIs" dxfId="2195" priority="26" operator="equal">
      <formula>"""CUMPLE"""</formula>
    </cfRule>
    <cfRule type="cellIs" dxfId="2194" priority="25" operator="equal">
      <formula>"NO CUMPLE"</formula>
    </cfRule>
  </conditionalFormatting>
  <conditionalFormatting sqref="D62:K66">
    <cfRule type="containsBlanks" dxfId="2193" priority="15">
      <formula>LEN(TRIM(D62))=0</formula>
    </cfRule>
    <cfRule type="notContainsErrors" dxfId="2192" priority="16">
      <formula>NOT(ISERROR(D62))</formula>
    </cfRule>
  </conditionalFormatting>
  <conditionalFormatting sqref="E71:E72">
    <cfRule type="notContainsErrors" dxfId="2191" priority="69">
      <formula>NOT(ISERROR(E71))</formula>
    </cfRule>
    <cfRule type="containsBlanks" dxfId="2190" priority="68">
      <formula>LEN(TRIM(E71))=0</formula>
    </cfRule>
  </conditionalFormatting>
  <conditionalFormatting sqref="F22:H22">
    <cfRule type="cellIs" dxfId="2189" priority="92" operator="equal">
      <formula>"NO CUMPLE"</formula>
    </cfRule>
    <cfRule type="cellIs" dxfId="2188" priority="93" operator="equal">
      <formula>"""CUMPLE"""</formula>
    </cfRule>
    <cfRule type="cellIs" dxfId="2187" priority="91" operator="equal">
      <formula>"CUMPLE"</formula>
    </cfRule>
  </conditionalFormatting>
  <conditionalFormatting sqref="G63:J63">
    <cfRule type="containsBlanks" dxfId="2186" priority="7">
      <formula>LEN(TRIM(G63))=0</formula>
    </cfRule>
    <cfRule type="notContainsErrors" dxfId="2185" priority="8">
      <formula>NOT(ISERROR(G63))</formula>
    </cfRule>
  </conditionalFormatting>
  <conditionalFormatting sqref="I11">
    <cfRule type="containsText" dxfId="2184" priority="97" operator="containsText" text="NO CUMPLE">
      <formula>NOT(ISERROR(SEARCH("NO CUMPLE",I11)))</formula>
    </cfRule>
    <cfRule type="containsText" dxfId="2183" priority="96" operator="containsText" text="HABILITADO">
      <formula>NOT(ISERROR(SEARCH("HABILITADO",I11)))</formula>
    </cfRule>
    <cfRule type="containsText" dxfId="2182" priority="95" operator="containsText" text="HABILITADO">
      <formula>NOT(ISERROR(SEARCH("HABILITADO",I11)))</formula>
    </cfRule>
    <cfRule type="containsText" dxfId="2181" priority="94" operator="containsText" text="INHABILITADO">
      <formula>NOT(ISERROR(SEARCH("INHABILITADO",I11)))</formula>
    </cfRule>
  </conditionalFormatting>
  <conditionalFormatting sqref="K18:K20">
    <cfRule type="cellIs" dxfId="2180" priority="66" operator="equal">
      <formula>"NO CUMPLE"</formula>
    </cfRule>
    <cfRule type="cellIs" dxfId="2179" priority="67" operator="equal">
      <formula>"""CUMPLE"""</formula>
    </cfRule>
    <cfRule type="cellIs" dxfId="2178" priority="65" operator="equal">
      <formula>"CUMPLE"</formula>
    </cfRule>
  </conditionalFormatting>
  <conditionalFormatting sqref="K26:K61 D62:J62">
    <cfRule type="containsBlanks" dxfId="2177" priority="9">
      <formula>LEN(TRIM(D26))=0</formula>
    </cfRule>
    <cfRule type="notContainsErrors" dxfId="2176" priority="10">
      <formula>NOT(ISERROR(D26))</formula>
    </cfRule>
  </conditionalFormatting>
  <conditionalFormatting sqref="K67:L67">
    <cfRule type="containsBlanks" dxfId="2175" priority="21">
      <formula>LEN(TRIM(K67))=0</formula>
    </cfRule>
    <cfRule type="notContainsErrors" dxfId="2174" priority="22">
      <formula>NOT(ISERROR(K67))</formula>
    </cfRule>
  </conditionalFormatting>
  <conditionalFormatting sqref="L14">
    <cfRule type="cellIs" dxfId="2173" priority="90" operator="equal">
      <formula>"""CUMPLE"""</formula>
    </cfRule>
    <cfRule type="cellIs" dxfId="2172" priority="89" operator="equal">
      <formula>"NO CUMPLE"</formula>
    </cfRule>
    <cfRule type="cellIs" dxfId="2171" priority="88" operator="equal">
      <formula>"CUMPLE"</formula>
    </cfRule>
  </conditionalFormatting>
  <dataValidations count="2">
    <dataValidation type="list" allowBlank="1" showInputMessage="1" showErrorMessage="1" sqref="D26:J28" xr:uid="{00000000-0002-0000-3C00-000000000000}">
      <formula1>$C$15:$C$21</formula1>
    </dataValidation>
    <dataValidation type="list" allowBlank="1" showInputMessage="1" showErrorMessage="1" sqref="L62:L67" xr:uid="{00000000-0002-0000-3C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3C00-000002000000}">
          <x14:formula1>
            <xm:f>'DATOS INICIALES'!$D$27:$D$29</xm:f>
          </x14:formula1>
          <xm:sqref>M50:M55</xm:sqref>
        </x14:dataValidation>
        <x14:dataValidation type="list" allowBlank="1" showInputMessage="1" showErrorMessage="1" xr:uid="{00000000-0002-0000-3C00-000003000000}">
          <x14:formula1>
            <xm:f>'DATOS INICIALES'!$A$13:$A$50</xm:f>
          </x14:formula1>
          <xm:sqref>G33:I33</xm:sqref>
        </x14:dataValidation>
        <x14:dataValidation type="list" allowBlank="1" showInputMessage="1" showErrorMessage="1" xr:uid="{00000000-0002-0000-3C00-000004000000}">
          <x14:formula1>
            <xm:f>'DATOS INICIALES'!$A$61:$A$66</xm:f>
          </x14:formula1>
          <xm:sqref>D25:I25</xm:sqref>
        </x14:dataValidation>
        <x14:dataValidation type="list" allowBlank="1" showInputMessage="1" showErrorMessage="1" xr:uid="{00000000-0002-0000-3C00-000005000000}">
          <x14:formula1>
            <xm:f>'DATOS INICIALES'!$A$57:$A$59</xm:f>
          </x14:formula1>
          <xm:sqref>D71 D56:J66</xm:sqref>
        </x14:dataValidation>
        <x14:dataValidation type="list" allowBlank="1" showInputMessage="1" showErrorMessage="1" xr:uid="{00000000-0002-0000-3C00-000006000000}">
          <x14:formula1>
            <xm:f>'DATOS INICIALES'!$C$52:$C$53</xm:f>
          </x14:formula1>
          <xm:sqref>D53:J54</xm:sqref>
        </x14:dataValidation>
        <x14:dataValidation type="list" allowBlank="1" showInputMessage="1" showErrorMessage="1" xr:uid="{00000000-0002-0000-3C00-000007000000}">
          <x14:formula1>
            <xm:f>'DATOS INICIALES'!$A$61:$A$67</xm:f>
          </x14:formula1>
          <xm:sqref>J25</xm:sqref>
        </x14:dataValidation>
        <x14:dataValidation type="list" allowBlank="1" showInputMessage="1" showErrorMessage="1" xr:uid="{00000000-0002-0000-3C00-000008000000}">
          <x14:formula1>
            <xm:f>'DATOS INICIALES'!$A$57:$A$58</xm:f>
          </x14:formula1>
          <xm:sqref>D49:J49</xm:sqref>
        </x14:dataValidation>
        <x14:dataValidation type="list" allowBlank="1" showInputMessage="1" showErrorMessage="1" xr:uid="{00000000-0002-0000-3C00-000009000000}">
          <x14:formula1>
            <xm:f>'DATOS INICIALES'!$C$52:$C$54</xm:f>
          </x14:formula1>
          <xm:sqref>D50:J52</xm:sqref>
        </x14:dataValidation>
      </x14:dataValidations>
    </ext>
  </extLst>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sheetPr>
    <tabColor rgb="FF92D050"/>
  </sheetPr>
  <dimension ref="A1:N72"/>
  <sheetViews>
    <sheetView view="pageBreakPreview" zoomScale="55" zoomScaleNormal="25" zoomScaleSheetLayoutView="55" workbookViewId="0">
      <selection activeCell="E17" sqref="E17"/>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56</v>
      </c>
      <c r="B11" s="2" t="s">
        <v>58</v>
      </c>
      <c r="C11" s="413" t="str">
        <f>VLOOKUP(A11,PROPONENTES!A10:B94,2,FALSE)</f>
        <v>INGOSER SAS</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3</v>
      </c>
      <c r="J14" s="147">
        <f>+L8</f>
        <v>986.3076290832455</v>
      </c>
      <c r="K14" s="147">
        <f>+E22</f>
        <v>1183.4000000000001</v>
      </c>
      <c r="L14" s="18" t="str">
        <f>IF(K14&gt;=J14,"CUMPLE","NO CUMPLE")</f>
        <v>CUMPLE</v>
      </c>
    </row>
    <row r="15" spans="1:12" ht="33.75" customHeight="1" x14ac:dyDescent="0.2">
      <c r="B15" s="382"/>
      <c r="C15" s="92" t="str">
        <f>IF(VLOOKUP(C11,PROPONENTES!B10:N94,2,FALSE)=0,"",VLOOKUP(C11,PROPONENTES!B10:N94,2,FALSE))</f>
        <v>INGOSER SAS</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1183.4000000000001</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394.4666666666667</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2</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3</v>
      </c>
      <c r="J19" s="128">
        <v>1</v>
      </c>
      <c r="K19" s="387"/>
      <c r="L19" s="388"/>
    </row>
    <row r="20" spans="2:14" ht="50.25" customHeight="1" x14ac:dyDescent="0.2">
      <c r="B20" s="382"/>
      <c r="C20" s="92"/>
      <c r="D20" s="93"/>
      <c r="E20" s="94"/>
      <c r="F20" s="95"/>
      <c r="G20" s="96"/>
      <c r="H20" s="96"/>
      <c r="I20" s="128">
        <f>COUNTIFS(D60:J60,"CUMPLE",D67:J67,"CUMPLE")</f>
        <v>3</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3</v>
      </c>
      <c r="J21" s="128">
        <v>1</v>
      </c>
      <c r="K21" s="389"/>
      <c r="L21" s="390"/>
    </row>
    <row r="22" spans="2:14" ht="84.75" customHeight="1" x14ac:dyDescent="0.2">
      <c r="B22" s="29" t="s">
        <v>75</v>
      </c>
      <c r="C22" s="24">
        <f>+VLOOKUP(C11,PROPONENTES!B10:N94,12,FALSE)</f>
        <v>1</v>
      </c>
      <c r="D22" s="93">
        <f>+VLOOKUP(C11,PROPONENTES!B10:N94,13,FALSE)</f>
        <v>1</v>
      </c>
      <c r="E22" s="32">
        <f>SUM(E15:E21)</f>
        <v>1183.4000000000001</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259</v>
      </c>
      <c r="E26" s="84" t="s">
        <v>259</v>
      </c>
      <c r="F26" s="84" t="s">
        <v>259</v>
      </c>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963</v>
      </c>
      <c r="E29" s="85" t="s">
        <v>964</v>
      </c>
      <c r="F29" s="85" t="s">
        <v>965</v>
      </c>
      <c r="G29" s="85"/>
      <c r="H29" s="85"/>
      <c r="I29" s="85"/>
      <c r="J29" s="85"/>
      <c r="K29" s="145"/>
      <c r="L29" s="140"/>
    </row>
    <row r="30" spans="2:14" ht="156.75" customHeight="1" x14ac:dyDescent="0.2">
      <c r="B30" s="374"/>
      <c r="C30" s="25" t="s">
        <v>84</v>
      </c>
      <c r="D30" s="85" t="s">
        <v>966</v>
      </c>
      <c r="E30" s="85" t="s">
        <v>967</v>
      </c>
      <c r="F30" s="85" t="s">
        <v>968</v>
      </c>
      <c r="G30" s="85"/>
      <c r="H30" s="85"/>
      <c r="I30" s="85"/>
      <c r="J30" s="85"/>
      <c r="K30" s="145"/>
      <c r="L30" s="140"/>
    </row>
    <row r="31" spans="2:14" ht="52.5" customHeight="1" x14ac:dyDescent="0.2">
      <c r="B31" s="374"/>
      <c r="C31" s="25" t="s">
        <v>85</v>
      </c>
      <c r="D31" s="89">
        <v>45187</v>
      </c>
      <c r="E31" s="89">
        <v>42419</v>
      </c>
      <c r="F31" s="89">
        <v>42600</v>
      </c>
      <c r="G31" s="89"/>
      <c r="H31" s="89"/>
      <c r="I31" s="89"/>
      <c r="J31" s="89"/>
      <c r="K31" s="145"/>
      <c r="L31" s="140"/>
    </row>
    <row r="32" spans="2:14" ht="54.75" customHeight="1" x14ac:dyDescent="0.2">
      <c r="B32" s="374"/>
      <c r="C32" s="25" t="s">
        <v>86</v>
      </c>
      <c r="D32" s="89">
        <v>45576</v>
      </c>
      <c r="E32" s="89">
        <v>42572</v>
      </c>
      <c r="F32" s="89">
        <v>42754</v>
      </c>
      <c r="G32" s="89"/>
      <c r="H32" s="89"/>
      <c r="I32" s="89"/>
      <c r="J32" s="89"/>
      <c r="K32" s="145"/>
      <c r="L32" s="140"/>
    </row>
    <row r="33" spans="2:12" ht="41.25" customHeight="1" x14ac:dyDescent="0.2">
      <c r="B33" s="374"/>
      <c r="C33" s="25" t="s">
        <v>87</v>
      </c>
      <c r="D33" s="86">
        <v>2024</v>
      </c>
      <c r="E33" s="86">
        <v>2016</v>
      </c>
      <c r="F33" s="86">
        <v>2017</v>
      </c>
      <c r="G33" s="86"/>
      <c r="H33" s="86"/>
      <c r="I33" s="86"/>
      <c r="J33" s="86"/>
      <c r="K33" s="145"/>
      <c r="L33" s="140"/>
    </row>
    <row r="34" spans="2:12" ht="63" customHeight="1" x14ac:dyDescent="0.2">
      <c r="B34" s="374"/>
      <c r="C34" s="25" t="s">
        <v>88</v>
      </c>
      <c r="D34" s="85" t="s">
        <v>969</v>
      </c>
      <c r="E34" s="85" t="s">
        <v>970</v>
      </c>
      <c r="F34" s="85" t="s">
        <v>970</v>
      </c>
      <c r="G34" s="85"/>
      <c r="H34" s="85"/>
      <c r="I34" s="85"/>
      <c r="J34" s="85"/>
      <c r="K34" s="145"/>
      <c r="L34" s="140"/>
    </row>
    <row r="35" spans="2:12" ht="46.5" customHeight="1" x14ac:dyDescent="0.2">
      <c r="B35" s="374"/>
      <c r="C35" s="25" t="s">
        <v>89</v>
      </c>
      <c r="D35" s="85" t="s">
        <v>259</v>
      </c>
      <c r="E35" s="85" t="s">
        <v>259</v>
      </c>
      <c r="F35" s="85" t="s">
        <v>259</v>
      </c>
      <c r="G35" s="85"/>
      <c r="H35" s="85"/>
      <c r="I35" s="85"/>
      <c r="J35" s="85"/>
      <c r="K35" s="145"/>
      <c r="L35" s="140"/>
    </row>
    <row r="36" spans="2:12" ht="27.75" customHeight="1" x14ac:dyDescent="0.2">
      <c r="B36" s="374"/>
      <c r="C36" s="26" t="s">
        <v>90</v>
      </c>
      <c r="D36" s="90">
        <v>127</v>
      </c>
      <c r="E36" s="90">
        <v>24</v>
      </c>
      <c r="F36" s="90">
        <v>22</v>
      </c>
      <c r="G36" s="91"/>
      <c r="H36" s="91"/>
      <c r="I36" s="91"/>
      <c r="J36" s="91"/>
      <c r="K36" s="145"/>
      <c r="L36" s="140"/>
    </row>
    <row r="37" spans="2:12" ht="102.75" customHeight="1" x14ac:dyDescent="0.2">
      <c r="B37" s="374"/>
      <c r="C37" s="25" t="s">
        <v>91</v>
      </c>
      <c r="D37" s="87">
        <v>528.70000000000005</v>
      </c>
      <c r="E37" s="158">
        <v>314.39</v>
      </c>
      <c r="F37" s="87">
        <v>340.31</v>
      </c>
      <c r="G37" s="87"/>
      <c r="H37" s="87"/>
      <c r="I37" s="87"/>
      <c r="J37" s="87"/>
      <c r="K37" s="242"/>
      <c r="L37" s="243"/>
    </row>
    <row r="38" spans="2:12" ht="48" customHeight="1" x14ac:dyDescent="0.2">
      <c r="B38" s="374"/>
      <c r="C38" s="25" t="s">
        <v>92</v>
      </c>
      <c r="D38" s="97">
        <f>IFERROR(D37*VLOOKUP(D33,'DATOS INICIALES'!$A$12:$B$50,2,0),"0")</f>
        <v>687310000</v>
      </c>
      <c r="E38" s="97">
        <f>IFERROR(E37*VLOOKUP(E33,'DATOS INICIALES'!$A$12:$B$50,2,0),"0")</f>
        <v>216757757.44999999</v>
      </c>
      <c r="F38" s="97">
        <f>IFERROR(F37*VLOOKUP(F33,'DATOS INICIALES'!$A$12:$B$50,2,0),"0")</f>
        <v>251052472.27000001</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1</v>
      </c>
      <c r="E39" s="88">
        <v>1</v>
      </c>
      <c r="F39" s="88">
        <v>1</v>
      </c>
      <c r="G39" s="88"/>
      <c r="H39" s="88"/>
      <c r="I39" s="88"/>
      <c r="J39" s="88"/>
      <c r="K39" s="145"/>
      <c r="L39" s="140"/>
    </row>
    <row r="40" spans="2:12" ht="48.75" customHeight="1" x14ac:dyDescent="0.2">
      <c r="B40" s="374"/>
      <c r="C40" s="25" t="s">
        <v>94</v>
      </c>
      <c r="D40" s="97">
        <f t="shared" ref="D40:J40" si="0">IF(D26="","0",D39*D38)</f>
        <v>687310000</v>
      </c>
      <c r="E40" s="97">
        <f t="shared" si="0"/>
        <v>216757757.44999999</v>
      </c>
      <c r="F40" s="97">
        <f t="shared" si="0"/>
        <v>251052472.27000001</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528.70000000000005</v>
      </c>
      <c r="E41" s="98">
        <f t="shared" si="1"/>
        <v>314.39</v>
      </c>
      <c r="F41" s="98">
        <f t="shared" si="1"/>
        <v>340.31</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528.70000000000005</v>
      </c>
      <c r="E48" s="98">
        <f t="shared" ref="E48:G48" si="6">+E41+E44+E47</f>
        <v>314.39</v>
      </c>
      <c r="F48" s="98">
        <f t="shared" si="6"/>
        <v>340.31</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26</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0:C70"/>
    <mergeCell ref="B71:C71"/>
    <mergeCell ref="B72:C72"/>
    <mergeCell ref="B65:C65"/>
    <mergeCell ref="B66:C66"/>
    <mergeCell ref="B67:C67"/>
    <mergeCell ref="B69:E69"/>
    <mergeCell ref="B62:C62"/>
    <mergeCell ref="B63:C63"/>
    <mergeCell ref="B64:C64"/>
    <mergeCell ref="B59:C59"/>
    <mergeCell ref="B60:C60"/>
    <mergeCell ref="B61:C61"/>
    <mergeCell ref="B56:C56"/>
    <mergeCell ref="B57:C57"/>
    <mergeCell ref="B58:C58"/>
    <mergeCell ref="B50:B55"/>
    <mergeCell ref="B28:C28"/>
    <mergeCell ref="B29:B47"/>
    <mergeCell ref="I22:L22"/>
    <mergeCell ref="B12:L12"/>
    <mergeCell ref="B13:H13"/>
    <mergeCell ref="B14:B21"/>
    <mergeCell ref="K17:L17"/>
    <mergeCell ref="K18:L21"/>
    <mergeCell ref="B24:L24"/>
    <mergeCell ref="K25:L25"/>
    <mergeCell ref="B26:C26"/>
    <mergeCell ref="B27:C27"/>
    <mergeCell ref="B23:L23"/>
    <mergeCell ref="C8:I8"/>
    <mergeCell ref="C9:I9"/>
    <mergeCell ref="C10:I10"/>
    <mergeCell ref="C11:G11"/>
    <mergeCell ref="B2:L2"/>
    <mergeCell ref="B3:L3"/>
    <mergeCell ref="B4:L4"/>
    <mergeCell ref="B5:L5"/>
    <mergeCell ref="B7:I7"/>
    <mergeCell ref="J7:L7"/>
    <mergeCell ref="I11:L11"/>
  </mergeCells>
  <conditionalFormatting sqref="D71">
    <cfRule type="cellIs" dxfId="2170" priority="97" operator="equal">
      <formula>"CUMPLE"</formula>
    </cfRule>
    <cfRule type="containsBlanks" dxfId="2169" priority="94">
      <formula>LEN(TRIM(D71))=0</formula>
    </cfRule>
    <cfRule type="notContainsErrors" dxfId="2168" priority="95">
      <formula>NOT(ISERROR(D71))</formula>
    </cfRule>
    <cfRule type="cellIs" dxfId="2167" priority="96" operator="equal">
      <formula>"NO CUMPLE"</formula>
    </cfRule>
  </conditionalFormatting>
  <conditionalFormatting sqref="D72">
    <cfRule type="cellIs" dxfId="2166" priority="99" operator="equal">
      <formula>"CUMPLE"</formula>
    </cfRule>
    <cfRule type="cellIs" dxfId="2165" priority="98" operator="equal">
      <formula>"N/A"</formula>
    </cfRule>
    <cfRule type="cellIs" dxfId="2164" priority="101" operator="equal">
      <formula>"""CUMPLE"""</formula>
    </cfRule>
    <cfRule type="cellIs" dxfId="2163" priority="100" operator="equal">
      <formula>"NO CUMPLE"</formula>
    </cfRule>
  </conditionalFormatting>
  <conditionalFormatting sqref="D26:J37">
    <cfRule type="notContainsErrors" dxfId="2162" priority="4">
      <formula>NOT(ISERROR(D26))</formula>
    </cfRule>
    <cfRule type="containsBlanks" dxfId="2161" priority="3">
      <formula>LEN(TRIM(D26))=0</formula>
    </cfRule>
  </conditionalFormatting>
  <conditionalFormatting sqref="D36:J36">
    <cfRule type="notContainsErrors" dxfId="2160" priority="6">
      <formula>NOT(ISERROR(D36))</formula>
    </cfRule>
    <cfRule type="containsBlanks" dxfId="2159" priority="5">
      <formula>LEN(TRIM(D36))=0</formula>
    </cfRule>
  </conditionalFormatting>
  <conditionalFormatting sqref="D39:J39">
    <cfRule type="containsBlanks" dxfId="2158" priority="1">
      <formula>LEN(TRIM(D39))=0</formula>
    </cfRule>
    <cfRule type="notContainsErrors" dxfId="2157" priority="2">
      <formula>NOT(ISERROR(D39))</formula>
    </cfRule>
  </conditionalFormatting>
  <conditionalFormatting sqref="D42:J42 D45:J45">
    <cfRule type="notContainsErrors" dxfId="2156" priority="62">
      <formula>NOT(ISERROR(D42))</formula>
    </cfRule>
    <cfRule type="containsBlanks" dxfId="2155" priority="61">
      <formula>LEN(TRIM(D42))=0</formula>
    </cfRule>
  </conditionalFormatting>
  <conditionalFormatting sqref="D49:J54">
    <cfRule type="cellIs" dxfId="2154" priority="17" operator="equal">
      <formula>"NO CUMPLE"</formula>
    </cfRule>
    <cfRule type="cellIs" dxfId="2153" priority="18" operator="equal">
      <formula>"CUMPLE"</formula>
    </cfRule>
    <cfRule type="containsBlanks" dxfId="2152" priority="19">
      <formula>LEN(TRIM(D49))=0</formula>
    </cfRule>
    <cfRule type="notContainsErrors" dxfId="2151" priority="20">
      <formula>NOT(ISERROR(D49))</formula>
    </cfRule>
  </conditionalFormatting>
  <conditionalFormatting sqref="D55:J55">
    <cfRule type="cellIs" dxfId="2150" priority="28" operator="equal">
      <formula>"CUMPLE"</formula>
    </cfRule>
    <cfRule type="cellIs" dxfId="2149" priority="30" operator="equal">
      <formula>"""CUMPLE"""</formula>
    </cfRule>
    <cfRule type="cellIs" dxfId="2148" priority="29" operator="equal">
      <formula>"NO CUMPLE"</formula>
    </cfRule>
    <cfRule type="cellIs" dxfId="2147" priority="27" operator="equal">
      <formula>"N/A"</formula>
    </cfRule>
  </conditionalFormatting>
  <conditionalFormatting sqref="D56:J66">
    <cfRule type="cellIs" dxfId="2146" priority="11" operator="equal">
      <formula>"NO CUMPLE"</formula>
    </cfRule>
    <cfRule type="notContainsErrors" dxfId="2145" priority="14">
      <formula>NOT(ISERROR(D56))</formula>
    </cfRule>
    <cfRule type="containsBlanks" dxfId="2144" priority="13">
      <formula>LEN(TRIM(D56))=0</formula>
    </cfRule>
    <cfRule type="cellIs" dxfId="2143" priority="12" operator="equal">
      <formula>"CUMPLE"</formula>
    </cfRule>
  </conditionalFormatting>
  <conditionalFormatting sqref="D67:J67">
    <cfRule type="cellIs" dxfId="2142" priority="23" operator="equal">
      <formula>"N/A"</formula>
    </cfRule>
    <cfRule type="cellIs" dxfId="2141" priority="24" operator="equal">
      <formula>"CUMPLE"</formula>
    </cfRule>
    <cfRule type="cellIs" dxfId="2140" priority="26" operator="equal">
      <formula>"""CUMPLE"""</formula>
    </cfRule>
    <cfRule type="cellIs" dxfId="2139" priority="25" operator="equal">
      <formula>"NO CUMPLE"</formula>
    </cfRule>
  </conditionalFormatting>
  <conditionalFormatting sqref="D62:K66">
    <cfRule type="containsBlanks" dxfId="2138" priority="15">
      <formula>LEN(TRIM(D62))=0</formula>
    </cfRule>
    <cfRule type="notContainsErrors" dxfId="2137" priority="16">
      <formula>NOT(ISERROR(D62))</formula>
    </cfRule>
  </conditionalFormatting>
  <conditionalFormatting sqref="E71:E72">
    <cfRule type="notContainsErrors" dxfId="2136" priority="93">
      <formula>NOT(ISERROR(E71))</formula>
    </cfRule>
    <cfRule type="containsBlanks" dxfId="2135" priority="92">
      <formula>LEN(TRIM(E71))=0</formula>
    </cfRule>
  </conditionalFormatting>
  <conditionalFormatting sqref="F22:H22">
    <cfRule type="cellIs" dxfId="2134" priority="116" operator="equal">
      <formula>"NO CUMPLE"</formula>
    </cfRule>
    <cfRule type="cellIs" dxfId="2133" priority="117" operator="equal">
      <formula>"""CUMPLE"""</formula>
    </cfRule>
    <cfRule type="cellIs" dxfId="2132" priority="115" operator="equal">
      <formula>"CUMPLE"</formula>
    </cfRule>
  </conditionalFormatting>
  <conditionalFormatting sqref="G63:J63">
    <cfRule type="containsBlanks" dxfId="2131" priority="7">
      <formula>LEN(TRIM(G63))=0</formula>
    </cfRule>
    <cfRule type="notContainsErrors" dxfId="2130" priority="8">
      <formula>NOT(ISERROR(G63))</formula>
    </cfRule>
  </conditionalFormatting>
  <conditionalFormatting sqref="I11">
    <cfRule type="containsText" dxfId="2129" priority="121" operator="containsText" text="NO CUMPLE">
      <formula>NOT(ISERROR(SEARCH("NO CUMPLE",I11)))</formula>
    </cfRule>
    <cfRule type="containsText" dxfId="2128" priority="120" operator="containsText" text="HABILITADO">
      <formula>NOT(ISERROR(SEARCH("HABILITADO",I11)))</formula>
    </cfRule>
    <cfRule type="containsText" dxfId="2127" priority="119" operator="containsText" text="HABILITADO">
      <formula>NOT(ISERROR(SEARCH("HABILITADO",I11)))</formula>
    </cfRule>
    <cfRule type="containsText" dxfId="2126" priority="118" operator="containsText" text="INHABILITADO">
      <formula>NOT(ISERROR(SEARCH("INHABILITADO",I11)))</formula>
    </cfRule>
  </conditionalFormatting>
  <conditionalFormatting sqref="K18:K20">
    <cfRule type="cellIs" dxfId="2125" priority="90" operator="equal">
      <formula>"NO CUMPLE"</formula>
    </cfRule>
    <cfRule type="cellIs" dxfId="2124" priority="91" operator="equal">
      <formula>"""CUMPLE"""</formula>
    </cfRule>
    <cfRule type="cellIs" dxfId="2123" priority="89" operator="equal">
      <formula>"CUMPLE"</formula>
    </cfRule>
  </conditionalFormatting>
  <conditionalFormatting sqref="K26:K61 D62:J62">
    <cfRule type="containsBlanks" dxfId="2122" priority="9">
      <formula>LEN(TRIM(D26))=0</formula>
    </cfRule>
    <cfRule type="notContainsErrors" dxfId="2121" priority="10">
      <formula>NOT(ISERROR(D26))</formula>
    </cfRule>
  </conditionalFormatting>
  <conditionalFormatting sqref="K67:L67">
    <cfRule type="containsBlanks" dxfId="2120" priority="21">
      <formula>LEN(TRIM(K67))=0</formula>
    </cfRule>
    <cfRule type="notContainsErrors" dxfId="2119" priority="22">
      <formula>NOT(ISERROR(K67))</formula>
    </cfRule>
  </conditionalFormatting>
  <conditionalFormatting sqref="L14">
    <cfRule type="cellIs" dxfId="2118" priority="114" operator="equal">
      <formula>"""CUMPLE"""</formula>
    </cfRule>
    <cfRule type="cellIs" dxfId="2117" priority="113" operator="equal">
      <formula>"NO CUMPLE"</formula>
    </cfRule>
    <cfRule type="cellIs" dxfId="2116" priority="112" operator="equal">
      <formula>"CUMPLE"</formula>
    </cfRule>
  </conditionalFormatting>
  <dataValidations count="2">
    <dataValidation type="list" allowBlank="1" showInputMessage="1" showErrorMessage="1" sqref="L62:L67" xr:uid="{00000000-0002-0000-3D00-000000000000}">
      <formula1>"0,1,2,3,4,5,6"</formula1>
    </dataValidation>
    <dataValidation type="list" allowBlank="1" showInputMessage="1" showErrorMessage="1" sqref="D26:J28" xr:uid="{00000000-0002-0000-3D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3D00-000002000000}">
          <x14:formula1>
            <xm:f>'DATOS INICIALES'!$D$27:$D$29</xm:f>
          </x14:formula1>
          <xm:sqref>M50:M55</xm:sqref>
        </x14:dataValidation>
        <x14:dataValidation type="list" allowBlank="1" showInputMessage="1" showErrorMessage="1" xr:uid="{00000000-0002-0000-3D00-000003000000}">
          <x14:formula1>
            <xm:f>'DATOS INICIALES'!$A$57:$A$58</xm:f>
          </x14:formula1>
          <xm:sqref>D49:J49</xm:sqref>
        </x14:dataValidation>
        <x14:dataValidation type="list" allowBlank="1" showInputMessage="1" showErrorMessage="1" xr:uid="{00000000-0002-0000-3D00-000004000000}">
          <x14:formula1>
            <xm:f>'DATOS INICIALES'!$A$61:$A$67</xm:f>
          </x14:formula1>
          <xm:sqref>J25</xm:sqref>
        </x14:dataValidation>
        <x14:dataValidation type="list" allowBlank="1" showInputMessage="1" showErrorMessage="1" xr:uid="{00000000-0002-0000-3D00-000005000000}">
          <x14:formula1>
            <xm:f>'DATOS INICIALES'!$C$52:$C$53</xm:f>
          </x14:formula1>
          <xm:sqref>D53:J54</xm:sqref>
        </x14:dataValidation>
        <x14:dataValidation type="list" allowBlank="1" showInputMessage="1" showErrorMessage="1" xr:uid="{00000000-0002-0000-3D00-000006000000}">
          <x14:formula1>
            <xm:f>'DATOS INICIALES'!$A$57:$A$59</xm:f>
          </x14:formula1>
          <xm:sqref>D71 D56:J66</xm:sqref>
        </x14:dataValidation>
        <x14:dataValidation type="list" allowBlank="1" showInputMessage="1" showErrorMessage="1" xr:uid="{00000000-0002-0000-3D00-000007000000}">
          <x14:formula1>
            <xm:f>'DATOS INICIALES'!$A$61:$A$66</xm:f>
          </x14:formula1>
          <xm:sqref>D25:I25</xm:sqref>
        </x14:dataValidation>
        <x14:dataValidation type="list" allowBlank="1" showInputMessage="1" showErrorMessage="1" xr:uid="{00000000-0002-0000-3D00-000008000000}">
          <x14:formula1>
            <xm:f>'DATOS INICIALES'!$A$13:$A$50</xm:f>
          </x14:formula1>
          <xm:sqref>G33:I33</xm:sqref>
        </x14:dataValidation>
        <x14:dataValidation type="list" allowBlank="1" showInputMessage="1" showErrorMessage="1" xr:uid="{00000000-0002-0000-3D00-000009000000}">
          <x14:formula1>
            <xm:f>'DATOS INICIALES'!$C$52:$C$54</xm:f>
          </x14:formula1>
          <xm:sqref>D50:J52</xm:sqref>
        </x14:dataValidation>
      </x14:dataValidations>
    </ext>
  </extLst>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sheetPr>
    <tabColor rgb="FF92D050"/>
  </sheetPr>
  <dimension ref="A1:N72"/>
  <sheetViews>
    <sheetView view="pageBreakPreview" topLeftCell="A34" zoomScale="55" zoomScaleNormal="25" zoomScaleSheetLayoutView="55" workbookViewId="0">
      <selection activeCell="F17" sqref="F17"/>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57</v>
      </c>
      <c r="B11" s="2" t="s">
        <v>58</v>
      </c>
      <c r="C11" s="413" t="str">
        <f>VLOOKUP(A11,PROPONENTES!A10:B94,2,FALSE)</f>
        <v>EUROESTUDIOS INGENIEROS DE CONSULTA SAS</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2</v>
      </c>
      <c r="J14" s="147">
        <f>+L8</f>
        <v>986.3076290832455</v>
      </c>
      <c r="K14" s="147">
        <f>+E22</f>
        <v>4420.0239999999994</v>
      </c>
      <c r="L14" s="18" t="str">
        <f>IF(K14&gt;=J14,"CUMPLE","NO CUMPLE")</f>
        <v>CUMPLE</v>
      </c>
    </row>
    <row r="15" spans="1:12" ht="33.75" customHeight="1" x14ac:dyDescent="0.2">
      <c r="B15" s="382"/>
      <c r="C15" s="92" t="str">
        <f>IF(VLOOKUP(C11,PROPONENTES!B10:N94,2,FALSE)=0,"",VLOOKUP(C11,PROPONENTES!B10:N94,2,FALSE))</f>
        <v>EUROESTUDIOS INGENIEROS DE CONSULTA SAS</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4420.0239999999994</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2210.0119999999997</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1</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2</v>
      </c>
      <c r="J19" s="128">
        <v>1</v>
      </c>
      <c r="K19" s="387"/>
      <c r="L19" s="388"/>
    </row>
    <row r="20" spans="2:14" ht="50.25" customHeight="1" x14ac:dyDescent="0.2">
      <c r="B20" s="382"/>
      <c r="C20" s="92"/>
      <c r="D20" s="93"/>
      <c r="E20" s="94"/>
      <c r="F20" s="95"/>
      <c r="G20" s="96"/>
      <c r="H20" s="96"/>
      <c r="I20" s="128">
        <f>COUNTIFS(D60:J60,"CUMPLE",D67:J67,"CUMPLE")</f>
        <v>2</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2</v>
      </c>
      <c r="J21" s="128">
        <v>1</v>
      </c>
      <c r="K21" s="389"/>
      <c r="L21" s="390"/>
    </row>
    <row r="22" spans="2:14" ht="84.75" customHeight="1" x14ac:dyDescent="0.2">
      <c r="B22" s="29" t="s">
        <v>75</v>
      </c>
      <c r="C22" s="24">
        <f>+VLOOKUP(C11,PROPONENTES!B10:N94,12,FALSE)</f>
        <v>1</v>
      </c>
      <c r="D22" s="93">
        <f>+VLOOKUP(C11,PROPONENTES!B10:N94,13,FALSE)</f>
        <v>1</v>
      </c>
      <c r="E22" s="32">
        <f>SUM(E15:E21)</f>
        <v>4420.0239999999994</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47</v>
      </c>
      <c r="E26" s="84" t="s">
        <v>47</v>
      </c>
      <c r="F26" s="84"/>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971</v>
      </c>
      <c r="E29" s="85" t="s">
        <v>972</v>
      </c>
      <c r="F29" s="85"/>
      <c r="G29" s="85"/>
      <c r="H29" s="85"/>
      <c r="I29" s="85"/>
      <c r="J29" s="85"/>
      <c r="K29" s="145"/>
      <c r="L29" s="140"/>
    </row>
    <row r="30" spans="2:14" ht="156.75" customHeight="1" x14ac:dyDescent="0.2">
      <c r="B30" s="374"/>
      <c r="C30" s="25" t="s">
        <v>84</v>
      </c>
      <c r="D30" s="85" t="s">
        <v>973</v>
      </c>
      <c r="E30" s="85" t="s">
        <v>974</v>
      </c>
      <c r="F30" s="85"/>
      <c r="G30" s="85"/>
      <c r="H30" s="85"/>
      <c r="I30" s="85"/>
      <c r="J30" s="85"/>
      <c r="K30" s="145"/>
      <c r="L30" s="140"/>
    </row>
    <row r="31" spans="2:14" ht="52.5" customHeight="1" x14ac:dyDescent="0.2">
      <c r="B31" s="374"/>
      <c r="C31" s="25" t="s">
        <v>85</v>
      </c>
      <c r="D31" s="89">
        <v>38534</v>
      </c>
      <c r="E31" s="89">
        <v>39694</v>
      </c>
      <c r="F31" s="89"/>
      <c r="G31" s="89"/>
      <c r="H31" s="89"/>
      <c r="I31" s="89"/>
      <c r="J31" s="89"/>
      <c r="K31" s="145"/>
      <c r="L31" s="140"/>
    </row>
    <row r="32" spans="2:14" ht="54.75" customHeight="1" x14ac:dyDescent="0.2">
      <c r="B32" s="374"/>
      <c r="C32" s="25" t="s">
        <v>86</v>
      </c>
      <c r="D32" s="89">
        <v>39007</v>
      </c>
      <c r="E32" s="89">
        <v>40283</v>
      </c>
      <c r="F32" s="89"/>
      <c r="G32" s="89"/>
      <c r="H32" s="89"/>
      <c r="I32" s="89"/>
      <c r="J32" s="89"/>
      <c r="K32" s="145"/>
      <c r="L32" s="140"/>
    </row>
    <row r="33" spans="2:12" ht="41.25" customHeight="1" x14ac:dyDescent="0.2">
      <c r="B33" s="374"/>
      <c r="C33" s="25" t="s">
        <v>87</v>
      </c>
      <c r="D33" s="86">
        <v>2006</v>
      </c>
      <c r="E33" s="86">
        <v>2010</v>
      </c>
      <c r="F33" s="86"/>
      <c r="G33" s="86"/>
      <c r="H33" s="86"/>
      <c r="I33" s="86"/>
      <c r="J33" s="86"/>
      <c r="K33" s="145"/>
      <c r="L33" s="140"/>
    </row>
    <row r="34" spans="2:12" ht="63" customHeight="1" x14ac:dyDescent="0.2">
      <c r="B34" s="374"/>
      <c r="C34" s="25" t="s">
        <v>88</v>
      </c>
      <c r="D34" s="85" t="s">
        <v>975</v>
      </c>
      <c r="E34" s="85" t="s">
        <v>976</v>
      </c>
      <c r="F34" s="85"/>
      <c r="G34" s="85"/>
      <c r="H34" s="85"/>
      <c r="I34" s="85"/>
      <c r="J34" s="85"/>
      <c r="K34" s="145"/>
      <c r="L34" s="140"/>
    </row>
    <row r="35" spans="2:12" ht="46.5" customHeight="1" x14ac:dyDescent="0.2">
      <c r="B35" s="374"/>
      <c r="C35" s="25" t="s">
        <v>89</v>
      </c>
      <c r="D35" s="85" t="s">
        <v>977</v>
      </c>
      <c r="E35" s="85" t="s">
        <v>977</v>
      </c>
      <c r="F35" s="85"/>
      <c r="G35" s="85"/>
      <c r="H35" s="85"/>
      <c r="I35" s="85"/>
      <c r="J35" s="85"/>
      <c r="K35" s="145"/>
      <c r="L35" s="140"/>
    </row>
    <row r="36" spans="2:12" ht="27.75" customHeight="1" x14ac:dyDescent="0.2">
      <c r="B36" s="374"/>
      <c r="C36" s="26" t="s">
        <v>90</v>
      </c>
      <c r="D36" s="90">
        <v>32</v>
      </c>
      <c r="E36" s="90">
        <v>33</v>
      </c>
      <c r="F36" s="90"/>
      <c r="G36" s="91"/>
      <c r="H36" s="91"/>
      <c r="I36" s="91"/>
      <c r="J36" s="91"/>
      <c r="K36" s="145"/>
      <c r="L36" s="140"/>
    </row>
    <row r="37" spans="2:12" ht="102.75" customHeight="1" x14ac:dyDescent="0.2">
      <c r="B37" s="374"/>
      <c r="C37" s="25" t="s">
        <v>91</v>
      </c>
      <c r="D37" s="87">
        <v>3055.02</v>
      </c>
      <c r="E37" s="158">
        <v>6090.53</v>
      </c>
      <c r="F37" s="87"/>
      <c r="G37" s="87"/>
      <c r="H37" s="87"/>
      <c r="I37" s="87"/>
      <c r="J37" s="87"/>
      <c r="K37" s="242"/>
      <c r="L37" s="243"/>
    </row>
    <row r="38" spans="2:12" ht="48" customHeight="1" x14ac:dyDescent="0.2">
      <c r="B38" s="374"/>
      <c r="C38" s="25" t="s">
        <v>92</v>
      </c>
      <c r="D38" s="97">
        <f>IFERROR(D37*VLOOKUP(D33,'DATOS INICIALES'!$A$12:$B$50,2,0),"0")</f>
        <v>1246448160</v>
      </c>
      <c r="E38" s="97">
        <f>IFERROR(E37*VLOOKUP(E33,'DATOS INICIALES'!$A$12:$B$50,2,0),"0")</f>
        <v>3136622950</v>
      </c>
      <c r="F38" s="97" t="str">
        <f>IFERROR(F37*VLOOKUP(F33,'DATOS INICIALES'!$A$12:$B$50,2,0),"0")</f>
        <v>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0.45</v>
      </c>
      <c r="E39" s="88">
        <v>0.5</v>
      </c>
      <c r="F39" s="88"/>
      <c r="G39" s="88"/>
      <c r="H39" s="88"/>
      <c r="I39" s="88"/>
      <c r="J39" s="88"/>
      <c r="K39" s="145"/>
      <c r="L39" s="140"/>
    </row>
    <row r="40" spans="2:12" ht="48.75" customHeight="1" x14ac:dyDescent="0.2">
      <c r="B40" s="374"/>
      <c r="C40" s="25" t="s">
        <v>94</v>
      </c>
      <c r="D40" s="97">
        <f t="shared" ref="D40:J40" si="0">IF(D26="","0",D39*D38)</f>
        <v>560901672</v>
      </c>
      <c r="E40" s="97">
        <f t="shared" si="0"/>
        <v>1568311475</v>
      </c>
      <c r="F40" s="97" t="str">
        <f t="shared" si="0"/>
        <v>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1374.759</v>
      </c>
      <c r="E41" s="98">
        <f t="shared" si="1"/>
        <v>3045.2649999999999</v>
      </c>
      <c r="F41" s="98">
        <f t="shared" si="1"/>
        <v>0</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1374.759</v>
      </c>
      <c r="E48" s="98">
        <f t="shared" ref="E48:G48" si="6">+E41+E44+E47</f>
        <v>3045.2649999999999</v>
      </c>
      <c r="F48" s="98">
        <f t="shared" si="6"/>
        <v>0</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N/A</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26</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N/A</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0:C70"/>
    <mergeCell ref="B71:C71"/>
    <mergeCell ref="B72:C72"/>
    <mergeCell ref="B65:C65"/>
    <mergeCell ref="B66:C66"/>
    <mergeCell ref="B67:C67"/>
    <mergeCell ref="B69:E69"/>
    <mergeCell ref="B62:C62"/>
    <mergeCell ref="B63:C63"/>
    <mergeCell ref="B64:C64"/>
    <mergeCell ref="B59:C59"/>
    <mergeCell ref="B60:C60"/>
    <mergeCell ref="B61:C61"/>
    <mergeCell ref="B56:C56"/>
    <mergeCell ref="B57:C57"/>
    <mergeCell ref="B58:C58"/>
    <mergeCell ref="B50:B55"/>
    <mergeCell ref="B28:C28"/>
    <mergeCell ref="B29:B47"/>
    <mergeCell ref="I22:L22"/>
    <mergeCell ref="B12:L12"/>
    <mergeCell ref="B13:H13"/>
    <mergeCell ref="B14:B21"/>
    <mergeCell ref="K17:L17"/>
    <mergeCell ref="K18:L21"/>
    <mergeCell ref="B24:L24"/>
    <mergeCell ref="K25:L25"/>
    <mergeCell ref="B26:C26"/>
    <mergeCell ref="B27:C27"/>
    <mergeCell ref="B23:L23"/>
    <mergeCell ref="C8:I8"/>
    <mergeCell ref="C9:I9"/>
    <mergeCell ref="C10:I10"/>
    <mergeCell ref="C11:G11"/>
    <mergeCell ref="B2:L2"/>
    <mergeCell ref="B3:L3"/>
    <mergeCell ref="B4:L4"/>
    <mergeCell ref="B5:L5"/>
    <mergeCell ref="B7:I7"/>
    <mergeCell ref="J7:L7"/>
    <mergeCell ref="I11:L11"/>
  </mergeCells>
  <conditionalFormatting sqref="D71">
    <cfRule type="cellIs" dxfId="2115" priority="73" operator="equal">
      <formula>"CUMPLE"</formula>
    </cfRule>
    <cfRule type="containsBlanks" dxfId="2114" priority="70">
      <formula>LEN(TRIM(D71))=0</formula>
    </cfRule>
    <cfRule type="notContainsErrors" dxfId="2113" priority="71">
      <formula>NOT(ISERROR(D71))</formula>
    </cfRule>
    <cfRule type="cellIs" dxfId="2112" priority="72" operator="equal">
      <formula>"NO CUMPLE"</formula>
    </cfRule>
  </conditionalFormatting>
  <conditionalFormatting sqref="D72">
    <cfRule type="cellIs" dxfId="2111" priority="75" operator="equal">
      <formula>"CUMPLE"</formula>
    </cfRule>
    <cfRule type="cellIs" dxfId="2110" priority="74" operator="equal">
      <formula>"N/A"</formula>
    </cfRule>
    <cfRule type="cellIs" dxfId="2109" priority="77" operator="equal">
      <formula>"""CUMPLE"""</formula>
    </cfRule>
    <cfRule type="cellIs" dxfId="2108" priority="76" operator="equal">
      <formula>"NO CUMPLE"</formula>
    </cfRule>
  </conditionalFormatting>
  <conditionalFormatting sqref="D26:J37">
    <cfRule type="notContainsErrors" dxfId="2107" priority="4">
      <formula>NOT(ISERROR(D26))</formula>
    </cfRule>
    <cfRule type="containsBlanks" dxfId="2106" priority="3">
      <formula>LEN(TRIM(D26))=0</formula>
    </cfRule>
  </conditionalFormatting>
  <conditionalFormatting sqref="D36:J36">
    <cfRule type="notContainsErrors" dxfId="2105" priority="6">
      <formula>NOT(ISERROR(D36))</formula>
    </cfRule>
    <cfRule type="containsBlanks" dxfId="2104" priority="5">
      <formula>LEN(TRIM(D36))=0</formula>
    </cfRule>
  </conditionalFormatting>
  <conditionalFormatting sqref="D39:J39">
    <cfRule type="containsBlanks" dxfId="2103" priority="1">
      <formula>LEN(TRIM(D39))=0</formula>
    </cfRule>
    <cfRule type="notContainsErrors" dxfId="2102" priority="2">
      <formula>NOT(ISERROR(D39))</formula>
    </cfRule>
  </conditionalFormatting>
  <conditionalFormatting sqref="D42:J42 D45:J45">
    <cfRule type="notContainsErrors" dxfId="2101" priority="38">
      <formula>NOT(ISERROR(D42))</formula>
    </cfRule>
    <cfRule type="containsBlanks" dxfId="2100" priority="37">
      <formula>LEN(TRIM(D42))=0</formula>
    </cfRule>
  </conditionalFormatting>
  <conditionalFormatting sqref="D49:J54">
    <cfRule type="cellIs" dxfId="2099" priority="17" operator="equal">
      <formula>"NO CUMPLE"</formula>
    </cfRule>
    <cfRule type="cellIs" dxfId="2098" priority="18" operator="equal">
      <formula>"CUMPLE"</formula>
    </cfRule>
    <cfRule type="containsBlanks" dxfId="2097" priority="19">
      <formula>LEN(TRIM(D49))=0</formula>
    </cfRule>
    <cfRule type="notContainsErrors" dxfId="2096" priority="20">
      <formula>NOT(ISERROR(D49))</formula>
    </cfRule>
  </conditionalFormatting>
  <conditionalFormatting sqref="D55:J55">
    <cfRule type="cellIs" dxfId="2095" priority="28" operator="equal">
      <formula>"CUMPLE"</formula>
    </cfRule>
    <cfRule type="cellIs" dxfId="2094" priority="30" operator="equal">
      <formula>"""CUMPLE"""</formula>
    </cfRule>
    <cfRule type="cellIs" dxfId="2093" priority="29" operator="equal">
      <formula>"NO CUMPLE"</formula>
    </cfRule>
    <cfRule type="cellIs" dxfId="2092" priority="27" operator="equal">
      <formula>"N/A"</formula>
    </cfRule>
  </conditionalFormatting>
  <conditionalFormatting sqref="D56:J66">
    <cfRule type="cellIs" dxfId="2091" priority="11" operator="equal">
      <formula>"NO CUMPLE"</formula>
    </cfRule>
    <cfRule type="notContainsErrors" dxfId="2090" priority="14">
      <formula>NOT(ISERROR(D56))</formula>
    </cfRule>
    <cfRule type="containsBlanks" dxfId="2089" priority="13">
      <formula>LEN(TRIM(D56))=0</formula>
    </cfRule>
    <cfRule type="cellIs" dxfId="2088" priority="12" operator="equal">
      <formula>"CUMPLE"</formula>
    </cfRule>
  </conditionalFormatting>
  <conditionalFormatting sqref="D67:J67">
    <cfRule type="cellIs" dxfId="2087" priority="23" operator="equal">
      <formula>"N/A"</formula>
    </cfRule>
    <cfRule type="cellIs" dxfId="2086" priority="24" operator="equal">
      <formula>"CUMPLE"</formula>
    </cfRule>
    <cfRule type="cellIs" dxfId="2085" priority="26" operator="equal">
      <formula>"""CUMPLE"""</formula>
    </cfRule>
    <cfRule type="cellIs" dxfId="2084" priority="25" operator="equal">
      <formula>"NO CUMPLE"</formula>
    </cfRule>
  </conditionalFormatting>
  <conditionalFormatting sqref="D62:K66">
    <cfRule type="containsBlanks" dxfId="2083" priority="15">
      <formula>LEN(TRIM(D62))=0</formula>
    </cfRule>
    <cfRule type="notContainsErrors" dxfId="2082" priority="16">
      <formula>NOT(ISERROR(D62))</formula>
    </cfRule>
  </conditionalFormatting>
  <conditionalFormatting sqref="E71:E72">
    <cfRule type="notContainsErrors" dxfId="2081" priority="69">
      <formula>NOT(ISERROR(E71))</formula>
    </cfRule>
    <cfRule type="containsBlanks" dxfId="2080" priority="68">
      <formula>LEN(TRIM(E71))=0</formula>
    </cfRule>
  </conditionalFormatting>
  <conditionalFormatting sqref="F22:H22">
    <cfRule type="cellIs" dxfId="2079" priority="92" operator="equal">
      <formula>"NO CUMPLE"</formula>
    </cfRule>
    <cfRule type="cellIs" dxfId="2078" priority="93" operator="equal">
      <formula>"""CUMPLE"""</formula>
    </cfRule>
    <cfRule type="cellIs" dxfId="2077" priority="91" operator="equal">
      <formula>"CUMPLE"</formula>
    </cfRule>
  </conditionalFormatting>
  <conditionalFormatting sqref="G63:J63">
    <cfRule type="containsBlanks" dxfId="2076" priority="7">
      <formula>LEN(TRIM(G63))=0</formula>
    </cfRule>
    <cfRule type="notContainsErrors" dxfId="2075" priority="8">
      <formula>NOT(ISERROR(G63))</formula>
    </cfRule>
  </conditionalFormatting>
  <conditionalFormatting sqref="I11">
    <cfRule type="containsText" dxfId="2074" priority="97" operator="containsText" text="NO CUMPLE">
      <formula>NOT(ISERROR(SEARCH("NO CUMPLE",I11)))</formula>
    </cfRule>
    <cfRule type="containsText" dxfId="2073" priority="96" operator="containsText" text="HABILITADO">
      <formula>NOT(ISERROR(SEARCH("HABILITADO",I11)))</formula>
    </cfRule>
    <cfRule type="containsText" dxfId="2072" priority="95" operator="containsText" text="HABILITADO">
      <formula>NOT(ISERROR(SEARCH("HABILITADO",I11)))</formula>
    </cfRule>
    <cfRule type="containsText" dxfId="2071" priority="94" operator="containsText" text="INHABILITADO">
      <formula>NOT(ISERROR(SEARCH("INHABILITADO",I11)))</formula>
    </cfRule>
  </conditionalFormatting>
  <conditionalFormatting sqref="K18:K20">
    <cfRule type="cellIs" dxfId="2070" priority="66" operator="equal">
      <formula>"NO CUMPLE"</formula>
    </cfRule>
    <cfRule type="cellIs" dxfId="2069" priority="67" operator="equal">
      <formula>"""CUMPLE"""</formula>
    </cfRule>
    <cfRule type="cellIs" dxfId="2068" priority="65" operator="equal">
      <formula>"CUMPLE"</formula>
    </cfRule>
  </conditionalFormatting>
  <conditionalFormatting sqref="K26:K61 D62:J62">
    <cfRule type="containsBlanks" dxfId="2067" priority="9">
      <formula>LEN(TRIM(D26))=0</formula>
    </cfRule>
    <cfRule type="notContainsErrors" dxfId="2066" priority="10">
      <formula>NOT(ISERROR(D26))</formula>
    </cfRule>
  </conditionalFormatting>
  <conditionalFormatting sqref="K67:L67">
    <cfRule type="containsBlanks" dxfId="2065" priority="21">
      <formula>LEN(TRIM(K67))=0</formula>
    </cfRule>
    <cfRule type="notContainsErrors" dxfId="2064" priority="22">
      <formula>NOT(ISERROR(K67))</formula>
    </cfRule>
  </conditionalFormatting>
  <conditionalFormatting sqref="L14">
    <cfRule type="cellIs" dxfId="2063" priority="90" operator="equal">
      <formula>"""CUMPLE"""</formula>
    </cfRule>
    <cfRule type="cellIs" dxfId="2062" priority="89" operator="equal">
      <formula>"NO CUMPLE"</formula>
    </cfRule>
    <cfRule type="cellIs" dxfId="2061" priority="88" operator="equal">
      <formula>"CUMPLE"</formula>
    </cfRule>
  </conditionalFormatting>
  <dataValidations count="2">
    <dataValidation type="list" allowBlank="1" showInputMessage="1" showErrorMessage="1" sqref="D26:J28" xr:uid="{00000000-0002-0000-3E00-000000000000}">
      <formula1>$C$15:$C$21</formula1>
    </dataValidation>
    <dataValidation type="list" allowBlank="1" showInputMessage="1" showErrorMessage="1" sqref="L62:L67" xr:uid="{00000000-0002-0000-3E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3E00-000002000000}">
          <x14:formula1>
            <xm:f>'DATOS INICIALES'!$D$27:$D$29</xm:f>
          </x14:formula1>
          <xm:sqref>M50:M55</xm:sqref>
        </x14:dataValidation>
        <x14:dataValidation type="list" allowBlank="1" showInputMessage="1" showErrorMessage="1" xr:uid="{00000000-0002-0000-3E00-000003000000}">
          <x14:formula1>
            <xm:f>'DATOS INICIALES'!$A$13:$A$50</xm:f>
          </x14:formula1>
          <xm:sqref>G33:I33</xm:sqref>
        </x14:dataValidation>
        <x14:dataValidation type="list" allowBlank="1" showInputMessage="1" showErrorMessage="1" xr:uid="{00000000-0002-0000-3E00-000004000000}">
          <x14:formula1>
            <xm:f>'DATOS INICIALES'!$A$61:$A$66</xm:f>
          </x14:formula1>
          <xm:sqref>D25:I25</xm:sqref>
        </x14:dataValidation>
        <x14:dataValidation type="list" allowBlank="1" showInputMessage="1" showErrorMessage="1" xr:uid="{00000000-0002-0000-3E00-000005000000}">
          <x14:formula1>
            <xm:f>'DATOS INICIALES'!$A$57:$A$59</xm:f>
          </x14:formula1>
          <xm:sqref>D71 D56:J66</xm:sqref>
        </x14:dataValidation>
        <x14:dataValidation type="list" allowBlank="1" showInputMessage="1" showErrorMessage="1" xr:uid="{00000000-0002-0000-3E00-000006000000}">
          <x14:formula1>
            <xm:f>'DATOS INICIALES'!$C$52:$C$53</xm:f>
          </x14:formula1>
          <xm:sqref>D53:J54</xm:sqref>
        </x14:dataValidation>
        <x14:dataValidation type="list" allowBlank="1" showInputMessage="1" showErrorMessage="1" xr:uid="{00000000-0002-0000-3E00-000007000000}">
          <x14:formula1>
            <xm:f>'DATOS INICIALES'!$A$61:$A$67</xm:f>
          </x14:formula1>
          <xm:sqref>J25</xm:sqref>
        </x14:dataValidation>
        <x14:dataValidation type="list" allowBlank="1" showInputMessage="1" showErrorMessage="1" xr:uid="{00000000-0002-0000-3E00-000008000000}">
          <x14:formula1>
            <xm:f>'DATOS INICIALES'!$A$57:$A$58</xm:f>
          </x14:formula1>
          <xm:sqref>D49:J49</xm:sqref>
        </x14:dataValidation>
        <x14:dataValidation type="list" allowBlank="1" showInputMessage="1" showErrorMessage="1" xr:uid="{00000000-0002-0000-3E00-000009000000}">
          <x14:formula1>
            <xm:f>'DATOS INICIALES'!$C$52:$C$54</xm:f>
          </x14:formula1>
          <xm:sqref>D50:J52</xm:sqref>
        </x14:dataValidation>
      </x14:dataValidations>
    </ext>
  </extLst>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sheetPr>
    <tabColor rgb="FF92D050"/>
  </sheetPr>
  <dimension ref="A1:N72"/>
  <sheetViews>
    <sheetView view="pageBreakPreview" zoomScale="55" zoomScaleNormal="25" zoomScaleSheetLayoutView="55" workbookViewId="0">
      <selection activeCell="L16" sqref="L16"/>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58</v>
      </c>
      <c r="B11" s="2" t="s">
        <v>58</v>
      </c>
      <c r="C11" s="413" t="str">
        <f>VLOOKUP(A11,PROPONENTES!A10:B94,2,FALSE)</f>
        <v>CONSORCIO CUARZO 37</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1</v>
      </c>
      <c r="J14" s="147">
        <f>+L8</f>
        <v>986.3076290832455</v>
      </c>
      <c r="K14" s="147">
        <f>+E22</f>
        <v>1295.9549999999999</v>
      </c>
      <c r="L14" s="18" t="str">
        <f>IF(K14&gt;=J14,"CUMPLE","NO CUMPLE")</f>
        <v>CUMPLE</v>
      </c>
    </row>
    <row r="15" spans="1:12" ht="33.75" customHeight="1" x14ac:dyDescent="0.2">
      <c r="B15" s="382"/>
      <c r="C15" s="92" t="str">
        <f>IF(VLOOKUP(C11,PROPONENTES!B10:N94,2,FALSE)=0,"",VLOOKUP(C11,PROPONENTES!B10:N94,2,FALSE))</f>
        <v>RAFAEL JAVIER GUISA 
RUEDA</v>
      </c>
      <c r="D15" s="93">
        <f>IF(VLOOKUP(C11,PROPONENTES!B10:N94,3,FALSE)=0,"",VLOOKUP(C11,PROPONENTES!B10:N94,3,FALSE))</f>
        <v>0.9</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1295.9549999999999</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xml:space="preserve">GRUPO GUERREROS 
CONSTRUCTORES SAS </v>
      </c>
      <c r="D16" s="93">
        <f>IF(VLOOKUP(C11,PROPONENTES!B10:N94,5,FALSE)=0,"",VLOOKUP(C11,PROPONENTES!B10:N94,5,FALSE))</f>
        <v>0.1</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0</v>
      </c>
      <c r="F16" s="95" t="str">
        <f>IF(C16="","",IF(E16&gt;=$J$14*0.5,"SI","NO"))</f>
        <v>NO</v>
      </c>
      <c r="G16" s="96" t="str">
        <f>IF(C16="","",IF(E16&gt;=$J$14*0.05,"SI",IF(E16=0,"NO APORTA EXPERIENCIA",)))</f>
        <v>NO APORTA EXPERIENCIA</v>
      </c>
      <c r="H16" s="96" t="str">
        <f>IF(C16="","",IF(AND(G16="NO APORTA EXPERIENCIA",D16&lt;=10%),"SI",IF(G16="SI","NO APLICA","NO - PORCENTAJE MAYOR AL 10%")))</f>
        <v>SI</v>
      </c>
      <c r="I16" s="162"/>
      <c r="J16" s="162"/>
      <c r="K16" s="162"/>
      <c r="L16" s="161">
        <f>AVERAGEIF(D67:J67,"CUMPLE",D48:J48)</f>
        <v>1295.9549999999999</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1</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1</v>
      </c>
      <c r="J19" s="128">
        <v>1</v>
      </c>
      <c r="K19" s="387"/>
      <c r="L19" s="388"/>
    </row>
    <row r="20" spans="2:14" ht="50.25" customHeight="1" x14ac:dyDescent="0.2">
      <c r="B20" s="382"/>
      <c r="C20" s="92"/>
      <c r="D20" s="93"/>
      <c r="E20" s="94"/>
      <c r="F20" s="95"/>
      <c r="G20" s="96"/>
      <c r="H20" s="96"/>
      <c r="I20" s="128">
        <f>COUNTIFS(D60:J60,"CUMPLE",D67:J67,"CUMPLE")</f>
        <v>1</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1</v>
      </c>
      <c r="J21" s="128">
        <v>1</v>
      </c>
      <c r="K21" s="389"/>
      <c r="L21" s="390"/>
    </row>
    <row r="22" spans="2:14" ht="84.75" customHeight="1" x14ac:dyDescent="0.2">
      <c r="B22" s="29" t="s">
        <v>75</v>
      </c>
      <c r="C22" s="24">
        <f>+VLOOKUP(C11,PROPONENTES!B10:N94,12,FALSE)</f>
        <v>2</v>
      </c>
      <c r="D22" s="93">
        <f>+VLOOKUP(C11,PROPONENTES!B10:N94,13,FALSE)</f>
        <v>1</v>
      </c>
      <c r="E22" s="32">
        <f>SUM(E15:E21)</f>
        <v>1295.9549999999999</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946</v>
      </c>
      <c r="E26" s="84"/>
      <c r="F26" s="84"/>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978</v>
      </c>
      <c r="E29" s="85"/>
      <c r="F29" s="85"/>
      <c r="G29" s="85"/>
      <c r="H29" s="85"/>
      <c r="I29" s="85"/>
      <c r="J29" s="85"/>
      <c r="K29" s="145"/>
      <c r="L29" s="140"/>
    </row>
    <row r="30" spans="2:14" ht="156.75" customHeight="1" x14ac:dyDescent="0.2">
      <c r="B30" s="374"/>
      <c r="C30" s="25" t="s">
        <v>84</v>
      </c>
      <c r="D30" s="85" t="s">
        <v>979</v>
      </c>
      <c r="E30" s="85"/>
      <c r="F30" s="85"/>
      <c r="G30" s="85"/>
      <c r="H30" s="85"/>
      <c r="I30" s="85"/>
      <c r="J30" s="85"/>
      <c r="K30" s="145"/>
      <c r="L30" s="140"/>
    </row>
    <row r="31" spans="2:14" ht="52.5" customHeight="1" x14ac:dyDescent="0.2">
      <c r="B31" s="374"/>
      <c r="C31" s="25" t="s">
        <v>85</v>
      </c>
      <c r="D31" s="89">
        <v>44907</v>
      </c>
      <c r="E31" s="89"/>
      <c r="F31" s="89"/>
      <c r="G31" s="89"/>
      <c r="H31" s="89"/>
      <c r="I31" s="89"/>
      <c r="J31" s="89"/>
      <c r="K31" s="145"/>
      <c r="L31" s="140"/>
    </row>
    <row r="32" spans="2:14" ht="54.75" customHeight="1" x14ac:dyDescent="0.2">
      <c r="B32" s="374"/>
      <c r="C32" s="25" t="s">
        <v>86</v>
      </c>
      <c r="D32" s="89">
        <v>45516</v>
      </c>
      <c r="E32" s="89"/>
      <c r="F32" s="89"/>
      <c r="G32" s="89"/>
      <c r="H32" s="89"/>
      <c r="I32" s="89"/>
      <c r="J32" s="89"/>
      <c r="K32" s="145"/>
      <c r="L32" s="140"/>
    </row>
    <row r="33" spans="2:12" ht="41.25" customHeight="1" x14ac:dyDescent="0.2">
      <c r="B33" s="374"/>
      <c r="C33" s="25" t="s">
        <v>87</v>
      </c>
      <c r="D33" s="86">
        <v>2024</v>
      </c>
      <c r="E33" s="86"/>
      <c r="F33" s="86"/>
      <c r="G33" s="86"/>
      <c r="H33" s="86"/>
      <c r="I33" s="86"/>
      <c r="J33" s="86"/>
      <c r="K33" s="145"/>
      <c r="L33" s="140"/>
    </row>
    <row r="34" spans="2:12" ht="63" customHeight="1" x14ac:dyDescent="0.2">
      <c r="B34" s="374"/>
      <c r="C34" s="25" t="s">
        <v>88</v>
      </c>
      <c r="D34" s="85" t="s">
        <v>980</v>
      </c>
      <c r="E34" s="85"/>
      <c r="F34" s="85"/>
      <c r="G34" s="85"/>
      <c r="H34" s="85"/>
      <c r="I34" s="85"/>
      <c r="J34" s="85"/>
      <c r="K34" s="145"/>
      <c r="L34" s="140"/>
    </row>
    <row r="35" spans="2:12" ht="46.5" customHeight="1" x14ac:dyDescent="0.2">
      <c r="B35" s="374"/>
      <c r="C35" s="25" t="s">
        <v>89</v>
      </c>
      <c r="D35" s="85" t="s">
        <v>946</v>
      </c>
      <c r="E35" s="85"/>
      <c r="F35" s="85"/>
      <c r="G35" s="85"/>
      <c r="H35" s="85"/>
      <c r="I35" s="85"/>
      <c r="J35" s="85"/>
      <c r="K35" s="145"/>
      <c r="L35" s="140"/>
    </row>
    <row r="36" spans="2:12" ht="27.75" customHeight="1" x14ac:dyDescent="0.2">
      <c r="B36" s="374"/>
      <c r="C36" s="26" t="s">
        <v>90</v>
      </c>
      <c r="D36" s="90">
        <v>71</v>
      </c>
      <c r="E36" s="90"/>
      <c r="F36" s="90"/>
      <c r="G36" s="91"/>
      <c r="H36" s="91"/>
      <c r="I36" s="91"/>
      <c r="J36" s="91"/>
      <c r="K36" s="145"/>
      <c r="L36" s="140"/>
    </row>
    <row r="37" spans="2:12" ht="102.75" customHeight="1" x14ac:dyDescent="0.2">
      <c r="B37" s="374"/>
      <c r="C37" s="25" t="s">
        <v>91</v>
      </c>
      <c r="D37" s="87">
        <v>2591.91</v>
      </c>
      <c r="E37" s="158"/>
      <c r="F37" s="87"/>
      <c r="G37" s="87"/>
      <c r="H37" s="87"/>
      <c r="I37" s="87"/>
      <c r="J37" s="87"/>
      <c r="K37" s="242"/>
      <c r="L37" s="243"/>
    </row>
    <row r="38" spans="2:12" ht="48" customHeight="1" x14ac:dyDescent="0.2">
      <c r="B38" s="374"/>
      <c r="C38" s="25" t="s">
        <v>92</v>
      </c>
      <c r="D38" s="97">
        <f>IFERROR(D37*VLOOKUP(D33,'DATOS INICIALES'!$A$12:$B$50,2,0),"0")</f>
        <v>3369483000</v>
      </c>
      <c r="E38" s="97" t="str">
        <f>IFERROR(E37*VLOOKUP(E33,'DATOS INICIALES'!$A$12:$B$50,2,0),"0")</f>
        <v>0</v>
      </c>
      <c r="F38" s="97" t="str">
        <f>IFERROR(F37*VLOOKUP(F33,'DATOS INICIALES'!$A$12:$B$50,2,0),"0")</f>
        <v>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0.5</v>
      </c>
      <c r="E39" s="88"/>
      <c r="F39" s="88"/>
      <c r="G39" s="88"/>
      <c r="H39" s="88"/>
      <c r="I39" s="88"/>
      <c r="J39" s="88"/>
      <c r="K39" s="145"/>
      <c r="L39" s="140"/>
    </row>
    <row r="40" spans="2:12" ht="48.75" customHeight="1" x14ac:dyDescent="0.2">
      <c r="B40" s="374"/>
      <c r="C40" s="25" t="s">
        <v>94</v>
      </c>
      <c r="D40" s="97">
        <f t="shared" ref="D40:J40" si="0">IF(D26="","0",D39*D38)</f>
        <v>1684741500</v>
      </c>
      <c r="E40" s="97" t="str">
        <f t="shared" si="0"/>
        <v>0</v>
      </c>
      <c r="F40" s="97" t="str">
        <f t="shared" si="0"/>
        <v>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1295.9549999999999</v>
      </c>
      <c r="E41" s="98">
        <f t="shared" si="1"/>
        <v>0</v>
      </c>
      <c r="F41" s="98">
        <f t="shared" si="1"/>
        <v>0</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1295.9549999999999</v>
      </c>
      <c r="E48" s="98">
        <f t="shared" ref="E48:G48" si="6">+E41+E44+E47</f>
        <v>0</v>
      </c>
      <c r="F48" s="98">
        <f t="shared" si="6"/>
        <v>0</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N/A</v>
      </c>
      <c r="F55" s="18" t="str">
        <f t="shared" si="8"/>
        <v>N/A</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531" t="s">
        <v>1420</v>
      </c>
      <c r="L56" s="532"/>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N/A</v>
      </c>
      <c r="F67" s="18" t="str">
        <f>IF(F26="","N/A",IF(AND(F49="CUMPLE",F55="CUMPLE",OR(F56="CUMPLE",F56="N/A"),OR(F59="CUMPLE",F59="N/A"),F62="CUMPLE",F63="CUMPLE",OR(F64="CUMPLE",F64="N/A"),F65="CUMPLE",OR(F66="CUMPLE",F66="N/A")),"CUMPLE","NO CUMPLE"))</f>
        <v>N/A</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2">
    <mergeCell ref="B62:C62"/>
    <mergeCell ref="B63:C63"/>
    <mergeCell ref="B64:C64"/>
    <mergeCell ref="B59:C59"/>
    <mergeCell ref="B60:C60"/>
    <mergeCell ref="B61:C61"/>
    <mergeCell ref="B70:C70"/>
    <mergeCell ref="B71:C71"/>
    <mergeCell ref="B72:C72"/>
    <mergeCell ref="B65:C65"/>
    <mergeCell ref="B66:C66"/>
    <mergeCell ref="B67:C67"/>
    <mergeCell ref="B69:E69"/>
    <mergeCell ref="B58:C58"/>
    <mergeCell ref="B50:B55"/>
    <mergeCell ref="B28:C28"/>
    <mergeCell ref="B29:B47"/>
    <mergeCell ref="I22:L22"/>
    <mergeCell ref="B24:L24"/>
    <mergeCell ref="K25:L25"/>
    <mergeCell ref="B26:C26"/>
    <mergeCell ref="B27:C27"/>
    <mergeCell ref="B23:L23"/>
    <mergeCell ref="K56:L56"/>
    <mergeCell ref="B56:C56"/>
    <mergeCell ref="B57:C57"/>
    <mergeCell ref="B12:L12"/>
    <mergeCell ref="B13:H13"/>
    <mergeCell ref="B14:B21"/>
    <mergeCell ref="K17:L17"/>
    <mergeCell ref="K18:L21"/>
    <mergeCell ref="C8:I8"/>
    <mergeCell ref="C9:I9"/>
    <mergeCell ref="C10:I10"/>
    <mergeCell ref="C11:G11"/>
    <mergeCell ref="B2:L2"/>
    <mergeCell ref="B3:L3"/>
    <mergeCell ref="B4:L4"/>
    <mergeCell ref="B5:L5"/>
    <mergeCell ref="B7:I7"/>
    <mergeCell ref="J7:L7"/>
    <mergeCell ref="I11:L11"/>
  </mergeCells>
  <conditionalFormatting sqref="D71">
    <cfRule type="cellIs" dxfId="2060" priority="101" operator="equal">
      <formula>"CUMPLE"</formula>
    </cfRule>
    <cfRule type="cellIs" dxfId="2059" priority="100" operator="equal">
      <formula>"NO CUMPLE"</formula>
    </cfRule>
    <cfRule type="containsBlanks" dxfId="2058" priority="98">
      <formula>LEN(TRIM(D71))=0</formula>
    </cfRule>
    <cfRule type="notContainsErrors" dxfId="2057" priority="99">
      <formula>NOT(ISERROR(D71))</formula>
    </cfRule>
  </conditionalFormatting>
  <conditionalFormatting sqref="D72">
    <cfRule type="cellIs" dxfId="2056" priority="102" operator="equal">
      <formula>"N/A"</formula>
    </cfRule>
    <cfRule type="cellIs" dxfId="2055" priority="104" operator="equal">
      <formula>"NO CUMPLE"</formula>
    </cfRule>
    <cfRule type="cellIs" dxfId="2054" priority="103" operator="equal">
      <formula>"CUMPLE"</formula>
    </cfRule>
    <cfRule type="cellIs" dxfId="2053" priority="105" operator="equal">
      <formula>"""CUMPLE"""</formula>
    </cfRule>
  </conditionalFormatting>
  <conditionalFormatting sqref="D26:J37">
    <cfRule type="notContainsErrors" dxfId="2052" priority="6">
      <formula>NOT(ISERROR(D26))</formula>
    </cfRule>
    <cfRule type="containsBlanks" dxfId="2051" priority="5">
      <formula>LEN(TRIM(D26))=0</formula>
    </cfRule>
  </conditionalFormatting>
  <conditionalFormatting sqref="D36:J36">
    <cfRule type="notContainsErrors" dxfId="2050" priority="8">
      <formula>NOT(ISERROR(D36))</formula>
    </cfRule>
    <cfRule type="containsBlanks" dxfId="2049" priority="7">
      <formula>LEN(TRIM(D36))=0</formula>
    </cfRule>
  </conditionalFormatting>
  <conditionalFormatting sqref="D39:J39">
    <cfRule type="containsBlanks" dxfId="2048" priority="3">
      <formula>LEN(TRIM(D39))=0</formula>
    </cfRule>
    <cfRule type="notContainsErrors" dxfId="2047" priority="4">
      <formula>NOT(ISERROR(D39))</formula>
    </cfRule>
  </conditionalFormatting>
  <conditionalFormatting sqref="D42:J42 D45:J45">
    <cfRule type="notContainsErrors" dxfId="2046" priority="64">
      <formula>NOT(ISERROR(D42))</formula>
    </cfRule>
    <cfRule type="containsBlanks" dxfId="2045" priority="63">
      <formula>LEN(TRIM(D42))=0</formula>
    </cfRule>
  </conditionalFormatting>
  <conditionalFormatting sqref="D49:J54">
    <cfRule type="notContainsErrors" dxfId="2044" priority="22">
      <formula>NOT(ISERROR(D49))</formula>
    </cfRule>
    <cfRule type="containsBlanks" dxfId="2043" priority="21">
      <formula>LEN(TRIM(D49))=0</formula>
    </cfRule>
    <cfRule type="cellIs" dxfId="2042" priority="19" operator="equal">
      <formula>"NO CUMPLE"</formula>
    </cfRule>
    <cfRule type="cellIs" dxfId="2041" priority="20" operator="equal">
      <formula>"CUMPLE"</formula>
    </cfRule>
  </conditionalFormatting>
  <conditionalFormatting sqref="D55:J55">
    <cfRule type="cellIs" dxfId="2040" priority="31" operator="equal">
      <formula>"NO CUMPLE"</formula>
    </cfRule>
    <cfRule type="cellIs" dxfId="2039" priority="32" operator="equal">
      <formula>"""CUMPLE"""</formula>
    </cfRule>
    <cfRule type="cellIs" dxfId="2038" priority="29" operator="equal">
      <formula>"N/A"</formula>
    </cfRule>
    <cfRule type="cellIs" dxfId="2037" priority="30" operator="equal">
      <formula>"CUMPLE"</formula>
    </cfRule>
  </conditionalFormatting>
  <conditionalFormatting sqref="D56:J66">
    <cfRule type="cellIs" dxfId="2036" priority="14" operator="equal">
      <formula>"CUMPLE"</formula>
    </cfRule>
    <cfRule type="cellIs" dxfId="2035" priority="13" operator="equal">
      <formula>"NO CUMPLE"</formula>
    </cfRule>
    <cfRule type="containsBlanks" dxfId="2034" priority="15">
      <formula>LEN(TRIM(D56))=0</formula>
    </cfRule>
    <cfRule type="notContainsErrors" dxfId="2033" priority="16">
      <formula>NOT(ISERROR(D56))</formula>
    </cfRule>
  </conditionalFormatting>
  <conditionalFormatting sqref="D62:J62">
    <cfRule type="notContainsErrors" dxfId="2032" priority="12">
      <formula>NOT(ISERROR(D62))</formula>
    </cfRule>
    <cfRule type="containsBlanks" dxfId="2031" priority="11">
      <formula>LEN(TRIM(D62))=0</formula>
    </cfRule>
  </conditionalFormatting>
  <conditionalFormatting sqref="D67:J67">
    <cfRule type="cellIs" dxfId="2030" priority="26" operator="equal">
      <formula>"CUMPLE"</formula>
    </cfRule>
    <cfRule type="cellIs" dxfId="2029" priority="25" operator="equal">
      <formula>"N/A"</formula>
    </cfRule>
    <cfRule type="cellIs" dxfId="2028" priority="27" operator="equal">
      <formula>"NO CUMPLE"</formula>
    </cfRule>
    <cfRule type="cellIs" dxfId="2027" priority="28" operator="equal">
      <formula>"""CUMPLE"""</formula>
    </cfRule>
  </conditionalFormatting>
  <conditionalFormatting sqref="D62:K66">
    <cfRule type="containsBlanks" dxfId="2026" priority="17">
      <formula>LEN(TRIM(D62))=0</formula>
    </cfRule>
    <cfRule type="notContainsErrors" dxfId="2025" priority="18">
      <formula>NOT(ISERROR(D62))</formula>
    </cfRule>
  </conditionalFormatting>
  <conditionalFormatting sqref="E71:E72">
    <cfRule type="notContainsErrors" dxfId="2024" priority="97">
      <formula>NOT(ISERROR(E71))</formula>
    </cfRule>
    <cfRule type="containsBlanks" dxfId="2023" priority="96">
      <formula>LEN(TRIM(E71))=0</formula>
    </cfRule>
  </conditionalFormatting>
  <conditionalFormatting sqref="F22:H22">
    <cfRule type="cellIs" dxfId="2022" priority="120" operator="equal">
      <formula>"NO CUMPLE"</formula>
    </cfRule>
    <cfRule type="cellIs" dxfId="2021" priority="119" operator="equal">
      <formula>"CUMPLE"</formula>
    </cfRule>
    <cfRule type="cellIs" dxfId="2020" priority="121" operator="equal">
      <formula>"""CUMPLE"""</formula>
    </cfRule>
  </conditionalFormatting>
  <conditionalFormatting sqref="G63:J63">
    <cfRule type="containsBlanks" dxfId="2019" priority="9">
      <formula>LEN(TRIM(G63))=0</formula>
    </cfRule>
    <cfRule type="notContainsErrors" dxfId="2018" priority="10">
      <formula>NOT(ISERROR(G63))</formula>
    </cfRule>
  </conditionalFormatting>
  <conditionalFormatting sqref="I11">
    <cfRule type="containsText" dxfId="2017" priority="125" operator="containsText" text="NO CUMPLE">
      <formula>NOT(ISERROR(SEARCH("NO CUMPLE",I11)))</formula>
    </cfRule>
    <cfRule type="containsText" dxfId="2016" priority="124" operator="containsText" text="HABILITADO">
      <formula>NOT(ISERROR(SEARCH("HABILITADO",I11)))</formula>
    </cfRule>
    <cfRule type="containsText" dxfId="2015" priority="123" operator="containsText" text="HABILITADO">
      <formula>NOT(ISERROR(SEARCH("HABILITADO",I11)))</formula>
    </cfRule>
    <cfRule type="containsText" dxfId="2014" priority="122" operator="containsText" text="INHABILITADO">
      <formula>NOT(ISERROR(SEARCH("INHABILITADO",I11)))</formula>
    </cfRule>
  </conditionalFormatting>
  <conditionalFormatting sqref="K18:K20">
    <cfRule type="cellIs" dxfId="2013" priority="94" operator="equal">
      <formula>"NO CUMPLE"</formula>
    </cfRule>
    <cfRule type="cellIs" dxfId="2012" priority="93" operator="equal">
      <formula>"CUMPLE"</formula>
    </cfRule>
    <cfRule type="cellIs" dxfId="2011" priority="95" operator="equal">
      <formula>"""CUMPLE"""</formula>
    </cfRule>
  </conditionalFormatting>
  <conditionalFormatting sqref="K26:K61">
    <cfRule type="containsBlanks" dxfId="2010" priority="1">
      <formula>LEN(TRIM(K26))=0</formula>
    </cfRule>
    <cfRule type="notContainsErrors" dxfId="2009" priority="2">
      <formula>NOT(ISERROR(K26))</formula>
    </cfRule>
  </conditionalFormatting>
  <conditionalFormatting sqref="K67:L67">
    <cfRule type="containsBlanks" dxfId="2008" priority="23">
      <formula>LEN(TRIM(K67))=0</formula>
    </cfRule>
    <cfRule type="notContainsErrors" dxfId="2007" priority="24">
      <formula>NOT(ISERROR(K67))</formula>
    </cfRule>
  </conditionalFormatting>
  <conditionalFormatting sqref="L14">
    <cfRule type="cellIs" dxfId="2006" priority="118" operator="equal">
      <formula>"""CUMPLE"""</formula>
    </cfRule>
    <cfRule type="cellIs" dxfId="2005" priority="117" operator="equal">
      <formula>"NO CUMPLE"</formula>
    </cfRule>
    <cfRule type="cellIs" dxfId="2004" priority="116" operator="equal">
      <formula>"CUMPLE"</formula>
    </cfRule>
  </conditionalFormatting>
  <dataValidations count="2">
    <dataValidation type="list" allowBlank="1" showInputMessage="1" showErrorMessage="1" sqref="L62:L67" xr:uid="{00000000-0002-0000-3F00-000000000000}">
      <formula1>"0,1,2,3,4,5,6"</formula1>
    </dataValidation>
    <dataValidation type="list" allowBlank="1" showInputMessage="1" showErrorMessage="1" sqref="D26:J28" xr:uid="{00000000-0002-0000-3F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3F00-000002000000}">
          <x14:formula1>
            <xm:f>'DATOS INICIALES'!$D$27:$D$29</xm:f>
          </x14:formula1>
          <xm:sqref>M50:M55</xm:sqref>
        </x14:dataValidation>
        <x14:dataValidation type="list" allowBlank="1" showInputMessage="1" showErrorMessage="1" xr:uid="{00000000-0002-0000-3F00-000003000000}">
          <x14:formula1>
            <xm:f>'DATOS INICIALES'!$A$57:$A$58</xm:f>
          </x14:formula1>
          <xm:sqref>D49:J49</xm:sqref>
        </x14:dataValidation>
        <x14:dataValidation type="list" allowBlank="1" showInputMessage="1" showErrorMessage="1" xr:uid="{00000000-0002-0000-3F00-000004000000}">
          <x14:formula1>
            <xm:f>'DATOS INICIALES'!$A$61:$A$67</xm:f>
          </x14:formula1>
          <xm:sqref>J25</xm:sqref>
        </x14:dataValidation>
        <x14:dataValidation type="list" allowBlank="1" showInputMessage="1" showErrorMessage="1" xr:uid="{00000000-0002-0000-3F00-000005000000}">
          <x14:formula1>
            <xm:f>'DATOS INICIALES'!$C$52:$C$53</xm:f>
          </x14:formula1>
          <xm:sqref>D53:J54</xm:sqref>
        </x14:dataValidation>
        <x14:dataValidation type="list" allowBlank="1" showInputMessage="1" showErrorMessage="1" xr:uid="{00000000-0002-0000-3F00-000006000000}">
          <x14:formula1>
            <xm:f>'DATOS INICIALES'!$A$57:$A$59</xm:f>
          </x14:formula1>
          <xm:sqref>D71 D56:J66</xm:sqref>
        </x14:dataValidation>
        <x14:dataValidation type="list" allowBlank="1" showInputMessage="1" showErrorMessage="1" xr:uid="{00000000-0002-0000-3F00-000007000000}">
          <x14:formula1>
            <xm:f>'DATOS INICIALES'!$A$61:$A$66</xm:f>
          </x14:formula1>
          <xm:sqref>D25:I25</xm:sqref>
        </x14:dataValidation>
        <x14:dataValidation type="list" allowBlank="1" showInputMessage="1" showErrorMessage="1" xr:uid="{00000000-0002-0000-3F00-000008000000}">
          <x14:formula1>
            <xm:f>'DATOS INICIALES'!$A$13:$A$50</xm:f>
          </x14:formula1>
          <xm:sqref>G33:I33</xm:sqref>
        </x14:dataValidation>
        <x14:dataValidation type="list" allowBlank="1" showInputMessage="1" showErrorMessage="1" xr:uid="{00000000-0002-0000-3F00-000009000000}">
          <x14:formula1>
            <xm:f>'DATOS INICIALES'!$C$52:$C$54</xm:f>
          </x14:formula1>
          <xm:sqref>D50:J52</xm:sqref>
        </x14:dataValidation>
      </x14:dataValidations>
    </ext>
  </extLst>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tabColor rgb="FF92D050"/>
  </sheetPr>
  <dimension ref="A1:N72"/>
  <sheetViews>
    <sheetView view="pageBreakPreview" zoomScale="40" zoomScaleNormal="25" zoomScaleSheetLayoutView="40" workbookViewId="0">
      <selection activeCell="K30" sqref="K30:L30"/>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59</v>
      </c>
      <c r="B11" s="2" t="s">
        <v>58</v>
      </c>
      <c r="C11" s="413" t="str">
        <f>VLOOKUP(A11,PROPONENTES!A10:B94,2,FALSE)</f>
        <v>INGENIERIA MASTER S.A.S.</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4</v>
      </c>
      <c r="J14" s="147">
        <f>+L8</f>
        <v>986.3076290832455</v>
      </c>
      <c r="K14" s="147">
        <f>+E22</f>
        <v>7162.4769999999999</v>
      </c>
      <c r="L14" s="18" t="str">
        <f>IF(K14&gt;=J14,"CUMPLE","NO CUMPLE")</f>
        <v>CUMPLE</v>
      </c>
    </row>
    <row r="15" spans="1:12" ht="33.75" customHeight="1" x14ac:dyDescent="0.2">
      <c r="B15" s="382"/>
      <c r="C15" s="92" t="str">
        <f>IF(VLOOKUP(C11,PROPONENTES!B10:N94,2,FALSE)=0,"",VLOOKUP(C11,PROPONENTES!B10:N94,2,FALSE))</f>
        <v>INGENIERIA MASTER S.A.S.</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7162.4769999999999</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1790.61925</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4</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4</v>
      </c>
      <c r="J19" s="128">
        <v>1</v>
      </c>
      <c r="K19" s="387"/>
      <c r="L19" s="388"/>
    </row>
    <row r="20" spans="2:14" ht="50.25" customHeight="1" x14ac:dyDescent="0.2">
      <c r="B20" s="382"/>
      <c r="C20" s="92"/>
      <c r="D20" s="93"/>
      <c r="E20" s="94"/>
      <c r="F20" s="95"/>
      <c r="G20" s="96"/>
      <c r="H20" s="96"/>
      <c r="I20" s="128">
        <f>COUNTIFS(D60:J60,"CUMPLE",D67:J67,"CUMPLE")</f>
        <v>4</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4</v>
      </c>
      <c r="J21" s="128">
        <v>1</v>
      </c>
      <c r="K21" s="389"/>
      <c r="L21" s="390"/>
    </row>
    <row r="22" spans="2:14" ht="84.75" customHeight="1" x14ac:dyDescent="0.2">
      <c r="B22" s="29" t="s">
        <v>75</v>
      </c>
      <c r="C22" s="24">
        <f>+VLOOKUP(C11,PROPONENTES!B10:N94,12,FALSE)</f>
        <v>1</v>
      </c>
      <c r="D22" s="93">
        <f>+VLOOKUP(C11,PROPONENTES!B10:N94,13,FALSE)</f>
        <v>1</v>
      </c>
      <c r="E22" s="32">
        <f>SUM(E15:E21)</f>
        <v>7162.4769999999999</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261</v>
      </c>
      <c r="E26" s="84" t="s">
        <v>261</v>
      </c>
      <c r="F26" s="84" t="s">
        <v>261</v>
      </c>
      <c r="G26" s="84" t="s">
        <v>261</v>
      </c>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981</v>
      </c>
      <c r="E29" s="85" t="s">
        <v>982</v>
      </c>
      <c r="F29" s="85" t="s">
        <v>983</v>
      </c>
      <c r="G29" s="85" t="s">
        <v>984</v>
      </c>
      <c r="H29" s="85"/>
      <c r="I29" s="85"/>
      <c r="J29" s="85"/>
      <c r="K29" s="145"/>
      <c r="L29" s="140"/>
    </row>
    <row r="30" spans="2:14" ht="156.75" customHeight="1" x14ac:dyDescent="0.2">
      <c r="B30" s="374"/>
      <c r="C30" s="25" t="s">
        <v>84</v>
      </c>
      <c r="D30" s="85" t="s">
        <v>985</v>
      </c>
      <c r="E30" s="85" t="s">
        <v>986</v>
      </c>
      <c r="F30" s="85" t="s">
        <v>987</v>
      </c>
      <c r="G30" s="85" t="s">
        <v>988</v>
      </c>
      <c r="H30" s="85"/>
      <c r="I30" s="85"/>
      <c r="J30" s="85"/>
      <c r="K30" s="531"/>
      <c r="L30" s="532"/>
    </row>
    <row r="31" spans="2:14" ht="52.5" customHeight="1" x14ac:dyDescent="0.2">
      <c r="B31" s="374"/>
      <c r="C31" s="25" t="s">
        <v>85</v>
      </c>
      <c r="D31" s="89">
        <v>42699</v>
      </c>
      <c r="E31" s="89">
        <v>43766</v>
      </c>
      <c r="F31" s="89">
        <v>43381</v>
      </c>
      <c r="G31" s="89">
        <v>43679</v>
      </c>
      <c r="H31" s="89"/>
      <c r="I31" s="89"/>
      <c r="J31" s="89"/>
      <c r="K31" s="145"/>
      <c r="L31" s="140"/>
    </row>
    <row r="32" spans="2:14" ht="54.75" customHeight="1" x14ac:dyDescent="0.2">
      <c r="B32" s="374"/>
      <c r="C32" s="25" t="s">
        <v>86</v>
      </c>
      <c r="D32" s="89">
        <v>44414</v>
      </c>
      <c r="E32" s="89">
        <v>43935</v>
      </c>
      <c r="F32" s="89">
        <v>43506</v>
      </c>
      <c r="G32" s="89">
        <v>44155</v>
      </c>
      <c r="H32" s="89"/>
      <c r="I32" s="89"/>
      <c r="J32" s="89"/>
      <c r="K32" s="145"/>
      <c r="L32" s="140"/>
    </row>
    <row r="33" spans="2:12" ht="41.25" customHeight="1" x14ac:dyDescent="0.2">
      <c r="B33" s="374"/>
      <c r="C33" s="25" t="s">
        <v>87</v>
      </c>
      <c r="D33" s="86">
        <v>2021</v>
      </c>
      <c r="E33" s="86">
        <v>2020</v>
      </c>
      <c r="F33" s="86">
        <v>2019</v>
      </c>
      <c r="G33" s="86">
        <v>2020</v>
      </c>
      <c r="H33" s="86"/>
      <c r="I33" s="86"/>
      <c r="J33" s="86"/>
      <c r="K33" s="145"/>
      <c r="L33" s="140"/>
    </row>
    <row r="34" spans="2:12" ht="63" customHeight="1" x14ac:dyDescent="0.2">
      <c r="B34" s="374"/>
      <c r="C34" s="25" t="s">
        <v>88</v>
      </c>
      <c r="D34" s="85" t="s">
        <v>989</v>
      </c>
      <c r="E34" s="85" t="s">
        <v>990</v>
      </c>
      <c r="F34" s="85" t="s">
        <v>991</v>
      </c>
      <c r="G34" s="85" t="s">
        <v>992</v>
      </c>
      <c r="H34" s="85"/>
      <c r="I34" s="85"/>
      <c r="J34" s="85"/>
      <c r="K34" s="145"/>
      <c r="L34" s="140"/>
    </row>
    <row r="35" spans="2:12" ht="46.5" customHeight="1" x14ac:dyDescent="0.2">
      <c r="B35" s="374"/>
      <c r="C35" s="25" t="s">
        <v>89</v>
      </c>
      <c r="D35" s="85" t="s">
        <v>261</v>
      </c>
      <c r="E35" s="85" t="s">
        <v>261</v>
      </c>
      <c r="F35" s="85" t="s">
        <v>261</v>
      </c>
      <c r="G35" s="85" t="s">
        <v>261</v>
      </c>
      <c r="H35" s="85"/>
      <c r="I35" s="85"/>
      <c r="J35" s="85"/>
      <c r="K35" s="145"/>
      <c r="L35" s="140"/>
    </row>
    <row r="36" spans="2:12" ht="27.75" customHeight="1" x14ac:dyDescent="0.2">
      <c r="B36" s="374"/>
      <c r="C36" s="26" t="s">
        <v>90</v>
      </c>
      <c r="D36" s="90">
        <v>190</v>
      </c>
      <c r="E36" s="90">
        <v>185</v>
      </c>
      <c r="F36" s="90">
        <v>135</v>
      </c>
      <c r="G36" s="91">
        <v>267</v>
      </c>
      <c r="H36" s="91"/>
      <c r="I36" s="91"/>
      <c r="J36" s="91"/>
      <c r="K36" s="145"/>
      <c r="L36" s="140"/>
    </row>
    <row r="37" spans="2:12" ht="102.75" customHeight="1" x14ac:dyDescent="0.2">
      <c r="B37" s="374"/>
      <c r="C37" s="25" t="s">
        <v>91</v>
      </c>
      <c r="D37" s="87">
        <v>9412.59</v>
      </c>
      <c r="E37" s="158">
        <v>144.97999999999999</v>
      </c>
      <c r="F37" s="87">
        <v>356.23</v>
      </c>
      <c r="G37" s="87">
        <v>434.85</v>
      </c>
      <c r="H37" s="87"/>
      <c r="I37" s="87"/>
      <c r="J37" s="87"/>
      <c r="K37" s="242"/>
      <c r="L37" s="243"/>
    </row>
    <row r="38" spans="2:12" ht="48" customHeight="1" x14ac:dyDescent="0.2">
      <c r="B38" s="374"/>
      <c r="C38" s="25" t="s">
        <v>92</v>
      </c>
      <c r="D38" s="97">
        <f>IFERROR(D37*VLOOKUP(D33,'DATOS INICIALES'!$A$12:$B$50,2,0),"0")</f>
        <v>8551582742.3400002</v>
      </c>
      <c r="E38" s="97">
        <f>IFERROR(E37*VLOOKUP(E33,'DATOS INICIALES'!$A$12:$B$50,2,0),"0")</f>
        <v>127263878.94</v>
      </c>
      <c r="F38" s="97">
        <f>IFERROR(F37*VLOOKUP(F33,'DATOS INICIALES'!$A$12:$B$50,2,0),"0")</f>
        <v>294999762.68000001</v>
      </c>
      <c r="G38" s="97">
        <f>IFERROR(G37*VLOOKUP(G33,'DATOS INICIALES'!$A$12:$B$50,2,0),"0")</f>
        <v>381712634.55000001</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0.7</v>
      </c>
      <c r="E39" s="88">
        <v>0.3</v>
      </c>
      <c r="F39" s="88">
        <v>1</v>
      </c>
      <c r="G39" s="88">
        <v>0.4</v>
      </c>
      <c r="H39" s="88"/>
      <c r="I39" s="88"/>
      <c r="J39" s="88"/>
      <c r="K39" s="145"/>
      <c r="L39" s="140"/>
    </row>
    <row r="40" spans="2:12" ht="48.75" customHeight="1" x14ac:dyDescent="0.2">
      <c r="B40" s="374"/>
      <c r="C40" s="25" t="s">
        <v>94</v>
      </c>
      <c r="D40" s="97">
        <f t="shared" ref="D40:J40" si="0">IF(D26="","0",D39*D38)</f>
        <v>5986107919.6379995</v>
      </c>
      <c r="E40" s="97">
        <f t="shared" si="0"/>
        <v>38179163.681999996</v>
      </c>
      <c r="F40" s="97">
        <f t="shared" si="0"/>
        <v>294999762.68000001</v>
      </c>
      <c r="G40" s="97">
        <f t="shared" si="0"/>
        <v>152685053.82000002</v>
      </c>
      <c r="H40" s="97" t="str">
        <f t="shared" si="0"/>
        <v>0</v>
      </c>
      <c r="I40" s="97" t="str">
        <f t="shared" si="0"/>
        <v>0</v>
      </c>
      <c r="J40" s="97" t="str">
        <f t="shared" si="0"/>
        <v>0</v>
      </c>
      <c r="K40" s="145"/>
      <c r="L40" s="140"/>
    </row>
    <row r="41" spans="2:12" ht="65.25" customHeight="1" x14ac:dyDescent="0.2">
      <c r="B41" s="374"/>
      <c r="C41" s="25" t="s">
        <v>95</v>
      </c>
      <c r="D41" s="98">
        <f t="shared" ref="D41:J41" si="1">IFERROR(D37*D39,"0")</f>
        <v>6588.8130000000001</v>
      </c>
      <c r="E41" s="98">
        <f t="shared" si="1"/>
        <v>43.493999999999993</v>
      </c>
      <c r="F41" s="98">
        <f t="shared" si="1"/>
        <v>356.23</v>
      </c>
      <c r="G41" s="98">
        <f t="shared" si="1"/>
        <v>173.94000000000003</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6588.8130000000001</v>
      </c>
      <c r="E48" s="98">
        <f t="shared" ref="E48:G48" si="6">+E41+E44+E47</f>
        <v>43.493999999999993</v>
      </c>
      <c r="F48" s="98">
        <f t="shared" si="6"/>
        <v>356.23</v>
      </c>
      <c r="G48" s="98">
        <f t="shared" si="6"/>
        <v>173.94000000000003</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CUMPLE</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489"/>
      <c r="L56" s="49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CUMPLE</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3">
    <mergeCell ref="K56:L56"/>
    <mergeCell ref="K30:L30"/>
    <mergeCell ref="B70:C70"/>
    <mergeCell ref="B71:C71"/>
    <mergeCell ref="B72:C72"/>
    <mergeCell ref="B65:C65"/>
    <mergeCell ref="B66:C66"/>
    <mergeCell ref="B67:C67"/>
    <mergeCell ref="B69:E69"/>
    <mergeCell ref="B62:C62"/>
    <mergeCell ref="B63:C63"/>
    <mergeCell ref="B64:C64"/>
    <mergeCell ref="B59:C59"/>
    <mergeCell ref="B60:C60"/>
    <mergeCell ref="B61:C61"/>
    <mergeCell ref="B56:C56"/>
    <mergeCell ref="B57:C57"/>
    <mergeCell ref="B58:C58"/>
    <mergeCell ref="B50:B55"/>
    <mergeCell ref="B28:C28"/>
    <mergeCell ref="B29:B47"/>
    <mergeCell ref="I22:L22"/>
    <mergeCell ref="B12:L12"/>
    <mergeCell ref="B13:H13"/>
    <mergeCell ref="B14:B21"/>
    <mergeCell ref="K17:L17"/>
    <mergeCell ref="K18:L21"/>
    <mergeCell ref="B24:L24"/>
    <mergeCell ref="K25:L25"/>
    <mergeCell ref="B26:C26"/>
    <mergeCell ref="B27:C27"/>
    <mergeCell ref="B23:L23"/>
    <mergeCell ref="C8:I8"/>
    <mergeCell ref="C9:I9"/>
    <mergeCell ref="C10:I10"/>
    <mergeCell ref="C11:G11"/>
    <mergeCell ref="B2:L2"/>
    <mergeCell ref="B3:L3"/>
    <mergeCell ref="B4:L4"/>
    <mergeCell ref="B5:L5"/>
    <mergeCell ref="B7:I7"/>
    <mergeCell ref="J7:L7"/>
    <mergeCell ref="I11:L11"/>
  </mergeCells>
  <conditionalFormatting sqref="D71">
    <cfRule type="cellIs" dxfId="2003" priority="77" operator="equal">
      <formula>"CUMPLE"</formula>
    </cfRule>
    <cfRule type="cellIs" dxfId="2002" priority="76" operator="equal">
      <formula>"NO CUMPLE"</formula>
    </cfRule>
    <cfRule type="containsBlanks" dxfId="2001" priority="74">
      <formula>LEN(TRIM(D71))=0</formula>
    </cfRule>
    <cfRule type="notContainsErrors" dxfId="2000" priority="75">
      <formula>NOT(ISERROR(D71))</formula>
    </cfRule>
  </conditionalFormatting>
  <conditionalFormatting sqref="D72">
    <cfRule type="cellIs" dxfId="1999" priority="78" operator="equal">
      <formula>"N/A"</formula>
    </cfRule>
    <cfRule type="cellIs" dxfId="1998" priority="80" operator="equal">
      <formula>"NO CUMPLE"</formula>
    </cfRule>
    <cfRule type="cellIs" dxfId="1997" priority="79" operator="equal">
      <formula>"CUMPLE"</formula>
    </cfRule>
    <cfRule type="cellIs" dxfId="1996" priority="81" operator="equal">
      <formula>"""CUMPLE"""</formula>
    </cfRule>
  </conditionalFormatting>
  <conditionalFormatting sqref="D26:J37">
    <cfRule type="notContainsErrors" dxfId="1995" priority="8">
      <formula>NOT(ISERROR(D26))</formula>
    </cfRule>
    <cfRule type="containsBlanks" dxfId="1994" priority="7">
      <formula>LEN(TRIM(D26))=0</formula>
    </cfRule>
  </conditionalFormatting>
  <conditionalFormatting sqref="D36:J36">
    <cfRule type="notContainsErrors" dxfId="1993" priority="10">
      <formula>NOT(ISERROR(D36))</formula>
    </cfRule>
    <cfRule type="containsBlanks" dxfId="1992" priority="9">
      <formula>LEN(TRIM(D36))=0</formula>
    </cfRule>
  </conditionalFormatting>
  <conditionalFormatting sqref="D39:J39">
    <cfRule type="containsBlanks" dxfId="1991" priority="5">
      <formula>LEN(TRIM(D39))=0</formula>
    </cfRule>
    <cfRule type="notContainsErrors" dxfId="1990" priority="6">
      <formula>NOT(ISERROR(D39))</formula>
    </cfRule>
  </conditionalFormatting>
  <conditionalFormatting sqref="D42:J42 D45:J45">
    <cfRule type="notContainsErrors" dxfId="1989" priority="42">
      <formula>NOT(ISERROR(D42))</formula>
    </cfRule>
    <cfRule type="containsBlanks" dxfId="1988" priority="41">
      <formula>LEN(TRIM(D42))=0</formula>
    </cfRule>
  </conditionalFormatting>
  <conditionalFormatting sqref="D49:J54">
    <cfRule type="notContainsErrors" dxfId="1987" priority="24">
      <formula>NOT(ISERROR(D49))</formula>
    </cfRule>
    <cfRule type="containsBlanks" dxfId="1986" priority="23">
      <formula>LEN(TRIM(D49))=0</formula>
    </cfRule>
    <cfRule type="cellIs" dxfId="1985" priority="21" operator="equal">
      <formula>"NO CUMPLE"</formula>
    </cfRule>
    <cfRule type="cellIs" dxfId="1984" priority="22" operator="equal">
      <formula>"CUMPLE"</formula>
    </cfRule>
  </conditionalFormatting>
  <conditionalFormatting sqref="D55:J55">
    <cfRule type="cellIs" dxfId="1983" priority="33" operator="equal">
      <formula>"NO CUMPLE"</formula>
    </cfRule>
    <cfRule type="cellIs" dxfId="1982" priority="34" operator="equal">
      <formula>"""CUMPLE"""</formula>
    </cfRule>
    <cfRule type="cellIs" dxfId="1981" priority="31" operator="equal">
      <formula>"N/A"</formula>
    </cfRule>
    <cfRule type="cellIs" dxfId="1980" priority="32" operator="equal">
      <formula>"CUMPLE"</formula>
    </cfRule>
  </conditionalFormatting>
  <conditionalFormatting sqref="D56:J66">
    <cfRule type="cellIs" dxfId="1979" priority="16" operator="equal">
      <formula>"CUMPLE"</formula>
    </cfRule>
    <cfRule type="cellIs" dxfId="1978" priority="15" operator="equal">
      <formula>"NO CUMPLE"</formula>
    </cfRule>
    <cfRule type="containsBlanks" dxfId="1977" priority="17">
      <formula>LEN(TRIM(D56))=0</formula>
    </cfRule>
    <cfRule type="notContainsErrors" dxfId="1976" priority="18">
      <formula>NOT(ISERROR(D56))</formula>
    </cfRule>
  </conditionalFormatting>
  <conditionalFormatting sqref="D62:J62">
    <cfRule type="notContainsErrors" dxfId="1975" priority="14">
      <formula>NOT(ISERROR(D62))</formula>
    </cfRule>
    <cfRule type="containsBlanks" dxfId="1974" priority="13">
      <formula>LEN(TRIM(D62))=0</formula>
    </cfRule>
  </conditionalFormatting>
  <conditionalFormatting sqref="D67:J67">
    <cfRule type="cellIs" dxfId="1973" priority="28" operator="equal">
      <formula>"CUMPLE"</formula>
    </cfRule>
    <cfRule type="cellIs" dxfId="1972" priority="27" operator="equal">
      <formula>"N/A"</formula>
    </cfRule>
    <cfRule type="cellIs" dxfId="1971" priority="29" operator="equal">
      <formula>"NO CUMPLE"</formula>
    </cfRule>
    <cfRule type="cellIs" dxfId="1970" priority="30" operator="equal">
      <formula>"""CUMPLE"""</formula>
    </cfRule>
  </conditionalFormatting>
  <conditionalFormatting sqref="D62:K66">
    <cfRule type="containsBlanks" dxfId="1969" priority="19">
      <formula>LEN(TRIM(D62))=0</formula>
    </cfRule>
    <cfRule type="notContainsErrors" dxfId="1968" priority="20">
      <formula>NOT(ISERROR(D62))</formula>
    </cfRule>
  </conditionalFormatting>
  <conditionalFormatting sqref="E71:E72">
    <cfRule type="notContainsErrors" dxfId="1967" priority="73">
      <formula>NOT(ISERROR(E71))</formula>
    </cfRule>
    <cfRule type="containsBlanks" dxfId="1966" priority="72">
      <formula>LEN(TRIM(E71))=0</formula>
    </cfRule>
  </conditionalFormatting>
  <conditionalFormatting sqref="F22:H22">
    <cfRule type="cellIs" dxfId="1965" priority="96" operator="equal">
      <formula>"NO CUMPLE"</formula>
    </cfRule>
    <cfRule type="cellIs" dxfId="1964" priority="95" operator="equal">
      <formula>"CUMPLE"</formula>
    </cfRule>
    <cfRule type="cellIs" dxfId="1963" priority="97" operator="equal">
      <formula>"""CUMPLE"""</formula>
    </cfRule>
  </conditionalFormatting>
  <conditionalFormatting sqref="G63:J63">
    <cfRule type="containsBlanks" dxfId="1962" priority="11">
      <formula>LEN(TRIM(G63))=0</formula>
    </cfRule>
    <cfRule type="notContainsErrors" dxfId="1961" priority="12">
      <formula>NOT(ISERROR(G63))</formula>
    </cfRule>
  </conditionalFormatting>
  <conditionalFormatting sqref="I11">
    <cfRule type="containsText" dxfId="1960" priority="101" operator="containsText" text="NO CUMPLE">
      <formula>NOT(ISERROR(SEARCH("NO CUMPLE",I11)))</formula>
    </cfRule>
    <cfRule type="containsText" dxfId="1959" priority="100" operator="containsText" text="HABILITADO">
      <formula>NOT(ISERROR(SEARCH("HABILITADO",I11)))</formula>
    </cfRule>
    <cfRule type="containsText" dxfId="1958" priority="99" operator="containsText" text="HABILITADO">
      <formula>NOT(ISERROR(SEARCH("HABILITADO",I11)))</formula>
    </cfRule>
    <cfRule type="containsText" dxfId="1957" priority="98" operator="containsText" text="INHABILITADO">
      <formula>NOT(ISERROR(SEARCH("INHABILITADO",I11)))</formula>
    </cfRule>
  </conditionalFormatting>
  <conditionalFormatting sqref="K18:K20">
    <cfRule type="cellIs" dxfId="1956" priority="70" operator="equal">
      <formula>"NO CUMPLE"</formula>
    </cfRule>
    <cfRule type="cellIs" dxfId="1955" priority="69" operator="equal">
      <formula>"CUMPLE"</formula>
    </cfRule>
    <cfRule type="cellIs" dxfId="1954" priority="71" operator="equal">
      <formula>"""CUMPLE"""</formula>
    </cfRule>
  </conditionalFormatting>
  <conditionalFormatting sqref="K26:K61">
    <cfRule type="containsBlanks" dxfId="1953" priority="1">
      <formula>LEN(TRIM(K26))=0</formula>
    </cfRule>
    <cfRule type="notContainsErrors" dxfId="1952" priority="2">
      <formula>NOT(ISERROR(K26))</formula>
    </cfRule>
  </conditionalFormatting>
  <conditionalFormatting sqref="K67:L67">
    <cfRule type="containsBlanks" dxfId="1951" priority="25">
      <formula>LEN(TRIM(K67))=0</formula>
    </cfRule>
    <cfRule type="notContainsErrors" dxfId="1950" priority="26">
      <formula>NOT(ISERROR(K67))</formula>
    </cfRule>
  </conditionalFormatting>
  <conditionalFormatting sqref="L14">
    <cfRule type="cellIs" dxfId="1949" priority="94" operator="equal">
      <formula>"""CUMPLE"""</formula>
    </cfRule>
    <cfRule type="cellIs" dxfId="1948" priority="93" operator="equal">
      <formula>"NO CUMPLE"</formula>
    </cfRule>
    <cfRule type="cellIs" dxfId="1947" priority="92" operator="equal">
      <formula>"CUMPLE"</formula>
    </cfRule>
  </conditionalFormatting>
  <dataValidations count="2">
    <dataValidation type="list" allowBlank="1" showInputMessage="1" showErrorMessage="1" sqref="D26:J28" xr:uid="{00000000-0002-0000-4000-000000000000}">
      <formula1>$C$15:$C$21</formula1>
    </dataValidation>
    <dataValidation type="list" allowBlank="1" showInputMessage="1" showErrorMessage="1" sqref="L62:L67" xr:uid="{00000000-0002-0000-40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4000-000002000000}">
          <x14:formula1>
            <xm:f>'DATOS INICIALES'!$D$27:$D$29</xm:f>
          </x14:formula1>
          <xm:sqref>M50:M55</xm:sqref>
        </x14:dataValidation>
        <x14:dataValidation type="list" allowBlank="1" showInputMessage="1" showErrorMessage="1" xr:uid="{00000000-0002-0000-4000-000003000000}">
          <x14:formula1>
            <xm:f>'DATOS INICIALES'!$A$13:$A$50</xm:f>
          </x14:formula1>
          <xm:sqref>H33:I33</xm:sqref>
        </x14:dataValidation>
        <x14:dataValidation type="list" allowBlank="1" showInputMessage="1" showErrorMessage="1" xr:uid="{00000000-0002-0000-4000-000004000000}">
          <x14:formula1>
            <xm:f>'DATOS INICIALES'!$A$61:$A$66</xm:f>
          </x14:formula1>
          <xm:sqref>D25:I25</xm:sqref>
        </x14:dataValidation>
        <x14:dataValidation type="list" allowBlank="1" showInputMessage="1" showErrorMessage="1" xr:uid="{00000000-0002-0000-4000-000005000000}">
          <x14:formula1>
            <xm:f>'DATOS INICIALES'!$A$57:$A$59</xm:f>
          </x14:formula1>
          <xm:sqref>D71 D56:J66</xm:sqref>
        </x14:dataValidation>
        <x14:dataValidation type="list" allowBlank="1" showInputMessage="1" showErrorMessage="1" xr:uid="{00000000-0002-0000-4000-000006000000}">
          <x14:formula1>
            <xm:f>'DATOS INICIALES'!$C$52:$C$53</xm:f>
          </x14:formula1>
          <xm:sqref>D53:J54</xm:sqref>
        </x14:dataValidation>
        <x14:dataValidation type="list" allowBlank="1" showInputMessage="1" showErrorMessage="1" xr:uid="{00000000-0002-0000-4000-000007000000}">
          <x14:formula1>
            <xm:f>'DATOS INICIALES'!$A$61:$A$67</xm:f>
          </x14:formula1>
          <xm:sqref>J25</xm:sqref>
        </x14:dataValidation>
        <x14:dataValidation type="list" allowBlank="1" showInputMessage="1" showErrorMessage="1" xr:uid="{00000000-0002-0000-4000-000008000000}">
          <x14:formula1>
            <xm:f>'DATOS INICIALES'!$A$57:$A$58</xm:f>
          </x14:formula1>
          <xm:sqref>D49:J49</xm:sqref>
        </x14:dataValidation>
        <x14:dataValidation type="list" allowBlank="1" showInputMessage="1" showErrorMessage="1" xr:uid="{00000000-0002-0000-4000-000009000000}">
          <x14:formula1>
            <xm:f>'DATOS INICIALES'!$C$52:$C$54</xm:f>
          </x14:formula1>
          <xm:sqref>D50:J52</xm:sqref>
        </x14:dataValidation>
        <x14:dataValidation type="list" allowBlank="1" showInputMessage="1" showErrorMessage="1" xr:uid="{00000000-0002-0000-4000-00000A000000}">
          <x14:formula1>
            <xm:f>'/Users/ldrr/Desktop/SDDE/REVISION DE CARPETAS/C:\Users\ASUS\OneDrive\Escritorio\alcaldia local de usaquen\2025\16. EVALUACION DE PROCESOS\INTERVENTORIA DE VIAS\consolidado equipo\[DUVAN_ Evaluación_Tecnica_fdlusa-CMA-003-2025 (1).xlsx]DATOS INICIALES'!#REF!</xm:f>
          </x14:formula1>
          <xm:sqref>G33</xm:sqref>
        </x14:dataValidation>
      </x14:dataValidations>
    </ext>
  </extLst>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sheetPr>
    <tabColor rgb="FF92D050"/>
  </sheetPr>
  <dimension ref="A1:N72"/>
  <sheetViews>
    <sheetView view="pageBreakPreview" topLeftCell="A28" zoomScale="55" zoomScaleNormal="25" zoomScaleSheetLayoutView="55" workbookViewId="0">
      <selection activeCell="E58" sqref="E58"/>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60</v>
      </c>
      <c r="B11" s="2" t="s">
        <v>58</v>
      </c>
      <c r="C11" s="413" t="str">
        <f>VLOOKUP(A11,PROPONENTES!A10:B94,2,FALSE)</f>
        <v>CONSULTORES DONOVAN SAS</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3</v>
      </c>
      <c r="J14" s="147">
        <f>+L8</f>
        <v>986.3076290832455</v>
      </c>
      <c r="K14" s="147">
        <f>+E22</f>
        <v>5685.6970000000001</v>
      </c>
      <c r="L14" s="18" t="str">
        <f>IF(K14&gt;=J14,"CUMPLE","NO CUMPLE")</f>
        <v>CUMPLE</v>
      </c>
    </row>
    <row r="15" spans="1:12" ht="33.75" customHeight="1" x14ac:dyDescent="0.2">
      <c r="B15" s="382"/>
      <c r="C15" s="92" t="str">
        <f>IF(VLOOKUP(C11,PROPONENTES!B10:N94,2,FALSE)=0,"",VLOOKUP(C11,PROPONENTES!B10:N94,2,FALSE))</f>
        <v>CONSULTORES DONOVAN SAS</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5685.6970000000001</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1895.2323333333334</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1</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3</v>
      </c>
      <c r="J19" s="128">
        <v>1</v>
      </c>
      <c r="K19" s="387"/>
      <c r="L19" s="388"/>
    </row>
    <row r="20" spans="2:14" ht="50.25" customHeight="1" x14ac:dyDescent="0.2">
      <c r="B20" s="382"/>
      <c r="C20" s="92"/>
      <c r="D20" s="93"/>
      <c r="E20" s="94"/>
      <c r="F20" s="95"/>
      <c r="G20" s="96"/>
      <c r="H20" s="96"/>
      <c r="I20" s="128">
        <f>COUNTIFS(D60:J60,"CUMPLE",D67:J67,"CUMPLE")</f>
        <v>3</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3</v>
      </c>
      <c r="J21" s="128">
        <v>1</v>
      </c>
      <c r="K21" s="389"/>
      <c r="L21" s="390"/>
    </row>
    <row r="22" spans="2:14" ht="84.75" customHeight="1" x14ac:dyDescent="0.2">
      <c r="B22" s="29" t="s">
        <v>75</v>
      </c>
      <c r="C22" s="24">
        <f>+VLOOKUP(C11,PROPONENTES!B10:N94,12,FALSE)</f>
        <v>1</v>
      </c>
      <c r="D22" s="93">
        <f>+VLOOKUP(C11,PROPONENTES!B10:N94,13,FALSE)</f>
        <v>1</v>
      </c>
      <c r="E22" s="32">
        <f>SUM(E15:E21)</f>
        <v>5685.6970000000001</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193</v>
      </c>
      <c r="E26" s="84" t="s">
        <v>193</v>
      </c>
      <c r="F26" s="84" t="s">
        <v>193</v>
      </c>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291"/>
      <c r="F28" s="84"/>
      <c r="G28" s="84"/>
      <c r="H28" s="84"/>
      <c r="I28" s="84"/>
      <c r="J28" s="84"/>
      <c r="K28" s="145"/>
      <c r="L28" s="140"/>
    </row>
    <row r="29" spans="2:14" ht="45.75" customHeight="1" x14ac:dyDescent="0.2">
      <c r="B29" s="373" t="s">
        <v>82</v>
      </c>
      <c r="C29" s="25" t="s">
        <v>83</v>
      </c>
      <c r="D29" s="85" t="s">
        <v>993</v>
      </c>
      <c r="E29" s="85" t="s">
        <v>994</v>
      </c>
      <c r="F29" s="85" t="s">
        <v>995</v>
      </c>
      <c r="G29" s="85"/>
      <c r="H29" s="85"/>
      <c r="I29" s="85"/>
      <c r="J29" s="85"/>
      <c r="K29" s="145"/>
      <c r="L29" s="140"/>
    </row>
    <row r="30" spans="2:14" ht="156.75" customHeight="1" x14ac:dyDescent="0.2">
      <c r="B30" s="374"/>
      <c r="C30" s="25" t="s">
        <v>84</v>
      </c>
      <c r="D30" s="85" t="s">
        <v>996</v>
      </c>
      <c r="E30" s="85" t="s">
        <v>997</v>
      </c>
      <c r="F30" s="85" t="s">
        <v>998</v>
      </c>
      <c r="G30" s="85"/>
      <c r="H30" s="85"/>
      <c r="I30" s="85"/>
      <c r="J30" s="85"/>
      <c r="K30" s="145"/>
      <c r="L30" s="140"/>
    </row>
    <row r="31" spans="2:14" ht="52.5" customHeight="1" x14ac:dyDescent="0.2">
      <c r="B31" s="374"/>
      <c r="C31" s="25" t="s">
        <v>85</v>
      </c>
      <c r="D31" s="89">
        <v>42041</v>
      </c>
      <c r="E31" s="89" t="s">
        <v>999</v>
      </c>
      <c r="F31" s="89">
        <v>42464</v>
      </c>
      <c r="G31" s="89"/>
      <c r="H31" s="89"/>
      <c r="I31" s="89"/>
      <c r="J31" s="89"/>
      <c r="K31" s="145"/>
      <c r="L31" s="140"/>
    </row>
    <row r="32" spans="2:14" ht="54.75" customHeight="1" x14ac:dyDescent="0.2">
      <c r="B32" s="374"/>
      <c r="C32" s="25" t="s">
        <v>86</v>
      </c>
      <c r="D32" s="89">
        <v>44453</v>
      </c>
      <c r="E32" s="89">
        <v>42696</v>
      </c>
      <c r="F32" s="89">
        <v>42661</v>
      </c>
      <c r="G32" s="89"/>
      <c r="H32" s="89"/>
      <c r="I32" s="89"/>
      <c r="J32" s="89"/>
      <c r="K32" s="145"/>
      <c r="L32" s="140"/>
    </row>
    <row r="33" spans="2:12" ht="41.25" customHeight="1" x14ac:dyDescent="0.2">
      <c r="B33" s="374"/>
      <c r="C33" s="25" t="s">
        <v>87</v>
      </c>
      <c r="D33" s="86">
        <v>2021</v>
      </c>
      <c r="E33" s="86">
        <v>2016</v>
      </c>
      <c r="F33" s="86">
        <v>2016</v>
      </c>
      <c r="G33" s="86"/>
      <c r="H33" s="86"/>
      <c r="I33" s="86"/>
      <c r="J33" s="86"/>
      <c r="K33" s="145"/>
      <c r="L33" s="140"/>
    </row>
    <row r="34" spans="2:12" ht="63" customHeight="1" x14ac:dyDescent="0.2">
      <c r="B34" s="374"/>
      <c r="C34" s="25" t="s">
        <v>88</v>
      </c>
      <c r="D34" s="85" t="s">
        <v>1000</v>
      </c>
      <c r="E34" s="85" t="s">
        <v>1001</v>
      </c>
      <c r="F34" s="85" t="s">
        <v>1002</v>
      </c>
      <c r="G34" s="85"/>
      <c r="H34" s="85"/>
      <c r="I34" s="85"/>
      <c r="J34" s="85"/>
      <c r="K34" s="145"/>
      <c r="L34" s="140"/>
    </row>
    <row r="35" spans="2:12" ht="46.5" customHeight="1" x14ac:dyDescent="0.2">
      <c r="B35" s="374"/>
      <c r="C35" s="25" t="s">
        <v>89</v>
      </c>
      <c r="D35" s="85" t="s">
        <v>193</v>
      </c>
      <c r="E35" s="85" t="s">
        <v>193</v>
      </c>
      <c r="F35" s="85" t="s">
        <v>193</v>
      </c>
      <c r="G35" s="85"/>
      <c r="H35" s="85"/>
      <c r="I35" s="85"/>
      <c r="J35" s="85"/>
      <c r="K35" s="145"/>
      <c r="L35" s="140"/>
    </row>
    <row r="36" spans="2:12" ht="27.75" customHeight="1" x14ac:dyDescent="0.2">
      <c r="B36" s="374"/>
      <c r="C36" s="26" t="s">
        <v>90</v>
      </c>
      <c r="D36" s="90">
        <v>80</v>
      </c>
      <c r="E36" s="90">
        <v>62</v>
      </c>
      <c r="F36" s="90">
        <v>13</v>
      </c>
      <c r="G36" s="91"/>
      <c r="H36" s="91"/>
      <c r="I36" s="91"/>
      <c r="J36" s="91"/>
      <c r="K36" s="145"/>
      <c r="L36" s="140"/>
    </row>
    <row r="37" spans="2:12" ht="102.75" customHeight="1" x14ac:dyDescent="0.2">
      <c r="B37" s="374"/>
      <c r="C37" s="25" t="s">
        <v>91</v>
      </c>
      <c r="D37" s="87">
        <v>35063.18</v>
      </c>
      <c r="E37" s="158">
        <v>731.27</v>
      </c>
      <c r="F37" s="87">
        <v>121.17</v>
      </c>
      <c r="G37" s="87"/>
      <c r="H37" s="87"/>
      <c r="I37" s="87"/>
      <c r="J37" s="87"/>
      <c r="K37" s="242"/>
      <c r="L37" s="243"/>
    </row>
    <row r="38" spans="2:12" ht="48" customHeight="1" x14ac:dyDescent="0.2">
      <c r="B38" s="374"/>
      <c r="C38" s="25" t="s">
        <v>92</v>
      </c>
      <c r="D38" s="97">
        <f>IFERROR(D37*VLOOKUP(D33,'DATOS INICIALES'!$A$12:$B$50,2,0),"0")</f>
        <v>31855810672.68</v>
      </c>
      <c r="E38" s="97">
        <f>IFERROR(E37*VLOOKUP(E33,'DATOS INICIALES'!$A$12:$B$50,2,0),"0")</f>
        <v>504177757.84999996</v>
      </c>
      <c r="F38" s="97">
        <f>IFERROR(F37*VLOOKUP(F33,'DATOS INICIALES'!$A$12:$B$50,2,0),"0")</f>
        <v>83541262.349999994</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0.15</v>
      </c>
      <c r="E39" s="88">
        <v>0.5</v>
      </c>
      <c r="F39" s="88">
        <v>0.5</v>
      </c>
      <c r="G39" s="88"/>
      <c r="H39" s="88"/>
      <c r="I39" s="88"/>
      <c r="J39" s="88"/>
      <c r="K39" s="145"/>
      <c r="L39" s="140"/>
    </row>
    <row r="40" spans="2:12" ht="48.75" customHeight="1" x14ac:dyDescent="0.2">
      <c r="B40" s="374"/>
      <c r="C40" s="25" t="s">
        <v>94</v>
      </c>
      <c r="D40" s="97">
        <f t="shared" ref="D40:J40" si="0">IF(D26="","0",D39*D38)</f>
        <v>4778371600.9019995</v>
      </c>
      <c r="E40" s="97">
        <f t="shared" si="0"/>
        <v>252088878.92499998</v>
      </c>
      <c r="F40" s="97">
        <f t="shared" si="0"/>
        <v>41770631.174999997</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5259.4769999999999</v>
      </c>
      <c r="E41" s="98">
        <f t="shared" si="1"/>
        <v>365.63499999999999</v>
      </c>
      <c r="F41" s="98">
        <f t="shared" si="1"/>
        <v>60.585000000000001</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5259.4769999999999</v>
      </c>
      <c r="E48" s="98">
        <f t="shared" ref="E48:G48" si="6">+E41+E44+E47</f>
        <v>365.63499999999999</v>
      </c>
      <c r="F48" s="98">
        <f t="shared" si="6"/>
        <v>60.585000000000001</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26</v>
      </c>
      <c r="F57" s="84" t="s">
        <v>26</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0:C70"/>
    <mergeCell ref="B71:C71"/>
    <mergeCell ref="B72:C72"/>
    <mergeCell ref="B65:C65"/>
    <mergeCell ref="B66:C66"/>
    <mergeCell ref="B67:C67"/>
    <mergeCell ref="B69:E69"/>
    <mergeCell ref="B62:C62"/>
    <mergeCell ref="B63:C63"/>
    <mergeCell ref="B64:C64"/>
    <mergeCell ref="B59:C59"/>
    <mergeCell ref="B60:C60"/>
    <mergeCell ref="B61:C61"/>
    <mergeCell ref="B56:C56"/>
    <mergeCell ref="B57:C57"/>
    <mergeCell ref="B58:C58"/>
    <mergeCell ref="B50:B55"/>
    <mergeCell ref="B28:C28"/>
    <mergeCell ref="B29:B47"/>
    <mergeCell ref="I22:L22"/>
    <mergeCell ref="B12:L12"/>
    <mergeCell ref="B13:H13"/>
    <mergeCell ref="B14:B21"/>
    <mergeCell ref="K17:L17"/>
    <mergeCell ref="K18:L21"/>
    <mergeCell ref="B24:L24"/>
    <mergeCell ref="K25:L25"/>
    <mergeCell ref="B26:C26"/>
    <mergeCell ref="B27:C27"/>
    <mergeCell ref="B23:L23"/>
    <mergeCell ref="C8:I8"/>
    <mergeCell ref="C9:I9"/>
    <mergeCell ref="C10:I10"/>
    <mergeCell ref="C11:G11"/>
    <mergeCell ref="B2:L2"/>
    <mergeCell ref="B3:L3"/>
    <mergeCell ref="B4:L4"/>
    <mergeCell ref="B5:L5"/>
    <mergeCell ref="B7:I7"/>
    <mergeCell ref="J7:L7"/>
    <mergeCell ref="I11:L11"/>
  </mergeCells>
  <conditionalFormatting sqref="D71">
    <cfRule type="cellIs" dxfId="1946" priority="77" operator="equal">
      <formula>"CUMPLE"</formula>
    </cfRule>
    <cfRule type="containsBlanks" dxfId="1945" priority="74">
      <formula>LEN(TRIM(D71))=0</formula>
    </cfRule>
    <cfRule type="notContainsErrors" dxfId="1944" priority="75">
      <formula>NOT(ISERROR(D71))</formula>
    </cfRule>
    <cfRule type="cellIs" dxfId="1943" priority="76" operator="equal">
      <formula>"NO CUMPLE"</formula>
    </cfRule>
  </conditionalFormatting>
  <conditionalFormatting sqref="D72">
    <cfRule type="cellIs" dxfId="1942" priority="79" operator="equal">
      <formula>"CUMPLE"</formula>
    </cfRule>
    <cfRule type="cellIs" dxfId="1941" priority="78" operator="equal">
      <formula>"N/A"</formula>
    </cfRule>
    <cfRule type="cellIs" dxfId="1940" priority="81" operator="equal">
      <formula>"""CUMPLE"""</formula>
    </cfRule>
    <cfRule type="cellIs" dxfId="1939" priority="80" operator="equal">
      <formula>"NO CUMPLE"</formula>
    </cfRule>
  </conditionalFormatting>
  <conditionalFormatting sqref="D26:J37">
    <cfRule type="notContainsErrors" dxfId="1938" priority="4">
      <formula>NOT(ISERROR(D26))</formula>
    </cfRule>
    <cfRule type="containsBlanks" dxfId="1937" priority="3">
      <formula>LEN(TRIM(D26))=0</formula>
    </cfRule>
  </conditionalFormatting>
  <conditionalFormatting sqref="D36:J36">
    <cfRule type="notContainsErrors" dxfId="1936" priority="6">
      <formula>NOT(ISERROR(D36))</formula>
    </cfRule>
    <cfRule type="containsBlanks" dxfId="1935" priority="5">
      <formula>LEN(TRIM(D36))=0</formula>
    </cfRule>
  </conditionalFormatting>
  <conditionalFormatting sqref="D39:J39">
    <cfRule type="containsBlanks" dxfId="1934" priority="1">
      <formula>LEN(TRIM(D39))=0</formula>
    </cfRule>
    <cfRule type="notContainsErrors" dxfId="1933" priority="2">
      <formula>NOT(ISERROR(D39))</formula>
    </cfRule>
  </conditionalFormatting>
  <conditionalFormatting sqref="D42:J42 D45:J45">
    <cfRule type="notContainsErrors" dxfId="1932" priority="38">
      <formula>NOT(ISERROR(D42))</formula>
    </cfRule>
    <cfRule type="containsBlanks" dxfId="1931" priority="37">
      <formula>LEN(TRIM(D42))=0</formula>
    </cfRule>
  </conditionalFormatting>
  <conditionalFormatting sqref="D49:J54">
    <cfRule type="cellIs" dxfId="1930" priority="17" operator="equal">
      <formula>"NO CUMPLE"</formula>
    </cfRule>
    <cfRule type="cellIs" dxfId="1929" priority="18" operator="equal">
      <formula>"CUMPLE"</formula>
    </cfRule>
    <cfRule type="containsBlanks" dxfId="1928" priority="19">
      <formula>LEN(TRIM(D49))=0</formula>
    </cfRule>
    <cfRule type="notContainsErrors" dxfId="1927" priority="20">
      <formula>NOT(ISERROR(D49))</formula>
    </cfRule>
  </conditionalFormatting>
  <conditionalFormatting sqref="D55:J55">
    <cfRule type="cellIs" dxfId="1926" priority="28" operator="equal">
      <formula>"CUMPLE"</formula>
    </cfRule>
    <cfRule type="cellIs" dxfId="1925" priority="30" operator="equal">
      <formula>"""CUMPLE"""</formula>
    </cfRule>
    <cfRule type="cellIs" dxfId="1924" priority="29" operator="equal">
      <formula>"NO CUMPLE"</formula>
    </cfRule>
    <cfRule type="cellIs" dxfId="1923" priority="27" operator="equal">
      <formula>"N/A"</formula>
    </cfRule>
  </conditionalFormatting>
  <conditionalFormatting sqref="D56:J66">
    <cfRule type="cellIs" dxfId="1922" priority="11" operator="equal">
      <formula>"NO CUMPLE"</formula>
    </cfRule>
    <cfRule type="notContainsErrors" dxfId="1921" priority="14">
      <formula>NOT(ISERROR(D56))</formula>
    </cfRule>
    <cfRule type="containsBlanks" dxfId="1920" priority="13">
      <formula>LEN(TRIM(D56))=0</formula>
    </cfRule>
    <cfRule type="cellIs" dxfId="1919" priority="12" operator="equal">
      <formula>"CUMPLE"</formula>
    </cfRule>
  </conditionalFormatting>
  <conditionalFormatting sqref="D67:J67">
    <cfRule type="cellIs" dxfId="1918" priority="23" operator="equal">
      <formula>"N/A"</formula>
    </cfRule>
    <cfRule type="cellIs" dxfId="1917" priority="24" operator="equal">
      <formula>"CUMPLE"</formula>
    </cfRule>
    <cfRule type="cellIs" dxfId="1916" priority="26" operator="equal">
      <formula>"""CUMPLE"""</formula>
    </cfRule>
    <cfRule type="cellIs" dxfId="1915" priority="25" operator="equal">
      <formula>"NO CUMPLE"</formula>
    </cfRule>
  </conditionalFormatting>
  <conditionalFormatting sqref="D62:K66">
    <cfRule type="containsBlanks" dxfId="1914" priority="15">
      <formula>LEN(TRIM(D62))=0</formula>
    </cfRule>
    <cfRule type="notContainsErrors" dxfId="1913" priority="16">
      <formula>NOT(ISERROR(D62))</formula>
    </cfRule>
  </conditionalFormatting>
  <conditionalFormatting sqref="E71:E72">
    <cfRule type="notContainsErrors" dxfId="1912" priority="73">
      <formula>NOT(ISERROR(E71))</formula>
    </cfRule>
    <cfRule type="containsBlanks" dxfId="1911" priority="72">
      <formula>LEN(TRIM(E71))=0</formula>
    </cfRule>
  </conditionalFormatting>
  <conditionalFormatting sqref="F22:H22">
    <cfRule type="cellIs" dxfId="1910" priority="96" operator="equal">
      <formula>"NO CUMPLE"</formula>
    </cfRule>
    <cfRule type="cellIs" dxfId="1909" priority="97" operator="equal">
      <formula>"""CUMPLE"""</formula>
    </cfRule>
    <cfRule type="cellIs" dxfId="1908" priority="95" operator="equal">
      <formula>"CUMPLE"</formula>
    </cfRule>
  </conditionalFormatting>
  <conditionalFormatting sqref="G63:J63">
    <cfRule type="containsBlanks" dxfId="1907" priority="7">
      <formula>LEN(TRIM(G63))=0</formula>
    </cfRule>
    <cfRule type="notContainsErrors" dxfId="1906" priority="8">
      <formula>NOT(ISERROR(G63))</formula>
    </cfRule>
  </conditionalFormatting>
  <conditionalFormatting sqref="I11">
    <cfRule type="containsText" dxfId="1905" priority="101" operator="containsText" text="NO CUMPLE">
      <formula>NOT(ISERROR(SEARCH("NO CUMPLE",I11)))</formula>
    </cfRule>
    <cfRule type="containsText" dxfId="1904" priority="100" operator="containsText" text="HABILITADO">
      <formula>NOT(ISERROR(SEARCH("HABILITADO",I11)))</formula>
    </cfRule>
    <cfRule type="containsText" dxfId="1903" priority="99" operator="containsText" text="HABILITADO">
      <formula>NOT(ISERROR(SEARCH("HABILITADO",I11)))</formula>
    </cfRule>
    <cfRule type="containsText" dxfId="1902" priority="98" operator="containsText" text="INHABILITADO">
      <formula>NOT(ISERROR(SEARCH("INHABILITADO",I11)))</formula>
    </cfRule>
  </conditionalFormatting>
  <conditionalFormatting sqref="K18:K20">
    <cfRule type="cellIs" dxfId="1901" priority="70" operator="equal">
      <formula>"NO CUMPLE"</formula>
    </cfRule>
    <cfRule type="cellIs" dxfId="1900" priority="71" operator="equal">
      <formula>"""CUMPLE"""</formula>
    </cfRule>
    <cfRule type="cellIs" dxfId="1899" priority="69" operator="equal">
      <formula>"CUMPLE"</formula>
    </cfRule>
  </conditionalFormatting>
  <conditionalFormatting sqref="K26:K61 D62:J62">
    <cfRule type="containsBlanks" dxfId="1898" priority="9">
      <formula>LEN(TRIM(D26))=0</formula>
    </cfRule>
    <cfRule type="notContainsErrors" dxfId="1897" priority="10">
      <formula>NOT(ISERROR(D26))</formula>
    </cfRule>
  </conditionalFormatting>
  <conditionalFormatting sqref="K67:L67">
    <cfRule type="containsBlanks" dxfId="1896" priority="21">
      <formula>LEN(TRIM(K67))=0</formula>
    </cfRule>
    <cfRule type="notContainsErrors" dxfId="1895" priority="22">
      <formula>NOT(ISERROR(K67))</formula>
    </cfRule>
  </conditionalFormatting>
  <conditionalFormatting sqref="L14">
    <cfRule type="cellIs" dxfId="1894" priority="94" operator="equal">
      <formula>"""CUMPLE"""</formula>
    </cfRule>
    <cfRule type="cellIs" dxfId="1893" priority="93" operator="equal">
      <formula>"NO CUMPLE"</formula>
    </cfRule>
    <cfRule type="cellIs" dxfId="1892" priority="92" operator="equal">
      <formula>"CUMPLE"</formula>
    </cfRule>
  </conditionalFormatting>
  <dataValidations count="2">
    <dataValidation type="list" allowBlank="1" showInputMessage="1" showErrorMessage="1" sqref="L62:L67" xr:uid="{00000000-0002-0000-4100-000000000000}">
      <formula1>"0,1,2,3,4,5,6"</formula1>
    </dataValidation>
    <dataValidation type="list" allowBlank="1" showInputMessage="1" showErrorMessage="1" sqref="D26:J28" xr:uid="{00000000-0002-0000-41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4100-000002000000}">
          <x14:formula1>
            <xm:f>'DATOS INICIALES'!$D$27:$D$29</xm:f>
          </x14:formula1>
          <xm:sqref>M50:M55</xm:sqref>
        </x14:dataValidation>
        <x14:dataValidation type="list" allowBlank="1" showInputMessage="1" showErrorMessage="1" xr:uid="{00000000-0002-0000-4100-000003000000}">
          <x14:formula1>
            <xm:f>'DATOS INICIALES'!$A$57:$A$58</xm:f>
          </x14:formula1>
          <xm:sqref>D49:J49</xm:sqref>
        </x14:dataValidation>
        <x14:dataValidation type="list" allowBlank="1" showInputMessage="1" showErrorMessage="1" xr:uid="{00000000-0002-0000-4100-000004000000}">
          <x14:formula1>
            <xm:f>'DATOS INICIALES'!$A$61:$A$67</xm:f>
          </x14:formula1>
          <xm:sqref>J25</xm:sqref>
        </x14:dataValidation>
        <x14:dataValidation type="list" allowBlank="1" showInputMessage="1" showErrorMessage="1" xr:uid="{00000000-0002-0000-4100-000005000000}">
          <x14:formula1>
            <xm:f>'DATOS INICIALES'!$C$52:$C$53</xm:f>
          </x14:formula1>
          <xm:sqref>D53:J54</xm:sqref>
        </x14:dataValidation>
        <x14:dataValidation type="list" allowBlank="1" showInputMessage="1" showErrorMessage="1" xr:uid="{00000000-0002-0000-4100-000006000000}">
          <x14:formula1>
            <xm:f>'DATOS INICIALES'!$A$57:$A$59</xm:f>
          </x14:formula1>
          <xm:sqref>D71 D56:J66</xm:sqref>
        </x14:dataValidation>
        <x14:dataValidation type="list" allowBlank="1" showInputMessage="1" showErrorMessage="1" xr:uid="{00000000-0002-0000-4100-000007000000}">
          <x14:formula1>
            <xm:f>'DATOS INICIALES'!$A$61:$A$66</xm:f>
          </x14:formula1>
          <xm:sqref>D25:I25</xm:sqref>
        </x14:dataValidation>
        <x14:dataValidation type="list" allowBlank="1" showInputMessage="1" showErrorMessage="1" xr:uid="{00000000-0002-0000-4100-000008000000}">
          <x14:formula1>
            <xm:f>'DATOS INICIALES'!$A$13:$A$50</xm:f>
          </x14:formula1>
          <xm:sqref>G33:I33</xm:sqref>
        </x14:dataValidation>
        <x14:dataValidation type="list" allowBlank="1" showInputMessage="1" showErrorMessage="1" xr:uid="{00000000-0002-0000-4100-000009000000}">
          <x14:formula1>
            <xm:f>'DATOS INICIALES'!$C$52:$C$54</xm:f>
          </x14:formula1>
          <xm:sqref>D50:J52</xm:sqref>
        </x14:dataValidation>
      </x14:dataValidations>
    </ext>
  </extLst>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tabColor rgb="FF92D050"/>
  </sheetPr>
  <dimension ref="A1:N72"/>
  <sheetViews>
    <sheetView view="pageBreakPreview" topLeftCell="A16" zoomScale="55" zoomScaleNormal="25" zoomScaleSheetLayoutView="55" workbookViewId="0">
      <selection activeCell="F42" sqref="F42"/>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61</v>
      </c>
      <c r="B11" s="2" t="s">
        <v>58</v>
      </c>
      <c r="C11" s="413" t="str">
        <f>VLOOKUP(A11,PROPONENTES!A10:B94,2,FALSE)</f>
        <v>VERBENAL 25</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2</v>
      </c>
      <c r="J14" s="147">
        <f>+L8</f>
        <v>986.3076290832455</v>
      </c>
      <c r="K14" s="147">
        <f>+E22</f>
        <v>2632.9026000000003</v>
      </c>
      <c r="L14" s="18" t="str">
        <f>IF(K14&gt;=J14,"CUMPLE","NO CUMPLE")</f>
        <v>CUMPLE</v>
      </c>
    </row>
    <row r="15" spans="1:12" ht="33.75" customHeight="1" x14ac:dyDescent="0.2">
      <c r="B15" s="382"/>
      <c r="C15" s="92" t="str">
        <f>IF(VLOOKUP(C11,PROPONENTES!B10:N94,2,FALSE)=0,"",VLOOKUP(C11,PROPONENTES!B10:N94,2,FALSE))</f>
        <v xml:space="preserve">
INGECO INGENIERÍA DE CONSTRUCCIONES S.A.S </v>
      </c>
      <c r="D15" s="93" t="str">
        <f>IF(VLOOKUP(C11,PROPONENTES!B10:N94,3,FALSE)=0,"",VLOOKUP(C11,PROPONENTES!B10:N94,3,FALSE))</f>
        <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623.54999999999995</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xml:space="preserve"> 
INP SERVICIOS S.A.S </v>
      </c>
      <c r="D16" s="93" t="str">
        <f>IF(VLOOKUP(C11,PROPONENTES!B10:N94,5,FALSE)=0,"",VLOOKUP(C11,PROPONENTES!B10:N94,5,FALSE))</f>
        <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2009.3526000000002</v>
      </c>
      <c r="F16" s="95" t="str">
        <f>IF(C16="","",IF(E16&gt;=$J$14*0.5,"SI","NO"))</f>
        <v>SI</v>
      </c>
      <c r="G16" s="96" t="str">
        <f>IF(C16="","",IF(E16&gt;=$J$14*0.05,"SI",IF(E16=0,"NO APORTA EXPERIENCIA",)))</f>
        <v>SI</v>
      </c>
      <c r="H16" s="96" t="str">
        <f>IF(C16="","",IF(AND(G16="NO APORTA EXPERIENCIA",D16&lt;=10%),"SI",IF(G16="SI","NO APLICA","NO - PORCENTAJE MAYOR AL 10%")))</f>
        <v>NO APLICA</v>
      </c>
      <c r="I16" s="162"/>
      <c r="J16" s="162"/>
      <c r="K16" s="162"/>
      <c r="L16" s="161">
        <f>AVERAGEIF(D67:J67,"CUMPLE",D48:J48)</f>
        <v>1316.4513000000002</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2</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2</v>
      </c>
      <c r="J19" s="128">
        <v>1</v>
      </c>
      <c r="K19" s="387"/>
      <c r="L19" s="388"/>
    </row>
    <row r="20" spans="2:14" ht="50.25" customHeight="1" x14ac:dyDescent="0.2">
      <c r="B20" s="382"/>
      <c r="C20" s="92"/>
      <c r="D20" s="93"/>
      <c r="E20" s="94"/>
      <c r="F20" s="95"/>
      <c r="G20" s="96"/>
      <c r="H20" s="96"/>
      <c r="I20" s="128">
        <f>COUNTIFS(D60:J60,"CUMPLE",D67:J67,"CUMPLE")</f>
        <v>2</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2</v>
      </c>
      <c r="J21" s="128">
        <v>1</v>
      </c>
      <c r="K21" s="389"/>
      <c r="L21" s="390"/>
    </row>
    <row r="22" spans="2:14" ht="84.75" customHeight="1" x14ac:dyDescent="0.2">
      <c r="B22" s="29" t="s">
        <v>75</v>
      </c>
      <c r="C22" s="24">
        <f>+VLOOKUP(C11,PROPONENTES!B10:N94,12,FALSE)</f>
        <v>2</v>
      </c>
      <c r="D22" s="93">
        <f>+VLOOKUP(C11,PROPONENTES!B10:N94,13,FALSE)</f>
        <v>0</v>
      </c>
      <c r="E22" s="32">
        <f>SUM(E15:E21)</f>
        <v>2632.9026000000003</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949</v>
      </c>
      <c r="E26" s="84" t="s">
        <v>948</v>
      </c>
      <c r="F26" s="84"/>
      <c r="G26" s="84"/>
      <c r="H26" s="84"/>
      <c r="I26" s="84"/>
      <c r="J26" s="84"/>
      <c r="K26" s="145"/>
      <c r="L26" s="140"/>
    </row>
    <row r="27" spans="2:14" ht="39.75" customHeight="1" x14ac:dyDescent="0.2">
      <c r="B27" s="371" t="s">
        <v>80</v>
      </c>
      <c r="C27" s="372"/>
      <c r="D27" s="84"/>
      <c r="E27" s="84" t="s">
        <v>949</v>
      </c>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1003</v>
      </c>
      <c r="E29" s="85" t="s">
        <v>1004</v>
      </c>
      <c r="F29" s="85"/>
      <c r="G29" s="85"/>
      <c r="H29" s="85"/>
      <c r="I29" s="85"/>
      <c r="J29" s="85"/>
      <c r="K29" s="145"/>
      <c r="L29" s="140"/>
    </row>
    <row r="30" spans="2:14" ht="156.75" customHeight="1" x14ac:dyDescent="0.2">
      <c r="B30" s="374"/>
      <c r="C30" s="25" t="s">
        <v>84</v>
      </c>
      <c r="D30" s="85" t="s">
        <v>1005</v>
      </c>
      <c r="E30" s="85" t="s">
        <v>1006</v>
      </c>
      <c r="F30" s="85"/>
      <c r="G30" s="85"/>
      <c r="H30" s="85"/>
      <c r="I30" s="85"/>
      <c r="J30" s="85"/>
      <c r="K30" s="145"/>
      <c r="L30" s="140"/>
    </row>
    <row r="31" spans="2:14" ht="52.5" customHeight="1" x14ac:dyDescent="0.2">
      <c r="B31" s="374"/>
      <c r="C31" s="25" t="s">
        <v>85</v>
      </c>
      <c r="D31" s="89">
        <v>43480</v>
      </c>
      <c r="E31" s="89">
        <v>41855</v>
      </c>
      <c r="F31" s="89"/>
      <c r="G31" s="89"/>
      <c r="H31" s="89"/>
      <c r="I31" s="89"/>
      <c r="J31" s="89"/>
      <c r="K31" s="145"/>
      <c r="L31" s="140"/>
    </row>
    <row r="32" spans="2:14" ht="54.75" customHeight="1" x14ac:dyDescent="0.2">
      <c r="B32" s="374"/>
      <c r="C32" s="25" t="s">
        <v>86</v>
      </c>
      <c r="D32" s="89">
        <v>44067</v>
      </c>
      <c r="E32" s="89">
        <v>42219</v>
      </c>
      <c r="F32" s="89"/>
      <c r="G32" s="89"/>
      <c r="H32" s="89"/>
      <c r="I32" s="89"/>
      <c r="J32" s="89"/>
      <c r="K32" s="145"/>
      <c r="L32" s="140"/>
    </row>
    <row r="33" spans="2:12" ht="41.25" customHeight="1" x14ac:dyDescent="0.2">
      <c r="B33" s="374"/>
      <c r="C33" s="25" t="s">
        <v>87</v>
      </c>
      <c r="D33" s="86">
        <v>2020</v>
      </c>
      <c r="E33" s="86">
        <v>2015</v>
      </c>
      <c r="F33" s="86"/>
      <c r="G33" s="86"/>
      <c r="H33" s="86"/>
      <c r="I33" s="86"/>
      <c r="J33" s="86"/>
      <c r="K33" s="145"/>
      <c r="L33" s="140"/>
    </row>
    <row r="34" spans="2:12" ht="63" customHeight="1" x14ac:dyDescent="0.2">
      <c r="B34" s="374"/>
      <c r="C34" s="25" t="s">
        <v>88</v>
      </c>
      <c r="D34" s="85" t="s">
        <v>1007</v>
      </c>
      <c r="E34" s="85" t="s">
        <v>1007</v>
      </c>
      <c r="F34" s="85"/>
      <c r="G34" s="85"/>
      <c r="H34" s="85"/>
      <c r="I34" s="85"/>
      <c r="J34" s="85"/>
      <c r="K34" s="145"/>
      <c r="L34" s="140"/>
    </row>
    <row r="35" spans="2:12" ht="46.5" customHeight="1" x14ac:dyDescent="0.2">
      <c r="B35" s="374"/>
      <c r="C35" s="25" t="s">
        <v>89</v>
      </c>
      <c r="D35" s="85" t="s">
        <v>1008</v>
      </c>
      <c r="E35" s="85" t="s">
        <v>1009</v>
      </c>
      <c r="F35" s="85"/>
      <c r="G35" s="85"/>
      <c r="H35" s="85"/>
      <c r="I35" s="85"/>
      <c r="J35" s="85"/>
      <c r="K35" s="145"/>
      <c r="L35" s="140"/>
    </row>
    <row r="36" spans="2:12" ht="27.75" customHeight="1" x14ac:dyDescent="0.2">
      <c r="B36" s="374"/>
      <c r="C36" s="26" t="s">
        <v>90</v>
      </c>
      <c r="D36" s="90">
        <v>361</v>
      </c>
      <c r="E36" s="90" t="s">
        <v>1010</v>
      </c>
      <c r="F36" s="90"/>
      <c r="G36" s="91"/>
      <c r="H36" s="91"/>
      <c r="I36" s="91"/>
      <c r="J36" s="91"/>
      <c r="K36" s="145"/>
      <c r="L36" s="140"/>
    </row>
    <row r="37" spans="2:12" ht="102.75" customHeight="1" x14ac:dyDescent="0.2">
      <c r="B37" s="374"/>
      <c r="C37" s="25" t="s">
        <v>91</v>
      </c>
      <c r="D37" s="87">
        <v>2717.26</v>
      </c>
      <c r="E37" s="158">
        <v>1247.0999999999999</v>
      </c>
      <c r="F37" s="87"/>
      <c r="G37" s="87"/>
      <c r="H37" s="87"/>
      <c r="I37" s="87"/>
      <c r="J37" s="87"/>
      <c r="K37" s="242"/>
      <c r="L37" s="243"/>
    </row>
    <row r="38" spans="2:12" ht="48" customHeight="1" x14ac:dyDescent="0.2">
      <c r="B38" s="374"/>
      <c r="C38" s="25" t="s">
        <v>92</v>
      </c>
      <c r="D38" s="97">
        <f>IFERROR(D37*VLOOKUP(D33,'DATOS INICIALES'!$A$12:$B$50,2,0),"0")</f>
        <v>2385218979.7800002</v>
      </c>
      <c r="E38" s="97">
        <f>IFERROR(E37*VLOOKUP(E33,'DATOS INICIALES'!$A$12:$B$50,2,0),"0")</f>
        <v>803568885</v>
      </c>
      <c r="F38" s="97" t="str">
        <f>IFERROR(F37*VLOOKUP(F33,'DATOS INICIALES'!$A$12:$B$50,2,0),"0")</f>
        <v>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0.51</v>
      </c>
      <c r="E39" s="88">
        <v>0.5</v>
      </c>
      <c r="F39" s="88"/>
      <c r="G39" s="88"/>
      <c r="H39" s="88"/>
      <c r="I39" s="88"/>
      <c r="J39" s="88"/>
      <c r="K39" s="145"/>
      <c r="L39" s="140"/>
    </row>
    <row r="40" spans="2:12" ht="48.75" customHeight="1" x14ac:dyDescent="0.2">
      <c r="B40" s="374"/>
      <c r="C40" s="25" t="s">
        <v>94</v>
      </c>
      <c r="D40" s="97">
        <f t="shared" ref="D40:J40" si="0">IF(D26="","0",D39*D38)</f>
        <v>1216461679.6878002</v>
      </c>
      <c r="E40" s="97">
        <f t="shared" si="0"/>
        <v>401784442.5</v>
      </c>
      <c r="F40" s="97" t="str">
        <f t="shared" si="0"/>
        <v>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1385.8026000000002</v>
      </c>
      <c r="E41" s="98">
        <f t="shared" si="1"/>
        <v>623.54999999999995</v>
      </c>
      <c r="F41" s="98">
        <f t="shared" si="1"/>
        <v>0</v>
      </c>
      <c r="G41" s="98">
        <f t="shared" si="1"/>
        <v>0</v>
      </c>
      <c r="H41" s="98">
        <f t="shared" si="1"/>
        <v>0</v>
      </c>
      <c r="I41" s="98">
        <f t="shared" si="1"/>
        <v>0</v>
      </c>
      <c r="J41" s="98">
        <f t="shared" si="1"/>
        <v>0</v>
      </c>
      <c r="K41" s="145"/>
      <c r="L41" s="140"/>
    </row>
    <row r="42" spans="2:12" ht="65.25" customHeight="1" x14ac:dyDescent="0.2">
      <c r="B42" s="374"/>
      <c r="C42" s="25" t="s">
        <v>96</v>
      </c>
      <c r="D42" s="88"/>
      <c r="E42" s="88">
        <v>0.5</v>
      </c>
      <c r="F42" s="88"/>
      <c r="G42" s="88"/>
      <c r="H42" s="88"/>
      <c r="I42" s="88"/>
      <c r="J42" s="88"/>
      <c r="K42" s="145"/>
      <c r="L42" s="140"/>
    </row>
    <row r="43" spans="2:12" ht="65.25" customHeight="1" x14ac:dyDescent="0.2">
      <c r="B43" s="374"/>
      <c r="C43" s="25" t="s">
        <v>97</v>
      </c>
      <c r="D43" s="99" t="str">
        <f t="shared" ref="D43:J43" si="2">IF(D27="","0",D42*D38)</f>
        <v>0</v>
      </c>
      <c r="E43" s="99">
        <f t="shared" si="2"/>
        <v>401784442.5</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623.54999999999995</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1385.8026000000002</v>
      </c>
      <c r="E48" s="98">
        <f t="shared" ref="E48:G48" si="6">+E41+E44+E47</f>
        <v>1247.0999999999999</v>
      </c>
      <c r="F48" s="98">
        <f t="shared" si="6"/>
        <v>0</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N/A</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N/A</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0:C70"/>
    <mergeCell ref="B71:C71"/>
    <mergeCell ref="B72:C72"/>
    <mergeCell ref="B65:C65"/>
    <mergeCell ref="B66:C66"/>
    <mergeCell ref="B67:C67"/>
    <mergeCell ref="B69:E69"/>
    <mergeCell ref="B62:C62"/>
    <mergeCell ref="B63:C63"/>
    <mergeCell ref="B64:C64"/>
    <mergeCell ref="B59:C59"/>
    <mergeCell ref="B60:C60"/>
    <mergeCell ref="B61:C61"/>
    <mergeCell ref="B56:C56"/>
    <mergeCell ref="B57:C57"/>
    <mergeCell ref="B58:C58"/>
    <mergeCell ref="B50:B55"/>
    <mergeCell ref="B28:C28"/>
    <mergeCell ref="B29:B47"/>
    <mergeCell ref="I22:L22"/>
    <mergeCell ref="B12:L12"/>
    <mergeCell ref="B13:H13"/>
    <mergeCell ref="B14:B21"/>
    <mergeCell ref="K17:L17"/>
    <mergeCell ref="K18:L21"/>
    <mergeCell ref="B24:L24"/>
    <mergeCell ref="K25:L25"/>
    <mergeCell ref="B26:C26"/>
    <mergeCell ref="B27:C27"/>
    <mergeCell ref="B23:L23"/>
    <mergeCell ref="C8:I8"/>
    <mergeCell ref="C9:I9"/>
    <mergeCell ref="C10:I10"/>
    <mergeCell ref="C11:G11"/>
    <mergeCell ref="B2:L2"/>
    <mergeCell ref="B3:L3"/>
    <mergeCell ref="B4:L4"/>
    <mergeCell ref="B5:L5"/>
    <mergeCell ref="B7:I7"/>
    <mergeCell ref="J7:L7"/>
    <mergeCell ref="I11:L11"/>
  </mergeCells>
  <conditionalFormatting sqref="D71">
    <cfRule type="cellIs" dxfId="1891" priority="74" operator="equal">
      <formula>"NO CUMPLE"</formula>
    </cfRule>
    <cfRule type="containsBlanks" dxfId="1890" priority="72">
      <formula>LEN(TRIM(D71))=0</formula>
    </cfRule>
    <cfRule type="cellIs" dxfId="1889" priority="75" operator="equal">
      <formula>"CUMPLE"</formula>
    </cfRule>
    <cfRule type="notContainsErrors" dxfId="1888" priority="73">
      <formula>NOT(ISERROR(D71))</formula>
    </cfRule>
  </conditionalFormatting>
  <conditionalFormatting sqref="D72">
    <cfRule type="cellIs" dxfId="1887" priority="76" operator="equal">
      <formula>"N/A"</formula>
    </cfRule>
    <cfRule type="cellIs" dxfId="1886" priority="78" operator="equal">
      <formula>"NO CUMPLE"</formula>
    </cfRule>
    <cfRule type="cellIs" dxfId="1885" priority="77" operator="equal">
      <formula>"CUMPLE"</formula>
    </cfRule>
    <cfRule type="cellIs" dxfId="1884" priority="79" operator="equal">
      <formula>"""CUMPLE"""</formula>
    </cfRule>
  </conditionalFormatting>
  <conditionalFormatting sqref="D26:J37">
    <cfRule type="containsBlanks" dxfId="1883" priority="5">
      <formula>LEN(TRIM(D26))=0</formula>
    </cfRule>
    <cfRule type="notContainsErrors" dxfId="1882" priority="6">
      <formula>NOT(ISERROR(D26))</formula>
    </cfRule>
  </conditionalFormatting>
  <conditionalFormatting sqref="D36:J36">
    <cfRule type="containsBlanks" dxfId="1881" priority="7">
      <formula>LEN(TRIM(D36))=0</formula>
    </cfRule>
    <cfRule type="notContainsErrors" dxfId="1880" priority="8">
      <formula>NOT(ISERROR(D36))</formula>
    </cfRule>
  </conditionalFormatting>
  <conditionalFormatting sqref="D39:J39">
    <cfRule type="notContainsErrors" dxfId="1879" priority="4">
      <formula>NOT(ISERROR(D39))</formula>
    </cfRule>
    <cfRule type="containsBlanks" dxfId="1878" priority="3">
      <formula>LEN(TRIM(D39))=0</formula>
    </cfRule>
  </conditionalFormatting>
  <conditionalFormatting sqref="D42:J42">
    <cfRule type="containsBlanks" dxfId="1877" priority="1">
      <formula>LEN(TRIM(D42))=0</formula>
    </cfRule>
    <cfRule type="notContainsErrors" dxfId="1876" priority="2">
      <formula>NOT(ISERROR(D42))</formula>
    </cfRule>
  </conditionalFormatting>
  <conditionalFormatting sqref="D45:J45">
    <cfRule type="notContainsErrors" dxfId="1875" priority="40">
      <formula>NOT(ISERROR(D45))</formula>
    </cfRule>
    <cfRule type="containsBlanks" dxfId="1874" priority="39">
      <formula>LEN(TRIM(D45))=0</formula>
    </cfRule>
  </conditionalFormatting>
  <conditionalFormatting sqref="D49:J54">
    <cfRule type="cellIs" dxfId="1873" priority="19" operator="equal">
      <formula>"NO CUMPLE"</formula>
    </cfRule>
    <cfRule type="cellIs" dxfId="1872" priority="20" operator="equal">
      <formula>"CUMPLE"</formula>
    </cfRule>
    <cfRule type="containsBlanks" dxfId="1871" priority="21">
      <formula>LEN(TRIM(D49))=0</formula>
    </cfRule>
    <cfRule type="notContainsErrors" dxfId="1870" priority="22">
      <formula>NOT(ISERROR(D49))</formula>
    </cfRule>
  </conditionalFormatting>
  <conditionalFormatting sqref="D55:J55">
    <cfRule type="cellIs" dxfId="1869" priority="29" operator="equal">
      <formula>"N/A"</formula>
    </cfRule>
    <cfRule type="cellIs" dxfId="1868" priority="32" operator="equal">
      <formula>"""CUMPLE"""</formula>
    </cfRule>
    <cfRule type="cellIs" dxfId="1867" priority="31" operator="equal">
      <formula>"NO CUMPLE"</formula>
    </cfRule>
    <cfRule type="cellIs" dxfId="1866" priority="30" operator="equal">
      <formula>"CUMPLE"</formula>
    </cfRule>
  </conditionalFormatting>
  <conditionalFormatting sqref="D56:J66">
    <cfRule type="cellIs" dxfId="1865" priority="13" operator="equal">
      <formula>"NO CUMPLE"</formula>
    </cfRule>
    <cfRule type="notContainsErrors" dxfId="1864" priority="16">
      <formula>NOT(ISERROR(D56))</formula>
    </cfRule>
    <cfRule type="cellIs" dxfId="1863" priority="14" operator="equal">
      <formula>"CUMPLE"</formula>
    </cfRule>
    <cfRule type="containsBlanks" dxfId="1862" priority="15">
      <formula>LEN(TRIM(D56))=0</formula>
    </cfRule>
  </conditionalFormatting>
  <conditionalFormatting sqref="D67:J67">
    <cfRule type="cellIs" dxfId="1861" priority="25" operator="equal">
      <formula>"N/A"</formula>
    </cfRule>
    <cfRule type="cellIs" dxfId="1860" priority="26" operator="equal">
      <formula>"CUMPLE"</formula>
    </cfRule>
    <cfRule type="cellIs" dxfId="1859" priority="28" operator="equal">
      <formula>"""CUMPLE"""</formula>
    </cfRule>
    <cfRule type="cellIs" dxfId="1858" priority="27" operator="equal">
      <formula>"NO CUMPLE"</formula>
    </cfRule>
  </conditionalFormatting>
  <conditionalFormatting sqref="D62:K66">
    <cfRule type="containsBlanks" dxfId="1857" priority="17">
      <formula>LEN(TRIM(D62))=0</formula>
    </cfRule>
    <cfRule type="notContainsErrors" dxfId="1856" priority="18">
      <formula>NOT(ISERROR(D62))</formula>
    </cfRule>
  </conditionalFormatting>
  <conditionalFormatting sqref="E71:E72">
    <cfRule type="notContainsErrors" dxfId="1855" priority="71">
      <formula>NOT(ISERROR(E71))</formula>
    </cfRule>
    <cfRule type="containsBlanks" dxfId="1854" priority="70">
      <formula>LEN(TRIM(E71))=0</formula>
    </cfRule>
  </conditionalFormatting>
  <conditionalFormatting sqref="F22:H22">
    <cfRule type="cellIs" dxfId="1853" priority="94" operator="equal">
      <formula>"NO CUMPLE"</formula>
    </cfRule>
    <cfRule type="cellIs" dxfId="1852" priority="95" operator="equal">
      <formula>"""CUMPLE"""</formula>
    </cfRule>
    <cfRule type="cellIs" dxfId="1851" priority="93" operator="equal">
      <formula>"CUMPLE"</formula>
    </cfRule>
  </conditionalFormatting>
  <conditionalFormatting sqref="G63:J63">
    <cfRule type="containsBlanks" dxfId="1850" priority="9">
      <formula>LEN(TRIM(G63))=0</formula>
    </cfRule>
    <cfRule type="notContainsErrors" dxfId="1849" priority="10">
      <formula>NOT(ISERROR(G63))</formula>
    </cfRule>
  </conditionalFormatting>
  <conditionalFormatting sqref="I11">
    <cfRule type="containsText" dxfId="1848" priority="99" operator="containsText" text="NO CUMPLE">
      <formula>NOT(ISERROR(SEARCH("NO CUMPLE",I11)))</formula>
    </cfRule>
    <cfRule type="containsText" dxfId="1847" priority="98" operator="containsText" text="HABILITADO">
      <formula>NOT(ISERROR(SEARCH("HABILITADO",I11)))</formula>
    </cfRule>
    <cfRule type="containsText" dxfId="1846" priority="97" operator="containsText" text="HABILITADO">
      <formula>NOT(ISERROR(SEARCH("HABILITADO",I11)))</formula>
    </cfRule>
    <cfRule type="containsText" dxfId="1845" priority="96" operator="containsText" text="INHABILITADO">
      <formula>NOT(ISERROR(SEARCH("INHABILITADO",I11)))</formula>
    </cfRule>
  </conditionalFormatting>
  <conditionalFormatting sqref="K18:K20">
    <cfRule type="cellIs" dxfId="1844" priority="68" operator="equal">
      <formula>"NO CUMPLE"</formula>
    </cfRule>
    <cfRule type="cellIs" dxfId="1843" priority="69" operator="equal">
      <formula>"""CUMPLE"""</formula>
    </cfRule>
    <cfRule type="cellIs" dxfId="1842" priority="67" operator="equal">
      <formula>"CUMPLE"</formula>
    </cfRule>
  </conditionalFormatting>
  <conditionalFormatting sqref="K26:K61 D62:J62">
    <cfRule type="containsBlanks" dxfId="1841" priority="11">
      <formula>LEN(TRIM(D26))=0</formula>
    </cfRule>
    <cfRule type="notContainsErrors" dxfId="1840" priority="12">
      <formula>NOT(ISERROR(D26))</formula>
    </cfRule>
  </conditionalFormatting>
  <conditionalFormatting sqref="K67:L67">
    <cfRule type="containsBlanks" dxfId="1839" priority="23">
      <formula>LEN(TRIM(K67))=0</formula>
    </cfRule>
    <cfRule type="notContainsErrors" dxfId="1838" priority="24">
      <formula>NOT(ISERROR(K67))</formula>
    </cfRule>
  </conditionalFormatting>
  <conditionalFormatting sqref="L14">
    <cfRule type="cellIs" dxfId="1837" priority="92" operator="equal">
      <formula>"""CUMPLE"""</formula>
    </cfRule>
    <cfRule type="cellIs" dxfId="1836" priority="91" operator="equal">
      <formula>"NO CUMPLE"</formula>
    </cfRule>
    <cfRule type="cellIs" dxfId="1835" priority="90" operator="equal">
      <formula>"CUMPLE"</formula>
    </cfRule>
  </conditionalFormatting>
  <dataValidations count="2">
    <dataValidation type="list" allowBlank="1" showInputMessage="1" showErrorMessage="1" sqref="D26:J28" xr:uid="{00000000-0002-0000-4200-000000000000}">
      <formula1>$C$15:$C$21</formula1>
    </dataValidation>
    <dataValidation type="list" allowBlank="1" showInputMessage="1" showErrorMessage="1" sqref="L62:L67" xr:uid="{00000000-0002-0000-42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4200-000002000000}">
          <x14:formula1>
            <xm:f>'DATOS INICIALES'!$D$27:$D$29</xm:f>
          </x14:formula1>
          <xm:sqref>M50:M55</xm:sqref>
        </x14:dataValidation>
        <x14:dataValidation type="list" allowBlank="1" showInputMessage="1" showErrorMessage="1" xr:uid="{00000000-0002-0000-4200-000003000000}">
          <x14:formula1>
            <xm:f>'DATOS INICIALES'!$A$13:$A$50</xm:f>
          </x14:formula1>
          <xm:sqref>G33:I33</xm:sqref>
        </x14:dataValidation>
        <x14:dataValidation type="list" allowBlank="1" showInputMessage="1" showErrorMessage="1" xr:uid="{00000000-0002-0000-4200-000004000000}">
          <x14:formula1>
            <xm:f>'DATOS INICIALES'!$A$61:$A$66</xm:f>
          </x14:formula1>
          <xm:sqref>D25:I25</xm:sqref>
        </x14:dataValidation>
        <x14:dataValidation type="list" allowBlank="1" showInputMessage="1" showErrorMessage="1" xr:uid="{00000000-0002-0000-4200-000005000000}">
          <x14:formula1>
            <xm:f>'DATOS INICIALES'!$A$57:$A$59</xm:f>
          </x14:formula1>
          <xm:sqref>D71 D56:J66</xm:sqref>
        </x14:dataValidation>
        <x14:dataValidation type="list" allowBlank="1" showInputMessage="1" showErrorMessage="1" xr:uid="{00000000-0002-0000-4200-000006000000}">
          <x14:formula1>
            <xm:f>'DATOS INICIALES'!$C$52:$C$53</xm:f>
          </x14:formula1>
          <xm:sqref>D53:J54</xm:sqref>
        </x14:dataValidation>
        <x14:dataValidation type="list" allowBlank="1" showInputMessage="1" showErrorMessage="1" xr:uid="{00000000-0002-0000-4200-000007000000}">
          <x14:formula1>
            <xm:f>'DATOS INICIALES'!$A$61:$A$67</xm:f>
          </x14:formula1>
          <xm:sqref>J25</xm:sqref>
        </x14:dataValidation>
        <x14:dataValidation type="list" allowBlank="1" showInputMessage="1" showErrorMessage="1" xr:uid="{00000000-0002-0000-4200-000008000000}">
          <x14:formula1>
            <xm:f>'DATOS INICIALES'!$A$57:$A$58</xm:f>
          </x14:formula1>
          <xm:sqref>D49:J49</xm:sqref>
        </x14:dataValidation>
        <x14:dataValidation type="list" allowBlank="1" showInputMessage="1" showErrorMessage="1" xr:uid="{00000000-0002-0000-4200-000009000000}">
          <x14:formula1>
            <xm:f>'DATOS INICIALES'!$C$52:$C$54</xm:f>
          </x14:formula1>
          <xm:sqref>D50:J52</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sheetPr>
    <tabColor rgb="FF92D050"/>
  </sheetPr>
  <dimension ref="A1:N72"/>
  <sheetViews>
    <sheetView view="pageBreakPreview" zoomScale="55" zoomScaleNormal="25" zoomScaleSheetLayoutView="55" workbookViewId="0">
      <selection activeCell="K16" sqref="K16"/>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6" width="50.1640625" customWidth="1"/>
    <col min="7"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62</v>
      </c>
      <c r="B11" s="2" t="s">
        <v>58</v>
      </c>
      <c r="C11" s="413" t="str">
        <f>VLOOKUP(A11,PROPONENTES!A10:B94,2,FALSE)</f>
        <v>CONSORCIO GL USAQUEN 2025</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2</v>
      </c>
      <c r="J14" s="147">
        <f>+L8</f>
        <v>986.3076290832455</v>
      </c>
      <c r="K14" s="147">
        <f>+E22</f>
        <v>4715.9346999999998</v>
      </c>
      <c r="L14" s="18" t="str">
        <f>IF(K14&gt;=J14,"CUMPLE","NO CUMPLE")</f>
        <v>CUMPLE</v>
      </c>
    </row>
    <row r="15" spans="1:12" ht="33.75" customHeight="1" x14ac:dyDescent="0.2">
      <c r="B15" s="382"/>
      <c r="C15" s="92" t="str">
        <f>IF(VLOOKUP(C11,PROPONENTES!B10:N94,2,FALSE)=0,"",VLOOKUP(C11,PROPONENTES!B10:N94,2,FALSE))</f>
        <v xml:space="preserve">INGENIERIA Y CONSULTORIA GHE 
S.A.S. 
NIT. 901.647.575 - 9 </v>
      </c>
      <c r="D15" s="93">
        <f>IF(VLOOKUP(C11,PROPONENTES!B10:N94,3,FALSE)=0,"",VLOOKUP(C11,PROPONENTES!B10:N94,3,FALSE))</f>
        <v>0.1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0</v>
      </c>
      <c r="F15" s="95" t="str">
        <f>IF(C15="","",IF(E15&gt;=$J$14*0.5,"SI","NO"))</f>
        <v>NO</v>
      </c>
      <c r="G15" s="96" t="str">
        <f>IF(C15="","",IF(E15&gt;=$J$14*0.05,"SI",IF(E15=0,"NO APORTA EXPERIENCIA",)))</f>
        <v>NO APORTA EXPERIENCIA</v>
      </c>
      <c r="H15" s="96" t="str">
        <f>IF(C15="","",IF(AND(G15="NO APORTA EXPERIENCIA",D15&lt;=10%),"SI",IF(G15="SI","NO APLICA","NO - PORCENTAJE MAYOR AL 10%")))</f>
        <v>SI</v>
      </c>
      <c r="I15" s="162"/>
      <c r="J15" s="162"/>
      <c r="K15" s="162"/>
      <c r="L15" s="173" t="s">
        <v>72</v>
      </c>
    </row>
    <row r="16" spans="1:12" ht="33.75" customHeight="1" x14ac:dyDescent="0.2">
      <c r="B16" s="382"/>
      <c r="C16" s="92" t="str">
        <f>IF(VLOOKUP(C11,PROPONENTES!B10:N94,4,FALSE)=0,"",VLOOKUP(C11,PROPONENTES!B10:N94,4,FALSE))</f>
        <v xml:space="preserve">ALFREDO JOSE LEPESQUEUR 
MARTINEZ 
C.C. 10.766.786 </v>
      </c>
      <c r="D16" s="93">
        <f>IF(VLOOKUP(C11,PROPONENTES!B10:N94,5,FALSE)=0,"",VLOOKUP(C11,PROPONENTES!B10:N94,5,FALSE))</f>
        <v>0.9</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4715.9346999999998</v>
      </c>
      <c r="F16" s="95" t="str">
        <f>IF(C16="","",IF(E16&gt;=$J$14*0.5,"SI","NO"))</f>
        <v>SI</v>
      </c>
      <c r="G16" s="96" t="str">
        <f>IF(C16="","",IF(E16&gt;=$J$14*0.05,"SI",IF(E16=0,"NO APORTA EXPERIENCIA",)))</f>
        <v>SI</v>
      </c>
      <c r="H16" s="96" t="str">
        <f>IF(C16="","",IF(AND(G16="NO APORTA EXPERIENCIA",D16&lt;=10%),"SI",IF(G16="SI","NO APLICA","NO - PORCENTAJE MAYOR AL 10%")))</f>
        <v>NO APLICA</v>
      </c>
      <c r="I16" s="162"/>
      <c r="J16" s="162"/>
      <c r="K16" s="162"/>
      <c r="L16" s="161">
        <f>AVERAGEIF(D67:J67,"CUMPLE",D48:J48)</f>
        <v>2357.9673499999999</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1</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2</v>
      </c>
      <c r="J19" s="128">
        <v>1</v>
      </c>
      <c r="K19" s="387"/>
      <c r="L19" s="388"/>
    </row>
    <row r="20" spans="2:14" ht="50.25" customHeight="1" x14ac:dyDescent="0.2">
      <c r="B20" s="382"/>
      <c r="C20" s="92"/>
      <c r="D20" s="93"/>
      <c r="E20" s="94"/>
      <c r="F20" s="95"/>
      <c r="G20" s="96"/>
      <c r="H20" s="96"/>
      <c r="I20" s="128">
        <f>COUNTIFS(D60:J60,"CUMPLE",D67:J67,"CUMPLE")</f>
        <v>2</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2</v>
      </c>
      <c r="J21" s="128">
        <v>1</v>
      </c>
      <c r="K21" s="389"/>
      <c r="L21" s="390"/>
    </row>
    <row r="22" spans="2:14" ht="84.75" customHeight="1" x14ac:dyDescent="0.2">
      <c r="B22" s="29" t="s">
        <v>75</v>
      </c>
      <c r="C22" s="24">
        <f>+VLOOKUP(C11,PROPONENTES!B10:N94,12,FALSE)</f>
        <v>2</v>
      </c>
      <c r="D22" s="93">
        <f>+VLOOKUP(C11,PROPONENTES!B10:N94,13,FALSE)</f>
        <v>1</v>
      </c>
      <c r="E22" s="32">
        <f>SUM(E15:E21)</f>
        <v>4715.9346999999998</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951</v>
      </c>
      <c r="E26" s="84" t="s">
        <v>951</v>
      </c>
      <c r="F26" s="84" t="s">
        <v>951</v>
      </c>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1011</v>
      </c>
      <c r="E29" s="85" t="s">
        <v>1012</v>
      </c>
      <c r="F29" s="85" t="s">
        <v>1013</v>
      </c>
      <c r="G29" s="85"/>
      <c r="H29" s="85"/>
      <c r="I29" s="85"/>
      <c r="J29" s="85"/>
      <c r="K29" s="145"/>
      <c r="L29" s="140"/>
    </row>
    <row r="30" spans="2:14" ht="226.25" customHeight="1" x14ac:dyDescent="0.2">
      <c r="B30" s="374"/>
      <c r="C30" s="25" t="s">
        <v>84</v>
      </c>
      <c r="D30" s="85" t="s">
        <v>1014</v>
      </c>
      <c r="E30" s="85" t="s">
        <v>1015</v>
      </c>
      <c r="F30" s="85" t="s">
        <v>1428</v>
      </c>
      <c r="G30" s="85"/>
      <c r="H30" s="85"/>
      <c r="I30" s="85"/>
      <c r="J30" s="85"/>
      <c r="K30" s="529" t="s">
        <v>1430</v>
      </c>
      <c r="L30" s="530"/>
    </row>
    <row r="31" spans="2:14" ht="52.5" customHeight="1" x14ac:dyDescent="0.2">
      <c r="B31" s="374"/>
      <c r="C31" s="25" t="s">
        <v>85</v>
      </c>
      <c r="D31" s="89">
        <v>41912</v>
      </c>
      <c r="E31" s="89">
        <v>42234</v>
      </c>
      <c r="F31" s="89">
        <v>44228</v>
      </c>
      <c r="G31" s="89"/>
      <c r="H31" s="89"/>
      <c r="I31" s="89"/>
      <c r="J31" s="89"/>
      <c r="K31" s="145"/>
      <c r="L31" s="140"/>
    </row>
    <row r="32" spans="2:14" ht="54.75" customHeight="1" x14ac:dyDescent="0.2">
      <c r="B32" s="374"/>
      <c r="C32" s="25" t="s">
        <v>86</v>
      </c>
      <c r="D32" s="89">
        <v>42628</v>
      </c>
      <c r="E32" s="89">
        <v>42649</v>
      </c>
      <c r="F32" s="89">
        <v>44438</v>
      </c>
      <c r="G32" s="89"/>
      <c r="H32" s="89"/>
      <c r="I32" s="89"/>
      <c r="J32" s="89"/>
      <c r="K32" s="145"/>
      <c r="L32" s="140"/>
    </row>
    <row r="33" spans="2:12" ht="41.25" customHeight="1" x14ac:dyDescent="0.2">
      <c r="B33" s="374"/>
      <c r="C33" s="25" t="s">
        <v>87</v>
      </c>
      <c r="D33" s="86">
        <v>2016</v>
      </c>
      <c r="E33" s="86">
        <v>2016</v>
      </c>
      <c r="F33" s="86">
        <v>2021</v>
      </c>
      <c r="G33" s="86"/>
      <c r="H33" s="86"/>
      <c r="I33" s="86"/>
      <c r="J33" s="86"/>
      <c r="K33" s="145"/>
      <c r="L33" s="140"/>
    </row>
    <row r="34" spans="2:12" ht="63" customHeight="1" x14ac:dyDescent="0.2">
      <c r="B34" s="374"/>
      <c r="C34" s="25" t="s">
        <v>88</v>
      </c>
      <c r="D34" s="85" t="s">
        <v>1016</v>
      </c>
      <c r="E34" s="85" t="s">
        <v>1017</v>
      </c>
      <c r="F34" s="85" t="s">
        <v>1018</v>
      </c>
      <c r="G34" s="85"/>
      <c r="H34" s="85"/>
      <c r="I34" s="85"/>
      <c r="J34" s="85"/>
      <c r="K34" s="145"/>
      <c r="L34" s="140"/>
    </row>
    <row r="35" spans="2:12" ht="46.5" customHeight="1" x14ac:dyDescent="0.2">
      <c r="B35" s="374"/>
      <c r="C35" s="25" t="s">
        <v>89</v>
      </c>
      <c r="D35" s="85" t="s">
        <v>951</v>
      </c>
      <c r="E35" s="85" t="s">
        <v>951</v>
      </c>
      <c r="F35" s="85" t="s">
        <v>951</v>
      </c>
      <c r="G35" s="85"/>
      <c r="H35" s="85"/>
      <c r="I35" s="85"/>
      <c r="J35" s="85"/>
      <c r="K35" s="145"/>
      <c r="L35" s="140"/>
    </row>
    <row r="36" spans="2:12" ht="27.75" customHeight="1" x14ac:dyDescent="0.2">
      <c r="B36" s="374"/>
      <c r="C36" s="26" t="s">
        <v>90</v>
      </c>
      <c r="D36" s="90">
        <v>22</v>
      </c>
      <c r="E36" s="90">
        <v>21</v>
      </c>
      <c r="F36" s="90">
        <v>60</v>
      </c>
      <c r="G36" s="91"/>
      <c r="H36" s="91"/>
      <c r="I36" s="91"/>
      <c r="J36" s="91"/>
      <c r="K36" s="145"/>
      <c r="L36" s="140"/>
    </row>
    <row r="37" spans="2:12" ht="102.75" customHeight="1" x14ac:dyDescent="0.2">
      <c r="B37" s="374"/>
      <c r="C37" s="25" t="s">
        <v>91</v>
      </c>
      <c r="D37" s="87">
        <v>6038.39</v>
      </c>
      <c r="E37" s="158">
        <v>1340.41</v>
      </c>
      <c r="F37" s="87">
        <v>615.82000000000005</v>
      </c>
      <c r="G37" s="87"/>
      <c r="H37" s="87"/>
      <c r="I37" s="87"/>
      <c r="J37" s="87"/>
      <c r="K37" s="242"/>
      <c r="L37" s="243"/>
    </row>
    <row r="38" spans="2:12" ht="48" customHeight="1" x14ac:dyDescent="0.2">
      <c r="B38" s="374"/>
      <c r="C38" s="25" t="s">
        <v>92</v>
      </c>
      <c r="D38" s="97">
        <f>IFERROR(D37*VLOOKUP(D33,'DATOS INICIALES'!$A$12:$B$50,2,0),"0")</f>
        <v>4163198177.4500003</v>
      </c>
      <c r="E38" s="97">
        <f>IFERROR(E37*VLOOKUP(E33,'DATOS INICIALES'!$A$12:$B$50,2,0),"0")</f>
        <v>924152376.55000007</v>
      </c>
      <c r="F38" s="97">
        <f>IFERROR(F37*VLOOKUP(F33,'DATOS INICIALES'!$A$12:$B$50,2,0),"0")</f>
        <v>559488481.32000005</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0.73</v>
      </c>
      <c r="E39" s="88">
        <v>0.5</v>
      </c>
      <c r="F39" s="88">
        <v>0.5</v>
      </c>
      <c r="G39" s="88"/>
      <c r="H39" s="88"/>
      <c r="I39" s="88"/>
      <c r="J39" s="88"/>
      <c r="K39" s="145"/>
      <c r="L39" s="140"/>
    </row>
    <row r="40" spans="2:12" ht="48.75" customHeight="1" x14ac:dyDescent="0.2">
      <c r="B40" s="374"/>
      <c r="C40" s="25" t="s">
        <v>94</v>
      </c>
      <c r="D40" s="97">
        <f t="shared" ref="D40:J40" si="0">IF(D26="","0",D39*D38)</f>
        <v>3039134669.5385003</v>
      </c>
      <c r="E40" s="97">
        <f t="shared" si="0"/>
        <v>462076188.27500004</v>
      </c>
      <c r="F40" s="97">
        <f t="shared" si="0"/>
        <v>279744240.66000003</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4408.0246999999999</v>
      </c>
      <c r="E41" s="98">
        <f t="shared" si="1"/>
        <v>670.20500000000004</v>
      </c>
      <c r="F41" s="98">
        <f t="shared" si="1"/>
        <v>307.91000000000003</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4408.0246999999999</v>
      </c>
      <c r="E48" s="98">
        <f t="shared" ref="E48:G48" si="6">+E41+E44+E47</f>
        <v>670.20500000000004</v>
      </c>
      <c r="F48" s="98">
        <f t="shared" si="6"/>
        <v>307.91000000000003</v>
      </c>
      <c r="G48" s="98">
        <f t="shared" si="6"/>
        <v>0</v>
      </c>
      <c r="H48" s="98">
        <f>+H41+H44+H47</f>
        <v>0</v>
      </c>
      <c r="I48" s="98">
        <f t="shared" ref="I48:J48" si="7">+I41+I44+I47</f>
        <v>0</v>
      </c>
      <c r="J48" s="98">
        <f t="shared" si="7"/>
        <v>0</v>
      </c>
      <c r="K48" s="313"/>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26</v>
      </c>
      <c r="F56" s="84" t="s">
        <v>24</v>
      </c>
      <c r="G56" s="84" t="s">
        <v>24</v>
      </c>
      <c r="H56" s="84" t="s">
        <v>24</v>
      </c>
      <c r="I56" s="84" t="s">
        <v>24</v>
      </c>
      <c r="J56" s="84" t="s">
        <v>24</v>
      </c>
      <c r="K56" s="240"/>
      <c r="L56" s="241"/>
    </row>
    <row r="57" spans="2:12" ht="50.25" customHeight="1" x14ac:dyDescent="0.2">
      <c r="B57" s="431" t="s">
        <v>177</v>
      </c>
      <c r="C57" s="432"/>
      <c r="D57" s="84" t="s">
        <v>26</v>
      </c>
      <c r="E57" s="84" t="s">
        <v>26</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NO 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2">
    <mergeCell ref="B62:C62"/>
    <mergeCell ref="B63:C63"/>
    <mergeCell ref="B64:C64"/>
    <mergeCell ref="B59:C59"/>
    <mergeCell ref="B60:C60"/>
    <mergeCell ref="B61:C61"/>
    <mergeCell ref="B70:C70"/>
    <mergeCell ref="B71:C71"/>
    <mergeCell ref="B72:C72"/>
    <mergeCell ref="B65:C65"/>
    <mergeCell ref="B66:C66"/>
    <mergeCell ref="B67:C67"/>
    <mergeCell ref="B69:E69"/>
    <mergeCell ref="B58:C58"/>
    <mergeCell ref="B50:B55"/>
    <mergeCell ref="B28:C28"/>
    <mergeCell ref="B29:B47"/>
    <mergeCell ref="I22:L22"/>
    <mergeCell ref="B24:L24"/>
    <mergeCell ref="K25:L25"/>
    <mergeCell ref="B26:C26"/>
    <mergeCell ref="B27:C27"/>
    <mergeCell ref="B23:L23"/>
    <mergeCell ref="K30:L30"/>
    <mergeCell ref="B56:C56"/>
    <mergeCell ref="B57:C57"/>
    <mergeCell ref="B12:L12"/>
    <mergeCell ref="B13:H13"/>
    <mergeCell ref="B14:B21"/>
    <mergeCell ref="K17:L17"/>
    <mergeCell ref="K18:L21"/>
    <mergeCell ref="C8:I8"/>
    <mergeCell ref="C9:I9"/>
    <mergeCell ref="C10:I10"/>
    <mergeCell ref="C11:G11"/>
    <mergeCell ref="B2:L2"/>
    <mergeCell ref="B3:L3"/>
    <mergeCell ref="B4:L4"/>
    <mergeCell ref="B5:L5"/>
    <mergeCell ref="B7:I7"/>
    <mergeCell ref="J7:L7"/>
    <mergeCell ref="I11:L11"/>
  </mergeCells>
  <conditionalFormatting sqref="D71">
    <cfRule type="cellIs" dxfId="1834" priority="97" operator="equal">
      <formula>"CUMPLE"</formula>
    </cfRule>
    <cfRule type="containsBlanks" dxfId="1833" priority="94">
      <formula>LEN(TRIM(D71))=0</formula>
    </cfRule>
    <cfRule type="notContainsErrors" dxfId="1832" priority="95">
      <formula>NOT(ISERROR(D71))</formula>
    </cfRule>
    <cfRule type="cellIs" dxfId="1831" priority="96" operator="equal">
      <formula>"NO CUMPLE"</formula>
    </cfRule>
  </conditionalFormatting>
  <conditionalFormatting sqref="D72">
    <cfRule type="cellIs" dxfId="1830" priority="99" operator="equal">
      <formula>"CUMPLE"</formula>
    </cfRule>
    <cfRule type="cellIs" dxfId="1829" priority="98" operator="equal">
      <formula>"N/A"</formula>
    </cfRule>
    <cfRule type="cellIs" dxfId="1828" priority="101" operator="equal">
      <formula>"""CUMPLE"""</formula>
    </cfRule>
    <cfRule type="cellIs" dxfId="1827" priority="100" operator="equal">
      <formula>"NO CUMPLE"</formula>
    </cfRule>
  </conditionalFormatting>
  <conditionalFormatting sqref="D26:J37">
    <cfRule type="notContainsErrors" dxfId="1826" priority="4">
      <formula>NOT(ISERROR(D26))</formula>
    </cfRule>
    <cfRule type="containsBlanks" dxfId="1825" priority="3">
      <formula>LEN(TRIM(D26))=0</formula>
    </cfRule>
  </conditionalFormatting>
  <conditionalFormatting sqref="D36:J36">
    <cfRule type="notContainsErrors" dxfId="1824" priority="6">
      <formula>NOT(ISERROR(D36))</formula>
    </cfRule>
    <cfRule type="containsBlanks" dxfId="1823" priority="5">
      <formula>LEN(TRIM(D36))=0</formula>
    </cfRule>
  </conditionalFormatting>
  <conditionalFormatting sqref="D39:J39">
    <cfRule type="containsBlanks" dxfId="1822" priority="1">
      <formula>LEN(TRIM(D39))=0</formula>
    </cfRule>
    <cfRule type="notContainsErrors" dxfId="1821" priority="2">
      <formula>NOT(ISERROR(D39))</formula>
    </cfRule>
  </conditionalFormatting>
  <conditionalFormatting sqref="D42:J42 D45:J45">
    <cfRule type="notContainsErrors" dxfId="1820" priority="62">
      <formula>NOT(ISERROR(D42))</formula>
    </cfRule>
    <cfRule type="containsBlanks" dxfId="1819" priority="61">
      <formula>LEN(TRIM(D42))=0</formula>
    </cfRule>
  </conditionalFormatting>
  <conditionalFormatting sqref="D49:J54">
    <cfRule type="cellIs" dxfId="1818" priority="17" operator="equal">
      <formula>"NO CUMPLE"</formula>
    </cfRule>
    <cfRule type="cellIs" dxfId="1817" priority="18" operator="equal">
      <formula>"CUMPLE"</formula>
    </cfRule>
    <cfRule type="containsBlanks" dxfId="1816" priority="19">
      <formula>LEN(TRIM(D49))=0</formula>
    </cfRule>
    <cfRule type="notContainsErrors" dxfId="1815" priority="20">
      <formula>NOT(ISERROR(D49))</formula>
    </cfRule>
  </conditionalFormatting>
  <conditionalFormatting sqref="D55:J55">
    <cfRule type="cellIs" dxfId="1814" priority="28" operator="equal">
      <formula>"CUMPLE"</formula>
    </cfRule>
    <cfRule type="cellIs" dxfId="1813" priority="30" operator="equal">
      <formula>"""CUMPLE"""</formula>
    </cfRule>
    <cfRule type="cellIs" dxfId="1812" priority="29" operator="equal">
      <formula>"NO CUMPLE"</formula>
    </cfRule>
    <cfRule type="cellIs" dxfId="1811" priority="27" operator="equal">
      <formula>"N/A"</formula>
    </cfRule>
  </conditionalFormatting>
  <conditionalFormatting sqref="D56:J66">
    <cfRule type="cellIs" dxfId="1810" priority="11" operator="equal">
      <formula>"NO CUMPLE"</formula>
    </cfRule>
    <cfRule type="notContainsErrors" dxfId="1809" priority="14">
      <formula>NOT(ISERROR(D56))</formula>
    </cfRule>
    <cfRule type="containsBlanks" dxfId="1808" priority="13">
      <formula>LEN(TRIM(D56))=0</formula>
    </cfRule>
    <cfRule type="cellIs" dxfId="1807" priority="12" operator="equal">
      <formula>"CUMPLE"</formula>
    </cfRule>
  </conditionalFormatting>
  <conditionalFormatting sqref="D67:J67">
    <cfRule type="cellIs" dxfId="1806" priority="23" operator="equal">
      <formula>"N/A"</formula>
    </cfRule>
    <cfRule type="cellIs" dxfId="1805" priority="24" operator="equal">
      <formula>"CUMPLE"</formula>
    </cfRule>
    <cfRule type="cellIs" dxfId="1804" priority="26" operator="equal">
      <formula>"""CUMPLE"""</formula>
    </cfRule>
    <cfRule type="cellIs" dxfId="1803" priority="25" operator="equal">
      <formula>"NO CUMPLE"</formula>
    </cfRule>
  </conditionalFormatting>
  <conditionalFormatting sqref="D62:K66">
    <cfRule type="containsBlanks" dxfId="1802" priority="15">
      <formula>LEN(TRIM(D62))=0</formula>
    </cfRule>
    <cfRule type="notContainsErrors" dxfId="1801" priority="16">
      <formula>NOT(ISERROR(D62))</formula>
    </cfRule>
  </conditionalFormatting>
  <conditionalFormatting sqref="E71:E72">
    <cfRule type="notContainsErrors" dxfId="1800" priority="93">
      <formula>NOT(ISERROR(E71))</formula>
    </cfRule>
    <cfRule type="containsBlanks" dxfId="1799" priority="92">
      <formula>LEN(TRIM(E71))=0</formula>
    </cfRule>
  </conditionalFormatting>
  <conditionalFormatting sqref="F22:H22">
    <cfRule type="cellIs" dxfId="1798" priority="116" operator="equal">
      <formula>"NO CUMPLE"</formula>
    </cfRule>
    <cfRule type="cellIs" dxfId="1797" priority="117" operator="equal">
      <formula>"""CUMPLE"""</formula>
    </cfRule>
    <cfRule type="cellIs" dxfId="1796" priority="115" operator="equal">
      <formula>"CUMPLE"</formula>
    </cfRule>
  </conditionalFormatting>
  <conditionalFormatting sqref="G63:J63">
    <cfRule type="containsBlanks" dxfId="1795" priority="7">
      <formula>LEN(TRIM(G63))=0</formula>
    </cfRule>
    <cfRule type="notContainsErrors" dxfId="1794" priority="8">
      <formula>NOT(ISERROR(G63))</formula>
    </cfRule>
  </conditionalFormatting>
  <conditionalFormatting sqref="I11">
    <cfRule type="containsText" dxfId="1793" priority="121" operator="containsText" text="NO CUMPLE">
      <formula>NOT(ISERROR(SEARCH("NO CUMPLE",I11)))</formula>
    </cfRule>
    <cfRule type="containsText" dxfId="1792" priority="120" operator="containsText" text="HABILITADO">
      <formula>NOT(ISERROR(SEARCH("HABILITADO",I11)))</formula>
    </cfRule>
    <cfRule type="containsText" dxfId="1791" priority="119" operator="containsText" text="HABILITADO">
      <formula>NOT(ISERROR(SEARCH("HABILITADO",I11)))</formula>
    </cfRule>
    <cfRule type="containsText" dxfId="1790" priority="118" operator="containsText" text="INHABILITADO">
      <formula>NOT(ISERROR(SEARCH("INHABILITADO",I11)))</formula>
    </cfRule>
  </conditionalFormatting>
  <conditionalFormatting sqref="K18:K20">
    <cfRule type="cellIs" dxfId="1789" priority="90" operator="equal">
      <formula>"NO CUMPLE"</formula>
    </cfRule>
    <cfRule type="cellIs" dxfId="1788" priority="91" operator="equal">
      <formula>"""CUMPLE"""</formula>
    </cfRule>
    <cfRule type="cellIs" dxfId="1787" priority="89" operator="equal">
      <formula>"CUMPLE"</formula>
    </cfRule>
  </conditionalFormatting>
  <conditionalFormatting sqref="K26:K61 D62:J62">
    <cfRule type="containsBlanks" dxfId="1786" priority="9">
      <formula>LEN(TRIM(D26))=0</formula>
    </cfRule>
    <cfRule type="notContainsErrors" dxfId="1785" priority="10">
      <formula>NOT(ISERROR(D26))</formula>
    </cfRule>
  </conditionalFormatting>
  <conditionalFormatting sqref="K67:L67">
    <cfRule type="containsBlanks" dxfId="1784" priority="21">
      <formula>LEN(TRIM(K67))=0</formula>
    </cfRule>
    <cfRule type="notContainsErrors" dxfId="1783" priority="22">
      <formula>NOT(ISERROR(K67))</formula>
    </cfRule>
  </conditionalFormatting>
  <conditionalFormatting sqref="L14">
    <cfRule type="cellIs" dxfId="1782" priority="114" operator="equal">
      <formula>"""CUMPLE"""</formula>
    </cfRule>
    <cfRule type="cellIs" dxfId="1781" priority="113" operator="equal">
      <formula>"NO CUMPLE"</formula>
    </cfRule>
    <cfRule type="cellIs" dxfId="1780" priority="112" operator="equal">
      <formula>"CUMPLE"</formula>
    </cfRule>
  </conditionalFormatting>
  <dataValidations count="2">
    <dataValidation type="list" allowBlank="1" showInputMessage="1" showErrorMessage="1" sqref="L62:L67" xr:uid="{00000000-0002-0000-4300-000000000000}">
      <formula1>"0,1,2,3,4,5,6"</formula1>
    </dataValidation>
    <dataValidation type="list" allowBlank="1" showInputMessage="1" showErrorMessage="1" sqref="D26:J28" xr:uid="{00000000-0002-0000-43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4300-000002000000}">
          <x14:formula1>
            <xm:f>'DATOS INICIALES'!$D$27:$D$29</xm:f>
          </x14:formula1>
          <xm:sqref>M50:M55</xm:sqref>
        </x14:dataValidation>
        <x14:dataValidation type="list" allowBlank="1" showInputMessage="1" showErrorMessage="1" xr:uid="{00000000-0002-0000-4300-000003000000}">
          <x14:formula1>
            <xm:f>'DATOS INICIALES'!$A$57:$A$58</xm:f>
          </x14:formula1>
          <xm:sqref>D49:J49</xm:sqref>
        </x14:dataValidation>
        <x14:dataValidation type="list" allowBlank="1" showInputMessage="1" showErrorMessage="1" xr:uid="{00000000-0002-0000-4300-000004000000}">
          <x14:formula1>
            <xm:f>'DATOS INICIALES'!$A$61:$A$67</xm:f>
          </x14:formula1>
          <xm:sqref>J25</xm:sqref>
        </x14:dataValidation>
        <x14:dataValidation type="list" allowBlank="1" showInputMessage="1" showErrorMessage="1" xr:uid="{00000000-0002-0000-4300-000005000000}">
          <x14:formula1>
            <xm:f>'DATOS INICIALES'!$C$52:$C$53</xm:f>
          </x14:formula1>
          <xm:sqref>D53:J54</xm:sqref>
        </x14:dataValidation>
        <x14:dataValidation type="list" allowBlank="1" showInputMessage="1" showErrorMessage="1" xr:uid="{00000000-0002-0000-4300-000006000000}">
          <x14:formula1>
            <xm:f>'DATOS INICIALES'!$A$57:$A$59</xm:f>
          </x14:formula1>
          <xm:sqref>D71 D56:J66</xm:sqref>
        </x14:dataValidation>
        <x14:dataValidation type="list" allowBlank="1" showInputMessage="1" showErrorMessage="1" xr:uid="{00000000-0002-0000-4300-000007000000}">
          <x14:formula1>
            <xm:f>'DATOS INICIALES'!$A$61:$A$66</xm:f>
          </x14:formula1>
          <xm:sqref>D25:I25</xm:sqref>
        </x14:dataValidation>
        <x14:dataValidation type="list" allowBlank="1" showInputMessage="1" showErrorMessage="1" xr:uid="{00000000-0002-0000-4300-000008000000}">
          <x14:formula1>
            <xm:f>'DATOS INICIALES'!$A$13:$A$50</xm:f>
          </x14:formula1>
          <xm:sqref>G33:I33</xm:sqref>
        </x14:dataValidation>
        <x14:dataValidation type="list" allowBlank="1" showInputMessage="1" showErrorMessage="1" xr:uid="{00000000-0002-0000-4300-000009000000}">
          <x14:formula1>
            <xm:f>'DATOS INICIALES'!$C$52:$C$54</xm:f>
          </x14:formula1>
          <xm:sqref>D50:J52</xm:sqref>
        </x14:dataValidation>
      </x14:dataValidations>
    </ext>
  </extLst>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sheetPr>
    <tabColor rgb="FF92D050"/>
  </sheetPr>
  <dimension ref="A1:N72"/>
  <sheetViews>
    <sheetView view="pageBreakPreview" topLeftCell="B1" zoomScale="55" zoomScaleNormal="25" zoomScaleSheetLayoutView="55" workbookViewId="0">
      <selection activeCell="K17" sqref="K17:L17"/>
    </sheetView>
  </sheetViews>
  <sheetFormatPr baseColWidth="10" defaultColWidth="11.5" defaultRowHeight="15" x14ac:dyDescent="0.2"/>
  <cols>
    <col min="1" max="1" width="5.5" customWidth="1"/>
    <col min="2" max="2" width="30.83203125" customWidth="1"/>
    <col min="3" max="3" width="63.1640625" customWidth="1"/>
    <col min="4" max="4" width="60.332031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63</v>
      </c>
      <c r="B11" s="2" t="s">
        <v>58</v>
      </c>
      <c r="C11" s="413" t="str">
        <f>VLOOKUP(A11,PROPONENTES!A10:B94,2,FALSE)</f>
        <v>TORRES &amp; ASOCIADOS</v>
      </c>
      <c r="D11" s="413"/>
      <c r="E11" s="413"/>
      <c r="F11" s="413"/>
      <c r="G11" s="413"/>
      <c r="H11" s="131" t="s">
        <v>59</v>
      </c>
      <c r="I11" s="417" t="str">
        <f>IF(AND(F22="CUMPLE",G22="CUMPLE",H22="CUMPLE",L14="CUMPLE",D72="CUMPLE",K18="CUMPLE"),"CUMPLE","NO CUMPLE")</f>
        <v>NO 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0</v>
      </c>
      <c r="J14" s="147">
        <f>+L8</f>
        <v>986.3076290832455</v>
      </c>
      <c r="K14" s="147">
        <f>+E22</f>
        <v>0</v>
      </c>
      <c r="L14" s="18" t="str">
        <f>IF(K14&gt;=J14,"CUMPLE","NO CUMPLE")</f>
        <v>NO CUMPLE</v>
      </c>
    </row>
    <row r="15" spans="1:12" ht="33.75" customHeight="1" x14ac:dyDescent="0.2">
      <c r="B15" s="382"/>
      <c r="C15" s="92" t="str">
        <f>IF(VLOOKUP(C11,PROPONENTES!B10:N94,2,FALSE)=0,"",VLOOKUP(C11,PROPONENTES!B10:N94,2,FALSE))</f>
        <v>TORRES &amp; ASOCIADOS</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0</v>
      </c>
      <c r="F15" s="95" t="str">
        <f>IF(C15="","",IF(E15&gt;=$J$14*0.5,"SI","NO"))</f>
        <v>NO</v>
      </c>
      <c r="G15" s="96" t="str">
        <f>IF(C15="","",IF(E15&gt;=$J$14*0.05,"SI",IF(E15=0,"NO APORTA EXPERIENCIA",)))</f>
        <v>NO APORTA EXPERIENCIA</v>
      </c>
      <c r="H15" s="96" t="str">
        <f>IF(C15="","",IF(AND(G15="NO APORTA EXPERIENCIA",D15&lt;=10%),"SI",IF(G15="SI","NO APLICA","NO - PORCENTAJE MAYOR AL 10%")))</f>
        <v>NO - PORCENTAJE MAYOR AL 10%</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IF(I14&lt;&gt;0,AVERAGEIF(D67:J67,"CUMPLE",D48:J48),0)</f>
        <v>0</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0</v>
      </c>
      <c r="J18" s="128">
        <v>1</v>
      </c>
      <c r="K18" s="385" t="str">
        <f>IF(AND(I18&gt;=J18,I19&gt;=J19,I20&gt;=J20,I21&gt;=J21),"CUMPLE","NO CUMPLE")</f>
        <v>NO CUMPLE</v>
      </c>
      <c r="L18" s="386"/>
    </row>
    <row r="19" spans="2:14" ht="50.25" customHeight="1" x14ac:dyDescent="0.2">
      <c r="B19" s="382"/>
      <c r="C19" s="92"/>
      <c r="D19" s="93"/>
      <c r="E19" s="94"/>
      <c r="F19" s="95"/>
      <c r="G19" s="96"/>
      <c r="H19" s="96"/>
      <c r="I19" s="128">
        <f>COUNTIFS(D58:J58,"CUMPLE",D67:J67,"CUMPLE")</f>
        <v>0</v>
      </c>
      <c r="J19" s="128">
        <v>1</v>
      </c>
      <c r="K19" s="387"/>
      <c r="L19" s="388"/>
    </row>
    <row r="20" spans="2:14" ht="50.25" customHeight="1" x14ac:dyDescent="0.2">
      <c r="B20" s="382"/>
      <c r="C20" s="92"/>
      <c r="D20" s="93"/>
      <c r="E20" s="94"/>
      <c r="F20" s="95"/>
      <c r="G20" s="96"/>
      <c r="H20" s="96"/>
      <c r="I20" s="128">
        <f>COUNTIFS(D60:J60,"CUMPLE",D67:J67,"CUMPLE")</f>
        <v>0</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0</v>
      </c>
      <c r="J21" s="128">
        <v>1</v>
      </c>
      <c r="K21" s="389"/>
      <c r="L21" s="390"/>
    </row>
    <row r="22" spans="2:14" ht="84.75" customHeight="1" x14ac:dyDescent="0.2">
      <c r="B22" s="29" t="s">
        <v>75</v>
      </c>
      <c r="C22" s="24">
        <f>+VLOOKUP(C11,PROPONENTES!B10:N94,12,FALSE)</f>
        <v>1</v>
      </c>
      <c r="D22" s="93">
        <f>+VLOOKUP(C11,PROPONENTES!B10:N94,13,FALSE)</f>
        <v>1</v>
      </c>
      <c r="E22" s="32">
        <f>SUM(E15:E21)</f>
        <v>0</v>
      </c>
      <c r="F22" s="18" t="str">
        <f>IF(F15="SI","CUMPLE",IF(F16="SI","CUMPLE",IF(F17="SI","CUMPLE",IF(F18="SI","CUMPLE",IF(F21="SI","CUMPLE","NO CUMPLE")))))</f>
        <v>NO 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NO 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264</v>
      </c>
      <c r="E26" s="84"/>
      <c r="F26" s="84"/>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1019</v>
      </c>
      <c r="E29" s="85"/>
      <c r="F29" s="85"/>
      <c r="G29" s="85"/>
      <c r="H29" s="85"/>
      <c r="I29" s="85"/>
      <c r="J29" s="85"/>
      <c r="K29" s="145"/>
      <c r="L29" s="140"/>
    </row>
    <row r="30" spans="2:14" ht="156.75" customHeight="1" x14ac:dyDescent="0.2">
      <c r="B30" s="374"/>
      <c r="C30" s="25" t="s">
        <v>84</v>
      </c>
      <c r="D30" s="85" t="s">
        <v>1020</v>
      </c>
      <c r="E30" s="85"/>
      <c r="F30" s="85"/>
      <c r="G30" s="85"/>
      <c r="H30" s="85"/>
      <c r="I30" s="85"/>
      <c r="J30" s="85"/>
      <c r="K30" s="145"/>
      <c r="L30" s="140"/>
    </row>
    <row r="31" spans="2:14" ht="52.5" customHeight="1" x14ac:dyDescent="0.2">
      <c r="B31" s="374"/>
      <c r="C31" s="25" t="s">
        <v>85</v>
      </c>
      <c r="D31" s="89">
        <v>40072</v>
      </c>
      <c r="E31" s="89"/>
      <c r="F31" s="89"/>
      <c r="G31" s="89"/>
      <c r="H31" s="89"/>
      <c r="I31" s="89"/>
      <c r="J31" s="89"/>
      <c r="K31" s="145"/>
      <c r="L31" s="140"/>
    </row>
    <row r="32" spans="2:14" ht="54.75" customHeight="1" x14ac:dyDescent="0.2">
      <c r="B32" s="374"/>
      <c r="C32" s="25" t="s">
        <v>86</v>
      </c>
      <c r="D32" s="89">
        <v>40625</v>
      </c>
      <c r="E32" s="89"/>
      <c r="F32" s="89"/>
      <c r="G32" s="89"/>
      <c r="H32" s="89"/>
      <c r="I32" s="89"/>
      <c r="J32" s="89"/>
      <c r="K32" s="145"/>
      <c r="L32" s="140"/>
    </row>
    <row r="33" spans="2:12" ht="41.25" customHeight="1" x14ac:dyDescent="0.2">
      <c r="B33" s="374"/>
      <c r="C33" s="25" t="s">
        <v>87</v>
      </c>
      <c r="D33" s="86">
        <v>2011</v>
      </c>
      <c r="E33" s="86"/>
      <c r="F33" s="86"/>
      <c r="G33" s="86"/>
      <c r="H33" s="86"/>
      <c r="I33" s="86"/>
      <c r="J33" s="86"/>
      <c r="K33" s="145"/>
      <c r="L33" s="140"/>
    </row>
    <row r="34" spans="2:12" ht="63" customHeight="1" x14ac:dyDescent="0.2">
      <c r="B34" s="374"/>
      <c r="C34" s="25" t="s">
        <v>88</v>
      </c>
      <c r="D34" s="85" t="s">
        <v>1021</v>
      </c>
      <c r="E34" s="85"/>
      <c r="F34" s="85"/>
      <c r="G34" s="85"/>
      <c r="H34" s="85"/>
      <c r="I34" s="85"/>
      <c r="J34" s="85"/>
      <c r="K34" s="145"/>
      <c r="L34" s="140"/>
    </row>
    <row r="35" spans="2:12" ht="46.5" customHeight="1" x14ac:dyDescent="0.2">
      <c r="B35" s="374"/>
      <c r="C35" s="25" t="s">
        <v>89</v>
      </c>
      <c r="D35" s="85" t="s">
        <v>264</v>
      </c>
      <c r="E35" s="85"/>
      <c r="F35" s="85"/>
      <c r="G35" s="85"/>
      <c r="H35" s="85"/>
      <c r="I35" s="85"/>
      <c r="J35" s="85"/>
      <c r="K35" s="145"/>
      <c r="L35" s="140"/>
    </row>
    <row r="36" spans="2:12" ht="27.75" customHeight="1" x14ac:dyDescent="0.2">
      <c r="B36" s="374"/>
      <c r="C36" s="26" t="s">
        <v>90</v>
      </c>
      <c r="D36" s="90">
        <v>282</v>
      </c>
      <c r="E36" s="90"/>
      <c r="F36" s="90"/>
      <c r="G36" s="91"/>
      <c r="H36" s="91"/>
      <c r="I36" s="91"/>
      <c r="J36" s="91"/>
      <c r="K36" s="145"/>
      <c r="L36" s="140"/>
    </row>
    <row r="37" spans="2:12" ht="102.75" customHeight="1" x14ac:dyDescent="0.2">
      <c r="B37" s="374"/>
      <c r="C37" s="25" t="s">
        <v>91</v>
      </c>
      <c r="D37" s="87">
        <v>23506.34</v>
      </c>
      <c r="E37" s="158"/>
      <c r="F37" s="87"/>
      <c r="G37" s="87"/>
      <c r="H37" s="87"/>
      <c r="I37" s="87"/>
      <c r="J37" s="87"/>
      <c r="K37" s="242"/>
      <c r="L37" s="243"/>
    </row>
    <row r="38" spans="2:12" ht="48" customHeight="1" x14ac:dyDescent="0.2">
      <c r="B38" s="374"/>
      <c r="C38" s="25" t="s">
        <v>92</v>
      </c>
      <c r="D38" s="97">
        <f>IFERROR(D37*VLOOKUP(D33,'DATOS INICIALES'!$A$12:$B$50,2,0),"0")</f>
        <v>12589995704</v>
      </c>
      <c r="E38" s="97" t="str">
        <f>IFERROR(E37*VLOOKUP(E33,'DATOS INICIALES'!$A$12:$B$50,2,0),"0")</f>
        <v>0</v>
      </c>
      <c r="F38" s="97" t="str">
        <f>IFERROR(F37*VLOOKUP(F33,'DATOS INICIALES'!$A$12:$B$50,2,0),"0")</f>
        <v>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1</v>
      </c>
      <c r="E39" s="88"/>
      <c r="F39" s="88"/>
      <c r="G39" s="88"/>
      <c r="H39" s="88"/>
      <c r="I39" s="88"/>
      <c r="J39" s="88"/>
      <c r="K39" s="145"/>
      <c r="L39" s="140"/>
    </row>
    <row r="40" spans="2:12" ht="48.75" customHeight="1" x14ac:dyDescent="0.2">
      <c r="B40" s="374"/>
      <c r="C40" s="25" t="s">
        <v>94</v>
      </c>
      <c r="D40" s="97">
        <f t="shared" ref="D40:J40" si="0">IF(D26="","0",D39*D38)</f>
        <v>12589995704</v>
      </c>
      <c r="E40" s="97" t="str">
        <f t="shared" si="0"/>
        <v>0</v>
      </c>
      <c r="F40" s="97" t="str">
        <f t="shared" si="0"/>
        <v>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23506.34</v>
      </c>
      <c r="E41" s="98">
        <f t="shared" si="1"/>
        <v>0</v>
      </c>
      <c r="F41" s="98">
        <f t="shared" si="1"/>
        <v>0</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23506.34</v>
      </c>
      <c r="E48" s="98">
        <f t="shared" ref="E48:G48" si="6">+E41+E44+E47</f>
        <v>0</v>
      </c>
      <c r="F48" s="98">
        <f t="shared" si="6"/>
        <v>0</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N/A</v>
      </c>
      <c r="F55" s="18" t="str">
        <f t="shared" si="8"/>
        <v>N/A</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26</v>
      </c>
      <c r="E65" s="84" t="s">
        <v>24</v>
      </c>
      <c r="F65" s="84" t="s">
        <v>24</v>
      </c>
      <c r="G65" s="84" t="s">
        <v>24</v>
      </c>
      <c r="H65" s="84" t="s">
        <v>24</v>
      </c>
      <c r="I65" s="84" t="s">
        <v>24</v>
      </c>
      <c r="J65" s="84" t="s">
        <v>24</v>
      </c>
      <c r="K65" s="527" t="s">
        <v>1432</v>
      </c>
      <c r="L65" s="528"/>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NO CUMPLE</v>
      </c>
      <c r="E67" s="18" t="str">
        <f>IF(E26="","N/A",IF(AND(E49="CUMPLE",E55="CUMPLE",OR(E56="CUMPLE",E56="N/A"),OR(E59="CUMPLE",E59="N/A"),E62="CUMPLE",E63="CUMPLE",OR(E64="CUMPLE",E64="N/A"),E65="CUMPLE",OR(E66="CUMPLE",E66="N/A")),"CUMPLE","NO CUMPLE"))</f>
        <v>N/A</v>
      </c>
      <c r="F67" s="18" t="str">
        <f>IF(F26="","N/A",IF(AND(F49="CUMPLE",F55="CUMPLE",OR(F56="CUMPLE",F56="N/A"),OR(F59="CUMPLE",F59="N/A"),F62="CUMPLE",F63="CUMPLE",OR(F64="CUMPLE",F64="N/A"),F65="CUMPLE",OR(F66="CUMPLE",F66="N/A")),"CUMPLE","NO CUMPLE"))</f>
        <v>N/A</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2">
    <mergeCell ref="K65:L65"/>
    <mergeCell ref="B70:C70"/>
    <mergeCell ref="B71:C71"/>
    <mergeCell ref="B72:C72"/>
    <mergeCell ref="B65:C65"/>
    <mergeCell ref="B66:C66"/>
    <mergeCell ref="B67:C67"/>
    <mergeCell ref="B69:E69"/>
    <mergeCell ref="B62:C62"/>
    <mergeCell ref="B63:C63"/>
    <mergeCell ref="B64:C64"/>
    <mergeCell ref="B59:C59"/>
    <mergeCell ref="B60:C60"/>
    <mergeCell ref="B61:C61"/>
    <mergeCell ref="B56:C56"/>
    <mergeCell ref="B57:C57"/>
    <mergeCell ref="B58:C58"/>
    <mergeCell ref="B50:B55"/>
    <mergeCell ref="B28:C28"/>
    <mergeCell ref="B29:B47"/>
    <mergeCell ref="I22:L22"/>
    <mergeCell ref="B12:L12"/>
    <mergeCell ref="B13:H13"/>
    <mergeCell ref="B14:B21"/>
    <mergeCell ref="K17:L17"/>
    <mergeCell ref="K18:L21"/>
    <mergeCell ref="B24:L24"/>
    <mergeCell ref="K25:L25"/>
    <mergeCell ref="B26:C26"/>
    <mergeCell ref="B27:C27"/>
    <mergeCell ref="B23:L23"/>
    <mergeCell ref="C8:I8"/>
    <mergeCell ref="C9:I9"/>
    <mergeCell ref="C10:I10"/>
    <mergeCell ref="C11:G11"/>
    <mergeCell ref="B2:L2"/>
    <mergeCell ref="B3:L3"/>
    <mergeCell ref="B4:L4"/>
    <mergeCell ref="B5:L5"/>
    <mergeCell ref="B7:I7"/>
    <mergeCell ref="J7:L7"/>
    <mergeCell ref="I11:L11"/>
  </mergeCells>
  <conditionalFormatting sqref="D71">
    <cfRule type="cellIs" dxfId="1779" priority="75" operator="equal">
      <formula>"CUMPLE"</formula>
    </cfRule>
    <cfRule type="containsBlanks" dxfId="1778" priority="72">
      <formula>LEN(TRIM(D71))=0</formula>
    </cfRule>
    <cfRule type="notContainsErrors" dxfId="1777" priority="73">
      <formula>NOT(ISERROR(D71))</formula>
    </cfRule>
    <cfRule type="cellIs" dxfId="1776" priority="74" operator="equal">
      <formula>"NO CUMPLE"</formula>
    </cfRule>
  </conditionalFormatting>
  <conditionalFormatting sqref="D72">
    <cfRule type="cellIs" dxfId="1775" priority="77" operator="equal">
      <formula>"CUMPLE"</formula>
    </cfRule>
    <cfRule type="cellIs" dxfId="1774" priority="76" operator="equal">
      <formula>"N/A"</formula>
    </cfRule>
    <cfRule type="cellIs" dxfId="1773" priority="79" operator="equal">
      <formula>"""CUMPLE"""</formula>
    </cfRule>
    <cfRule type="cellIs" dxfId="1772" priority="78" operator="equal">
      <formula>"NO CUMPLE"</formula>
    </cfRule>
  </conditionalFormatting>
  <conditionalFormatting sqref="D26:J37">
    <cfRule type="notContainsErrors" dxfId="1771" priority="4">
      <formula>NOT(ISERROR(D26))</formula>
    </cfRule>
    <cfRule type="containsBlanks" dxfId="1770" priority="3">
      <formula>LEN(TRIM(D26))=0</formula>
    </cfRule>
  </conditionalFormatting>
  <conditionalFormatting sqref="D36:J36">
    <cfRule type="notContainsErrors" dxfId="1769" priority="6">
      <formula>NOT(ISERROR(D36))</formula>
    </cfRule>
    <cfRule type="containsBlanks" dxfId="1768" priority="5">
      <formula>LEN(TRIM(D36))=0</formula>
    </cfRule>
  </conditionalFormatting>
  <conditionalFormatting sqref="D39:J39">
    <cfRule type="containsBlanks" dxfId="1767" priority="1">
      <formula>LEN(TRIM(D39))=0</formula>
    </cfRule>
    <cfRule type="notContainsErrors" dxfId="1766" priority="2">
      <formula>NOT(ISERROR(D39))</formula>
    </cfRule>
  </conditionalFormatting>
  <conditionalFormatting sqref="D42:J42 D45:J45">
    <cfRule type="notContainsErrors" dxfId="1765" priority="38">
      <formula>NOT(ISERROR(D42))</formula>
    </cfRule>
    <cfRule type="containsBlanks" dxfId="1764" priority="37">
      <formula>LEN(TRIM(D42))=0</formula>
    </cfRule>
  </conditionalFormatting>
  <conditionalFormatting sqref="D49:J54">
    <cfRule type="cellIs" dxfId="1763" priority="17" operator="equal">
      <formula>"NO CUMPLE"</formula>
    </cfRule>
    <cfRule type="cellIs" dxfId="1762" priority="18" operator="equal">
      <formula>"CUMPLE"</formula>
    </cfRule>
    <cfRule type="containsBlanks" dxfId="1761" priority="19">
      <formula>LEN(TRIM(D49))=0</formula>
    </cfRule>
    <cfRule type="notContainsErrors" dxfId="1760" priority="20">
      <formula>NOT(ISERROR(D49))</formula>
    </cfRule>
  </conditionalFormatting>
  <conditionalFormatting sqref="D55:J55">
    <cfRule type="cellIs" dxfId="1759" priority="28" operator="equal">
      <formula>"CUMPLE"</formula>
    </cfRule>
    <cfRule type="cellIs" dxfId="1758" priority="30" operator="equal">
      <formula>"""CUMPLE"""</formula>
    </cfRule>
    <cfRule type="cellIs" dxfId="1757" priority="29" operator="equal">
      <formula>"NO CUMPLE"</formula>
    </cfRule>
    <cfRule type="cellIs" dxfId="1756" priority="27" operator="equal">
      <formula>"N/A"</formula>
    </cfRule>
  </conditionalFormatting>
  <conditionalFormatting sqref="D56:J66">
    <cfRule type="cellIs" dxfId="1755" priority="11" operator="equal">
      <formula>"NO CUMPLE"</formula>
    </cfRule>
    <cfRule type="notContainsErrors" dxfId="1754" priority="14">
      <formula>NOT(ISERROR(D56))</formula>
    </cfRule>
    <cfRule type="containsBlanks" dxfId="1753" priority="13">
      <formula>LEN(TRIM(D56))=0</formula>
    </cfRule>
    <cfRule type="cellIs" dxfId="1752" priority="12" operator="equal">
      <formula>"CUMPLE"</formula>
    </cfRule>
  </conditionalFormatting>
  <conditionalFormatting sqref="D67:J67">
    <cfRule type="cellIs" dxfId="1751" priority="23" operator="equal">
      <formula>"N/A"</formula>
    </cfRule>
    <cfRule type="cellIs" dxfId="1750" priority="24" operator="equal">
      <formula>"CUMPLE"</formula>
    </cfRule>
    <cfRule type="cellIs" dxfId="1749" priority="26" operator="equal">
      <formula>"""CUMPLE"""</formula>
    </cfRule>
    <cfRule type="cellIs" dxfId="1748" priority="25" operator="equal">
      <formula>"NO CUMPLE"</formula>
    </cfRule>
  </conditionalFormatting>
  <conditionalFormatting sqref="D62:K64 D65:J65 D66:K66">
    <cfRule type="containsBlanks" dxfId="1747" priority="15">
      <formula>LEN(TRIM(D62))=0</formula>
    </cfRule>
    <cfRule type="notContainsErrors" dxfId="1746" priority="16">
      <formula>NOT(ISERROR(D62))</formula>
    </cfRule>
  </conditionalFormatting>
  <conditionalFormatting sqref="E71:E72">
    <cfRule type="notContainsErrors" dxfId="1745" priority="71">
      <formula>NOT(ISERROR(E71))</formula>
    </cfRule>
    <cfRule type="containsBlanks" dxfId="1744" priority="70">
      <formula>LEN(TRIM(E71))=0</formula>
    </cfRule>
  </conditionalFormatting>
  <conditionalFormatting sqref="F22:H22">
    <cfRule type="cellIs" dxfId="1743" priority="94" operator="equal">
      <formula>"NO CUMPLE"</formula>
    </cfRule>
    <cfRule type="cellIs" dxfId="1742" priority="95" operator="equal">
      <formula>"""CUMPLE"""</formula>
    </cfRule>
    <cfRule type="cellIs" dxfId="1741" priority="93" operator="equal">
      <formula>"CUMPLE"</formula>
    </cfRule>
  </conditionalFormatting>
  <conditionalFormatting sqref="G63:J63">
    <cfRule type="containsBlanks" dxfId="1740" priority="7">
      <formula>LEN(TRIM(G63))=0</formula>
    </cfRule>
    <cfRule type="notContainsErrors" dxfId="1739" priority="8">
      <formula>NOT(ISERROR(G63))</formula>
    </cfRule>
  </conditionalFormatting>
  <conditionalFormatting sqref="I11">
    <cfRule type="containsText" dxfId="1738" priority="99" operator="containsText" text="NO CUMPLE">
      <formula>NOT(ISERROR(SEARCH("NO CUMPLE",I11)))</formula>
    </cfRule>
    <cfRule type="containsText" dxfId="1737" priority="98" operator="containsText" text="HABILITADO">
      <formula>NOT(ISERROR(SEARCH("HABILITADO",I11)))</formula>
    </cfRule>
    <cfRule type="containsText" dxfId="1736" priority="97" operator="containsText" text="HABILITADO">
      <formula>NOT(ISERROR(SEARCH("HABILITADO",I11)))</formula>
    </cfRule>
    <cfRule type="containsText" dxfId="1735" priority="96" operator="containsText" text="INHABILITADO">
      <formula>NOT(ISERROR(SEARCH("INHABILITADO",I11)))</formula>
    </cfRule>
  </conditionalFormatting>
  <conditionalFormatting sqref="K18:K20">
    <cfRule type="cellIs" dxfId="1734" priority="68" operator="equal">
      <formula>"NO CUMPLE"</formula>
    </cfRule>
    <cfRule type="cellIs" dxfId="1733" priority="69" operator="equal">
      <formula>"""CUMPLE"""</formula>
    </cfRule>
    <cfRule type="cellIs" dxfId="1732" priority="67" operator="equal">
      <formula>"CUMPLE"</formula>
    </cfRule>
  </conditionalFormatting>
  <conditionalFormatting sqref="K26:K61 D62:J62">
    <cfRule type="containsBlanks" dxfId="1731" priority="9">
      <formula>LEN(TRIM(D26))=0</formula>
    </cfRule>
    <cfRule type="notContainsErrors" dxfId="1730" priority="10">
      <formula>NOT(ISERROR(D26))</formula>
    </cfRule>
  </conditionalFormatting>
  <conditionalFormatting sqref="K67:L67">
    <cfRule type="containsBlanks" dxfId="1729" priority="21">
      <formula>LEN(TRIM(K67))=0</formula>
    </cfRule>
    <cfRule type="notContainsErrors" dxfId="1728" priority="22">
      <formula>NOT(ISERROR(K67))</formula>
    </cfRule>
  </conditionalFormatting>
  <conditionalFormatting sqref="L14">
    <cfRule type="cellIs" dxfId="1727" priority="92" operator="equal">
      <formula>"""CUMPLE"""</formula>
    </cfRule>
    <cfRule type="cellIs" dxfId="1726" priority="91" operator="equal">
      <formula>"NO CUMPLE"</formula>
    </cfRule>
    <cfRule type="cellIs" dxfId="1725" priority="90" operator="equal">
      <formula>"CUMPLE"</formula>
    </cfRule>
  </conditionalFormatting>
  <dataValidations count="2">
    <dataValidation type="list" allowBlank="1" showInputMessage="1" showErrorMessage="1" sqref="D26:J28" xr:uid="{00000000-0002-0000-4400-000000000000}">
      <formula1>$C$15:$C$21</formula1>
    </dataValidation>
    <dataValidation type="list" allowBlank="1" showInputMessage="1" showErrorMessage="1" sqref="L62:L64 L66:L67" xr:uid="{00000000-0002-0000-44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4400-000002000000}">
          <x14:formula1>
            <xm:f>'DATOS INICIALES'!$D$27:$D$29</xm:f>
          </x14:formula1>
          <xm:sqref>M50:M55</xm:sqref>
        </x14:dataValidation>
        <x14:dataValidation type="list" allowBlank="1" showInputMessage="1" showErrorMessage="1" xr:uid="{00000000-0002-0000-4400-000003000000}">
          <x14:formula1>
            <xm:f>'DATOS INICIALES'!$A$13:$A$50</xm:f>
          </x14:formula1>
          <xm:sqref>G33:I33</xm:sqref>
        </x14:dataValidation>
        <x14:dataValidation type="list" allowBlank="1" showInputMessage="1" showErrorMessage="1" xr:uid="{00000000-0002-0000-4400-000004000000}">
          <x14:formula1>
            <xm:f>'DATOS INICIALES'!$A$61:$A$66</xm:f>
          </x14:formula1>
          <xm:sqref>D25:I25</xm:sqref>
        </x14:dataValidation>
        <x14:dataValidation type="list" allowBlank="1" showInputMessage="1" showErrorMessage="1" xr:uid="{00000000-0002-0000-4400-000005000000}">
          <x14:formula1>
            <xm:f>'DATOS INICIALES'!$A$57:$A$59</xm:f>
          </x14:formula1>
          <xm:sqref>D71 D56:J66</xm:sqref>
        </x14:dataValidation>
        <x14:dataValidation type="list" allowBlank="1" showInputMessage="1" showErrorMessage="1" xr:uid="{00000000-0002-0000-4400-000006000000}">
          <x14:formula1>
            <xm:f>'DATOS INICIALES'!$C$52:$C$53</xm:f>
          </x14:formula1>
          <xm:sqref>D53:J54</xm:sqref>
        </x14:dataValidation>
        <x14:dataValidation type="list" allowBlank="1" showInputMessage="1" showErrorMessage="1" xr:uid="{00000000-0002-0000-4400-000007000000}">
          <x14:formula1>
            <xm:f>'DATOS INICIALES'!$A$61:$A$67</xm:f>
          </x14:formula1>
          <xm:sqref>J25</xm:sqref>
        </x14:dataValidation>
        <x14:dataValidation type="list" allowBlank="1" showInputMessage="1" showErrorMessage="1" xr:uid="{00000000-0002-0000-4400-000008000000}">
          <x14:formula1>
            <xm:f>'DATOS INICIALES'!$A$57:$A$58</xm:f>
          </x14:formula1>
          <xm:sqref>D49:J49</xm:sqref>
        </x14:dataValidation>
        <x14:dataValidation type="list" allowBlank="1" showInputMessage="1" showErrorMessage="1" xr:uid="{00000000-0002-0000-4400-000009000000}">
          <x14:formula1>
            <xm:f>'DATOS INICIALES'!$C$52:$C$54</xm:f>
          </x14:formula1>
          <xm:sqref>D50:J52</xm:sqref>
        </x14:dataValidation>
      </x14:dataValidations>
    </ext>
  </extLst>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tabColor rgb="FF92D050"/>
  </sheetPr>
  <dimension ref="A1:N72"/>
  <sheetViews>
    <sheetView view="pageBreakPreview" topLeftCell="A22" zoomScale="55" zoomScaleNormal="25" zoomScaleSheetLayoutView="55" workbookViewId="0">
      <selection activeCell="E40" sqref="E40"/>
    </sheetView>
  </sheetViews>
  <sheetFormatPr baseColWidth="10" defaultColWidth="11.5" defaultRowHeight="15" x14ac:dyDescent="0.2"/>
  <cols>
    <col min="1" max="1" width="5.5" customWidth="1"/>
    <col min="2" max="2" width="30.83203125" customWidth="1"/>
    <col min="3" max="3" width="63.1640625" customWidth="1"/>
    <col min="4" max="5" width="45.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64</v>
      </c>
      <c r="B11" s="2" t="s">
        <v>58</v>
      </c>
      <c r="C11" s="413" t="str">
        <f>VLOOKUP(A11,PROPONENTES!A10:B94,2,FALSE)</f>
        <v>TRIPLE C SAS</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2</v>
      </c>
      <c r="J14" s="147">
        <f>+L8</f>
        <v>986.3076290832455</v>
      </c>
      <c r="K14" s="147">
        <f>+E22</f>
        <v>5226.3899999999994</v>
      </c>
      <c r="L14" s="18" t="str">
        <f>IF(K14&gt;=J14,"CUMPLE","NO CUMPLE")</f>
        <v>CUMPLE</v>
      </c>
    </row>
    <row r="15" spans="1:12" ht="33.75" customHeight="1" x14ac:dyDescent="0.2">
      <c r="B15" s="382"/>
      <c r="C15" s="92" t="str">
        <f>IF(VLOOKUP(C11,PROPONENTES!B10:N94,2,FALSE)=0,"",VLOOKUP(C11,PROPONENTES!B10:N94,2,FALSE))</f>
        <v xml:space="preserve">COMPAÑÍA CONSULTORA COLOMBIANA TRIPLE C S.A.S BIC </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5226.3899999999994</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2613.1949999999997</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2</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2</v>
      </c>
      <c r="J19" s="128">
        <v>1</v>
      </c>
      <c r="K19" s="387"/>
      <c r="L19" s="388"/>
    </row>
    <row r="20" spans="2:14" ht="50.25" customHeight="1" x14ac:dyDescent="0.2">
      <c r="B20" s="382"/>
      <c r="C20" s="92"/>
      <c r="D20" s="93"/>
      <c r="E20" s="94"/>
      <c r="F20" s="95"/>
      <c r="G20" s="96"/>
      <c r="H20" s="96"/>
      <c r="I20" s="128">
        <f>COUNTIFS(D60:J60,"CUMPLE",D67:J67,"CUMPLE")</f>
        <v>2</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2</v>
      </c>
      <c r="J21" s="128">
        <v>1</v>
      </c>
      <c r="K21" s="389"/>
      <c r="L21" s="390"/>
    </row>
    <row r="22" spans="2:14" ht="84.75" customHeight="1" x14ac:dyDescent="0.2">
      <c r="B22" s="29" t="s">
        <v>75</v>
      </c>
      <c r="C22" s="24">
        <f>+VLOOKUP(C11,PROPONENTES!B10:N94,12,FALSE)</f>
        <v>1</v>
      </c>
      <c r="D22" s="93">
        <f>+VLOOKUP(C11,PROPONENTES!B10:N94,13,FALSE)</f>
        <v>1</v>
      </c>
      <c r="E22" s="32">
        <f>SUM(E15:E21)</f>
        <v>5226.3899999999994</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952</v>
      </c>
      <c r="E26" s="84" t="s">
        <v>952</v>
      </c>
      <c r="F26" s="84"/>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1022</v>
      </c>
      <c r="E29" s="85" t="s">
        <v>1023</v>
      </c>
      <c r="F29" s="85"/>
      <c r="G29" s="85"/>
      <c r="H29" s="85"/>
      <c r="I29" s="85"/>
      <c r="J29" s="85"/>
      <c r="K29" s="145"/>
      <c r="L29" s="140"/>
    </row>
    <row r="30" spans="2:14" ht="156.75" customHeight="1" x14ac:dyDescent="0.2">
      <c r="B30" s="374"/>
      <c r="C30" s="25" t="s">
        <v>84</v>
      </c>
      <c r="D30" s="85" t="s">
        <v>1024</v>
      </c>
      <c r="E30" s="85" t="s">
        <v>1025</v>
      </c>
      <c r="F30" s="85"/>
      <c r="G30" s="85"/>
      <c r="H30" s="85"/>
      <c r="I30" s="85"/>
      <c r="J30" s="85"/>
      <c r="K30" s="145"/>
      <c r="L30" s="140"/>
    </row>
    <row r="31" spans="2:14" ht="52.5" customHeight="1" x14ac:dyDescent="0.2">
      <c r="B31" s="374"/>
      <c r="C31" s="25" t="s">
        <v>85</v>
      </c>
      <c r="D31" s="89">
        <v>41694</v>
      </c>
      <c r="E31" s="89">
        <v>41670</v>
      </c>
      <c r="F31" s="89"/>
      <c r="G31" s="89"/>
      <c r="H31" s="89"/>
      <c r="I31" s="89"/>
      <c r="J31" s="89"/>
      <c r="K31" s="145"/>
      <c r="L31" s="140"/>
    </row>
    <row r="32" spans="2:14" ht="54.75" customHeight="1" x14ac:dyDescent="0.2">
      <c r="B32" s="374"/>
      <c r="C32" s="25" t="s">
        <v>86</v>
      </c>
      <c r="D32" s="89">
        <v>42337</v>
      </c>
      <c r="E32" s="89">
        <v>41912</v>
      </c>
      <c r="F32" s="89"/>
      <c r="G32" s="89"/>
      <c r="H32" s="89"/>
      <c r="I32" s="89"/>
      <c r="J32" s="89"/>
      <c r="K32" s="145"/>
      <c r="L32" s="140"/>
    </row>
    <row r="33" spans="2:12" ht="41.25" customHeight="1" x14ac:dyDescent="0.2">
      <c r="B33" s="374"/>
      <c r="C33" s="25" t="s">
        <v>87</v>
      </c>
      <c r="D33" s="86">
        <v>2015</v>
      </c>
      <c r="E33" s="86">
        <v>2014</v>
      </c>
      <c r="F33" s="86"/>
      <c r="G33" s="86"/>
      <c r="H33" s="86"/>
      <c r="I33" s="86"/>
      <c r="J33" s="86"/>
      <c r="K33" s="145"/>
      <c r="L33" s="140"/>
    </row>
    <row r="34" spans="2:12" ht="63" customHeight="1" x14ac:dyDescent="0.2">
      <c r="B34" s="374"/>
      <c r="C34" s="25" t="s">
        <v>88</v>
      </c>
      <c r="D34" s="85" t="s">
        <v>1026</v>
      </c>
      <c r="E34" s="85" t="s">
        <v>1026</v>
      </c>
      <c r="F34" s="85"/>
      <c r="G34" s="85"/>
      <c r="H34" s="85"/>
      <c r="I34" s="85"/>
      <c r="J34" s="85"/>
      <c r="K34" s="145"/>
      <c r="L34" s="140"/>
    </row>
    <row r="35" spans="2:12" ht="46.5" customHeight="1" x14ac:dyDescent="0.2">
      <c r="B35" s="374"/>
      <c r="C35" s="25" t="s">
        <v>89</v>
      </c>
      <c r="D35" s="85" t="s">
        <v>952</v>
      </c>
      <c r="E35" s="85" t="s">
        <v>952</v>
      </c>
      <c r="F35" s="85"/>
      <c r="G35" s="85"/>
      <c r="H35" s="85"/>
      <c r="I35" s="85"/>
      <c r="J35" s="85"/>
      <c r="K35" s="145"/>
      <c r="L35" s="140"/>
    </row>
    <row r="36" spans="2:12" ht="27.75" customHeight="1" x14ac:dyDescent="0.2">
      <c r="B36" s="374"/>
      <c r="C36" s="26" t="s">
        <v>90</v>
      </c>
      <c r="D36" s="90">
        <v>65</v>
      </c>
      <c r="E36" s="90">
        <v>97</v>
      </c>
      <c r="F36" s="90"/>
      <c r="G36" s="91"/>
      <c r="H36" s="91"/>
      <c r="I36" s="91"/>
      <c r="J36" s="91"/>
      <c r="K36" s="145"/>
      <c r="L36" s="140"/>
    </row>
    <row r="37" spans="2:12" ht="102.75" customHeight="1" x14ac:dyDescent="0.2">
      <c r="B37" s="374"/>
      <c r="C37" s="25" t="s">
        <v>91</v>
      </c>
      <c r="D37" s="87">
        <v>3835.81</v>
      </c>
      <c r="E37" s="158">
        <v>1390.58</v>
      </c>
      <c r="F37" s="87"/>
      <c r="G37" s="87"/>
      <c r="H37" s="87"/>
      <c r="I37" s="87"/>
      <c r="J37" s="87"/>
      <c r="K37" s="242"/>
      <c r="L37" s="243"/>
    </row>
    <row r="38" spans="2:12" ht="48" customHeight="1" x14ac:dyDescent="0.2">
      <c r="B38" s="374"/>
      <c r="C38" s="25" t="s">
        <v>92</v>
      </c>
      <c r="D38" s="97">
        <f>IFERROR(D37*VLOOKUP(D33,'DATOS INICIALES'!$A$12:$B$50,2,0),"0")</f>
        <v>2471604173.5</v>
      </c>
      <c r="E38" s="97">
        <f>IFERROR(E37*VLOOKUP(E33,'DATOS INICIALES'!$A$12:$B$50,2,0),"0")</f>
        <v>856597280</v>
      </c>
      <c r="F38" s="97" t="str">
        <f>IFERROR(F37*VLOOKUP(F33,'DATOS INICIALES'!$A$12:$B$50,2,0),"0")</f>
        <v>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1</v>
      </c>
      <c r="E39" s="88">
        <v>1</v>
      </c>
      <c r="F39" s="88"/>
      <c r="G39" s="88"/>
      <c r="H39" s="88"/>
      <c r="I39" s="88"/>
      <c r="J39" s="88"/>
      <c r="K39" s="145"/>
      <c r="L39" s="140"/>
    </row>
    <row r="40" spans="2:12" ht="48.75" customHeight="1" x14ac:dyDescent="0.2">
      <c r="B40" s="374"/>
      <c r="C40" s="25" t="s">
        <v>94</v>
      </c>
      <c r="D40" s="97">
        <f t="shared" ref="D40:J40" si="0">IF(D26="","0",D39*D38)</f>
        <v>2471604173.5</v>
      </c>
      <c r="E40" s="97">
        <f t="shared" si="0"/>
        <v>856597280</v>
      </c>
      <c r="F40" s="97" t="str">
        <f t="shared" si="0"/>
        <v>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3835.81</v>
      </c>
      <c r="E41" s="98">
        <f t="shared" si="1"/>
        <v>1390.58</v>
      </c>
      <c r="F41" s="98">
        <f t="shared" si="1"/>
        <v>0</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3835.81</v>
      </c>
      <c r="E48" s="98">
        <f t="shared" ref="E48:G48" si="6">+E41+E44+E47</f>
        <v>1390.58</v>
      </c>
      <c r="F48" s="98">
        <f t="shared" si="6"/>
        <v>0</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N/A</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N/A</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0:C70"/>
    <mergeCell ref="B71:C71"/>
    <mergeCell ref="B72:C72"/>
    <mergeCell ref="B65:C65"/>
    <mergeCell ref="B66:C66"/>
    <mergeCell ref="B67:C67"/>
    <mergeCell ref="B69:E69"/>
    <mergeCell ref="B62:C62"/>
    <mergeCell ref="B63:C63"/>
    <mergeCell ref="B64:C64"/>
    <mergeCell ref="B59:C59"/>
    <mergeCell ref="B60:C60"/>
    <mergeCell ref="B61:C61"/>
    <mergeCell ref="B56:C56"/>
    <mergeCell ref="B57:C57"/>
    <mergeCell ref="B58:C58"/>
    <mergeCell ref="B50:B55"/>
    <mergeCell ref="B28:C28"/>
    <mergeCell ref="B29:B47"/>
    <mergeCell ref="I22:L22"/>
    <mergeCell ref="B12:L12"/>
    <mergeCell ref="B13:H13"/>
    <mergeCell ref="B14:B21"/>
    <mergeCell ref="K17:L17"/>
    <mergeCell ref="K18:L21"/>
    <mergeCell ref="B24:L24"/>
    <mergeCell ref="K25:L25"/>
    <mergeCell ref="B26:C26"/>
    <mergeCell ref="B27:C27"/>
    <mergeCell ref="B23:L23"/>
    <mergeCell ref="C8:I8"/>
    <mergeCell ref="C9:I9"/>
    <mergeCell ref="C10:I10"/>
    <mergeCell ref="C11:G11"/>
    <mergeCell ref="B2:L2"/>
    <mergeCell ref="B3:L3"/>
    <mergeCell ref="B4:L4"/>
    <mergeCell ref="B5:L5"/>
    <mergeCell ref="B7:I7"/>
    <mergeCell ref="J7:L7"/>
    <mergeCell ref="I11:L11"/>
  </mergeCells>
  <conditionalFormatting sqref="D71">
    <cfRule type="cellIs" dxfId="1724" priority="73" operator="equal">
      <formula>"CUMPLE"</formula>
    </cfRule>
    <cfRule type="containsBlanks" dxfId="1723" priority="70">
      <formula>LEN(TRIM(D71))=0</formula>
    </cfRule>
    <cfRule type="notContainsErrors" dxfId="1722" priority="71">
      <formula>NOT(ISERROR(D71))</formula>
    </cfRule>
    <cfRule type="cellIs" dxfId="1721" priority="72" operator="equal">
      <formula>"NO CUMPLE"</formula>
    </cfRule>
  </conditionalFormatting>
  <conditionalFormatting sqref="D72">
    <cfRule type="cellIs" dxfId="1720" priority="75" operator="equal">
      <formula>"CUMPLE"</formula>
    </cfRule>
    <cfRule type="cellIs" dxfId="1719" priority="74" operator="equal">
      <formula>"N/A"</formula>
    </cfRule>
    <cfRule type="cellIs" dxfId="1718" priority="77" operator="equal">
      <formula>"""CUMPLE"""</formula>
    </cfRule>
    <cfRule type="cellIs" dxfId="1717" priority="76" operator="equal">
      <formula>"NO CUMPLE"</formula>
    </cfRule>
  </conditionalFormatting>
  <conditionalFormatting sqref="D26:J37">
    <cfRule type="notContainsErrors" dxfId="1716" priority="4">
      <formula>NOT(ISERROR(D26))</formula>
    </cfRule>
    <cfRule type="containsBlanks" dxfId="1715" priority="3">
      <formula>LEN(TRIM(D26))=0</formula>
    </cfRule>
  </conditionalFormatting>
  <conditionalFormatting sqref="D36:J36">
    <cfRule type="notContainsErrors" dxfId="1714" priority="6">
      <formula>NOT(ISERROR(D36))</formula>
    </cfRule>
    <cfRule type="containsBlanks" dxfId="1713" priority="5">
      <formula>LEN(TRIM(D36))=0</formula>
    </cfRule>
  </conditionalFormatting>
  <conditionalFormatting sqref="D39:J39">
    <cfRule type="containsBlanks" dxfId="1712" priority="1">
      <formula>LEN(TRIM(D39))=0</formula>
    </cfRule>
    <cfRule type="notContainsErrors" dxfId="1711" priority="2">
      <formula>NOT(ISERROR(D39))</formula>
    </cfRule>
  </conditionalFormatting>
  <conditionalFormatting sqref="D42:J42 D45:J45">
    <cfRule type="notContainsErrors" dxfId="1710" priority="38">
      <formula>NOT(ISERROR(D42))</formula>
    </cfRule>
    <cfRule type="containsBlanks" dxfId="1709" priority="37">
      <formula>LEN(TRIM(D42))=0</formula>
    </cfRule>
  </conditionalFormatting>
  <conditionalFormatting sqref="D49:J54">
    <cfRule type="cellIs" dxfId="1708" priority="17" operator="equal">
      <formula>"NO CUMPLE"</formula>
    </cfRule>
    <cfRule type="cellIs" dxfId="1707" priority="18" operator="equal">
      <formula>"CUMPLE"</formula>
    </cfRule>
    <cfRule type="containsBlanks" dxfId="1706" priority="19">
      <formula>LEN(TRIM(D49))=0</formula>
    </cfRule>
    <cfRule type="notContainsErrors" dxfId="1705" priority="20">
      <formula>NOT(ISERROR(D49))</formula>
    </cfRule>
  </conditionalFormatting>
  <conditionalFormatting sqref="D55:J55">
    <cfRule type="cellIs" dxfId="1704" priority="28" operator="equal">
      <formula>"CUMPLE"</formula>
    </cfRule>
    <cfRule type="cellIs" dxfId="1703" priority="30" operator="equal">
      <formula>"""CUMPLE"""</formula>
    </cfRule>
    <cfRule type="cellIs" dxfId="1702" priority="29" operator="equal">
      <formula>"NO CUMPLE"</formula>
    </cfRule>
    <cfRule type="cellIs" dxfId="1701" priority="27" operator="equal">
      <formula>"N/A"</formula>
    </cfRule>
  </conditionalFormatting>
  <conditionalFormatting sqref="D56:J66">
    <cfRule type="cellIs" dxfId="1700" priority="11" operator="equal">
      <formula>"NO CUMPLE"</formula>
    </cfRule>
    <cfRule type="notContainsErrors" dxfId="1699" priority="14">
      <formula>NOT(ISERROR(D56))</formula>
    </cfRule>
    <cfRule type="containsBlanks" dxfId="1698" priority="13">
      <formula>LEN(TRIM(D56))=0</formula>
    </cfRule>
    <cfRule type="cellIs" dxfId="1697" priority="12" operator="equal">
      <formula>"CUMPLE"</formula>
    </cfRule>
  </conditionalFormatting>
  <conditionalFormatting sqref="D67:J67">
    <cfRule type="cellIs" dxfId="1696" priority="23" operator="equal">
      <formula>"N/A"</formula>
    </cfRule>
    <cfRule type="cellIs" dxfId="1695" priority="24" operator="equal">
      <formula>"CUMPLE"</formula>
    </cfRule>
    <cfRule type="cellIs" dxfId="1694" priority="26" operator="equal">
      <formula>"""CUMPLE"""</formula>
    </cfRule>
    <cfRule type="cellIs" dxfId="1693" priority="25" operator="equal">
      <formula>"NO CUMPLE"</formula>
    </cfRule>
  </conditionalFormatting>
  <conditionalFormatting sqref="D62:K66">
    <cfRule type="containsBlanks" dxfId="1692" priority="15">
      <formula>LEN(TRIM(D62))=0</formula>
    </cfRule>
    <cfRule type="notContainsErrors" dxfId="1691" priority="16">
      <formula>NOT(ISERROR(D62))</formula>
    </cfRule>
  </conditionalFormatting>
  <conditionalFormatting sqref="E71:E72">
    <cfRule type="notContainsErrors" dxfId="1690" priority="69">
      <formula>NOT(ISERROR(E71))</formula>
    </cfRule>
    <cfRule type="containsBlanks" dxfId="1689" priority="68">
      <formula>LEN(TRIM(E71))=0</formula>
    </cfRule>
  </conditionalFormatting>
  <conditionalFormatting sqref="F22:H22">
    <cfRule type="cellIs" dxfId="1688" priority="92" operator="equal">
      <formula>"NO CUMPLE"</formula>
    </cfRule>
    <cfRule type="cellIs" dxfId="1687" priority="93" operator="equal">
      <formula>"""CUMPLE"""</formula>
    </cfRule>
    <cfRule type="cellIs" dxfId="1686" priority="91" operator="equal">
      <formula>"CUMPLE"</formula>
    </cfRule>
  </conditionalFormatting>
  <conditionalFormatting sqref="G63:J63">
    <cfRule type="containsBlanks" dxfId="1685" priority="7">
      <formula>LEN(TRIM(G63))=0</formula>
    </cfRule>
    <cfRule type="notContainsErrors" dxfId="1684" priority="8">
      <formula>NOT(ISERROR(G63))</formula>
    </cfRule>
  </conditionalFormatting>
  <conditionalFormatting sqref="I11">
    <cfRule type="containsText" dxfId="1683" priority="97" operator="containsText" text="NO CUMPLE">
      <formula>NOT(ISERROR(SEARCH("NO CUMPLE",I11)))</formula>
    </cfRule>
    <cfRule type="containsText" dxfId="1682" priority="96" operator="containsText" text="HABILITADO">
      <formula>NOT(ISERROR(SEARCH("HABILITADO",I11)))</formula>
    </cfRule>
    <cfRule type="containsText" dxfId="1681" priority="95" operator="containsText" text="HABILITADO">
      <formula>NOT(ISERROR(SEARCH("HABILITADO",I11)))</formula>
    </cfRule>
    <cfRule type="containsText" dxfId="1680" priority="94" operator="containsText" text="INHABILITADO">
      <formula>NOT(ISERROR(SEARCH("INHABILITADO",I11)))</formula>
    </cfRule>
  </conditionalFormatting>
  <conditionalFormatting sqref="K18:K20">
    <cfRule type="cellIs" dxfId="1679" priority="66" operator="equal">
      <formula>"NO CUMPLE"</formula>
    </cfRule>
    <cfRule type="cellIs" dxfId="1678" priority="67" operator="equal">
      <formula>"""CUMPLE"""</formula>
    </cfRule>
    <cfRule type="cellIs" dxfId="1677" priority="65" operator="equal">
      <formula>"CUMPLE"</formula>
    </cfRule>
  </conditionalFormatting>
  <conditionalFormatting sqref="K26:K61 D62:J62">
    <cfRule type="containsBlanks" dxfId="1676" priority="9">
      <formula>LEN(TRIM(D26))=0</formula>
    </cfRule>
    <cfRule type="notContainsErrors" dxfId="1675" priority="10">
      <formula>NOT(ISERROR(D26))</formula>
    </cfRule>
  </conditionalFormatting>
  <conditionalFormatting sqref="K67:L67">
    <cfRule type="containsBlanks" dxfId="1674" priority="21">
      <formula>LEN(TRIM(K67))=0</formula>
    </cfRule>
    <cfRule type="notContainsErrors" dxfId="1673" priority="22">
      <formula>NOT(ISERROR(K67))</formula>
    </cfRule>
  </conditionalFormatting>
  <conditionalFormatting sqref="L14">
    <cfRule type="cellIs" dxfId="1672" priority="90" operator="equal">
      <formula>"""CUMPLE"""</formula>
    </cfRule>
    <cfRule type="cellIs" dxfId="1671" priority="89" operator="equal">
      <formula>"NO CUMPLE"</formula>
    </cfRule>
    <cfRule type="cellIs" dxfId="1670" priority="88" operator="equal">
      <formula>"CUMPLE"</formula>
    </cfRule>
  </conditionalFormatting>
  <dataValidations count="2">
    <dataValidation type="list" allowBlank="1" showInputMessage="1" showErrorMessage="1" sqref="L62:L67" xr:uid="{00000000-0002-0000-4500-000000000000}">
      <formula1>"0,1,2,3,4,5,6"</formula1>
    </dataValidation>
    <dataValidation type="list" allowBlank="1" showInputMessage="1" showErrorMessage="1" sqref="D26:J28" xr:uid="{00000000-0002-0000-45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4500-000002000000}">
          <x14:formula1>
            <xm:f>'DATOS INICIALES'!$D$27:$D$29</xm:f>
          </x14:formula1>
          <xm:sqref>M50:M55</xm:sqref>
        </x14:dataValidation>
        <x14:dataValidation type="list" allowBlank="1" showInputMessage="1" showErrorMessage="1" xr:uid="{00000000-0002-0000-4500-000003000000}">
          <x14:formula1>
            <xm:f>'DATOS INICIALES'!$A$57:$A$58</xm:f>
          </x14:formula1>
          <xm:sqref>D49:J49</xm:sqref>
        </x14:dataValidation>
        <x14:dataValidation type="list" allowBlank="1" showInputMessage="1" showErrorMessage="1" xr:uid="{00000000-0002-0000-4500-000004000000}">
          <x14:formula1>
            <xm:f>'DATOS INICIALES'!$A$61:$A$67</xm:f>
          </x14:formula1>
          <xm:sqref>J25</xm:sqref>
        </x14:dataValidation>
        <x14:dataValidation type="list" allowBlank="1" showInputMessage="1" showErrorMessage="1" xr:uid="{00000000-0002-0000-4500-000005000000}">
          <x14:formula1>
            <xm:f>'DATOS INICIALES'!$C$52:$C$53</xm:f>
          </x14:formula1>
          <xm:sqref>D53:J54</xm:sqref>
        </x14:dataValidation>
        <x14:dataValidation type="list" allowBlank="1" showInputMessage="1" showErrorMessage="1" xr:uid="{00000000-0002-0000-4500-000006000000}">
          <x14:formula1>
            <xm:f>'DATOS INICIALES'!$A$57:$A$59</xm:f>
          </x14:formula1>
          <xm:sqref>D71 D56:J66</xm:sqref>
        </x14:dataValidation>
        <x14:dataValidation type="list" allowBlank="1" showInputMessage="1" showErrorMessage="1" xr:uid="{00000000-0002-0000-4500-000007000000}">
          <x14:formula1>
            <xm:f>'DATOS INICIALES'!$A$61:$A$66</xm:f>
          </x14:formula1>
          <xm:sqref>D25:I25</xm:sqref>
        </x14:dataValidation>
        <x14:dataValidation type="list" allowBlank="1" showInputMessage="1" showErrorMessage="1" xr:uid="{00000000-0002-0000-4500-000008000000}">
          <x14:formula1>
            <xm:f>'DATOS INICIALES'!$A$13:$A$50</xm:f>
          </x14:formula1>
          <xm:sqref>G33:I33</xm:sqref>
        </x14:dataValidation>
        <x14:dataValidation type="list" allowBlank="1" showInputMessage="1" showErrorMessage="1" xr:uid="{00000000-0002-0000-4500-000009000000}">
          <x14:formula1>
            <xm:f>'DATOS INICIALES'!$C$52:$C$54</xm:f>
          </x14:formula1>
          <xm:sqref>D50:J52</xm:sqref>
        </x14:dataValidation>
      </x14:dataValidations>
    </ext>
  </extLst>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sheetPr>
    <tabColor rgb="FF92D050"/>
  </sheetPr>
  <dimension ref="A1:N72"/>
  <sheetViews>
    <sheetView view="pageBreakPreview" topLeftCell="A52" zoomScale="55" zoomScaleNormal="25" zoomScaleSheetLayoutView="55" workbookViewId="0">
      <selection activeCell="L16" sqref="L16"/>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65</v>
      </c>
      <c r="B11" s="2" t="s">
        <v>58</v>
      </c>
      <c r="C11" s="413" t="str">
        <f>VLOOKUP(A11,PROPONENTES!A10:B94,2,FALSE)</f>
        <v>CONSORCIO VERTEX</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3</v>
      </c>
      <c r="J14" s="147">
        <f>+L8</f>
        <v>986.3076290832455</v>
      </c>
      <c r="K14" s="147">
        <f>+E22</f>
        <v>4340.6512000000002</v>
      </c>
      <c r="L14" s="18" t="str">
        <f>IF(K14&gt;=J14,"CUMPLE","NO CUMPLE")</f>
        <v>CUMPLE</v>
      </c>
    </row>
    <row r="15" spans="1:12" ht="33.75" customHeight="1" x14ac:dyDescent="0.2">
      <c r="B15" s="382"/>
      <c r="C15" s="92" t="str">
        <f>IF(VLOOKUP(C11,PROPONENTES!B10:N94,2,FALSE)=0,"",VLOOKUP(C11,PROPONENTES!B10:N94,2,FALSE))</f>
        <v>R&amp;M CONSTRUCCIONES E
INTERVENTORÍAS SAS</v>
      </c>
      <c r="D15" s="93">
        <f>IF(VLOOKUP(C11,PROPONENTES!B10:N94,3,FALSE)=0,"",VLOOKUP(C11,PROPONENTES!B10:N94,3,FALSE))</f>
        <v>0.5</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1999.38</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M.A.P.G INGENIERIA CIVIL 
S.A.S.</v>
      </c>
      <c r="D16" s="93">
        <f>IF(VLOOKUP(C11,PROPONENTES!B10:N94,5,FALSE)=0,"",VLOOKUP(C11,PROPONENTES!B10:N94,5,FALSE))</f>
        <v>0.5</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2341.2712000000001</v>
      </c>
      <c r="F16" s="95" t="str">
        <f>IF(C16="","",IF(E16&gt;=$J$14*0.5,"SI","NO"))</f>
        <v>SI</v>
      </c>
      <c r="G16" s="96" t="str">
        <f>IF(C16="","",IF(E16&gt;=$J$14*0.05,"SI",IF(E16=0,"NO APORTA EXPERIENCIA",)))</f>
        <v>SI</v>
      </c>
      <c r="H16" s="96" t="str">
        <f>IF(C16="","",IF(AND(G16="NO APORTA EXPERIENCIA",D16&lt;=10%),"SI",IF(G16="SI","NO APLICA","NO - PORCENTAJE MAYOR AL 10%")))</f>
        <v>NO APLICA</v>
      </c>
      <c r="I16" s="162"/>
      <c r="J16" s="162"/>
      <c r="K16" s="162"/>
      <c r="L16" s="161">
        <f>AVERAGEIF(D67:J67,"CUMPLE",D48:J48)</f>
        <v>1446.8837333333333</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3</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3</v>
      </c>
      <c r="J19" s="128">
        <v>1</v>
      </c>
      <c r="K19" s="387"/>
      <c r="L19" s="388"/>
    </row>
    <row r="20" spans="2:14" ht="50.25" customHeight="1" x14ac:dyDescent="0.2">
      <c r="B20" s="382"/>
      <c r="C20" s="92"/>
      <c r="D20" s="93"/>
      <c r="E20" s="94"/>
      <c r="F20" s="95"/>
      <c r="G20" s="96"/>
      <c r="H20" s="96"/>
      <c r="I20" s="128">
        <f>COUNTIFS(D60:J60,"CUMPLE",D67:J67,"CUMPLE")</f>
        <v>3</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3</v>
      </c>
      <c r="J21" s="128">
        <v>1</v>
      </c>
      <c r="K21" s="389"/>
      <c r="L21" s="390"/>
    </row>
    <row r="22" spans="2:14" ht="84.75" customHeight="1" x14ac:dyDescent="0.2">
      <c r="B22" s="29" t="s">
        <v>75</v>
      </c>
      <c r="C22" s="24">
        <f>+VLOOKUP(C11,PROPONENTES!B10:N94,12,FALSE)</f>
        <v>2</v>
      </c>
      <c r="D22" s="93">
        <f>+VLOOKUP(C11,PROPONENTES!B10:N94,13,FALSE)</f>
        <v>1</v>
      </c>
      <c r="E22" s="32">
        <f>SUM(E15:E21)</f>
        <v>4340.6512000000002</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1028</v>
      </c>
      <c r="E26" s="84" t="s">
        <v>1029</v>
      </c>
      <c r="F26" s="84" t="s">
        <v>1028</v>
      </c>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1030</v>
      </c>
      <c r="E29" s="85" t="s">
        <v>1031</v>
      </c>
      <c r="F29" s="85" t="s">
        <v>1032</v>
      </c>
      <c r="G29" s="85"/>
      <c r="H29" s="85"/>
      <c r="I29" s="85"/>
      <c r="J29" s="85"/>
      <c r="K29" s="145"/>
      <c r="L29" s="140"/>
    </row>
    <row r="30" spans="2:14" ht="156.75" customHeight="1" x14ac:dyDescent="0.2">
      <c r="B30" s="374"/>
      <c r="C30" s="25" t="s">
        <v>84</v>
      </c>
      <c r="D30" s="85" t="s">
        <v>1033</v>
      </c>
      <c r="E30" s="85" t="s">
        <v>1034</v>
      </c>
      <c r="F30" s="85" t="s">
        <v>1035</v>
      </c>
      <c r="G30" s="85"/>
      <c r="H30" s="85"/>
      <c r="I30" s="85"/>
      <c r="J30" s="85"/>
      <c r="K30" s="426" t="s">
        <v>1041</v>
      </c>
      <c r="L30" s="427"/>
    </row>
    <row r="31" spans="2:14" ht="52.5" customHeight="1" x14ac:dyDescent="0.2">
      <c r="B31" s="374"/>
      <c r="C31" s="25" t="s">
        <v>85</v>
      </c>
      <c r="D31" s="89">
        <v>41466</v>
      </c>
      <c r="E31" s="89">
        <v>43532</v>
      </c>
      <c r="F31" s="89"/>
      <c r="G31" s="89"/>
      <c r="H31" s="89"/>
      <c r="I31" s="89"/>
      <c r="J31" s="89"/>
      <c r="K31" s="145"/>
      <c r="L31" s="140"/>
    </row>
    <row r="32" spans="2:14" ht="54.75" customHeight="1" x14ac:dyDescent="0.2">
      <c r="B32" s="374"/>
      <c r="C32" s="25" t="s">
        <v>86</v>
      </c>
      <c r="D32" s="89">
        <v>41816</v>
      </c>
      <c r="E32" s="89">
        <v>43834</v>
      </c>
      <c r="F32" s="89"/>
      <c r="G32" s="89"/>
      <c r="H32" s="89"/>
      <c r="I32" s="89"/>
      <c r="J32" s="89"/>
      <c r="K32" s="145"/>
      <c r="L32" s="140"/>
    </row>
    <row r="33" spans="2:12" ht="41.25" customHeight="1" x14ac:dyDescent="0.2">
      <c r="B33" s="374"/>
      <c r="C33" s="25" t="s">
        <v>87</v>
      </c>
      <c r="D33" s="86">
        <v>2014</v>
      </c>
      <c r="E33" s="86">
        <v>2020</v>
      </c>
      <c r="F33" s="86">
        <v>2021</v>
      </c>
      <c r="G33" s="86"/>
      <c r="H33" s="86"/>
      <c r="I33" s="86"/>
      <c r="J33" s="86"/>
      <c r="K33" s="145"/>
      <c r="L33" s="140"/>
    </row>
    <row r="34" spans="2:12" ht="63" customHeight="1" x14ac:dyDescent="0.2">
      <c r="B34" s="374"/>
      <c r="C34" s="25" t="s">
        <v>88</v>
      </c>
      <c r="D34" s="85" t="s">
        <v>321</v>
      </c>
      <c r="E34" s="85" t="s">
        <v>1036</v>
      </c>
      <c r="F34" s="85" t="s">
        <v>1037</v>
      </c>
      <c r="G34" s="85"/>
      <c r="H34" s="85"/>
      <c r="I34" s="85"/>
      <c r="J34" s="85"/>
      <c r="K34" s="145"/>
      <c r="L34" s="140"/>
    </row>
    <row r="35" spans="2:12" ht="46.5" customHeight="1" x14ac:dyDescent="0.2">
      <c r="B35" s="374"/>
      <c r="C35" s="25" t="s">
        <v>89</v>
      </c>
      <c r="D35" s="85" t="s">
        <v>1038</v>
      </c>
      <c r="E35" s="85" t="s">
        <v>1039</v>
      </c>
      <c r="F35" s="85" t="s">
        <v>1040</v>
      </c>
      <c r="G35" s="85"/>
      <c r="H35" s="85"/>
      <c r="I35" s="85"/>
      <c r="J35" s="85"/>
      <c r="K35" s="145"/>
      <c r="L35" s="140"/>
    </row>
    <row r="36" spans="2:12" ht="27.75" customHeight="1" x14ac:dyDescent="0.2">
      <c r="B36" s="374"/>
      <c r="C36" s="26" t="s">
        <v>90</v>
      </c>
      <c r="D36" s="90">
        <v>144</v>
      </c>
      <c r="E36" s="90">
        <v>56</v>
      </c>
      <c r="F36" s="90">
        <v>221</v>
      </c>
      <c r="G36" s="91"/>
      <c r="H36" s="91"/>
      <c r="I36" s="91"/>
      <c r="J36" s="91"/>
      <c r="K36" s="145"/>
      <c r="L36" s="140"/>
    </row>
    <row r="37" spans="2:12" ht="102.75" customHeight="1" x14ac:dyDescent="0.2">
      <c r="B37" s="374"/>
      <c r="C37" s="25" t="s">
        <v>91</v>
      </c>
      <c r="D37" s="87">
        <v>1449.48</v>
      </c>
      <c r="E37" s="158">
        <v>3163.88</v>
      </c>
      <c r="F37" s="87">
        <v>549.9</v>
      </c>
      <c r="G37" s="87"/>
      <c r="H37" s="87"/>
      <c r="I37" s="87"/>
      <c r="J37" s="87"/>
      <c r="K37" s="242"/>
      <c r="L37" s="243"/>
    </row>
    <row r="38" spans="2:12" ht="48" customHeight="1" x14ac:dyDescent="0.2">
      <c r="B38" s="374"/>
      <c r="C38" s="25" t="s">
        <v>92</v>
      </c>
      <c r="D38" s="97">
        <f>IFERROR(D37*VLOOKUP(D33,'DATOS INICIALES'!$A$12:$B$50,2,0),"0")</f>
        <v>892879680</v>
      </c>
      <c r="E38" s="97">
        <f>IFERROR(E37*VLOOKUP(E33,'DATOS INICIALES'!$A$12:$B$50,2,0),"0")</f>
        <v>2777263355.6399999</v>
      </c>
      <c r="F38" s="97">
        <f>IFERROR(F37*VLOOKUP(F33,'DATOS INICIALES'!$A$12:$B$50,2,0),"0")</f>
        <v>499598447.39999998</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1</v>
      </c>
      <c r="E39" s="88">
        <v>0.74</v>
      </c>
      <c r="F39" s="88">
        <v>1</v>
      </c>
      <c r="G39" s="88"/>
      <c r="H39" s="88"/>
      <c r="I39" s="88"/>
      <c r="J39" s="88"/>
      <c r="K39" s="145"/>
      <c r="L39" s="140"/>
    </row>
    <row r="40" spans="2:12" ht="48.75" customHeight="1" x14ac:dyDescent="0.2">
      <c r="B40" s="374"/>
      <c r="C40" s="25" t="s">
        <v>94</v>
      </c>
      <c r="D40" s="97">
        <f t="shared" ref="D40:J40" si="0">IF(D26="","0",D39*D38)</f>
        <v>892879680</v>
      </c>
      <c r="E40" s="97">
        <f t="shared" si="0"/>
        <v>2055174883.1736</v>
      </c>
      <c r="F40" s="97">
        <f t="shared" si="0"/>
        <v>499598447.39999998</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1449.48</v>
      </c>
      <c r="E41" s="98">
        <f t="shared" si="1"/>
        <v>2341.2712000000001</v>
      </c>
      <c r="F41" s="98">
        <f t="shared" si="1"/>
        <v>549.9</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1449.48</v>
      </c>
      <c r="E48" s="98">
        <f t="shared" ref="E48:G48" si="6">+E41+E44+E47</f>
        <v>2341.2712000000001</v>
      </c>
      <c r="F48" s="98">
        <f t="shared" si="6"/>
        <v>549.9</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2">
    <mergeCell ref="B72:C72"/>
    <mergeCell ref="B65:C65"/>
    <mergeCell ref="B66:C66"/>
    <mergeCell ref="B67:C67"/>
    <mergeCell ref="B69:E69"/>
    <mergeCell ref="B56:C56"/>
    <mergeCell ref="B57:C57"/>
    <mergeCell ref="B58:C58"/>
    <mergeCell ref="B70:C70"/>
    <mergeCell ref="B71:C71"/>
    <mergeCell ref="B62:C62"/>
    <mergeCell ref="B63:C63"/>
    <mergeCell ref="B64:C64"/>
    <mergeCell ref="B59:C59"/>
    <mergeCell ref="B60:C60"/>
    <mergeCell ref="B61:C61"/>
    <mergeCell ref="C8:I8"/>
    <mergeCell ref="C9:I9"/>
    <mergeCell ref="C10:I10"/>
    <mergeCell ref="B23:L23"/>
    <mergeCell ref="I22:L22"/>
    <mergeCell ref="C11:G11"/>
    <mergeCell ref="I11:L11"/>
    <mergeCell ref="K18:L21"/>
    <mergeCell ref="B2:L2"/>
    <mergeCell ref="B3:L3"/>
    <mergeCell ref="B4:L4"/>
    <mergeCell ref="B5:L5"/>
    <mergeCell ref="B7:I7"/>
    <mergeCell ref="J7:L7"/>
    <mergeCell ref="B50:B55"/>
    <mergeCell ref="B28:C28"/>
    <mergeCell ref="B29:B47"/>
    <mergeCell ref="B12:L12"/>
    <mergeCell ref="B13:H13"/>
    <mergeCell ref="B14:B21"/>
    <mergeCell ref="K17:L17"/>
    <mergeCell ref="K30:L30"/>
    <mergeCell ref="B24:L24"/>
    <mergeCell ref="K25:L25"/>
    <mergeCell ref="B26:C26"/>
    <mergeCell ref="B27:C27"/>
  </mergeCells>
  <conditionalFormatting sqref="D71">
    <cfRule type="cellIs" dxfId="1669" priority="75" operator="equal">
      <formula>"CUMPLE"</formula>
    </cfRule>
    <cfRule type="containsBlanks" dxfId="1668" priority="72">
      <formula>LEN(TRIM(D71))=0</formula>
    </cfRule>
    <cfRule type="notContainsErrors" dxfId="1667" priority="73">
      <formula>NOT(ISERROR(D71))</formula>
    </cfRule>
    <cfRule type="cellIs" dxfId="1666" priority="74" operator="equal">
      <formula>"NO CUMPLE"</formula>
    </cfRule>
  </conditionalFormatting>
  <conditionalFormatting sqref="D72">
    <cfRule type="cellIs" dxfId="1665" priority="77" operator="equal">
      <formula>"CUMPLE"</formula>
    </cfRule>
    <cfRule type="cellIs" dxfId="1664" priority="79" operator="equal">
      <formula>"""CUMPLE"""</formula>
    </cfRule>
    <cfRule type="cellIs" dxfId="1663" priority="78" operator="equal">
      <formula>"NO CUMPLE"</formula>
    </cfRule>
    <cfRule type="cellIs" dxfId="1662" priority="76" operator="equal">
      <formula>"N/A"</formula>
    </cfRule>
  </conditionalFormatting>
  <conditionalFormatting sqref="D26:J37">
    <cfRule type="containsBlanks" dxfId="1661" priority="5">
      <formula>LEN(TRIM(D26))=0</formula>
    </cfRule>
    <cfRule type="notContainsErrors" dxfId="1660" priority="6">
      <formula>NOT(ISERROR(D26))</formula>
    </cfRule>
  </conditionalFormatting>
  <conditionalFormatting sqref="D36:J36">
    <cfRule type="notContainsErrors" dxfId="1659" priority="8">
      <formula>NOT(ISERROR(D36))</formula>
    </cfRule>
    <cfRule type="containsBlanks" dxfId="1658" priority="7">
      <formula>LEN(TRIM(D36))=0</formula>
    </cfRule>
  </conditionalFormatting>
  <conditionalFormatting sqref="D39:J39">
    <cfRule type="containsBlanks" dxfId="1657" priority="1">
      <formula>LEN(TRIM(D39))=0</formula>
    </cfRule>
    <cfRule type="notContainsErrors" dxfId="1656" priority="2">
      <formula>NOT(ISERROR(D39))</formula>
    </cfRule>
  </conditionalFormatting>
  <conditionalFormatting sqref="D42:J42 D45:J45">
    <cfRule type="notContainsErrors" dxfId="1655" priority="40">
      <formula>NOT(ISERROR(D42))</formula>
    </cfRule>
    <cfRule type="containsBlanks" dxfId="1654" priority="39">
      <formula>LEN(TRIM(D42))=0</formula>
    </cfRule>
  </conditionalFormatting>
  <conditionalFormatting sqref="D49:J54">
    <cfRule type="notContainsErrors" dxfId="1653" priority="22">
      <formula>NOT(ISERROR(D49))</formula>
    </cfRule>
    <cfRule type="containsBlanks" dxfId="1652" priority="21">
      <formula>LEN(TRIM(D49))=0</formula>
    </cfRule>
    <cfRule type="cellIs" dxfId="1651" priority="19" operator="equal">
      <formula>"NO CUMPLE"</formula>
    </cfRule>
    <cfRule type="cellIs" dxfId="1650" priority="20" operator="equal">
      <formula>"CUMPLE"</formula>
    </cfRule>
  </conditionalFormatting>
  <conditionalFormatting sqref="D55:J55">
    <cfRule type="cellIs" dxfId="1649" priority="29" operator="equal">
      <formula>"N/A"</formula>
    </cfRule>
    <cfRule type="cellIs" dxfId="1648" priority="32" operator="equal">
      <formula>"""CUMPLE"""</formula>
    </cfRule>
    <cfRule type="cellIs" dxfId="1647" priority="31" operator="equal">
      <formula>"NO CUMPLE"</formula>
    </cfRule>
    <cfRule type="cellIs" dxfId="1646" priority="30" operator="equal">
      <formula>"CUMPLE"</formula>
    </cfRule>
  </conditionalFormatting>
  <conditionalFormatting sqref="D56:J66">
    <cfRule type="containsBlanks" dxfId="1645" priority="15">
      <formula>LEN(TRIM(D56))=0</formula>
    </cfRule>
    <cfRule type="notContainsErrors" dxfId="1644" priority="16">
      <formula>NOT(ISERROR(D56))</formula>
    </cfRule>
    <cfRule type="cellIs" dxfId="1643" priority="14" operator="equal">
      <formula>"CUMPLE"</formula>
    </cfRule>
    <cfRule type="cellIs" dxfId="1642" priority="13" operator="equal">
      <formula>"NO CUMPLE"</formula>
    </cfRule>
  </conditionalFormatting>
  <conditionalFormatting sqref="D62:J62">
    <cfRule type="notContainsErrors" dxfId="1641" priority="12">
      <formula>NOT(ISERROR(D62))</formula>
    </cfRule>
    <cfRule type="containsBlanks" dxfId="1640" priority="11">
      <formula>LEN(TRIM(D62))=0</formula>
    </cfRule>
  </conditionalFormatting>
  <conditionalFormatting sqref="D67:J67">
    <cfRule type="cellIs" dxfId="1639" priority="26" operator="equal">
      <formula>"CUMPLE"</formula>
    </cfRule>
    <cfRule type="cellIs" dxfId="1638" priority="25" operator="equal">
      <formula>"N/A"</formula>
    </cfRule>
    <cfRule type="cellIs" dxfId="1637" priority="27" operator="equal">
      <formula>"NO CUMPLE"</formula>
    </cfRule>
    <cfRule type="cellIs" dxfId="1636" priority="28" operator="equal">
      <formula>"""CUMPLE"""</formula>
    </cfRule>
  </conditionalFormatting>
  <conditionalFormatting sqref="D62:K66">
    <cfRule type="containsBlanks" dxfId="1635" priority="17">
      <formula>LEN(TRIM(D62))=0</formula>
    </cfRule>
    <cfRule type="notContainsErrors" dxfId="1634" priority="18">
      <formula>NOT(ISERROR(D62))</formula>
    </cfRule>
  </conditionalFormatting>
  <conditionalFormatting sqref="E71:E72">
    <cfRule type="notContainsErrors" dxfId="1633" priority="71">
      <formula>NOT(ISERROR(E71))</formula>
    </cfRule>
    <cfRule type="containsBlanks" dxfId="1632" priority="70">
      <formula>LEN(TRIM(E71))=0</formula>
    </cfRule>
  </conditionalFormatting>
  <conditionalFormatting sqref="F22:H22">
    <cfRule type="cellIs" dxfId="1631" priority="94" operator="equal">
      <formula>"NO CUMPLE"</formula>
    </cfRule>
    <cfRule type="cellIs" dxfId="1630" priority="95" operator="equal">
      <formula>"""CUMPLE"""</formula>
    </cfRule>
    <cfRule type="cellIs" dxfId="1629" priority="93" operator="equal">
      <formula>"CUMPLE"</formula>
    </cfRule>
  </conditionalFormatting>
  <conditionalFormatting sqref="G63:J63">
    <cfRule type="notContainsErrors" dxfId="1628" priority="10">
      <formula>NOT(ISERROR(G63))</formula>
    </cfRule>
    <cfRule type="containsBlanks" dxfId="1627" priority="9">
      <formula>LEN(TRIM(G63))=0</formula>
    </cfRule>
  </conditionalFormatting>
  <conditionalFormatting sqref="I11">
    <cfRule type="containsText" dxfId="1626" priority="99" operator="containsText" text="NO CUMPLE">
      <formula>NOT(ISERROR(SEARCH("NO CUMPLE",I11)))</formula>
    </cfRule>
    <cfRule type="containsText" dxfId="1625" priority="97" operator="containsText" text="HABILITADO">
      <formula>NOT(ISERROR(SEARCH("HABILITADO",I11)))</formula>
    </cfRule>
    <cfRule type="containsText" dxfId="1624" priority="98" operator="containsText" text="HABILITADO">
      <formula>NOT(ISERROR(SEARCH("HABILITADO",I11)))</formula>
    </cfRule>
    <cfRule type="containsText" dxfId="1623" priority="96" operator="containsText" text="INHABILITADO">
      <formula>NOT(ISERROR(SEARCH("INHABILITADO",I11)))</formula>
    </cfRule>
  </conditionalFormatting>
  <conditionalFormatting sqref="K18:K20">
    <cfRule type="cellIs" dxfId="1622" priority="68" operator="equal">
      <formula>"NO CUMPLE"</formula>
    </cfRule>
    <cfRule type="cellIs" dxfId="1621" priority="69" operator="equal">
      <formula>"""CUMPLE"""</formula>
    </cfRule>
    <cfRule type="cellIs" dxfId="1620" priority="67" operator="equal">
      <formula>"CUMPLE"</formula>
    </cfRule>
  </conditionalFormatting>
  <conditionalFormatting sqref="K26:K61">
    <cfRule type="containsBlanks" dxfId="1619" priority="3">
      <formula>LEN(TRIM(K26))=0</formula>
    </cfRule>
    <cfRule type="notContainsErrors" dxfId="1618" priority="4">
      <formula>NOT(ISERROR(K26))</formula>
    </cfRule>
  </conditionalFormatting>
  <conditionalFormatting sqref="K67:L67">
    <cfRule type="containsBlanks" dxfId="1617" priority="23">
      <formula>LEN(TRIM(K67))=0</formula>
    </cfRule>
    <cfRule type="notContainsErrors" dxfId="1616" priority="24">
      <formula>NOT(ISERROR(K67))</formula>
    </cfRule>
  </conditionalFormatting>
  <conditionalFormatting sqref="L14">
    <cfRule type="cellIs" dxfId="1615" priority="90" operator="equal">
      <formula>"CUMPLE"</formula>
    </cfRule>
    <cfRule type="cellIs" dxfId="1614" priority="92" operator="equal">
      <formula>"""CUMPLE"""</formula>
    </cfRule>
    <cfRule type="cellIs" dxfId="1613" priority="91" operator="equal">
      <formula>"NO CUMPLE"</formula>
    </cfRule>
  </conditionalFormatting>
  <dataValidations count="2">
    <dataValidation type="list" allowBlank="1" showInputMessage="1" showErrorMessage="1" sqref="D26:J28" xr:uid="{00000000-0002-0000-4600-000000000000}">
      <formula1>$C$15:$C$21</formula1>
    </dataValidation>
    <dataValidation type="list" allowBlank="1" showInputMessage="1" showErrorMessage="1" sqref="L62:L67" xr:uid="{00000000-0002-0000-46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4600-000002000000}">
          <x14:formula1>
            <xm:f>'DATOS INICIALES'!$D$27:$D$29</xm:f>
          </x14:formula1>
          <xm:sqref>M50:M55</xm:sqref>
        </x14:dataValidation>
        <x14:dataValidation type="list" allowBlank="1" showInputMessage="1" showErrorMessage="1" xr:uid="{00000000-0002-0000-4600-000003000000}">
          <x14:formula1>
            <xm:f>'DATOS INICIALES'!$A$13:$A$50</xm:f>
          </x14:formula1>
          <xm:sqref>G33:I33</xm:sqref>
        </x14:dataValidation>
        <x14:dataValidation type="list" allowBlank="1" showInputMessage="1" showErrorMessage="1" xr:uid="{00000000-0002-0000-4600-000004000000}">
          <x14:formula1>
            <xm:f>'DATOS INICIALES'!$A$61:$A$66</xm:f>
          </x14:formula1>
          <xm:sqref>D25:I25</xm:sqref>
        </x14:dataValidation>
        <x14:dataValidation type="list" allowBlank="1" showInputMessage="1" showErrorMessage="1" xr:uid="{00000000-0002-0000-4600-000005000000}">
          <x14:formula1>
            <xm:f>'DATOS INICIALES'!$A$57:$A$59</xm:f>
          </x14:formula1>
          <xm:sqref>D71 D56:J66</xm:sqref>
        </x14:dataValidation>
        <x14:dataValidation type="list" allowBlank="1" showInputMessage="1" showErrorMessage="1" xr:uid="{00000000-0002-0000-4600-000006000000}">
          <x14:formula1>
            <xm:f>'DATOS INICIALES'!$C$52:$C$53</xm:f>
          </x14:formula1>
          <xm:sqref>D53:J54</xm:sqref>
        </x14:dataValidation>
        <x14:dataValidation type="list" allowBlank="1" showInputMessage="1" showErrorMessage="1" xr:uid="{00000000-0002-0000-4600-000007000000}">
          <x14:formula1>
            <xm:f>'DATOS INICIALES'!$A$61:$A$67</xm:f>
          </x14:formula1>
          <xm:sqref>J25</xm:sqref>
        </x14:dataValidation>
        <x14:dataValidation type="list" allowBlank="1" showInputMessage="1" showErrorMessage="1" xr:uid="{00000000-0002-0000-4600-000008000000}">
          <x14:formula1>
            <xm:f>'DATOS INICIALES'!$A$57:$A$58</xm:f>
          </x14:formula1>
          <xm:sqref>D49:J49</xm:sqref>
        </x14:dataValidation>
        <x14:dataValidation type="list" allowBlank="1" showInputMessage="1" showErrorMessage="1" xr:uid="{00000000-0002-0000-4600-000009000000}">
          <x14:formula1>
            <xm:f>'DATOS INICIALES'!$C$52:$C$54</xm:f>
          </x14:formula1>
          <xm:sqref>D50:J52</xm:sqref>
        </x14:dataValidation>
      </x14:dataValidations>
    </ext>
  </extLst>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tabColor rgb="FF92D050"/>
  </sheetPr>
  <dimension ref="A1:N72"/>
  <sheetViews>
    <sheetView view="pageBreakPreview" topLeftCell="A19" zoomScale="55" zoomScaleNormal="25" zoomScaleSheetLayoutView="55" workbookViewId="0">
      <selection activeCell="F39" sqref="F39"/>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66</v>
      </c>
      <c r="B11" s="2" t="s">
        <v>58</v>
      </c>
      <c r="C11" s="413" t="str">
        <f>VLOOKUP(A11,PROPONENTES!A10:B94,2,FALSE)</f>
        <v>UMBRELLA INTERNATIONAL S.A.S</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4</v>
      </c>
      <c r="J14" s="147">
        <f>+L8</f>
        <v>986.3076290832455</v>
      </c>
      <c r="K14" s="147">
        <f>+E22</f>
        <v>8552.402</v>
      </c>
      <c r="L14" s="18" t="str">
        <f>IF(K14&gt;=J14,"CUMPLE","NO CUMPLE")</f>
        <v>CUMPLE</v>
      </c>
    </row>
    <row r="15" spans="1:12" ht="33.75" customHeight="1" x14ac:dyDescent="0.2">
      <c r="B15" s="382"/>
      <c r="C15" s="92" t="str">
        <f>IF(VLOOKUP(C11,PROPONENTES!B10:N94,2,FALSE)=0,"",VLOOKUP(C11,PROPONENTES!B10:N94,2,FALSE))</f>
        <v>UMBRELLA INTERNATIONAL S.A.S</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8552.402</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2138.1005</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4</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4</v>
      </c>
      <c r="J19" s="128">
        <v>1</v>
      </c>
      <c r="K19" s="387"/>
      <c r="L19" s="388"/>
    </row>
    <row r="20" spans="2:14" ht="50.25" customHeight="1" x14ac:dyDescent="0.2">
      <c r="B20" s="382"/>
      <c r="C20" s="92"/>
      <c r="D20" s="93"/>
      <c r="E20" s="94"/>
      <c r="F20" s="95"/>
      <c r="G20" s="96"/>
      <c r="H20" s="96"/>
      <c r="I20" s="128">
        <f>COUNTIFS(D60:J60,"CUMPLE",D67:J67,"CUMPLE")</f>
        <v>4</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4</v>
      </c>
      <c r="J21" s="128">
        <v>1</v>
      </c>
      <c r="K21" s="389"/>
      <c r="L21" s="390"/>
    </row>
    <row r="22" spans="2:14" ht="84.75" customHeight="1" x14ac:dyDescent="0.2">
      <c r="B22" s="29" t="s">
        <v>75</v>
      </c>
      <c r="C22" s="24">
        <f>+VLOOKUP(C11,PROPONENTES!B10:N94,12,FALSE)</f>
        <v>1</v>
      </c>
      <c r="D22" s="93">
        <f>+VLOOKUP(C11,PROPONENTES!B10:N94,13,FALSE)</f>
        <v>1</v>
      </c>
      <c r="E22" s="32">
        <f>SUM(E15:E21)</f>
        <v>8552.402</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267</v>
      </c>
      <c r="E26" s="84" t="s">
        <v>267</v>
      </c>
      <c r="F26" s="84" t="s">
        <v>267</v>
      </c>
      <c r="G26" s="84" t="s">
        <v>267</v>
      </c>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1042</v>
      </c>
      <c r="E29" s="85" t="s">
        <v>1043</v>
      </c>
      <c r="F29" s="85" t="s">
        <v>1044</v>
      </c>
      <c r="G29" s="85" t="s">
        <v>1045</v>
      </c>
      <c r="H29" s="85"/>
      <c r="I29" s="85"/>
      <c r="J29" s="85"/>
      <c r="K29" s="145"/>
      <c r="L29" s="140"/>
    </row>
    <row r="30" spans="2:14" ht="156.75" customHeight="1" x14ac:dyDescent="0.2">
      <c r="B30" s="374"/>
      <c r="C30" s="25" t="s">
        <v>84</v>
      </c>
      <c r="D30" s="85" t="s">
        <v>1046</v>
      </c>
      <c r="E30" s="85" t="s">
        <v>1047</v>
      </c>
      <c r="F30" s="85" t="s">
        <v>1048</v>
      </c>
      <c r="G30" s="85" t="s">
        <v>1049</v>
      </c>
      <c r="H30" s="85"/>
      <c r="I30" s="85"/>
      <c r="J30" s="85"/>
      <c r="K30" s="145"/>
      <c r="L30" s="140"/>
    </row>
    <row r="31" spans="2:14" ht="52.5" customHeight="1" x14ac:dyDescent="0.2">
      <c r="B31" s="374"/>
      <c r="C31" s="25" t="s">
        <v>85</v>
      </c>
      <c r="D31" s="89">
        <v>43132</v>
      </c>
      <c r="E31" s="89">
        <v>43127</v>
      </c>
      <c r="F31" s="89">
        <v>43445</v>
      </c>
      <c r="G31" s="89">
        <v>44454</v>
      </c>
      <c r="H31" s="89"/>
      <c r="I31" s="89"/>
      <c r="J31" s="89"/>
      <c r="K31" s="145"/>
      <c r="L31" s="140"/>
    </row>
    <row r="32" spans="2:14" ht="54.75" customHeight="1" x14ac:dyDescent="0.2">
      <c r="B32" s="374"/>
      <c r="C32" s="25" t="s">
        <v>86</v>
      </c>
      <c r="D32" s="89">
        <v>43404</v>
      </c>
      <c r="E32" s="89">
        <v>44412</v>
      </c>
      <c r="F32" s="89">
        <v>44254</v>
      </c>
      <c r="G32" s="89">
        <v>44665</v>
      </c>
      <c r="H32" s="89"/>
      <c r="I32" s="89"/>
      <c r="J32" s="89"/>
      <c r="K32" s="145"/>
      <c r="L32" s="140"/>
    </row>
    <row r="33" spans="2:12" ht="41.25" customHeight="1" x14ac:dyDescent="0.2">
      <c r="B33" s="374"/>
      <c r="C33" s="25" t="s">
        <v>87</v>
      </c>
      <c r="D33" s="86">
        <v>2018</v>
      </c>
      <c r="E33" s="86">
        <v>2021</v>
      </c>
      <c r="F33" s="86">
        <v>2021</v>
      </c>
      <c r="G33" s="86">
        <v>2022</v>
      </c>
      <c r="H33" s="86"/>
      <c r="I33" s="86"/>
      <c r="J33" s="86"/>
      <c r="K33" s="145"/>
      <c r="L33" s="140"/>
    </row>
    <row r="34" spans="2:12" ht="63" customHeight="1" x14ac:dyDescent="0.2">
      <c r="B34" s="374"/>
      <c r="C34" s="25" t="s">
        <v>88</v>
      </c>
      <c r="D34" s="85" t="s">
        <v>1050</v>
      </c>
      <c r="E34" s="85" t="s">
        <v>299</v>
      </c>
      <c r="F34" s="85" t="s">
        <v>1050</v>
      </c>
      <c r="G34" s="85" t="s">
        <v>778</v>
      </c>
      <c r="H34" s="85"/>
      <c r="I34" s="85"/>
      <c r="J34" s="85"/>
      <c r="K34" s="145"/>
      <c r="L34" s="140"/>
    </row>
    <row r="35" spans="2:12" ht="46.5" customHeight="1" x14ac:dyDescent="0.2">
      <c r="B35" s="374"/>
      <c r="C35" s="25" t="s">
        <v>89</v>
      </c>
      <c r="D35" s="85" t="s">
        <v>1051</v>
      </c>
      <c r="E35" s="85" t="s">
        <v>1051</v>
      </c>
      <c r="F35" s="85" t="s">
        <v>1051</v>
      </c>
      <c r="G35" s="85" t="s">
        <v>1051</v>
      </c>
      <c r="H35" s="85"/>
      <c r="I35" s="85"/>
      <c r="J35" s="85"/>
      <c r="K35" s="145"/>
      <c r="L35" s="140"/>
    </row>
    <row r="36" spans="2:12" ht="27.75" customHeight="1" x14ac:dyDescent="0.2">
      <c r="B36" s="374"/>
      <c r="C36" s="26" t="s">
        <v>90</v>
      </c>
      <c r="D36" s="90">
        <v>32</v>
      </c>
      <c r="E36" s="90">
        <v>57</v>
      </c>
      <c r="F36" s="90">
        <v>54</v>
      </c>
      <c r="G36" s="91">
        <v>63</v>
      </c>
      <c r="H36" s="91"/>
      <c r="I36" s="91"/>
      <c r="J36" s="91"/>
      <c r="K36" s="145"/>
      <c r="L36" s="140"/>
    </row>
    <row r="37" spans="2:12" ht="102.75" customHeight="1" x14ac:dyDescent="0.2">
      <c r="B37" s="374"/>
      <c r="C37" s="25" t="s">
        <v>91</v>
      </c>
      <c r="D37" s="87">
        <v>811.86</v>
      </c>
      <c r="E37" s="158">
        <v>2626.0059999999999</v>
      </c>
      <c r="F37" s="87">
        <v>4630.134</v>
      </c>
      <c r="G37" s="87">
        <v>484.40199999999999</v>
      </c>
      <c r="H37" s="87"/>
      <c r="I37" s="87"/>
      <c r="J37" s="87"/>
      <c r="K37" s="242"/>
      <c r="L37" s="243"/>
    </row>
    <row r="38" spans="2:12" ht="48" customHeight="1" x14ac:dyDescent="0.2">
      <c r="B38" s="374"/>
      <c r="C38" s="25" t="s">
        <v>92</v>
      </c>
      <c r="D38" s="97">
        <f>IFERROR(D37*VLOOKUP(D33,'DATOS INICIALES'!$A$12:$B$50,2,0),"0")</f>
        <v>634259130.12</v>
      </c>
      <c r="E38" s="97">
        <f>IFERROR(E37*VLOOKUP(E33,'DATOS INICIALES'!$A$12:$B$50,2,0),"0")</f>
        <v>2385794727.1559997</v>
      </c>
      <c r="F38" s="97">
        <f>IFERROR(F37*VLOOKUP(F33,'DATOS INICIALES'!$A$12:$B$50,2,0),"0")</f>
        <v>4206597122.4840002</v>
      </c>
      <c r="G38" s="97">
        <f>IFERROR(G37*VLOOKUP(G33,'DATOS INICIALES'!$A$12:$B$50,2,0),"0")</f>
        <v>484402000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1</v>
      </c>
      <c r="E39" s="88">
        <v>1</v>
      </c>
      <c r="F39" s="88">
        <v>1</v>
      </c>
      <c r="G39" s="88">
        <v>1</v>
      </c>
      <c r="H39" s="88"/>
      <c r="I39" s="88"/>
      <c r="J39" s="88"/>
      <c r="K39" s="145"/>
      <c r="L39" s="140"/>
    </row>
    <row r="40" spans="2:12" ht="48.75" customHeight="1" x14ac:dyDescent="0.2">
      <c r="B40" s="374"/>
      <c r="C40" s="25" t="s">
        <v>94</v>
      </c>
      <c r="D40" s="97">
        <f t="shared" ref="D40:J40" si="0">IF(D26="","0",D39*D38)</f>
        <v>634259130.12</v>
      </c>
      <c r="E40" s="97">
        <f t="shared" si="0"/>
        <v>2385794727.1559997</v>
      </c>
      <c r="F40" s="97">
        <f t="shared" si="0"/>
        <v>4206597122.4840002</v>
      </c>
      <c r="G40" s="97">
        <f t="shared" si="0"/>
        <v>484402000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811.86</v>
      </c>
      <c r="E41" s="98">
        <f t="shared" si="1"/>
        <v>2626.0059999999999</v>
      </c>
      <c r="F41" s="98">
        <f t="shared" si="1"/>
        <v>4630.134</v>
      </c>
      <c r="G41" s="98">
        <f t="shared" si="1"/>
        <v>484.40199999999999</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811.86</v>
      </c>
      <c r="E48" s="98">
        <f t="shared" ref="E48:G48" si="6">+E41+E44+E47</f>
        <v>2626.0059999999999</v>
      </c>
      <c r="F48" s="98">
        <f t="shared" si="6"/>
        <v>4630.134</v>
      </c>
      <c r="G48" s="98">
        <f t="shared" si="6"/>
        <v>484.40199999999999</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CUMPLE</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CUMPLE</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0:C70"/>
    <mergeCell ref="B71:C71"/>
    <mergeCell ref="B72:C72"/>
    <mergeCell ref="B65:C65"/>
    <mergeCell ref="B66:C66"/>
    <mergeCell ref="B67:C67"/>
    <mergeCell ref="B69:E69"/>
    <mergeCell ref="B62:C62"/>
    <mergeCell ref="B63:C63"/>
    <mergeCell ref="B64:C64"/>
    <mergeCell ref="B59:C59"/>
    <mergeCell ref="B60:C60"/>
    <mergeCell ref="B61:C61"/>
    <mergeCell ref="B56:C56"/>
    <mergeCell ref="B57:C57"/>
    <mergeCell ref="B58:C58"/>
    <mergeCell ref="B50:B55"/>
    <mergeCell ref="B28:C28"/>
    <mergeCell ref="B29:B47"/>
    <mergeCell ref="I22:L22"/>
    <mergeCell ref="B12:L12"/>
    <mergeCell ref="B13:H13"/>
    <mergeCell ref="B14:B21"/>
    <mergeCell ref="K17:L17"/>
    <mergeCell ref="K18:L21"/>
    <mergeCell ref="B24:L24"/>
    <mergeCell ref="K25:L25"/>
    <mergeCell ref="B26:C26"/>
    <mergeCell ref="B27:C27"/>
    <mergeCell ref="B23:L23"/>
    <mergeCell ref="C8:I8"/>
    <mergeCell ref="C9:I9"/>
    <mergeCell ref="C10:I10"/>
    <mergeCell ref="C11:G11"/>
    <mergeCell ref="B2:L2"/>
    <mergeCell ref="B3:L3"/>
    <mergeCell ref="B4:L4"/>
    <mergeCell ref="B5:L5"/>
    <mergeCell ref="B7:I7"/>
    <mergeCell ref="J7:L7"/>
    <mergeCell ref="I11:L11"/>
  </mergeCells>
  <conditionalFormatting sqref="D71">
    <cfRule type="cellIs" dxfId="1612" priority="73" operator="equal">
      <formula>"CUMPLE"</formula>
    </cfRule>
    <cfRule type="containsBlanks" dxfId="1611" priority="70">
      <formula>LEN(TRIM(D71))=0</formula>
    </cfRule>
    <cfRule type="notContainsErrors" dxfId="1610" priority="71">
      <formula>NOT(ISERROR(D71))</formula>
    </cfRule>
    <cfRule type="cellIs" dxfId="1609" priority="72" operator="equal">
      <formula>"NO CUMPLE"</formula>
    </cfRule>
  </conditionalFormatting>
  <conditionalFormatting sqref="D72">
    <cfRule type="cellIs" dxfId="1608" priority="75" operator="equal">
      <formula>"CUMPLE"</formula>
    </cfRule>
    <cfRule type="cellIs" dxfId="1607" priority="74" operator="equal">
      <formula>"N/A"</formula>
    </cfRule>
    <cfRule type="cellIs" dxfId="1606" priority="77" operator="equal">
      <formula>"""CUMPLE"""</formula>
    </cfRule>
    <cfRule type="cellIs" dxfId="1605" priority="76" operator="equal">
      <formula>"NO CUMPLE"</formula>
    </cfRule>
  </conditionalFormatting>
  <conditionalFormatting sqref="D26:J37">
    <cfRule type="notContainsErrors" dxfId="1604" priority="4">
      <formula>NOT(ISERROR(D26))</formula>
    </cfRule>
    <cfRule type="containsBlanks" dxfId="1603" priority="3">
      <formula>LEN(TRIM(D26))=0</formula>
    </cfRule>
  </conditionalFormatting>
  <conditionalFormatting sqref="D36:J36">
    <cfRule type="notContainsErrors" dxfId="1602" priority="6">
      <formula>NOT(ISERROR(D36))</formula>
    </cfRule>
    <cfRule type="containsBlanks" dxfId="1601" priority="5">
      <formula>LEN(TRIM(D36))=0</formula>
    </cfRule>
  </conditionalFormatting>
  <conditionalFormatting sqref="D39:J39">
    <cfRule type="containsBlanks" dxfId="1600" priority="1">
      <formula>LEN(TRIM(D39))=0</formula>
    </cfRule>
    <cfRule type="notContainsErrors" dxfId="1599" priority="2">
      <formula>NOT(ISERROR(D39))</formula>
    </cfRule>
  </conditionalFormatting>
  <conditionalFormatting sqref="D42:J42 D45:J45">
    <cfRule type="notContainsErrors" dxfId="1598" priority="38">
      <formula>NOT(ISERROR(D42))</formula>
    </cfRule>
    <cfRule type="containsBlanks" dxfId="1597" priority="37">
      <formula>LEN(TRIM(D42))=0</formula>
    </cfRule>
  </conditionalFormatting>
  <conditionalFormatting sqref="D49:J54">
    <cfRule type="cellIs" dxfId="1596" priority="17" operator="equal">
      <formula>"NO CUMPLE"</formula>
    </cfRule>
    <cfRule type="cellIs" dxfId="1595" priority="18" operator="equal">
      <formula>"CUMPLE"</formula>
    </cfRule>
    <cfRule type="containsBlanks" dxfId="1594" priority="19">
      <formula>LEN(TRIM(D49))=0</formula>
    </cfRule>
    <cfRule type="notContainsErrors" dxfId="1593" priority="20">
      <formula>NOT(ISERROR(D49))</formula>
    </cfRule>
  </conditionalFormatting>
  <conditionalFormatting sqref="D55:J55">
    <cfRule type="cellIs" dxfId="1592" priority="28" operator="equal">
      <formula>"CUMPLE"</formula>
    </cfRule>
    <cfRule type="cellIs" dxfId="1591" priority="30" operator="equal">
      <formula>"""CUMPLE"""</formula>
    </cfRule>
    <cfRule type="cellIs" dxfId="1590" priority="29" operator="equal">
      <formula>"NO CUMPLE"</formula>
    </cfRule>
    <cfRule type="cellIs" dxfId="1589" priority="27" operator="equal">
      <formula>"N/A"</formula>
    </cfRule>
  </conditionalFormatting>
  <conditionalFormatting sqref="D56:J66">
    <cfRule type="cellIs" dxfId="1588" priority="11" operator="equal">
      <formula>"NO CUMPLE"</formula>
    </cfRule>
    <cfRule type="notContainsErrors" dxfId="1587" priority="14">
      <formula>NOT(ISERROR(D56))</formula>
    </cfRule>
    <cfRule type="containsBlanks" dxfId="1586" priority="13">
      <formula>LEN(TRIM(D56))=0</formula>
    </cfRule>
    <cfRule type="cellIs" dxfId="1585" priority="12" operator="equal">
      <formula>"CUMPLE"</formula>
    </cfRule>
  </conditionalFormatting>
  <conditionalFormatting sqref="D67:J67">
    <cfRule type="cellIs" dxfId="1584" priority="23" operator="equal">
      <formula>"N/A"</formula>
    </cfRule>
    <cfRule type="cellIs" dxfId="1583" priority="24" operator="equal">
      <formula>"CUMPLE"</formula>
    </cfRule>
    <cfRule type="cellIs" dxfId="1582" priority="26" operator="equal">
      <formula>"""CUMPLE"""</formula>
    </cfRule>
    <cfRule type="cellIs" dxfId="1581" priority="25" operator="equal">
      <formula>"NO CUMPLE"</formula>
    </cfRule>
  </conditionalFormatting>
  <conditionalFormatting sqref="D62:K66">
    <cfRule type="containsBlanks" dxfId="1580" priority="15">
      <formula>LEN(TRIM(D62))=0</formula>
    </cfRule>
    <cfRule type="notContainsErrors" dxfId="1579" priority="16">
      <formula>NOT(ISERROR(D62))</formula>
    </cfRule>
  </conditionalFormatting>
  <conditionalFormatting sqref="E71:E72">
    <cfRule type="notContainsErrors" dxfId="1578" priority="69">
      <formula>NOT(ISERROR(E71))</formula>
    </cfRule>
    <cfRule type="containsBlanks" dxfId="1577" priority="68">
      <formula>LEN(TRIM(E71))=0</formula>
    </cfRule>
  </conditionalFormatting>
  <conditionalFormatting sqref="F22:H22">
    <cfRule type="cellIs" dxfId="1576" priority="92" operator="equal">
      <formula>"NO CUMPLE"</formula>
    </cfRule>
    <cfRule type="cellIs" dxfId="1575" priority="93" operator="equal">
      <formula>"""CUMPLE"""</formula>
    </cfRule>
    <cfRule type="cellIs" dxfId="1574" priority="91" operator="equal">
      <formula>"CUMPLE"</formula>
    </cfRule>
  </conditionalFormatting>
  <conditionalFormatting sqref="G63:J63">
    <cfRule type="containsBlanks" dxfId="1573" priority="7">
      <formula>LEN(TRIM(G63))=0</formula>
    </cfRule>
    <cfRule type="notContainsErrors" dxfId="1572" priority="8">
      <formula>NOT(ISERROR(G63))</formula>
    </cfRule>
  </conditionalFormatting>
  <conditionalFormatting sqref="I11">
    <cfRule type="containsText" dxfId="1571" priority="97" operator="containsText" text="NO CUMPLE">
      <formula>NOT(ISERROR(SEARCH("NO CUMPLE",I11)))</formula>
    </cfRule>
    <cfRule type="containsText" dxfId="1570" priority="96" operator="containsText" text="HABILITADO">
      <formula>NOT(ISERROR(SEARCH("HABILITADO",I11)))</formula>
    </cfRule>
    <cfRule type="containsText" dxfId="1569" priority="95" operator="containsText" text="HABILITADO">
      <formula>NOT(ISERROR(SEARCH("HABILITADO",I11)))</formula>
    </cfRule>
    <cfRule type="containsText" dxfId="1568" priority="94" operator="containsText" text="INHABILITADO">
      <formula>NOT(ISERROR(SEARCH("INHABILITADO",I11)))</formula>
    </cfRule>
  </conditionalFormatting>
  <conditionalFormatting sqref="K18:K20">
    <cfRule type="cellIs" dxfId="1567" priority="66" operator="equal">
      <formula>"NO CUMPLE"</formula>
    </cfRule>
    <cfRule type="cellIs" dxfId="1566" priority="67" operator="equal">
      <formula>"""CUMPLE"""</formula>
    </cfRule>
    <cfRule type="cellIs" dxfId="1565" priority="65" operator="equal">
      <formula>"CUMPLE"</formula>
    </cfRule>
  </conditionalFormatting>
  <conditionalFormatting sqref="K26:K61 D62:J62">
    <cfRule type="containsBlanks" dxfId="1564" priority="9">
      <formula>LEN(TRIM(D26))=0</formula>
    </cfRule>
    <cfRule type="notContainsErrors" dxfId="1563" priority="10">
      <formula>NOT(ISERROR(D26))</formula>
    </cfRule>
  </conditionalFormatting>
  <conditionalFormatting sqref="K67:L67">
    <cfRule type="containsBlanks" dxfId="1562" priority="21">
      <formula>LEN(TRIM(K67))=0</formula>
    </cfRule>
    <cfRule type="notContainsErrors" dxfId="1561" priority="22">
      <formula>NOT(ISERROR(K67))</formula>
    </cfRule>
  </conditionalFormatting>
  <conditionalFormatting sqref="L14">
    <cfRule type="cellIs" dxfId="1560" priority="90" operator="equal">
      <formula>"""CUMPLE"""</formula>
    </cfRule>
    <cfRule type="cellIs" dxfId="1559" priority="89" operator="equal">
      <formula>"NO CUMPLE"</formula>
    </cfRule>
    <cfRule type="cellIs" dxfId="1558" priority="88" operator="equal">
      <formula>"CUMPLE"</formula>
    </cfRule>
  </conditionalFormatting>
  <dataValidations count="2">
    <dataValidation type="list" allowBlank="1" showInputMessage="1" showErrorMessage="1" sqref="L62:L67" xr:uid="{00000000-0002-0000-4700-000000000000}">
      <formula1>"0,1,2,3,4,5,6"</formula1>
    </dataValidation>
    <dataValidation type="list" allowBlank="1" showInputMessage="1" showErrorMessage="1" sqref="D26:J28" xr:uid="{00000000-0002-0000-47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4700-000002000000}">
          <x14:formula1>
            <xm:f>'DATOS INICIALES'!$D$27:$D$29</xm:f>
          </x14:formula1>
          <xm:sqref>M50:M55</xm:sqref>
        </x14:dataValidation>
        <x14:dataValidation type="list" allowBlank="1" showInputMessage="1" showErrorMessage="1" xr:uid="{00000000-0002-0000-4700-000003000000}">
          <x14:formula1>
            <xm:f>'DATOS INICIALES'!$A$57:$A$58</xm:f>
          </x14:formula1>
          <xm:sqref>D49:J49</xm:sqref>
        </x14:dataValidation>
        <x14:dataValidation type="list" allowBlank="1" showInputMessage="1" showErrorMessage="1" xr:uid="{00000000-0002-0000-4700-000004000000}">
          <x14:formula1>
            <xm:f>'DATOS INICIALES'!$A$61:$A$67</xm:f>
          </x14:formula1>
          <xm:sqref>J25</xm:sqref>
        </x14:dataValidation>
        <x14:dataValidation type="list" allowBlank="1" showInputMessage="1" showErrorMessage="1" xr:uid="{00000000-0002-0000-4700-000005000000}">
          <x14:formula1>
            <xm:f>'DATOS INICIALES'!$C$52:$C$53</xm:f>
          </x14:formula1>
          <xm:sqref>D53:J54</xm:sqref>
        </x14:dataValidation>
        <x14:dataValidation type="list" allowBlank="1" showInputMessage="1" showErrorMessage="1" xr:uid="{00000000-0002-0000-4700-000006000000}">
          <x14:formula1>
            <xm:f>'DATOS INICIALES'!$A$57:$A$59</xm:f>
          </x14:formula1>
          <xm:sqref>D71 D56:J66</xm:sqref>
        </x14:dataValidation>
        <x14:dataValidation type="list" allowBlank="1" showInputMessage="1" showErrorMessage="1" xr:uid="{00000000-0002-0000-4700-000007000000}">
          <x14:formula1>
            <xm:f>'DATOS INICIALES'!$A$61:$A$66</xm:f>
          </x14:formula1>
          <xm:sqref>D25:I25</xm:sqref>
        </x14:dataValidation>
        <x14:dataValidation type="list" allowBlank="1" showInputMessage="1" showErrorMessage="1" xr:uid="{00000000-0002-0000-4700-000008000000}">
          <x14:formula1>
            <xm:f>'DATOS INICIALES'!$A$13:$A$50</xm:f>
          </x14:formula1>
          <xm:sqref>H33:I33</xm:sqref>
        </x14:dataValidation>
        <x14:dataValidation type="list" allowBlank="1" showInputMessage="1" showErrorMessage="1" xr:uid="{00000000-0002-0000-4700-000009000000}">
          <x14:formula1>
            <xm:f>'DATOS INICIALES'!$C$52:$C$54</xm:f>
          </x14:formula1>
          <xm:sqref>D50:J52</xm:sqref>
        </x14:dataValidation>
        <x14:dataValidation type="list" allowBlank="1" showInputMessage="1" showErrorMessage="1" xr:uid="{00000000-0002-0000-4700-00000A000000}">
          <x14:formula1>
            <xm:f>'/Users/ldrr/Desktop/SDDE/REVISION DE CARPETAS/C:\Users\ASUS\OneDrive\Escritorio\alcaldia local de usaquen\2025\16. EVALUACION DE PROCESOS\INTERVENTORIA DE VIAS\consolidado equipo\[CRISTIAN_ Evaluación_Tecnica_fdlusa-CMA-003-2025 CM 65-74.xlsx]DATOS INICIALES'!#REF!</xm:f>
          </x14:formula1>
          <xm:sqref>G33</xm:sqref>
        </x14:dataValidation>
      </x14:dataValidation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sheetPr>
    <tabColor rgb="FF92D050"/>
  </sheetPr>
  <dimension ref="A1:N72"/>
  <sheetViews>
    <sheetView view="pageBreakPreview" topLeftCell="A24" zoomScale="40" zoomScaleNormal="25" zoomScaleSheetLayoutView="40" workbookViewId="0">
      <selection activeCell="G19" sqref="G19"/>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67</v>
      </c>
      <c r="B11" s="2" t="s">
        <v>58</v>
      </c>
      <c r="C11" s="413" t="str">
        <f>VLOOKUP(A11,PROPONENTES!A10:B94,2,FALSE)</f>
        <v>ICE S.A.S.</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5</v>
      </c>
      <c r="J14" s="147">
        <f>+L8</f>
        <v>986.3076290832455</v>
      </c>
      <c r="K14" s="147">
        <f>+E22</f>
        <v>10017.01</v>
      </c>
      <c r="L14" s="18" t="str">
        <f>IF(K14&gt;=J14,"CUMPLE","NO CUMPLE")</f>
        <v>CUMPLE</v>
      </c>
    </row>
    <row r="15" spans="1:12" ht="33.75" customHeight="1" x14ac:dyDescent="0.2">
      <c r="B15" s="382"/>
      <c r="C15" s="92" t="str">
        <f>IF(VLOOKUP(C11,PROPONENTES!B10:N94,2,FALSE)=0,"",VLOOKUP(C11,PROPONENTES!B10:N94,2,FALSE))</f>
        <v>INGENIEROS CIVILES ESPECIALISTAS S.A.S.</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10017.01</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2003.402</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5</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5</v>
      </c>
      <c r="J19" s="128">
        <v>1</v>
      </c>
      <c r="K19" s="387"/>
      <c r="L19" s="388"/>
    </row>
    <row r="20" spans="2:14" ht="50.25" customHeight="1" x14ac:dyDescent="0.2">
      <c r="B20" s="382"/>
      <c r="C20" s="92"/>
      <c r="D20" s="93"/>
      <c r="E20" s="94"/>
      <c r="F20" s="95"/>
      <c r="G20" s="96"/>
      <c r="H20" s="96"/>
      <c r="I20" s="128">
        <f>COUNTIFS(D60:J60,"CUMPLE",D67:J67,"CUMPLE")</f>
        <v>5</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5</v>
      </c>
      <c r="J21" s="128">
        <v>1</v>
      </c>
      <c r="K21" s="389"/>
      <c r="L21" s="390"/>
    </row>
    <row r="22" spans="2:14" ht="84.75" customHeight="1" x14ac:dyDescent="0.2">
      <c r="B22" s="29" t="s">
        <v>75</v>
      </c>
      <c r="C22" s="24">
        <f>+VLOOKUP(C11,PROPONENTES!B10:N94,12,FALSE)</f>
        <v>1</v>
      </c>
      <c r="D22" s="93">
        <f>+VLOOKUP(C11,PROPONENTES!B10:N94,13,FALSE)</f>
        <v>1</v>
      </c>
      <c r="E22" s="32">
        <f>SUM(E15:E21)</f>
        <v>10017.01</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1052</v>
      </c>
      <c r="E26" s="84" t="s">
        <v>1052</v>
      </c>
      <c r="F26" s="84" t="s">
        <v>1052</v>
      </c>
      <c r="G26" s="84" t="s">
        <v>1052</v>
      </c>
      <c r="H26" s="84" t="s">
        <v>1052</v>
      </c>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1059</v>
      </c>
      <c r="E29" s="85" t="s">
        <v>1060</v>
      </c>
      <c r="F29" s="85" t="s">
        <v>1061</v>
      </c>
      <c r="G29" s="85" t="s">
        <v>1062</v>
      </c>
      <c r="H29" s="85" t="s">
        <v>1063</v>
      </c>
      <c r="I29" s="85"/>
      <c r="J29" s="85"/>
      <c r="K29" s="145"/>
      <c r="L29" s="140"/>
    </row>
    <row r="30" spans="2:14" ht="156.75" customHeight="1" x14ac:dyDescent="0.2">
      <c r="B30" s="374"/>
      <c r="C30" s="25" t="s">
        <v>84</v>
      </c>
      <c r="D30" s="85" t="s">
        <v>1064</v>
      </c>
      <c r="E30" s="85" t="s">
        <v>1065</v>
      </c>
      <c r="F30" s="85" t="s">
        <v>1066</v>
      </c>
      <c r="G30" s="85" t="s">
        <v>1067</v>
      </c>
      <c r="H30" s="85" t="s">
        <v>1068</v>
      </c>
      <c r="I30" s="85"/>
      <c r="J30" s="85"/>
      <c r="K30" s="145"/>
      <c r="L30" s="140"/>
    </row>
    <row r="31" spans="2:14" ht="52.5" customHeight="1" x14ac:dyDescent="0.2">
      <c r="B31" s="374"/>
      <c r="C31" s="25" t="s">
        <v>85</v>
      </c>
      <c r="D31" s="89">
        <v>40763</v>
      </c>
      <c r="E31" s="89">
        <v>40416</v>
      </c>
      <c r="F31" s="89">
        <v>39485</v>
      </c>
      <c r="G31" s="89">
        <v>41555</v>
      </c>
      <c r="H31" s="89">
        <v>44491</v>
      </c>
      <c r="I31" s="89"/>
      <c r="J31" s="89"/>
      <c r="K31" s="145"/>
      <c r="L31" s="140"/>
    </row>
    <row r="32" spans="2:14" ht="54.75" customHeight="1" x14ac:dyDescent="0.2">
      <c r="B32" s="374"/>
      <c r="C32" s="25" t="s">
        <v>86</v>
      </c>
      <c r="D32" s="89">
        <v>41123</v>
      </c>
      <c r="E32" s="89">
        <v>40965</v>
      </c>
      <c r="F32" s="89">
        <v>40000</v>
      </c>
      <c r="G32" s="89">
        <v>41921</v>
      </c>
      <c r="H32" s="89">
        <v>45260</v>
      </c>
      <c r="I32" s="89"/>
      <c r="J32" s="89"/>
      <c r="K32" s="145"/>
      <c r="L32" s="140"/>
    </row>
    <row r="33" spans="2:12" ht="41.25" customHeight="1" x14ac:dyDescent="0.2">
      <c r="B33" s="374"/>
      <c r="C33" s="25" t="s">
        <v>87</v>
      </c>
      <c r="D33" s="86">
        <v>2012</v>
      </c>
      <c r="E33" s="86">
        <v>2012</v>
      </c>
      <c r="F33" s="86">
        <v>2009</v>
      </c>
      <c r="G33" s="86">
        <v>2014</v>
      </c>
      <c r="H33" s="86">
        <v>2023</v>
      </c>
      <c r="I33" s="86"/>
      <c r="J33" s="86"/>
      <c r="K33" s="145"/>
      <c r="L33" s="140"/>
    </row>
    <row r="34" spans="2:12" ht="63" customHeight="1" x14ac:dyDescent="0.2">
      <c r="B34" s="374"/>
      <c r="C34" s="25" t="s">
        <v>88</v>
      </c>
      <c r="D34" s="85" t="s">
        <v>1052</v>
      </c>
      <c r="E34" s="85" t="s">
        <v>1052</v>
      </c>
      <c r="F34" s="85" t="s">
        <v>1052</v>
      </c>
      <c r="G34" s="85" t="s">
        <v>1052</v>
      </c>
      <c r="H34" s="85" t="s">
        <v>1052</v>
      </c>
      <c r="I34" s="85"/>
      <c r="J34" s="85"/>
      <c r="K34" s="145"/>
      <c r="L34" s="140"/>
    </row>
    <row r="35" spans="2:12" ht="46.5" customHeight="1" x14ac:dyDescent="0.2">
      <c r="B35" s="374"/>
      <c r="C35" s="25" t="s">
        <v>89</v>
      </c>
      <c r="D35" s="85" t="s">
        <v>1069</v>
      </c>
      <c r="E35" s="85" t="s">
        <v>1070</v>
      </c>
      <c r="F35" s="85" t="s">
        <v>1071</v>
      </c>
      <c r="G35" s="85" t="s">
        <v>1072</v>
      </c>
      <c r="H35" s="85" t="s">
        <v>322</v>
      </c>
      <c r="I35" s="85"/>
      <c r="J35" s="85"/>
      <c r="K35" s="145"/>
      <c r="L35" s="140"/>
    </row>
    <row r="36" spans="2:12" ht="27.75" customHeight="1" x14ac:dyDescent="0.2">
      <c r="B36" s="374"/>
      <c r="C36" s="26" t="s">
        <v>90</v>
      </c>
      <c r="D36" s="90">
        <v>4</v>
      </c>
      <c r="E36" s="90">
        <v>6</v>
      </c>
      <c r="F36" s="90">
        <v>10</v>
      </c>
      <c r="G36" s="91">
        <v>27</v>
      </c>
      <c r="H36" s="91">
        <v>59</v>
      </c>
      <c r="I36" s="91"/>
      <c r="J36" s="91"/>
      <c r="K36" s="145"/>
      <c r="L36" s="140"/>
    </row>
    <row r="37" spans="2:12" ht="102.75" customHeight="1" x14ac:dyDescent="0.2">
      <c r="B37" s="374"/>
      <c r="C37" s="25" t="s">
        <v>91</v>
      </c>
      <c r="D37" s="87">
        <v>1317.93</v>
      </c>
      <c r="E37" s="158">
        <v>1874.82</v>
      </c>
      <c r="F37" s="87">
        <v>1668.38</v>
      </c>
      <c r="G37" s="87">
        <v>451.91</v>
      </c>
      <c r="H37" s="87">
        <v>5641.38</v>
      </c>
      <c r="I37" s="87"/>
      <c r="J37" s="87"/>
      <c r="K37" s="242"/>
      <c r="L37" s="243"/>
    </row>
    <row r="38" spans="2:12" ht="48" customHeight="1" x14ac:dyDescent="0.2">
      <c r="B38" s="374"/>
      <c r="C38" s="25" t="s">
        <v>92</v>
      </c>
      <c r="D38" s="97">
        <f>IFERROR(D37*VLOOKUP(D33,'DATOS INICIALES'!$A$12:$B$50,2,0),"0")</f>
        <v>746870931</v>
      </c>
      <c r="E38" s="97">
        <f>IFERROR(E37*VLOOKUP(E33,'DATOS INICIALES'!$A$12:$B$50,2,0),"0")</f>
        <v>1062460494</v>
      </c>
      <c r="F38" s="97">
        <f>IFERROR(F37*VLOOKUP(F33,'DATOS INICIALES'!$A$12:$B$50,2,0),"0")</f>
        <v>829018022</v>
      </c>
      <c r="G38" s="97">
        <f>IFERROR(G37*VLOOKUP(G33,'DATOS INICIALES'!$A$12:$B$50,2,0),"0")</f>
        <v>278376560</v>
      </c>
      <c r="H38" s="97">
        <f>IFERROR(H37*VLOOKUP(H33,'DATOS INICIALES'!$A$12:$B$50,2,0),"0")</f>
        <v>6544000800</v>
      </c>
      <c r="I38" s="97" t="str">
        <f>IFERROR(I37*VLOOKUP(I33,'DATOS INICIALES'!$A$12:$B$50,2,0),"0")</f>
        <v>0</v>
      </c>
      <c r="J38" s="97" t="str">
        <f>IFERROR(J37*VLOOKUP(J33,'DATOS INICIALES'!$A$12:$B$50,2,0),"0")</f>
        <v>0</v>
      </c>
      <c r="K38" s="145"/>
      <c r="L38" s="140"/>
    </row>
    <row r="39" spans="2:12" ht="33.75" customHeight="1" x14ac:dyDescent="0.2">
      <c r="B39" s="374"/>
      <c r="C39" s="25" t="s">
        <v>93</v>
      </c>
      <c r="D39" s="88">
        <v>1</v>
      </c>
      <c r="E39" s="88">
        <v>0.5</v>
      </c>
      <c r="F39" s="88">
        <v>1</v>
      </c>
      <c r="G39" s="88">
        <v>1</v>
      </c>
      <c r="H39" s="88">
        <v>1</v>
      </c>
      <c r="I39" s="88"/>
      <c r="J39" s="88"/>
      <c r="K39" s="145"/>
      <c r="L39" s="140"/>
    </row>
    <row r="40" spans="2:12" ht="48.75" customHeight="1" x14ac:dyDescent="0.2">
      <c r="B40" s="374"/>
      <c r="C40" s="25" t="s">
        <v>94</v>
      </c>
      <c r="D40" s="97">
        <f t="shared" ref="D40:J40" si="0">IF(D26="","0",D39*D38)</f>
        <v>746870931</v>
      </c>
      <c r="E40" s="97">
        <f t="shared" si="0"/>
        <v>531230247</v>
      </c>
      <c r="F40" s="97">
        <f t="shared" si="0"/>
        <v>829018022</v>
      </c>
      <c r="G40" s="97">
        <f t="shared" si="0"/>
        <v>278376560</v>
      </c>
      <c r="H40" s="97">
        <f t="shared" si="0"/>
        <v>6544000800</v>
      </c>
      <c r="I40" s="97" t="str">
        <f t="shared" si="0"/>
        <v>0</v>
      </c>
      <c r="J40" s="97" t="str">
        <f t="shared" si="0"/>
        <v>0</v>
      </c>
      <c r="K40" s="145"/>
      <c r="L40" s="140"/>
    </row>
    <row r="41" spans="2:12" ht="65.25" customHeight="1" x14ac:dyDescent="0.2">
      <c r="B41" s="374"/>
      <c r="C41" s="25" t="s">
        <v>95</v>
      </c>
      <c r="D41" s="98">
        <f t="shared" ref="D41:J41" si="1">IFERROR(D37*D39,"0")</f>
        <v>1317.93</v>
      </c>
      <c r="E41" s="98">
        <f t="shared" si="1"/>
        <v>937.41</v>
      </c>
      <c r="F41" s="98">
        <f t="shared" si="1"/>
        <v>1668.38</v>
      </c>
      <c r="G41" s="98">
        <f t="shared" si="1"/>
        <v>451.91</v>
      </c>
      <c r="H41" s="98">
        <f t="shared" si="1"/>
        <v>5641.38</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1317.93</v>
      </c>
      <c r="E48" s="98">
        <f t="shared" ref="E48:G48" si="6">+E41+E44+E47</f>
        <v>937.41</v>
      </c>
      <c r="F48" s="98">
        <f t="shared" si="6"/>
        <v>1668.38</v>
      </c>
      <c r="G48" s="98">
        <f t="shared" si="6"/>
        <v>451.91</v>
      </c>
      <c r="H48" s="98">
        <f>+H41+H44+H47</f>
        <v>5641.38</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CUMPLE</v>
      </c>
      <c r="H55" s="18" t="str">
        <f t="shared" si="8"/>
        <v>CUMPLE</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CUMPLE</v>
      </c>
      <c r="H67" s="18" t="str">
        <f t="shared" ref="H67:J67" si="9">IF(H26="","N/A",IF(AND(H49="CUMPLE",H55="CUMPLE",OR(H56="CUMPLE",H56="N/A"),OR(H59="CUMPLE",H59="N/A"),H62="CUMPLE",H63="CUMPLE",OR(H64="CUMPLE",H64="N/A"),H65="CUMPLE",OR(H66="CUMPLE",H66="N/A")),"CUMPLE","NO CUMPLE"))</f>
        <v>CUMPLE</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0:C70"/>
    <mergeCell ref="B71:C71"/>
    <mergeCell ref="B72:C72"/>
    <mergeCell ref="B65:C65"/>
    <mergeCell ref="B66:C66"/>
    <mergeCell ref="B67:C67"/>
    <mergeCell ref="B69:E69"/>
    <mergeCell ref="B62:C62"/>
    <mergeCell ref="B63:C63"/>
    <mergeCell ref="B64:C64"/>
    <mergeCell ref="B59:C59"/>
    <mergeCell ref="B60:C60"/>
    <mergeCell ref="B61:C61"/>
    <mergeCell ref="B56:C56"/>
    <mergeCell ref="B57:C57"/>
    <mergeCell ref="B58:C58"/>
    <mergeCell ref="B50:B55"/>
    <mergeCell ref="B28:C28"/>
    <mergeCell ref="B29:B47"/>
    <mergeCell ref="I22:L22"/>
    <mergeCell ref="B12:L12"/>
    <mergeCell ref="B13:H13"/>
    <mergeCell ref="B14:B21"/>
    <mergeCell ref="K17:L17"/>
    <mergeCell ref="K18:L21"/>
    <mergeCell ref="B24:L24"/>
    <mergeCell ref="K25:L25"/>
    <mergeCell ref="B26:C26"/>
    <mergeCell ref="B27:C27"/>
    <mergeCell ref="B23:L23"/>
    <mergeCell ref="C8:I8"/>
    <mergeCell ref="C9:I9"/>
    <mergeCell ref="C10:I10"/>
    <mergeCell ref="C11:G11"/>
    <mergeCell ref="B2:L2"/>
    <mergeCell ref="B3:L3"/>
    <mergeCell ref="B4:L4"/>
    <mergeCell ref="B5:L5"/>
    <mergeCell ref="B7:I7"/>
    <mergeCell ref="J7:L7"/>
    <mergeCell ref="I11:L11"/>
  </mergeCells>
  <conditionalFormatting sqref="D71">
    <cfRule type="cellIs" dxfId="1557" priority="73" operator="equal">
      <formula>"CUMPLE"</formula>
    </cfRule>
    <cfRule type="containsBlanks" dxfId="1556" priority="70">
      <formula>LEN(TRIM(D71))=0</formula>
    </cfRule>
    <cfRule type="notContainsErrors" dxfId="1555" priority="71">
      <formula>NOT(ISERROR(D71))</formula>
    </cfRule>
    <cfRule type="cellIs" dxfId="1554" priority="72" operator="equal">
      <formula>"NO CUMPLE"</formula>
    </cfRule>
  </conditionalFormatting>
  <conditionalFormatting sqref="D72">
    <cfRule type="cellIs" dxfId="1553" priority="75" operator="equal">
      <formula>"CUMPLE"</formula>
    </cfRule>
    <cfRule type="cellIs" dxfId="1552" priority="74" operator="equal">
      <formula>"N/A"</formula>
    </cfRule>
    <cfRule type="cellIs" dxfId="1551" priority="77" operator="equal">
      <formula>"""CUMPLE"""</formula>
    </cfRule>
    <cfRule type="cellIs" dxfId="1550" priority="76" operator="equal">
      <formula>"NO CUMPLE"</formula>
    </cfRule>
  </conditionalFormatting>
  <conditionalFormatting sqref="D26:J37">
    <cfRule type="notContainsErrors" dxfId="1549" priority="4">
      <formula>NOT(ISERROR(D26))</formula>
    </cfRule>
    <cfRule type="containsBlanks" dxfId="1548" priority="3">
      <formula>LEN(TRIM(D26))=0</formula>
    </cfRule>
  </conditionalFormatting>
  <conditionalFormatting sqref="D36:J36">
    <cfRule type="notContainsErrors" dxfId="1547" priority="6">
      <formula>NOT(ISERROR(D36))</formula>
    </cfRule>
    <cfRule type="containsBlanks" dxfId="1546" priority="5">
      <formula>LEN(TRIM(D36))=0</formula>
    </cfRule>
  </conditionalFormatting>
  <conditionalFormatting sqref="D39:J39">
    <cfRule type="containsBlanks" dxfId="1545" priority="1">
      <formula>LEN(TRIM(D39))=0</formula>
    </cfRule>
    <cfRule type="notContainsErrors" dxfId="1544" priority="2">
      <formula>NOT(ISERROR(D39))</formula>
    </cfRule>
  </conditionalFormatting>
  <conditionalFormatting sqref="D42:J42 D45:J45">
    <cfRule type="notContainsErrors" dxfId="1543" priority="38">
      <formula>NOT(ISERROR(D42))</formula>
    </cfRule>
    <cfRule type="containsBlanks" dxfId="1542" priority="37">
      <formula>LEN(TRIM(D42))=0</formula>
    </cfRule>
  </conditionalFormatting>
  <conditionalFormatting sqref="D49:J54">
    <cfRule type="cellIs" dxfId="1541" priority="17" operator="equal">
      <formula>"NO CUMPLE"</formula>
    </cfRule>
    <cfRule type="cellIs" dxfId="1540" priority="18" operator="equal">
      <formula>"CUMPLE"</formula>
    </cfRule>
    <cfRule type="containsBlanks" dxfId="1539" priority="19">
      <formula>LEN(TRIM(D49))=0</formula>
    </cfRule>
    <cfRule type="notContainsErrors" dxfId="1538" priority="20">
      <formula>NOT(ISERROR(D49))</formula>
    </cfRule>
  </conditionalFormatting>
  <conditionalFormatting sqref="D55:J55">
    <cfRule type="cellIs" dxfId="1537" priority="28" operator="equal">
      <formula>"CUMPLE"</formula>
    </cfRule>
    <cfRule type="cellIs" dxfId="1536" priority="30" operator="equal">
      <formula>"""CUMPLE"""</formula>
    </cfRule>
    <cfRule type="cellIs" dxfId="1535" priority="29" operator="equal">
      <formula>"NO CUMPLE"</formula>
    </cfRule>
    <cfRule type="cellIs" dxfId="1534" priority="27" operator="equal">
      <formula>"N/A"</formula>
    </cfRule>
  </conditionalFormatting>
  <conditionalFormatting sqref="D56:J66">
    <cfRule type="cellIs" dxfId="1533" priority="11" operator="equal">
      <formula>"NO CUMPLE"</formula>
    </cfRule>
    <cfRule type="notContainsErrors" dxfId="1532" priority="14">
      <formula>NOT(ISERROR(D56))</formula>
    </cfRule>
    <cfRule type="containsBlanks" dxfId="1531" priority="13">
      <formula>LEN(TRIM(D56))=0</formula>
    </cfRule>
    <cfRule type="cellIs" dxfId="1530" priority="12" operator="equal">
      <formula>"CUMPLE"</formula>
    </cfRule>
  </conditionalFormatting>
  <conditionalFormatting sqref="D67:J67">
    <cfRule type="cellIs" dxfId="1529" priority="23" operator="equal">
      <formula>"N/A"</formula>
    </cfRule>
    <cfRule type="cellIs" dxfId="1528" priority="24" operator="equal">
      <formula>"CUMPLE"</formula>
    </cfRule>
    <cfRule type="cellIs" dxfId="1527" priority="26" operator="equal">
      <formula>"""CUMPLE"""</formula>
    </cfRule>
    <cfRule type="cellIs" dxfId="1526" priority="25" operator="equal">
      <formula>"NO CUMPLE"</formula>
    </cfRule>
  </conditionalFormatting>
  <conditionalFormatting sqref="D62:K66">
    <cfRule type="containsBlanks" dxfId="1525" priority="15">
      <formula>LEN(TRIM(D62))=0</formula>
    </cfRule>
    <cfRule type="notContainsErrors" dxfId="1524" priority="16">
      <formula>NOT(ISERROR(D62))</formula>
    </cfRule>
  </conditionalFormatting>
  <conditionalFormatting sqref="E71:E72">
    <cfRule type="notContainsErrors" dxfId="1523" priority="69">
      <formula>NOT(ISERROR(E71))</formula>
    </cfRule>
    <cfRule type="containsBlanks" dxfId="1522" priority="68">
      <formula>LEN(TRIM(E71))=0</formula>
    </cfRule>
  </conditionalFormatting>
  <conditionalFormatting sqref="F22:H22">
    <cfRule type="cellIs" dxfId="1521" priority="92" operator="equal">
      <formula>"NO CUMPLE"</formula>
    </cfRule>
    <cfRule type="cellIs" dxfId="1520" priority="93" operator="equal">
      <formula>"""CUMPLE"""</formula>
    </cfRule>
    <cfRule type="cellIs" dxfId="1519" priority="91" operator="equal">
      <formula>"CUMPLE"</formula>
    </cfRule>
  </conditionalFormatting>
  <conditionalFormatting sqref="G63:J63">
    <cfRule type="containsBlanks" dxfId="1518" priority="7">
      <formula>LEN(TRIM(G63))=0</formula>
    </cfRule>
    <cfRule type="notContainsErrors" dxfId="1517" priority="8">
      <formula>NOT(ISERROR(G63))</formula>
    </cfRule>
  </conditionalFormatting>
  <conditionalFormatting sqref="I11">
    <cfRule type="containsText" dxfId="1516" priority="97" operator="containsText" text="NO CUMPLE">
      <formula>NOT(ISERROR(SEARCH("NO CUMPLE",I11)))</formula>
    </cfRule>
    <cfRule type="containsText" dxfId="1515" priority="96" operator="containsText" text="HABILITADO">
      <formula>NOT(ISERROR(SEARCH("HABILITADO",I11)))</formula>
    </cfRule>
    <cfRule type="containsText" dxfId="1514" priority="95" operator="containsText" text="HABILITADO">
      <formula>NOT(ISERROR(SEARCH("HABILITADO",I11)))</formula>
    </cfRule>
    <cfRule type="containsText" dxfId="1513" priority="94" operator="containsText" text="INHABILITADO">
      <formula>NOT(ISERROR(SEARCH("INHABILITADO",I11)))</formula>
    </cfRule>
  </conditionalFormatting>
  <conditionalFormatting sqref="K18:K20">
    <cfRule type="cellIs" dxfId="1512" priority="66" operator="equal">
      <formula>"NO CUMPLE"</formula>
    </cfRule>
    <cfRule type="cellIs" dxfId="1511" priority="67" operator="equal">
      <formula>"""CUMPLE"""</formula>
    </cfRule>
    <cfRule type="cellIs" dxfId="1510" priority="65" operator="equal">
      <formula>"CUMPLE"</formula>
    </cfRule>
  </conditionalFormatting>
  <conditionalFormatting sqref="K26:K61 D62:J62">
    <cfRule type="containsBlanks" dxfId="1509" priority="9">
      <formula>LEN(TRIM(D26))=0</formula>
    </cfRule>
    <cfRule type="notContainsErrors" dxfId="1508" priority="10">
      <formula>NOT(ISERROR(D26))</formula>
    </cfRule>
  </conditionalFormatting>
  <conditionalFormatting sqref="K67:L67">
    <cfRule type="containsBlanks" dxfId="1507" priority="21">
      <formula>LEN(TRIM(K67))=0</formula>
    </cfRule>
    <cfRule type="notContainsErrors" dxfId="1506" priority="22">
      <formula>NOT(ISERROR(K67))</formula>
    </cfRule>
  </conditionalFormatting>
  <conditionalFormatting sqref="L14">
    <cfRule type="cellIs" dxfId="1505" priority="90" operator="equal">
      <formula>"""CUMPLE"""</formula>
    </cfRule>
    <cfRule type="cellIs" dxfId="1504" priority="89" operator="equal">
      <formula>"NO CUMPLE"</formula>
    </cfRule>
    <cfRule type="cellIs" dxfId="1503" priority="88" operator="equal">
      <formula>"CUMPLE"</formula>
    </cfRule>
  </conditionalFormatting>
  <dataValidations count="2">
    <dataValidation type="list" allowBlank="1" showInputMessage="1" showErrorMessage="1" sqref="L62:L67" xr:uid="{00000000-0002-0000-4800-000000000000}">
      <formula1>"0,1,2,3,4,5,6"</formula1>
    </dataValidation>
    <dataValidation type="list" allowBlank="1" showInputMessage="1" showErrorMessage="1" sqref="D26:J28" xr:uid="{00000000-0002-0000-48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4800-000002000000}">
          <x14:formula1>
            <xm:f>'DATOS INICIALES'!$D$27:$D$29</xm:f>
          </x14:formula1>
          <xm:sqref>M50:M55</xm:sqref>
        </x14:dataValidation>
        <x14:dataValidation type="list" allowBlank="1" showInputMessage="1" showErrorMessage="1" xr:uid="{00000000-0002-0000-4800-000003000000}">
          <x14:formula1>
            <xm:f>'DATOS INICIALES'!$A$57:$A$58</xm:f>
          </x14:formula1>
          <xm:sqref>D49:J49</xm:sqref>
        </x14:dataValidation>
        <x14:dataValidation type="list" allowBlank="1" showInputMessage="1" showErrorMessage="1" xr:uid="{00000000-0002-0000-4800-000004000000}">
          <x14:formula1>
            <xm:f>'DATOS INICIALES'!$A$61:$A$67</xm:f>
          </x14:formula1>
          <xm:sqref>J25</xm:sqref>
        </x14:dataValidation>
        <x14:dataValidation type="list" allowBlank="1" showInputMessage="1" showErrorMessage="1" xr:uid="{00000000-0002-0000-4800-000005000000}">
          <x14:formula1>
            <xm:f>'DATOS INICIALES'!$C$52:$C$53</xm:f>
          </x14:formula1>
          <xm:sqref>D53:J54</xm:sqref>
        </x14:dataValidation>
        <x14:dataValidation type="list" allowBlank="1" showInputMessage="1" showErrorMessage="1" xr:uid="{00000000-0002-0000-4800-000006000000}">
          <x14:formula1>
            <xm:f>'DATOS INICIALES'!$A$57:$A$59</xm:f>
          </x14:formula1>
          <xm:sqref>D71 D56:J66</xm:sqref>
        </x14:dataValidation>
        <x14:dataValidation type="list" allowBlank="1" showInputMessage="1" showErrorMessage="1" xr:uid="{00000000-0002-0000-4800-000007000000}">
          <x14:formula1>
            <xm:f>'DATOS INICIALES'!$A$61:$A$66</xm:f>
          </x14:formula1>
          <xm:sqref>D25:I25</xm:sqref>
        </x14:dataValidation>
        <x14:dataValidation type="list" allowBlank="1" showInputMessage="1" showErrorMessage="1" xr:uid="{00000000-0002-0000-4800-000008000000}">
          <x14:formula1>
            <xm:f>'DATOS INICIALES'!$A$13:$A$50</xm:f>
          </x14:formula1>
          <xm:sqref>I33</xm:sqref>
        </x14:dataValidation>
        <x14:dataValidation type="list" allowBlank="1" showInputMessage="1" showErrorMessage="1" xr:uid="{00000000-0002-0000-4800-000009000000}">
          <x14:formula1>
            <xm:f>'DATOS INICIALES'!$C$52:$C$54</xm:f>
          </x14:formula1>
          <xm:sqref>D50:J52</xm:sqref>
        </x14:dataValidation>
        <x14:dataValidation type="list" allowBlank="1" showInputMessage="1" showErrorMessage="1" xr:uid="{00000000-0002-0000-4800-00000A000000}">
          <x14:formula1>
            <xm:f>'/Users/ldrr/Desktop/SDDE/REVISION DE CARPETAS/C:\Users\ASUS\OneDrive\Escritorio\alcaldia local de usaquen\2025\16. EVALUACION DE PROCESOS\INTERVENTORIA DE VIAS\consolidado equipo\[CRISTIAN_ Evaluación_Tecnica_fdlusa-CMA-003-2025 CM 65-74.xlsx]DATOS INICIALES'!#REF!</xm:f>
          </x14:formula1>
          <xm:sqref>G33:H33</xm:sqref>
        </x14:dataValidation>
      </x14:dataValidations>
    </ext>
  </extLst>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sheetPr>
    <tabColor rgb="FF92D050"/>
  </sheetPr>
  <dimension ref="A1:N72"/>
  <sheetViews>
    <sheetView view="pageBreakPreview" topLeftCell="A13" zoomScale="40" zoomScaleNormal="25" zoomScaleSheetLayoutView="40" workbookViewId="0">
      <selection activeCell="F35" sqref="F35"/>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68</v>
      </c>
      <c r="B11" s="2" t="s">
        <v>58</v>
      </c>
      <c r="C11" s="413" t="str">
        <f>VLOOKUP(A11,PROPONENTES!A10:B94,2,FALSE)</f>
        <v>INTERVENTORIA Y CONSTRUCIVILES SAS</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2</v>
      </c>
      <c r="J14" s="147">
        <f>+L8</f>
        <v>986.3076290832455</v>
      </c>
      <c r="K14" s="147">
        <f>+E22</f>
        <v>3993.74</v>
      </c>
      <c r="L14" s="18" t="str">
        <f>IF(K14&gt;=J14,"CUMPLE","NO CUMPLE")</f>
        <v>CUMPLE</v>
      </c>
    </row>
    <row r="15" spans="1:12" ht="33.75" customHeight="1" x14ac:dyDescent="0.2">
      <c r="B15" s="382"/>
      <c r="C15" s="92" t="str">
        <f>IF(VLOOKUP(C11,PROPONENTES!B10:N94,2,FALSE)=0,"",VLOOKUP(C11,PROPONENTES!B10:N94,2,FALSE))</f>
        <v>INTERVENTORIA Y CONSTRUCIVILES SAS</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3993.74</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1996.87</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2</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2</v>
      </c>
      <c r="J19" s="128">
        <v>1</v>
      </c>
      <c r="K19" s="387"/>
      <c r="L19" s="388"/>
    </row>
    <row r="20" spans="2:14" ht="50.25" customHeight="1" x14ac:dyDescent="0.2">
      <c r="B20" s="382"/>
      <c r="C20" s="92"/>
      <c r="D20" s="93"/>
      <c r="E20" s="94"/>
      <c r="F20" s="95"/>
      <c r="G20" s="96"/>
      <c r="H20" s="96"/>
      <c r="I20" s="128">
        <f>COUNTIFS(D60:J60,"CUMPLE",D67:J67,"CUMPLE")</f>
        <v>2</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2</v>
      </c>
      <c r="J21" s="128">
        <v>1</v>
      </c>
      <c r="K21" s="389"/>
      <c r="L21" s="390"/>
    </row>
    <row r="22" spans="2:14" ht="84.75" customHeight="1" x14ac:dyDescent="0.2">
      <c r="B22" s="29" t="s">
        <v>75</v>
      </c>
      <c r="C22" s="24">
        <f>+VLOOKUP(C11,PROPONENTES!B10:N94,12,FALSE)</f>
        <v>1</v>
      </c>
      <c r="D22" s="93">
        <f>+VLOOKUP(C11,PROPONENTES!B10:N94,13,FALSE)</f>
        <v>1</v>
      </c>
      <c r="E22" s="32">
        <f>SUM(E15:E21)</f>
        <v>3993.74</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197</v>
      </c>
      <c r="E26" s="84" t="s">
        <v>197</v>
      </c>
      <c r="F26" s="84"/>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1073</v>
      </c>
      <c r="E29" s="85" t="s">
        <v>1074</v>
      </c>
      <c r="F29" s="85"/>
      <c r="G29" s="85"/>
      <c r="H29" s="85"/>
      <c r="I29" s="85"/>
      <c r="J29" s="85"/>
      <c r="K29" s="145"/>
      <c r="L29" s="140"/>
    </row>
    <row r="30" spans="2:14" ht="156.75" customHeight="1" x14ac:dyDescent="0.2">
      <c r="B30" s="374"/>
      <c r="C30" s="25" t="s">
        <v>84</v>
      </c>
      <c r="D30" s="85" t="s">
        <v>1075</v>
      </c>
      <c r="E30" s="85" t="s">
        <v>1076</v>
      </c>
      <c r="F30" s="85"/>
      <c r="G30" s="85"/>
      <c r="H30" s="85"/>
      <c r="I30" s="85"/>
      <c r="J30" s="85"/>
      <c r="K30" s="145"/>
      <c r="L30" s="140"/>
    </row>
    <row r="31" spans="2:14" ht="52.5" customHeight="1" x14ac:dyDescent="0.2">
      <c r="B31" s="374"/>
      <c r="C31" s="25" t="s">
        <v>85</v>
      </c>
      <c r="D31" s="89">
        <v>43853</v>
      </c>
      <c r="E31" s="89">
        <v>43522</v>
      </c>
      <c r="F31" s="89"/>
      <c r="G31" s="89"/>
      <c r="H31" s="89"/>
      <c r="I31" s="89"/>
      <c r="J31" s="89"/>
      <c r="K31" s="145"/>
      <c r="L31" s="140"/>
    </row>
    <row r="32" spans="2:14" ht="54.75" customHeight="1" x14ac:dyDescent="0.2">
      <c r="B32" s="374"/>
      <c r="C32" s="25" t="s">
        <v>86</v>
      </c>
      <c r="D32" s="89">
        <v>44707</v>
      </c>
      <c r="E32" s="89">
        <v>44553</v>
      </c>
      <c r="F32" s="89"/>
      <c r="G32" s="89"/>
      <c r="H32" s="89"/>
      <c r="I32" s="89"/>
      <c r="J32" s="89"/>
      <c r="K32" s="145"/>
      <c r="L32" s="140"/>
    </row>
    <row r="33" spans="2:12" ht="41.25" customHeight="1" x14ac:dyDescent="0.2">
      <c r="B33" s="374"/>
      <c r="C33" s="25" t="s">
        <v>87</v>
      </c>
      <c r="D33" s="86">
        <v>2022</v>
      </c>
      <c r="E33" s="86">
        <v>2021</v>
      </c>
      <c r="F33" s="86"/>
      <c r="G33" s="86"/>
      <c r="H33" s="86"/>
      <c r="I33" s="86"/>
      <c r="J33" s="86"/>
      <c r="K33" s="145"/>
      <c r="L33" s="140"/>
    </row>
    <row r="34" spans="2:12" ht="63" customHeight="1" x14ac:dyDescent="0.2">
      <c r="B34" s="374"/>
      <c r="C34" s="25" t="s">
        <v>88</v>
      </c>
      <c r="D34" s="85" t="s">
        <v>1077</v>
      </c>
      <c r="E34" s="85" t="s">
        <v>1078</v>
      </c>
      <c r="F34" s="85"/>
      <c r="G34" s="85"/>
      <c r="H34" s="85"/>
      <c r="I34" s="85"/>
      <c r="J34" s="85"/>
      <c r="K34" s="145"/>
      <c r="L34" s="140"/>
    </row>
    <row r="35" spans="2:12" ht="46.5" customHeight="1" x14ac:dyDescent="0.2">
      <c r="B35" s="374"/>
      <c r="C35" s="25" t="s">
        <v>89</v>
      </c>
      <c r="D35" s="85" t="s">
        <v>1079</v>
      </c>
      <c r="E35" s="85" t="s">
        <v>1079</v>
      </c>
      <c r="F35" s="85"/>
      <c r="G35" s="85"/>
      <c r="H35" s="85"/>
      <c r="I35" s="85"/>
      <c r="J35" s="85"/>
      <c r="K35" s="145"/>
      <c r="L35" s="140"/>
    </row>
    <row r="36" spans="2:12" ht="27.75" customHeight="1" x14ac:dyDescent="0.2">
      <c r="B36" s="374"/>
      <c r="C36" s="26" t="s">
        <v>90</v>
      </c>
      <c r="D36" s="90">
        <v>33</v>
      </c>
      <c r="E36" s="90">
        <v>37</v>
      </c>
      <c r="F36" s="90"/>
      <c r="G36" s="91"/>
      <c r="H36" s="91"/>
      <c r="I36" s="91"/>
      <c r="J36" s="91"/>
      <c r="K36" s="145"/>
      <c r="L36" s="140"/>
    </row>
    <row r="37" spans="2:12" ht="102.75" customHeight="1" x14ac:dyDescent="0.2">
      <c r="B37" s="374"/>
      <c r="C37" s="25" t="s">
        <v>91</v>
      </c>
      <c r="D37" s="87">
        <v>2472.06</v>
      </c>
      <c r="E37" s="158">
        <v>1521.68</v>
      </c>
      <c r="F37" s="87"/>
      <c r="G37" s="87"/>
      <c r="H37" s="87"/>
      <c r="I37" s="87"/>
      <c r="J37" s="87"/>
      <c r="K37" s="242"/>
      <c r="L37" s="243"/>
    </row>
    <row r="38" spans="2:12" ht="48" customHeight="1" x14ac:dyDescent="0.2">
      <c r="B38" s="374"/>
      <c r="C38" s="25" t="s">
        <v>92</v>
      </c>
      <c r="D38" s="97">
        <f>IFERROR(D37*VLOOKUP(D33,'DATOS INICIALES'!$A$12:$B$50,2,0),"0")</f>
        <v>2472060000</v>
      </c>
      <c r="E38" s="97">
        <f>IFERROR(E37*VLOOKUP(E33,'DATOS INICIALES'!$A$12:$B$50,2,0),"0")</f>
        <v>1382485843.6800001</v>
      </c>
      <c r="F38" s="97" t="str">
        <f>IFERROR(F37*VLOOKUP(F33,'DATOS INICIALES'!$A$12:$B$50,2,0),"0")</f>
        <v>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1</v>
      </c>
      <c r="E39" s="88">
        <v>1</v>
      </c>
      <c r="F39" s="88"/>
      <c r="G39" s="88"/>
      <c r="H39" s="88"/>
      <c r="I39" s="88"/>
      <c r="J39" s="88"/>
      <c r="K39" s="145"/>
      <c r="L39" s="140"/>
    </row>
    <row r="40" spans="2:12" ht="48.75" customHeight="1" x14ac:dyDescent="0.2">
      <c r="B40" s="374"/>
      <c r="C40" s="25" t="s">
        <v>94</v>
      </c>
      <c r="D40" s="97">
        <f t="shared" ref="D40:J40" si="0">IF(D26="","0",D39*D38)</f>
        <v>2472060000</v>
      </c>
      <c r="E40" s="97">
        <f t="shared" si="0"/>
        <v>1382485843.6800001</v>
      </c>
      <c r="F40" s="97" t="str">
        <f t="shared" si="0"/>
        <v>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2472.06</v>
      </c>
      <c r="E41" s="98">
        <f t="shared" si="1"/>
        <v>1521.68</v>
      </c>
      <c r="F41" s="98">
        <f t="shared" si="1"/>
        <v>0</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2472.06</v>
      </c>
      <c r="E48" s="98">
        <f t="shared" ref="E48:G48" si="6">+E41+E44+E47</f>
        <v>1521.68</v>
      </c>
      <c r="F48" s="98">
        <f t="shared" si="6"/>
        <v>0</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N/A</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N/A</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0:C70"/>
    <mergeCell ref="B71:C71"/>
    <mergeCell ref="B72:C72"/>
    <mergeCell ref="B65:C65"/>
    <mergeCell ref="B66:C66"/>
    <mergeCell ref="B67:C67"/>
    <mergeCell ref="B69:E69"/>
    <mergeCell ref="B62:C62"/>
    <mergeCell ref="B63:C63"/>
    <mergeCell ref="B64:C64"/>
    <mergeCell ref="B59:C59"/>
    <mergeCell ref="B60:C60"/>
    <mergeCell ref="B61:C61"/>
    <mergeCell ref="B56:C56"/>
    <mergeCell ref="B57:C57"/>
    <mergeCell ref="B58:C58"/>
    <mergeCell ref="B50:B55"/>
    <mergeCell ref="B28:C28"/>
    <mergeCell ref="B29:B47"/>
    <mergeCell ref="I22:L22"/>
    <mergeCell ref="B12:L12"/>
    <mergeCell ref="B13:H13"/>
    <mergeCell ref="B14:B21"/>
    <mergeCell ref="K17:L17"/>
    <mergeCell ref="K18:L21"/>
    <mergeCell ref="B24:L24"/>
    <mergeCell ref="K25:L25"/>
    <mergeCell ref="B26:C26"/>
    <mergeCell ref="B27:C27"/>
    <mergeCell ref="B23:L23"/>
    <mergeCell ref="C8:I8"/>
    <mergeCell ref="C9:I9"/>
    <mergeCell ref="C10:I10"/>
    <mergeCell ref="C11:G11"/>
    <mergeCell ref="B2:L2"/>
    <mergeCell ref="B3:L3"/>
    <mergeCell ref="B4:L4"/>
    <mergeCell ref="B5:L5"/>
    <mergeCell ref="B7:I7"/>
    <mergeCell ref="J7:L7"/>
    <mergeCell ref="I11:L11"/>
  </mergeCells>
  <conditionalFormatting sqref="D71">
    <cfRule type="cellIs" dxfId="1502" priority="73" operator="equal">
      <formula>"CUMPLE"</formula>
    </cfRule>
    <cfRule type="containsBlanks" dxfId="1501" priority="70">
      <formula>LEN(TRIM(D71))=0</formula>
    </cfRule>
    <cfRule type="notContainsErrors" dxfId="1500" priority="71">
      <formula>NOT(ISERROR(D71))</formula>
    </cfRule>
    <cfRule type="cellIs" dxfId="1499" priority="72" operator="equal">
      <formula>"NO CUMPLE"</formula>
    </cfRule>
  </conditionalFormatting>
  <conditionalFormatting sqref="D72">
    <cfRule type="cellIs" dxfId="1498" priority="75" operator="equal">
      <formula>"CUMPLE"</formula>
    </cfRule>
    <cfRule type="cellIs" dxfId="1497" priority="74" operator="equal">
      <formula>"N/A"</formula>
    </cfRule>
    <cfRule type="cellIs" dxfId="1496" priority="77" operator="equal">
      <formula>"""CUMPLE"""</formula>
    </cfRule>
    <cfRule type="cellIs" dxfId="1495" priority="76" operator="equal">
      <formula>"NO CUMPLE"</formula>
    </cfRule>
  </conditionalFormatting>
  <conditionalFormatting sqref="D26:J37">
    <cfRule type="notContainsErrors" dxfId="1494" priority="4">
      <formula>NOT(ISERROR(D26))</formula>
    </cfRule>
    <cfRule type="containsBlanks" dxfId="1493" priority="3">
      <formula>LEN(TRIM(D26))=0</formula>
    </cfRule>
  </conditionalFormatting>
  <conditionalFormatting sqref="D36:J36">
    <cfRule type="notContainsErrors" dxfId="1492" priority="6">
      <formula>NOT(ISERROR(D36))</formula>
    </cfRule>
    <cfRule type="containsBlanks" dxfId="1491" priority="5">
      <formula>LEN(TRIM(D36))=0</formula>
    </cfRule>
  </conditionalFormatting>
  <conditionalFormatting sqref="D39:J39">
    <cfRule type="containsBlanks" dxfId="1490" priority="1">
      <formula>LEN(TRIM(D39))=0</formula>
    </cfRule>
    <cfRule type="notContainsErrors" dxfId="1489" priority="2">
      <formula>NOT(ISERROR(D39))</formula>
    </cfRule>
  </conditionalFormatting>
  <conditionalFormatting sqref="D42:J42 D45:J45">
    <cfRule type="notContainsErrors" dxfId="1488" priority="38">
      <formula>NOT(ISERROR(D42))</formula>
    </cfRule>
    <cfRule type="containsBlanks" dxfId="1487" priority="37">
      <formula>LEN(TRIM(D42))=0</formula>
    </cfRule>
  </conditionalFormatting>
  <conditionalFormatting sqref="D49:J54">
    <cfRule type="cellIs" dxfId="1486" priority="17" operator="equal">
      <formula>"NO CUMPLE"</formula>
    </cfRule>
    <cfRule type="cellIs" dxfId="1485" priority="18" operator="equal">
      <formula>"CUMPLE"</formula>
    </cfRule>
    <cfRule type="containsBlanks" dxfId="1484" priority="19">
      <formula>LEN(TRIM(D49))=0</formula>
    </cfRule>
    <cfRule type="notContainsErrors" dxfId="1483" priority="20">
      <formula>NOT(ISERROR(D49))</formula>
    </cfRule>
  </conditionalFormatting>
  <conditionalFormatting sqref="D55:J55">
    <cfRule type="cellIs" dxfId="1482" priority="28" operator="equal">
      <formula>"CUMPLE"</formula>
    </cfRule>
    <cfRule type="cellIs" dxfId="1481" priority="30" operator="equal">
      <formula>"""CUMPLE"""</formula>
    </cfRule>
    <cfRule type="cellIs" dxfId="1480" priority="29" operator="equal">
      <formula>"NO CUMPLE"</formula>
    </cfRule>
    <cfRule type="cellIs" dxfId="1479" priority="27" operator="equal">
      <formula>"N/A"</formula>
    </cfRule>
  </conditionalFormatting>
  <conditionalFormatting sqref="D56:J66">
    <cfRule type="cellIs" dxfId="1478" priority="11" operator="equal">
      <formula>"NO CUMPLE"</formula>
    </cfRule>
    <cfRule type="notContainsErrors" dxfId="1477" priority="14">
      <formula>NOT(ISERROR(D56))</formula>
    </cfRule>
    <cfRule type="containsBlanks" dxfId="1476" priority="13">
      <formula>LEN(TRIM(D56))=0</formula>
    </cfRule>
    <cfRule type="cellIs" dxfId="1475" priority="12" operator="equal">
      <formula>"CUMPLE"</formula>
    </cfRule>
  </conditionalFormatting>
  <conditionalFormatting sqref="D67:J67">
    <cfRule type="cellIs" dxfId="1474" priority="23" operator="equal">
      <formula>"N/A"</formula>
    </cfRule>
    <cfRule type="cellIs" dxfId="1473" priority="24" operator="equal">
      <formula>"CUMPLE"</formula>
    </cfRule>
    <cfRule type="cellIs" dxfId="1472" priority="26" operator="equal">
      <formula>"""CUMPLE"""</formula>
    </cfRule>
    <cfRule type="cellIs" dxfId="1471" priority="25" operator="equal">
      <formula>"NO CUMPLE"</formula>
    </cfRule>
  </conditionalFormatting>
  <conditionalFormatting sqref="D62:K66">
    <cfRule type="containsBlanks" dxfId="1470" priority="15">
      <formula>LEN(TRIM(D62))=0</formula>
    </cfRule>
    <cfRule type="notContainsErrors" dxfId="1469" priority="16">
      <formula>NOT(ISERROR(D62))</formula>
    </cfRule>
  </conditionalFormatting>
  <conditionalFormatting sqref="E71:E72">
    <cfRule type="notContainsErrors" dxfId="1468" priority="69">
      <formula>NOT(ISERROR(E71))</formula>
    </cfRule>
    <cfRule type="containsBlanks" dxfId="1467" priority="68">
      <formula>LEN(TRIM(E71))=0</formula>
    </cfRule>
  </conditionalFormatting>
  <conditionalFormatting sqref="F22:H22">
    <cfRule type="cellIs" dxfId="1466" priority="92" operator="equal">
      <formula>"NO CUMPLE"</formula>
    </cfRule>
    <cfRule type="cellIs" dxfId="1465" priority="93" operator="equal">
      <formula>"""CUMPLE"""</formula>
    </cfRule>
    <cfRule type="cellIs" dxfId="1464" priority="91" operator="equal">
      <formula>"CUMPLE"</formula>
    </cfRule>
  </conditionalFormatting>
  <conditionalFormatting sqref="G63:J63">
    <cfRule type="containsBlanks" dxfId="1463" priority="7">
      <formula>LEN(TRIM(G63))=0</formula>
    </cfRule>
    <cfRule type="notContainsErrors" dxfId="1462" priority="8">
      <formula>NOT(ISERROR(G63))</formula>
    </cfRule>
  </conditionalFormatting>
  <conditionalFormatting sqref="I11">
    <cfRule type="containsText" dxfId="1461" priority="97" operator="containsText" text="NO CUMPLE">
      <formula>NOT(ISERROR(SEARCH("NO CUMPLE",I11)))</formula>
    </cfRule>
    <cfRule type="containsText" dxfId="1460" priority="96" operator="containsText" text="HABILITADO">
      <formula>NOT(ISERROR(SEARCH("HABILITADO",I11)))</formula>
    </cfRule>
    <cfRule type="containsText" dxfId="1459" priority="95" operator="containsText" text="HABILITADO">
      <formula>NOT(ISERROR(SEARCH("HABILITADO",I11)))</formula>
    </cfRule>
    <cfRule type="containsText" dxfId="1458" priority="94" operator="containsText" text="INHABILITADO">
      <formula>NOT(ISERROR(SEARCH("INHABILITADO",I11)))</formula>
    </cfRule>
  </conditionalFormatting>
  <conditionalFormatting sqref="K18:K20">
    <cfRule type="cellIs" dxfId="1457" priority="66" operator="equal">
      <formula>"NO CUMPLE"</formula>
    </cfRule>
    <cfRule type="cellIs" dxfId="1456" priority="67" operator="equal">
      <formula>"""CUMPLE"""</formula>
    </cfRule>
    <cfRule type="cellIs" dxfId="1455" priority="65" operator="equal">
      <formula>"CUMPLE"</formula>
    </cfRule>
  </conditionalFormatting>
  <conditionalFormatting sqref="K26:K61 D62:J62">
    <cfRule type="containsBlanks" dxfId="1454" priority="9">
      <formula>LEN(TRIM(D26))=0</formula>
    </cfRule>
    <cfRule type="notContainsErrors" dxfId="1453" priority="10">
      <formula>NOT(ISERROR(D26))</formula>
    </cfRule>
  </conditionalFormatting>
  <conditionalFormatting sqref="K67:L67">
    <cfRule type="containsBlanks" dxfId="1452" priority="21">
      <formula>LEN(TRIM(K67))=0</formula>
    </cfRule>
    <cfRule type="notContainsErrors" dxfId="1451" priority="22">
      <formula>NOT(ISERROR(K67))</formula>
    </cfRule>
  </conditionalFormatting>
  <conditionalFormatting sqref="L14">
    <cfRule type="cellIs" dxfId="1450" priority="90" operator="equal">
      <formula>"""CUMPLE"""</formula>
    </cfRule>
    <cfRule type="cellIs" dxfId="1449" priority="89" operator="equal">
      <formula>"NO CUMPLE"</formula>
    </cfRule>
    <cfRule type="cellIs" dxfId="1448" priority="88" operator="equal">
      <formula>"CUMPLE"</formula>
    </cfRule>
  </conditionalFormatting>
  <dataValidations count="2">
    <dataValidation type="list" allowBlank="1" showInputMessage="1" showErrorMessage="1" sqref="D26:J28" xr:uid="{00000000-0002-0000-4900-000000000000}">
      <formula1>$C$15:$C$21</formula1>
    </dataValidation>
    <dataValidation type="list" allowBlank="1" showInputMessage="1" showErrorMessage="1" sqref="L62:L67" xr:uid="{00000000-0002-0000-49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4900-000002000000}">
          <x14:formula1>
            <xm:f>'DATOS INICIALES'!$D$27:$D$29</xm:f>
          </x14:formula1>
          <xm:sqref>M50:M55</xm:sqref>
        </x14:dataValidation>
        <x14:dataValidation type="list" allowBlank="1" showInputMessage="1" showErrorMessage="1" xr:uid="{00000000-0002-0000-4900-000003000000}">
          <x14:formula1>
            <xm:f>'DATOS INICIALES'!$A$61:$A$66</xm:f>
          </x14:formula1>
          <xm:sqref>D25:I25</xm:sqref>
        </x14:dataValidation>
        <x14:dataValidation type="list" allowBlank="1" showInputMessage="1" showErrorMessage="1" xr:uid="{00000000-0002-0000-4900-000004000000}">
          <x14:formula1>
            <xm:f>'DATOS INICIALES'!$A$57:$A$59</xm:f>
          </x14:formula1>
          <xm:sqref>D71 D56:J66</xm:sqref>
        </x14:dataValidation>
        <x14:dataValidation type="list" allowBlank="1" showInputMessage="1" showErrorMessage="1" xr:uid="{00000000-0002-0000-4900-000005000000}">
          <x14:formula1>
            <xm:f>'DATOS INICIALES'!$C$52:$C$53</xm:f>
          </x14:formula1>
          <xm:sqref>D53:J54</xm:sqref>
        </x14:dataValidation>
        <x14:dataValidation type="list" allowBlank="1" showInputMessage="1" showErrorMessage="1" xr:uid="{00000000-0002-0000-4900-000006000000}">
          <x14:formula1>
            <xm:f>'DATOS INICIALES'!$A$61:$A$67</xm:f>
          </x14:formula1>
          <xm:sqref>J25</xm:sqref>
        </x14:dataValidation>
        <x14:dataValidation type="list" allowBlank="1" showInputMessage="1" showErrorMessage="1" xr:uid="{00000000-0002-0000-4900-000007000000}">
          <x14:formula1>
            <xm:f>'DATOS INICIALES'!$A$57:$A$58</xm:f>
          </x14:formula1>
          <xm:sqref>D49:J49</xm:sqref>
        </x14:dataValidation>
        <x14:dataValidation type="list" allowBlank="1" showInputMessage="1" showErrorMessage="1" xr:uid="{00000000-0002-0000-4900-000008000000}">
          <x14:formula1>
            <xm:f>'DATOS INICIALES'!$A$13:$A$50</xm:f>
          </x14:formula1>
          <xm:sqref>G33:I33</xm:sqref>
        </x14:dataValidation>
        <x14:dataValidation type="list" allowBlank="1" showInputMessage="1" showErrorMessage="1" xr:uid="{00000000-0002-0000-4900-000009000000}">
          <x14:formula1>
            <xm:f>'DATOS INICIALES'!$C$52:$C$54</xm:f>
          </x14:formula1>
          <xm:sqref>D50:J52</xm:sqref>
        </x14:dataValidation>
      </x14:dataValidations>
    </ext>
  </extLst>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sheetPr>
    <tabColor rgb="FF92D050"/>
  </sheetPr>
  <dimension ref="A1:N72"/>
  <sheetViews>
    <sheetView view="pageBreakPreview" topLeftCell="A30" zoomScale="40" zoomScaleNormal="25" zoomScaleSheetLayoutView="40" workbookViewId="0">
      <selection activeCell="H37" sqref="H37"/>
    </sheetView>
  </sheetViews>
  <sheetFormatPr baseColWidth="10" defaultColWidth="11.5" defaultRowHeight="15" x14ac:dyDescent="0.2"/>
  <cols>
    <col min="1" max="1" width="5.5" customWidth="1"/>
    <col min="2" max="2" width="30.83203125" customWidth="1"/>
    <col min="3" max="3" width="63.1640625" customWidth="1"/>
    <col min="4" max="4" width="50.5" customWidth="1"/>
    <col min="5" max="5" width="52"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69</v>
      </c>
      <c r="B11" s="2" t="s">
        <v>58</v>
      </c>
      <c r="C11" s="413" t="str">
        <f>VLOOKUP(A11,PROPONENTES!A10:B94,2,FALSE)</f>
        <v>CONSORCIO BLUCK</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COUNTIF(E67:J67,"CUMPLE")</f>
        <v>3</v>
      </c>
      <c r="J14" s="147">
        <f>+L8</f>
        <v>986.3076290832455</v>
      </c>
      <c r="K14" s="147">
        <f>+E48</f>
        <v>1101.77</v>
      </c>
      <c r="L14" s="18" t="str">
        <f>IF(K14&gt;=J14,"CUMPLE","NO CUMPLE")</f>
        <v>CUMPLE</v>
      </c>
    </row>
    <row r="15" spans="1:12" ht="33.75" customHeight="1" x14ac:dyDescent="0.2">
      <c r="B15" s="382"/>
      <c r="C15" s="92" t="str">
        <f>IF(VLOOKUP(C11,PROPONENTES!B10:N94,2,FALSE)=0,"",VLOOKUP(C11,PROPONENTES!B10:N94,2,FALSE))</f>
        <v>JORGE PIDDO SEGUIDO DE LA EXPRESION SUCURSAL COLOMBIA</v>
      </c>
      <c r="D15" s="93">
        <f>IF(VLOOKUP(C11,PROPONENTES!B10:N94,3,FALSE)=0,"",VLOOKUP(C11,PROPONENTES!B10:N94,3,FALSE))</f>
        <v>0.9</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8882.4310000000005</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OCCAS INGENIERIA S.A.S.</v>
      </c>
      <c r="D16" s="93">
        <f>IF(VLOOKUP(C11,PROPONENTES!B10:N94,5,FALSE)=0,"",VLOOKUP(C11,PROPONENTES!B10:N94,5,FALSE))</f>
        <v>0.1</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0</v>
      </c>
      <c r="F16" s="95" t="str">
        <f>IF(C16="","",IF(E16&gt;=$J$14*0.5,"SI","NO"))</f>
        <v>NO</v>
      </c>
      <c r="G16" s="96" t="str">
        <f>IF(C16="","",IF(E16&gt;=$J$14*0.05,"SI",IF(E16=0,"NO APORTA EXPERIENCIA",)))</f>
        <v>NO APORTA EXPERIENCIA</v>
      </c>
      <c r="H16" s="96" t="str">
        <f>IF(C16="","",IF(AND(G16="NO APORTA EXPERIENCIA",D16&lt;=10%),"SI",IF(G16="SI","NO APLICA","NO - PORCENTAJE MAYOR AL 10%")))</f>
        <v>SI</v>
      </c>
      <c r="I16" s="162"/>
      <c r="J16" s="162"/>
      <c r="K16" s="162"/>
      <c r="L16" s="161">
        <f>AVERAGEIF(E67:J67,"CUMPLE",E48:J48)</f>
        <v>2761.9553333333333</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4</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4</v>
      </c>
      <c r="J19" s="128">
        <v>1</v>
      </c>
      <c r="K19" s="387"/>
      <c r="L19" s="388"/>
    </row>
    <row r="20" spans="2:14" ht="50.25" customHeight="1" x14ac:dyDescent="0.2">
      <c r="B20" s="382"/>
      <c r="C20" s="92"/>
      <c r="D20" s="93"/>
      <c r="E20" s="94"/>
      <c r="F20" s="95"/>
      <c r="G20" s="96"/>
      <c r="H20" s="96"/>
      <c r="I20" s="128">
        <f>COUNTIFS(D60:J60,"CUMPLE",D67:J67,"CUMPLE")</f>
        <v>4</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4</v>
      </c>
      <c r="J21" s="128">
        <v>1</v>
      </c>
      <c r="K21" s="389"/>
      <c r="L21" s="390"/>
    </row>
    <row r="22" spans="2:14" ht="84.75" customHeight="1" x14ac:dyDescent="0.2">
      <c r="B22" s="29" t="s">
        <v>75</v>
      </c>
      <c r="C22" s="24">
        <f>+VLOOKUP(C11,PROPONENTES!B10:N94,12,FALSE)</f>
        <v>2</v>
      </c>
      <c r="D22" s="93">
        <f>+VLOOKUP(C11,PROPONENTES!B10:N94,13,FALSE)</f>
        <v>1</v>
      </c>
      <c r="E22" s="32">
        <f>SUM(E15:E21)</f>
        <v>8882.4310000000005</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1053</v>
      </c>
      <c r="E26" s="84" t="s">
        <v>1053</v>
      </c>
      <c r="F26" s="84" t="s">
        <v>1053</v>
      </c>
      <c r="G26" s="84" t="s">
        <v>1053</v>
      </c>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1080</v>
      </c>
      <c r="E29" s="85" t="s">
        <v>1081</v>
      </c>
      <c r="F29" s="85" t="s">
        <v>1082</v>
      </c>
      <c r="G29" s="85" t="s">
        <v>1083</v>
      </c>
      <c r="H29" s="85"/>
      <c r="I29" s="85"/>
      <c r="J29" s="85"/>
      <c r="K29" s="145"/>
      <c r="L29" s="140"/>
    </row>
    <row r="30" spans="2:14" ht="156.75" customHeight="1" x14ac:dyDescent="0.2">
      <c r="B30" s="374"/>
      <c r="C30" s="25" t="s">
        <v>84</v>
      </c>
      <c r="D30" s="85" t="s">
        <v>1084</v>
      </c>
      <c r="E30" s="85" t="s">
        <v>1085</v>
      </c>
      <c r="F30" s="85" t="s">
        <v>1086</v>
      </c>
      <c r="G30" s="85" t="s">
        <v>1087</v>
      </c>
      <c r="H30" s="85"/>
      <c r="I30" s="85"/>
      <c r="J30" s="85"/>
      <c r="K30" s="145"/>
      <c r="L30" s="140"/>
    </row>
    <row r="31" spans="2:14" ht="52.5" customHeight="1" x14ac:dyDescent="0.2">
      <c r="B31" s="374"/>
      <c r="C31" s="25" t="s">
        <v>85</v>
      </c>
      <c r="D31" s="89">
        <v>41687</v>
      </c>
      <c r="E31" s="89" t="s">
        <v>1088</v>
      </c>
      <c r="F31" s="89">
        <v>42023</v>
      </c>
      <c r="G31" s="89">
        <v>44196</v>
      </c>
      <c r="H31" s="89"/>
      <c r="I31" s="89"/>
      <c r="J31" s="89"/>
      <c r="K31" s="145"/>
      <c r="L31" s="140"/>
    </row>
    <row r="32" spans="2:14" ht="54.75" customHeight="1" x14ac:dyDescent="0.2">
      <c r="B32" s="374"/>
      <c r="C32" s="25" t="s">
        <v>86</v>
      </c>
      <c r="D32" s="89">
        <v>42205</v>
      </c>
      <c r="E32" s="89">
        <v>42321</v>
      </c>
      <c r="F32" s="89">
        <v>42812</v>
      </c>
      <c r="G32" s="89">
        <v>45199</v>
      </c>
      <c r="H32" s="89"/>
      <c r="I32" s="89"/>
      <c r="J32" s="89"/>
      <c r="K32" s="145"/>
      <c r="L32" s="140"/>
    </row>
    <row r="33" spans="2:12" ht="41.25" customHeight="1" x14ac:dyDescent="0.2">
      <c r="B33" s="374"/>
      <c r="C33" s="25" t="s">
        <v>87</v>
      </c>
      <c r="D33" s="86">
        <v>2015</v>
      </c>
      <c r="E33" s="86">
        <v>2015</v>
      </c>
      <c r="F33" s="86">
        <v>2017</v>
      </c>
      <c r="G33" s="86">
        <v>2023</v>
      </c>
      <c r="H33" s="86"/>
      <c r="I33" s="86"/>
      <c r="J33" s="86"/>
      <c r="K33" s="145"/>
      <c r="L33" s="140"/>
    </row>
    <row r="34" spans="2:12" ht="63" customHeight="1" x14ac:dyDescent="0.2">
      <c r="B34" s="374"/>
      <c r="C34" s="25" t="s">
        <v>88</v>
      </c>
      <c r="D34" s="85" t="s">
        <v>1089</v>
      </c>
      <c r="E34" s="85" t="s">
        <v>1090</v>
      </c>
      <c r="F34" s="85" t="s">
        <v>1091</v>
      </c>
      <c r="G34" s="85" t="s">
        <v>322</v>
      </c>
      <c r="H34" s="85"/>
      <c r="I34" s="85"/>
      <c r="J34" s="85"/>
      <c r="K34" s="145"/>
      <c r="L34" s="140"/>
    </row>
    <row r="35" spans="2:12" ht="46.5" customHeight="1" x14ac:dyDescent="0.2">
      <c r="B35" s="374"/>
      <c r="C35" s="25" t="s">
        <v>89</v>
      </c>
      <c r="D35" s="85" t="s">
        <v>1092</v>
      </c>
      <c r="E35" s="85" t="s">
        <v>1092</v>
      </c>
      <c r="F35" s="85" t="s">
        <v>1092</v>
      </c>
      <c r="G35" s="85" t="s">
        <v>1092</v>
      </c>
      <c r="H35" s="85"/>
      <c r="I35" s="85"/>
      <c r="J35" s="85"/>
      <c r="K35" s="145"/>
      <c r="L35" s="140"/>
    </row>
    <row r="36" spans="2:12" ht="27.75" customHeight="1" x14ac:dyDescent="0.2">
      <c r="B36" s="374"/>
      <c r="C36" s="26" t="s">
        <v>90</v>
      </c>
      <c r="D36" s="90">
        <v>35</v>
      </c>
      <c r="E36" s="90">
        <v>36</v>
      </c>
      <c r="F36" s="90">
        <v>39</v>
      </c>
      <c r="G36" s="91">
        <v>50</v>
      </c>
      <c r="H36" s="91"/>
      <c r="I36" s="91"/>
      <c r="J36" s="91"/>
      <c r="K36" s="145"/>
      <c r="L36" s="140"/>
    </row>
    <row r="37" spans="2:12" ht="102.75" customHeight="1" x14ac:dyDescent="0.2">
      <c r="B37" s="374"/>
      <c r="C37" s="25" t="s">
        <v>91</v>
      </c>
      <c r="D37" s="87">
        <v>1193.1300000000001</v>
      </c>
      <c r="E37" s="158">
        <v>2203.54</v>
      </c>
      <c r="F37" s="87">
        <v>2495.84</v>
      </c>
      <c r="G37" s="87">
        <v>14840.44</v>
      </c>
      <c r="H37" s="87"/>
      <c r="I37" s="87"/>
      <c r="J37" s="87"/>
      <c r="K37" s="242"/>
      <c r="L37" s="243"/>
    </row>
    <row r="38" spans="2:12" ht="48" customHeight="1" x14ac:dyDescent="0.2">
      <c r="B38" s="374"/>
      <c r="C38" s="25" t="s">
        <v>92</v>
      </c>
      <c r="D38" s="97">
        <f>IFERROR(D37*VLOOKUP(D33,'DATOS INICIALES'!$A$12:$B$50,2,0),"0")</f>
        <v>768793315.50000012</v>
      </c>
      <c r="E38" s="97">
        <f>IFERROR(E37*VLOOKUP(E33,'DATOS INICIALES'!$A$12:$B$50,2,0),"0")</f>
        <v>1419850999</v>
      </c>
      <c r="F38" s="97">
        <f>IFERROR(F37*VLOOKUP(F33,'DATOS INICIALES'!$A$12:$B$50,2,0),"0")</f>
        <v>1841223597.2800002</v>
      </c>
      <c r="G38" s="97">
        <f>IFERROR(G37*VLOOKUP(G33,'DATOS INICIALES'!$A$12:$B$50,2,0),"0")</f>
        <v>17214910400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0.5</v>
      </c>
      <c r="E39" s="88">
        <v>0.5</v>
      </c>
      <c r="F39" s="88">
        <v>0.5</v>
      </c>
      <c r="G39" s="88">
        <v>0.4</v>
      </c>
      <c r="H39" s="88"/>
      <c r="I39" s="88"/>
      <c r="J39" s="88"/>
      <c r="K39" s="145"/>
      <c r="L39" s="140"/>
    </row>
    <row r="40" spans="2:12" ht="48.75" customHeight="1" x14ac:dyDescent="0.2">
      <c r="B40" s="374"/>
      <c r="C40" s="25" t="s">
        <v>94</v>
      </c>
      <c r="D40" s="97">
        <f t="shared" ref="D40:J40" si="0">IF(D26="","0",D39*D38)</f>
        <v>384396657.75000006</v>
      </c>
      <c r="E40" s="97">
        <f t="shared" si="0"/>
        <v>709925499.5</v>
      </c>
      <c r="F40" s="97">
        <f t="shared" si="0"/>
        <v>920611798.6400001</v>
      </c>
      <c r="G40" s="97">
        <f t="shared" si="0"/>
        <v>6885964160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596.56500000000005</v>
      </c>
      <c r="E41" s="98">
        <f t="shared" si="1"/>
        <v>1101.77</v>
      </c>
      <c r="F41" s="98">
        <f t="shared" si="1"/>
        <v>1247.92</v>
      </c>
      <c r="G41" s="98">
        <f t="shared" si="1"/>
        <v>5936.1760000000004</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 t="shared" ref="D48:G48" si="6">+D41+D44+D47</f>
        <v>596.56500000000005</v>
      </c>
      <c r="E48" s="98">
        <f t="shared" si="6"/>
        <v>1101.77</v>
      </c>
      <c r="F48" s="98">
        <f t="shared" si="6"/>
        <v>1247.92</v>
      </c>
      <c r="G48" s="98">
        <f t="shared" si="6"/>
        <v>5936.1760000000004</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CUMPLE</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CUMPLE</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0:C70"/>
    <mergeCell ref="B71:C71"/>
    <mergeCell ref="B72:C72"/>
    <mergeCell ref="B65:C65"/>
    <mergeCell ref="B66:C66"/>
    <mergeCell ref="B67:C67"/>
    <mergeCell ref="B69:E69"/>
    <mergeCell ref="B62:C62"/>
    <mergeCell ref="B63:C63"/>
    <mergeCell ref="B64:C64"/>
    <mergeCell ref="B59:C59"/>
    <mergeCell ref="B60:C60"/>
    <mergeCell ref="B61:C61"/>
    <mergeCell ref="B56:C56"/>
    <mergeCell ref="B57:C57"/>
    <mergeCell ref="B58:C58"/>
    <mergeCell ref="B50:B55"/>
    <mergeCell ref="B28:C28"/>
    <mergeCell ref="B29:B47"/>
    <mergeCell ref="I22:L22"/>
    <mergeCell ref="B12:L12"/>
    <mergeCell ref="B13:H13"/>
    <mergeCell ref="B14:B21"/>
    <mergeCell ref="K17:L17"/>
    <mergeCell ref="K18:L21"/>
    <mergeCell ref="B24:L24"/>
    <mergeCell ref="K25:L25"/>
    <mergeCell ref="B26:C26"/>
    <mergeCell ref="B27:C27"/>
    <mergeCell ref="B23:L23"/>
    <mergeCell ref="C8:I8"/>
    <mergeCell ref="C9:I9"/>
    <mergeCell ref="C10:I10"/>
    <mergeCell ref="C11:G11"/>
    <mergeCell ref="B2:L2"/>
    <mergeCell ref="B3:L3"/>
    <mergeCell ref="B4:L4"/>
    <mergeCell ref="B5:L5"/>
    <mergeCell ref="B7:I7"/>
    <mergeCell ref="J7:L7"/>
    <mergeCell ref="I11:L11"/>
  </mergeCells>
  <conditionalFormatting sqref="D71">
    <cfRule type="cellIs" dxfId="1447" priority="73" operator="equal">
      <formula>"CUMPLE"</formula>
    </cfRule>
    <cfRule type="containsBlanks" dxfId="1446" priority="70">
      <formula>LEN(TRIM(D71))=0</formula>
    </cfRule>
    <cfRule type="notContainsErrors" dxfId="1445" priority="71">
      <formula>NOT(ISERROR(D71))</formula>
    </cfRule>
    <cfRule type="cellIs" dxfId="1444" priority="72" operator="equal">
      <formula>"NO CUMPLE"</formula>
    </cfRule>
  </conditionalFormatting>
  <conditionalFormatting sqref="D72">
    <cfRule type="cellIs" dxfId="1443" priority="75" operator="equal">
      <formula>"CUMPLE"</formula>
    </cfRule>
    <cfRule type="cellIs" dxfId="1442" priority="74" operator="equal">
      <formula>"N/A"</formula>
    </cfRule>
    <cfRule type="cellIs" dxfId="1441" priority="77" operator="equal">
      <formula>"""CUMPLE"""</formula>
    </cfRule>
    <cfRule type="cellIs" dxfId="1440" priority="76" operator="equal">
      <formula>"NO CUMPLE"</formula>
    </cfRule>
  </conditionalFormatting>
  <conditionalFormatting sqref="D26:J37">
    <cfRule type="notContainsErrors" dxfId="1439" priority="4">
      <formula>NOT(ISERROR(D26))</formula>
    </cfRule>
    <cfRule type="containsBlanks" dxfId="1438" priority="3">
      <formula>LEN(TRIM(D26))=0</formula>
    </cfRule>
  </conditionalFormatting>
  <conditionalFormatting sqref="D36:J36">
    <cfRule type="notContainsErrors" dxfId="1437" priority="6">
      <formula>NOT(ISERROR(D36))</formula>
    </cfRule>
    <cfRule type="containsBlanks" dxfId="1436" priority="5">
      <formula>LEN(TRIM(D36))=0</formula>
    </cfRule>
  </conditionalFormatting>
  <conditionalFormatting sqref="D39:J39">
    <cfRule type="containsBlanks" dxfId="1435" priority="1">
      <formula>LEN(TRIM(D39))=0</formula>
    </cfRule>
    <cfRule type="notContainsErrors" dxfId="1434" priority="2">
      <formula>NOT(ISERROR(D39))</formula>
    </cfRule>
  </conditionalFormatting>
  <conditionalFormatting sqref="D42:J42 D45:J45">
    <cfRule type="notContainsErrors" dxfId="1433" priority="38">
      <formula>NOT(ISERROR(D42))</formula>
    </cfRule>
    <cfRule type="containsBlanks" dxfId="1432" priority="37">
      <formula>LEN(TRIM(D42))=0</formula>
    </cfRule>
  </conditionalFormatting>
  <conditionalFormatting sqref="D49:J54">
    <cfRule type="cellIs" dxfId="1431" priority="17" operator="equal">
      <formula>"NO CUMPLE"</formula>
    </cfRule>
    <cfRule type="cellIs" dxfId="1430" priority="18" operator="equal">
      <formula>"CUMPLE"</formula>
    </cfRule>
    <cfRule type="containsBlanks" dxfId="1429" priority="19">
      <formula>LEN(TRIM(D49))=0</formula>
    </cfRule>
    <cfRule type="notContainsErrors" dxfId="1428" priority="20">
      <formula>NOT(ISERROR(D49))</formula>
    </cfRule>
  </conditionalFormatting>
  <conditionalFormatting sqref="D55:J55">
    <cfRule type="cellIs" dxfId="1427" priority="28" operator="equal">
      <formula>"CUMPLE"</formula>
    </cfRule>
    <cfRule type="cellIs" dxfId="1426" priority="30" operator="equal">
      <formula>"""CUMPLE"""</formula>
    </cfRule>
    <cfRule type="cellIs" dxfId="1425" priority="29" operator="equal">
      <formula>"NO CUMPLE"</formula>
    </cfRule>
    <cfRule type="cellIs" dxfId="1424" priority="27" operator="equal">
      <formula>"N/A"</formula>
    </cfRule>
  </conditionalFormatting>
  <conditionalFormatting sqref="D56:J66">
    <cfRule type="cellIs" dxfId="1423" priority="11" operator="equal">
      <formula>"NO CUMPLE"</formula>
    </cfRule>
    <cfRule type="notContainsErrors" dxfId="1422" priority="14">
      <formula>NOT(ISERROR(D56))</formula>
    </cfRule>
    <cfRule type="containsBlanks" dxfId="1421" priority="13">
      <formula>LEN(TRIM(D56))=0</formula>
    </cfRule>
    <cfRule type="cellIs" dxfId="1420" priority="12" operator="equal">
      <formula>"CUMPLE"</formula>
    </cfRule>
  </conditionalFormatting>
  <conditionalFormatting sqref="D67:J67">
    <cfRule type="cellIs" dxfId="1419" priority="23" operator="equal">
      <formula>"N/A"</formula>
    </cfRule>
    <cfRule type="cellIs" dxfId="1418" priority="24" operator="equal">
      <formula>"CUMPLE"</formula>
    </cfRule>
    <cfRule type="cellIs" dxfId="1417" priority="26" operator="equal">
      <formula>"""CUMPLE"""</formula>
    </cfRule>
    <cfRule type="cellIs" dxfId="1416" priority="25" operator="equal">
      <formula>"NO CUMPLE"</formula>
    </cfRule>
  </conditionalFormatting>
  <conditionalFormatting sqref="D62:K66">
    <cfRule type="containsBlanks" dxfId="1415" priority="15">
      <formula>LEN(TRIM(D62))=0</formula>
    </cfRule>
    <cfRule type="notContainsErrors" dxfId="1414" priority="16">
      <formula>NOT(ISERROR(D62))</formula>
    </cfRule>
  </conditionalFormatting>
  <conditionalFormatting sqref="E71:E72">
    <cfRule type="notContainsErrors" dxfId="1413" priority="69">
      <formula>NOT(ISERROR(E71))</formula>
    </cfRule>
    <cfRule type="containsBlanks" dxfId="1412" priority="68">
      <formula>LEN(TRIM(E71))=0</formula>
    </cfRule>
  </conditionalFormatting>
  <conditionalFormatting sqref="F22:H22">
    <cfRule type="cellIs" dxfId="1411" priority="92" operator="equal">
      <formula>"NO CUMPLE"</formula>
    </cfRule>
    <cfRule type="cellIs" dxfId="1410" priority="93" operator="equal">
      <formula>"""CUMPLE"""</formula>
    </cfRule>
    <cfRule type="cellIs" dxfId="1409" priority="91" operator="equal">
      <formula>"CUMPLE"</formula>
    </cfRule>
  </conditionalFormatting>
  <conditionalFormatting sqref="G63:J63">
    <cfRule type="containsBlanks" dxfId="1408" priority="7">
      <formula>LEN(TRIM(G63))=0</formula>
    </cfRule>
    <cfRule type="notContainsErrors" dxfId="1407" priority="8">
      <formula>NOT(ISERROR(G63))</formula>
    </cfRule>
  </conditionalFormatting>
  <conditionalFormatting sqref="I11">
    <cfRule type="containsText" dxfId="1406" priority="97" operator="containsText" text="NO CUMPLE">
      <formula>NOT(ISERROR(SEARCH("NO CUMPLE",I11)))</formula>
    </cfRule>
    <cfRule type="containsText" dxfId="1405" priority="96" operator="containsText" text="HABILITADO">
      <formula>NOT(ISERROR(SEARCH("HABILITADO",I11)))</formula>
    </cfRule>
    <cfRule type="containsText" dxfId="1404" priority="95" operator="containsText" text="HABILITADO">
      <formula>NOT(ISERROR(SEARCH("HABILITADO",I11)))</formula>
    </cfRule>
    <cfRule type="containsText" dxfId="1403" priority="94" operator="containsText" text="INHABILITADO">
      <formula>NOT(ISERROR(SEARCH("INHABILITADO",I11)))</formula>
    </cfRule>
  </conditionalFormatting>
  <conditionalFormatting sqref="K18:K20">
    <cfRule type="cellIs" dxfId="1402" priority="66" operator="equal">
      <formula>"NO CUMPLE"</formula>
    </cfRule>
    <cfRule type="cellIs" dxfId="1401" priority="67" operator="equal">
      <formula>"""CUMPLE"""</formula>
    </cfRule>
    <cfRule type="cellIs" dxfId="1400" priority="65" operator="equal">
      <formula>"CUMPLE"</formula>
    </cfRule>
  </conditionalFormatting>
  <conditionalFormatting sqref="K26:K61 D62:J62">
    <cfRule type="containsBlanks" dxfId="1399" priority="9">
      <formula>LEN(TRIM(D26))=0</formula>
    </cfRule>
    <cfRule type="notContainsErrors" dxfId="1398" priority="10">
      <formula>NOT(ISERROR(D26))</formula>
    </cfRule>
  </conditionalFormatting>
  <conditionalFormatting sqref="K67:L67">
    <cfRule type="containsBlanks" dxfId="1397" priority="21">
      <formula>LEN(TRIM(K67))=0</formula>
    </cfRule>
    <cfRule type="notContainsErrors" dxfId="1396" priority="22">
      <formula>NOT(ISERROR(K67))</formula>
    </cfRule>
  </conditionalFormatting>
  <conditionalFormatting sqref="L14">
    <cfRule type="cellIs" dxfId="1395" priority="90" operator="equal">
      <formula>"""CUMPLE"""</formula>
    </cfRule>
    <cfRule type="cellIs" dxfId="1394" priority="89" operator="equal">
      <formula>"NO CUMPLE"</formula>
    </cfRule>
    <cfRule type="cellIs" dxfId="1393" priority="88" operator="equal">
      <formula>"CUMPLE"</formula>
    </cfRule>
  </conditionalFormatting>
  <dataValidations count="2">
    <dataValidation type="list" allowBlank="1" showInputMessage="1" showErrorMessage="1" sqref="L62:L67" xr:uid="{00000000-0002-0000-4A00-000000000000}">
      <formula1>"0,1,2,3,4,5,6"</formula1>
    </dataValidation>
    <dataValidation type="list" allowBlank="1" showInputMessage="1" showErrorMessage="1" sqref="D26:J28" xr:uid="{00000000-0002-0000-4A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4A00-000002000000}">
          <x14:formula1>
            <xm:f>'DATOS INICIALES'!$D$27:$D$29</xm:f>
          </x14:formula1>
          <xm:sqref>M50:M55</xm:sqref>
        </x14:dataValidation>
        <x14:dataValidation type="list" allowBlank="1" showInputMessage="1" showErrorMessage="1" xr:uid="{00000000-0002-0000-4A00-000003000000}">
          <x14:formula1>
            <xm:f>'DATOS INICIALES'!$A$57:$A$58</xm:f>
          </x14:formula1>
          <xm:sqref>D49:J49</xm:sqref>
        </x14:dataValidation>
        <x14:dataValidation type="list" allowBlank="1" showInputMessage="1" showErrorMessage="1" xr:uid="{00000000-0002-0000-4A00-000004000000}">
          <x14:formula1>
            <xm:f>'DATOS INICIALES'!$A$61:$A$67</xm:f>
          </x14:formula1>
          <xm:sqref>J25</xm:sqref>
        </x14:dataValidation>
        <x14:dataValidation type="list" allowBlank="1" showInputMessage="1" showErrorMessage="1" xr:uid="{00000000-0002-0000-4A00-000005000000}">
          <x14:formula1>
            <xm:f>'DATOS INICIALES'!$C$52:$C$53</xm:f>
          </x14:formula1>
          <xm:sqref>D53:J54</xm:sqref>
        </x14:dataValidation>
        <x14:dataValidation type="list" allowBlank="1" showInputMessage="1" showErrorMessage="1" xr:uid="{00000000-0002-0000-4A00-000006000000}">
          <x14:formula1>
            <xm:f>'DATOS INICIALES'!$A$57:$A$59</xm:f>
          </x14:formula1>
          <xm:sqref>D71 D56:J66</xm:sqref>
        </x14:dataValidation>
        <x14:dataValidation type="list" allowBlank="1" showInputMessage="1" showErrorMessage="1" xr:uid="{00000000-0002-0000-4A00-000007000000}">
          <x14:formula1>
            <xm:f>'DATOS INICIALES'!$A$61:$A$66</xm:f>
          </x14:formula1>
          <xm:sqref>D25:I25</xm:sqref>
        </x14:dataValidation>
        <x14:dataValidation type="list" allowBlank="1" showInputMessage="1" showErrorMessage="1" xr:uid="{00000000-0002-0000-4A00-000008000000}">
          <x14:formula1>
            <xm:f>'DATOS INICIALES'!$A$13:$A$50</xm:f>
          </x14:formula1>
          <xm:sqref>H33:I33</xm:sqref>
        </x14:dataValidation>
        <x14:dataValidation type="list" allowBlank="1" showInputMessage="1" showErrorMessage="1" xr:uid="{00000000-0002-0000-4A00-000009000000}">
          <x14:formula1>
            <xm:f>'DATOS INICIALES'!$C$52:$C$54</xm:f>
          </x14:formula1>
          <xm:sqref>D50:J52</xm:sqref>
        </x14:dataValidation>
        <x14:dataValidation type="list" allowBlank="1" showInputMessage="1" showErrorMessage="1" xr:uid="{00000000-0002-0000-4A00-00000A000000}">
          <x14:formula1>
            <xm:f>'/Users/ldrr/Desktop/SDDE/REVISION DE CARPETAS/C:\Users\ASUS\OneDrive\Escritorio\alcaldia local de usaquen\2025\16. EVALUACION DE PROCESOS\INTERVENTORIA DE VIAS\consolidado equipo\[CRISTIAN_ Evaluación_Tecnica_fdlusa-CMA-003-2025 CM 65-74.xlsx]DATOS INICIALES'!#REF!</xm:f>
          </x14:formula1>
          <xm:sqref>G33</xm:sqref>
        </x14:dataValidation>
      </x14:dataValidations>
    </ext>
  </extLst>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sheetPr>
    <tabColor rgb="FF92D050"/>
  </sheetPr>
  <dimension ref="A1:N72"/>
  <sheetViews>
    <sheetView view="pageBreakPreview" topLeftCell="A64" zoomScale="55" zoomScaleNormal="25" zoomScaleSheetLayoutView="55" workbookViewId="0">
      <selection activeCell="G34" sqref="G34"/>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70</v>
      </c>
      <c r="B11" s="2" t="s">
        <v>58</v>
      </c>
      <c r="C11" s="413" t="str">
        <f>VLOOKUP(A11,PROPONENTES!A10:B94,2,FALSE)</f>
        <v>CONSORCIO DESARROLLO URBANO USAQUEN</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4</v>
      </c>
      <c r="J14" s="147">
        <f>+L8</f>
        <v>986.3076290832455</v>
      </c>
      <c r="K14" s="147">
        <f>+E22</f>
        <v>10117.427</v>
      </c>
      <c r="L14" s="18" t="str">
        <f>IF(K14&gt;=J14,"CUMPLE","NO CUMPLE")</f>
        <v>CUMPLE</v>
      </c>
    </row>
    <row r="15" spans="1:12" ht="33.75" customHeight="1" x14ac:dyDescent="0.2">
      <c r="B15" s="382"/>
      <c r="C15" s="92" t="str">
        <f>IF(VLOOKUP(C11,PROPONENTES!B10:N94,2,FALSE)=0,"",VLOOKUP(C11,PROPONENTES!B10:N94,2,FALSE))</f>
        <v>AFA CONSULTORES Y CONSTRUCTORES S.A</v>
      </c>
      <c r="D15" s="93">
        <f>IF(VLOOKUP(C11,PROPONENTES!B10:N94,3,FALSE)=0,"",VLOOKUP(C11,PROPONENTES!B10:N94,3,FALSE))</f>
        <v>0.9</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10117.427</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INTECON CONSULTORES S.A.S</v>
      </c>
      <c r="D16" s="93">
        <f>IF(VLOOKUP(C11,PROPONENTES!B10:N94,5,FALSE)=0,"",VLOOKUP(C11,PROPONENTES!B10:N94,5,FALSE))</f>
        <v>0.1</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0</v>
      </c>
      <c r="F16" s="95" t="str">
        <f>IF(C16="","",IF(E16&gt;=$J$14*0.5,"SI","NO"))</f>
        <v>NO</v>
      </c>
      <c r="G16" s="96" t="str">
        <f>IF(C16="","",IF(E16&gt;=$J$14*0.05,"SI",IF(E16=0,"NO APORTA EXPERIENCIA",)))</f>
        <v>NO APORTA EXPERIENCIA</v>
      </c>
      <c r="H16" s="96" t="str">
        <f>IF(C16="","",IF(AND(G16="NO APORTA EXPERIENCIA",D16&lt;=10%),"SI",IF(G16="SI","NO APLICA","NO - PORCENTAJE MAYOR AL 10%")))</f>
        <v>SI</v>
      </c>
      <c r="I16" s="162"/>
      <c r="J16" s="162"/>
      <c r="K16" s="162"/>
      <c r="L16" s="161">
        <f>AVERAGEIF(D67:J67,"CUMPLE",D48:J48)</f>
        <v>2529.3567499999999</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4</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4</v>
      </c>
      <c r="J19" s="128">
        <v>1</v>
      </c>
      <c r="K19" s="387"/>
      <c r="L19" s="388"/>
    </row>
    <row r="20" spans="2:14" ht="50.25" customHeight="1" x14ac:dyDescent="0.2">
      <c r="B20" s="382"/>
      <c r="C20" s="92"/>
      <c r="D20" s="93"/>
      <c r="E20" s="94"/>
      <c r="F20" s="95"/>
      <c r="G20" s="96"/>
      <c r="H20" s="96"/>
      <c r="I20" s="128">
        <f>COUNTIFS(D60:J60,"CUMPLE",D67:J67,"CUMPLE")</f>
        <v>4</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4</v>
      </c>
      <c r="J21" s="128">
        <v>1</v>
      </c>
      <c r="K21" s="389"/>
      <c r="L21" s="390"/>
    </row>
    <row r="22" spans="2:14" ht="84.75" customHeight="1" x14ac:dyDescent="0.2">
      <c r="B22" s="29" t="s">
        <v>75</v>
      </c>
      <c r="C22" s="24">
        <f>+VLOOKUP(C11,PROPONENTES!B10:N94,12,FALSE)</f>
        <v>2</v>
      </c>
      <c r="D22" s="93">
        <f>+VLOOKUP(C11,PROPONENTES!B10:N94,13,FALSE)</f>
        <v>1</v>
      </c>
      <c r="E22" s="32">
        <f>SUM(E15:E21)</f>
        <v>10117.427</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1055</v>
      </c>
      <c r="E26" s="84" t="s">
        <v>1055</v>
      </c>
      <c r="F26" s="84" t="s">
        <v>1055</v>
      </c>
      <c r="G26" s="84" t="s">
        <v>1055</v>
      </c>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1093</v>
      </c>
      <c r="E29" s="85" t="s">
        <v>1094</v>
      </c>
      <c r="F29" s="85" t="s">
        <v>1095</v>
      </c>
      <c r="G29" s="85" t="s">
        <v>1096</v>
      </c>
      <c r="H29" s="85"/>
      <c r="I29" s="85"/>
      <c r="J29" s="85"/>
      <c r="K29" s="145"/>
      <c r="L29" s="140"/>
    </row>
    <row r="30" spans="2:14" ht="156.75" customHeight="1" x14ac:dyDescent="0.2">
      <c r="B30" s="374"/>
      <c r="C30" s="25" t="s">
        <v>84</v>
      </c>
      <c r="D30" s="85" t="s">
        <v>1097</v>
      </c>
      <c r="E30" s="85" t="s">
        <v>1098</v>
      </c>
      <c r="F30" s="85" t="s">
        <v>1099</v>
      </c>
      <c r="G30" s="85" t="s">
        <v>1100</v>
      </c>
      <c r="H30" s="85"/>
      <c r="I30" s="85"/>
      <c r="J30" s="85"/>
      <c r="K30" s="426" t="s">
        <v>1106</v>
      </c>
      <c r="L30" s="427"/>
    </row>
    <row r="31" spans="2:14" ht="52.5" customHeight="1" x14ac:dyDescent="0.2">
      <c r="B31" s="374"/>
      <c r="C31" s="25" t="s">
        <v>85</v>
      </c>
      <c r="D31" s="89">
        <v>37467</v>
      </c>
      <c r="E31" s="89">
        <v>41995</v>
      </c>
      <c r="F31" s="89">
        <v>35309</v>
      </c>
      <c r="G31" s="89">
        <v>44314</v>
      </c>
      <c r="H31" s="89"/>
      <c r="I31" s="89"/>
      <c r="J31" s="89"/>
      <c r="K31" s="145"/>
      <c r="L31" s="140"/>
    </row>
    <row r="32" spans="2:14" ht="54.75" customHeight="1" x14ac:dyDescent="0.2">
      <c r="B32" s="374"/>
      <c r="C32" s="25" t="s">
        <v>86</v>
      </c>
      <c r="D32" s="89">
        <v>37863</v>
      </c>
      <c r="E32" s="89">
        <v>42353</v>
      </c>
      <c r="F32" s="89">
        <v>35941</v>
      </c>
      <c r="G32" s="89">
        <v>45169</v>
      </c>
      <c r="H32" s="89"/>
      <c r="I32" s="89"/>
      <c r="J32" s="89"/>
      <c r="K32" s="145"/>
      <c r="L32" s="140"/>
    </row>
    <row r="33" spans="2:12" ht="41.25" customHeight="1" x14ac:dyDescent="0.2">
      <c r="B33" s="374"/>
      <c r="C33" s="25" t="s">
        <v>87</v>
      </c>
      <c r="D33" s="86">
        <v>2003</v>
      </c>
      <c r="E33" s="86">
        <v>2015</v>
      </c>
      <c r="F33" s="86">
        <v>1998</v>
      </c>
      <c r="G33" s="86">
        <v>2023</v>
      </c>
      <c r="H33" s="86"/>
      <c r="I33" s="86"/>
      <c r="J33" s="86"/>
      <c r="K33" s="145"/>
      <c r="L33" s="140"/>
    </row>
    <row r="34" spans="2:12" ht="63" customHeight="1" x14ac:dyDescent="0.2">
      <c r="B34" s="374"/>
      <c r="C34" s="25" t="s">
        <v>88</v>
      </c>
      <c r="D34" s="85" t="s">
        <v>1101</v>
      </c>
      <c r="E34" s="85" t="s">
        <v>1102</v>
      </c>
      <c r="F34" s="85" t="s">
        <v>1103</v>
      </c>
      <c r="G34" s="85" t="s">
        <v>1104</v>
      </c>
      <c r="H34" s="85"/>
      <c r="I34" s="85"/>
      <c r="J34" s="85"/>
      <c r="K34" s="145"/>
      <c r="L34" s="140"/>
    </row>
    <row r="35" spans="2:12" ht="46.5" customHeight="1" x14ac:dyDescent="0.2">
      <c r="B35" s="374"/>
      <c r="C35" s="25" t="s">
        <v>89</v>
      </c>
      <c r="D35" s="85" t="s">
        <v>1105</v>
      </c>
      <c r="E35" s="85" t="s">
        <v>1105</v>
      </c>
      <c r="F35" s="85" t="s">
        <v>1105</v>
      </c>
      <c r="G35" s="85" t="s">
        <v>1105</v>
      </c>
      <c r="H35" s="85"/>
      <c r="I35" s="85"/>
      <c r="J35" s="85"/>
      <c r="K35" s="145"/>
      <c r="L35" s="140"/>
    </row>
    <row r="36" spans="2:12" ht="27.75" customHeight="1" x14ac:dyDescent="0.2">
      <c r="B36" s="374"/>
      <c r="C36" s="26" t="s">
        <v>90</v>
      </c>
      <c r="D36" s="90">
        <v>41</v>
      </c>
      <c r="E36" s="90">
        <v>49</v>
      </c>
      <c r="F36" s="90">
        <v>55</v>
      </c>
      <c r="G36" s="91">
        <v>86</v>
      </c>
      <c r="H36" s="91"/>
      <c r="I36" s="91"/>
      <c r="J36" s="91"/>
      <c r="K36" s="145"/>
      <c r="L36" s="140"/>
    </row>
    <row r="37" spans="2:12" ht="102.75" customHeight="1" x14ac:dyDescent="0.2">
      <c r="B37" s="374"/>
      <c r="C37" s="25" t="s">
        <v>91</v>
      </c>
      <c r="D37" s="87">
        <v>1222.9100000000001</v>
      </c>
      <c r="E37" s="158">
        <v>1541.22</v>
      </c>
      <c r="F37" s="87">
        <v>3891.87</v>
      </c>
      <c r="G37" s="87">
        <v>11577.57</v>
      </c>
      <c r="H37" s="87"/>
      <c r="I37" s="87"/>
      <c r="J37" s="87"/>
      <c r="K37" s="242"/>
      <c r="L37" s="243"/>
    </row>
    <row r="38" spans="2:12" ht="48" customHeight="1" x14ac:dyDescent="0.2">
      <c r="B38" s="374"/>
      <c r="C38" s="25" t="s">
        <v>92</v>
      </c>
      <c r="D38" s="97">
        <f>IFERROR(D37*VLOOKUP(D33,'DATOS INICIALES'!$A$12:$B$50,2,0),"0")</f>
        <v>406006120</v>
      </c>
      <c r="E38" s="97">
        <f>IFERROR(E37*VLOOKUP(E33,'DATOS INICIALES'!$A$12:$B$50,2,0),"0")</f>
        <v>993085107</v>
      </c>
      <c r="F38" s="97">
        <f>IFERROR(F37*VLOOKUP(F33,'DATOS INICIALES'!$A$12:$B$50,2,0),"0")</f>
        <v>793264294.62</v>
      </c>
      <c r="G38" s="97">
        <f>IFERROR(G37*VLOOKUP(G33,'DATOS INICIALES'!$A$12:$B$50,2,0),"0")</f>
        <v>13429981200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1</v>
      </c>
      <c r="E39" s="88">
        <v>0.5</v>
      </c>
      <c r="F39" s="88">
        <v>0.6</v>
      </c>
      <c r="G39" s="88">
        <v>0.5</v>
      </c>
      <c r="H39" s="88"/>
      <c r="I39" s="88"/>
      <c r="J39" s="88"/>
      <c r="K39" s="145"/>
      <c r="L39" s="140"/>
    </row>
    <row r="40" spans="2:12" ht="48.75" customHeight="1" x14ac:dyDescent="0.2">
      <c r="B40" s="374"/>
      <c r="C40" s="25" t="s">
        <v>94</v>
      </c>
      <c r="D40" s="97">
        <f t="shared" ref="D40:J40" si="0">IF(D26="","0",D39*D38)</f>
        <v>406006120</v>
      </c>
      <c r="E40" s="97">
        <f t="shared" si="0"/>
        <v>496542553.5</v>
      </c>
      <c r="F40" s="97">
        <f t="shared" si="0"/>
        <v>475958576.77200001</v>
      </c>
      <c r="G40" s="97">
        <f t="shared" si="0"/>
        <v>6714990600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1222.9100000000001</v>
      </c>
      <c r="E41" s="98">
        <f t="shared" si="1"/>
        <v>770.61</v>
      </c>
      <c r="F41" s="98">
        <f t="shared" si="1"/>
        <v>2335.1219999999998</v>
      </c>
      <c r="G41" s="98">
        <f t="shared" si="1"/>
        <v>5788.7849999999999</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1222.9100000000001</v>
      </c>
      <c r="E48" s="98">
        <f t="shared" ref="E48:G48" si="6">+E41+E44+E47</f>
        <v>770.61</v>
      </c>
      <c r="F48" s="98">
        <f t="shared" si="6"/>
        <v>2335.1219999999998</v>
      </c>
      <c r="G48" s="98">
        <f t="shared" si="6"/>
        <v>5788.7849999999999</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CUMPLE</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CUMPLE</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2">
    <mergeCell ref="B72:C72"/>
    <mergeCell ref="B65:C65"/>
    <mergeCell ref="B66:C66"/>
    <mergeCell ref="B67:C67"/>
    <mergeCell ref="B69:E69"/>
    <mergeCell ref="B56:C56"/>
    <mergeCell ref="B57:C57"/>
    <mergeCell ref="B58:C58"/>
    <mergeCell ref="B70:C70"/>
    <mergeCell ref="B71:C71"/>
    <mergeCell ref="B62:C62"/>
    <mergeCell ref="B63:C63"/>
    <mergeCell ref="B64:C64"/>
    <mergeCell ref="B59:C59"/>
    <mergeCell ref="B60:C60"/>
    <mergeCell ref="B61:C61"/>
    <mergeCell ref="C8:I8"/>
    <mergeCell ref="C9:I9"/>
    <mergeCell ref="C10:I10"/>
    <mergeCell ref="B23:L23"/>
    <mergeCell ref="I22:L22"/>
    <mergeCell ref="C11:G11"/>
    <mergeCell ref="I11:L11"/>
    <mergeCell ref="K18:L21"/>
    <mergeCell ref="B2:L2"/>
    <mergeCell ref="B3:L3"/>
    <mergeCell ref="B4:L4"/>
    <mergeCell ref="B5:L5"/>
    <mergeCell ref="B7:I7"/>
    <mergeCell ref="J7:L7"/>
    <mergeCell ref="B50:B55"/>
    <mergeCell ref="B28:C28"/>
    <mergeCell ref="B29:B47"/>
    <mergeCell ref="B12:L12"/>
    <mergeCell ref="B13:H13"/>
    <mergeCell ref="B14:B21"/>
    <mergeCell ref="K17:L17"/>
    <mergeCell ref="K30:L30"/>
    <mergeCell ref="B24:L24"/>
    <mergeCell ref="K25:L25"/>
    <mergeCell ref="B26:C26"/>
    <mergeCell ref="B27:C27"/>
  </mergeCells>
  <conditionalFormatting sqref="D71">
    <cfRule type="cellIs" dxfId="1392" priority="77" operator="equal">
      <formula>"CUMPLE"</formula>
    </cfRule>
    <cfRule type="cellIs" dxfId="1391" priority="76" operator="equal">
      <formula>"NO CUMPLE"</formula>
    </cfRule>
    <cfRule type="containsBlanks" dxfId="1390" priority="74">
      <formula>LEN(TRIM(D71))=0</formula>
    </cfRule>
    <cfRule type="notContainsErrors" dxfId="1389" priority="75">
      <formula>NOT(ISERROR(D71))</formula>
    </cfRule>
  </conditionalFormatting>
  <conditionalFormatting sqref="D72">
    <cfRule type="cellIs" dxfId="1388" priority="78" operator="equal">
      <formula>"N/A"</formula>
    </cfRule>
    <cfRule type="cellIs" dxfId="1387" priority="80" operator="equal">
      <formula>"NO CUMPLE"</formula>
    </cfRule>
    <cfRule type="cellIs" dxfId="1386" priority="79" operator="equal">
      <formula>"CUMPLE"</formula>
    </cfRule>
    <cfRule type="cellIs" dxfId="1385" priority="81" operator="equal">
      <formula>"""CUMPLE"""</formula>
    </cfRule>
  </conditionalFormatting>
  <conditionalFormatting sqref="D26:J37">
    <cfRule type="notContainsErrors" dxfId="1384" priority="6">
      <formula>NOT(ISERROR(D26))</formula>
    </cfRule>
    <cfRule type="containsBlanks" dxfId="1383" priority="5">
      <formula>LEN(TRIM(D26))=0</formula>
    </cfRule>
  </conditionalFormatting>
  <conditionalFormatting sqref="D36:J36">
    <cfRule type="notContainsErrors" dxfId="1382" priority="8">
      <formula>NOT(ISERROR(D36))</formula>
    </cfRule>
    <cfRule type="containsBlanks" dxfId="1381" priority="7">
      <formula>LEN(TRIM(D36))=0</formula>
    </cfRule>
  </conditionalFormatting>
  <conditionalFormatting sqref="D39:J39">
    <cfRule type="containsBlanks" dxfId="1380" priority="3">
      <formula>LEN(TRIM(D39))=0</formula>
    </cfRule>
    <cfRule type="notContainsErrors" dxfId="1379" priority="4">
      <formula>NOT(ISERROR(D39))</formula>
    </cfRule>
  </conditionalFormatting>
  <conditionalFormatting sqref="D42:J42 D45:J45">
    <cfRule type="notContainsErrors" dxfId="1378" priority="40">
      <formula>NOT(ISERROR(D42))</formula>
    </cfRule>
    <cfRule type="containsBlanks" dxfId="1377" priority="39">
      <formula>LEN(TRIM(D42))=0</formula>
    </cfRule>
  </conditionalFormatting>
  <conditionalFormatting sqref="D49:J54">
    <cfRule type="notContainsErrors" dxfId="1376" priority="22">
      <formula>NOT(ISERROR(D49))</formula>
    </cfRule>
    <cfRule type="containsBlanks" dxfId="1375" priority="21">
      <formula>LEN(TRIM(D49))=0</formula>
    </cfRule>
    <cfRule type="cellIs" dxfId="1374" priority="19" operator="equal">
      <formula>"NO CUMPLE"</formula>
    </cfRule>
    <cfRule type="cellIs" dxfId="1373" priority="20" operator="equal">
      <formula>"CUMPLE"</formula>
    </cfRule>
  </conditionalFormatting>
  <conditionalFormatting sqref="D55:J55">
    <cfRule type="cellIs" dxfId="1372" priority="31" operator="equal">
      <formula>"NO CUMPLE"</formula>
    </cfRule>
    <cfRule type="cellIs" dxfId="1371" priority="32" operator="equal">
      <formula>"""CUMPLE"""</formula>
    </cfRule>
    <cfRule type="cellIs" dxfId="1370" priority="29" operator="equal">
      <formula>"N/A"</formula>
    </cfRule>
    <cfRule type="cellIs" dxfId="1369" priority="30" operator="equal">
      <formula>"CUMPLE"</formula>
    </cfRule>
  </conditionalFormatting>
  <conditionalFormatting sqref="D56:J66">
    <cfRule type="cellIs" dxfId="1368" priority="14" operator="equal">
      <formula>"CUMPLE"</formula>
    </cfRule>
    <cfRule type="cellIs" dxfId="1367" priority="13" operator="equal">
      <formula>"NO CUMPLE"</formula>
    </cfRule>
    <cfRule type="containsBlanks" dxfId="1366" priority="15">
      <formula>LEN(TRIM(D56))=0</formula>
    </cfRule>
    <cfRule type="notContainsErrors" dxfId="1365" priority="16">
      <formula>NOT(ISERROR(D56))</formula>
    </cfRule>
  </conditionalFormatting>
  <conditionalFormatting sqref="D62:J62">
    <cfRule type="notContainsErrors" dxfId="1364" priority="12">
      <formula>NOT(ISERROR(D62))</formula>
    </cfRule>
    <cfRule type="containsBlanks" dxfId="1363" priority="11">
      <formula>LEN(TRIM(D62))=0</formula>
    </cfRule>
  </conditionalFormatting>
  <conditionalFormatting sqref="D67:J67">
    <cfRule type="cellIs" dxfId="1362" priority="26" operator="equal">
      <formula>"CUMPLE"</formula>
    </cfRule>
    <cfRule type="cellIs" dxfId="1361" priority="25" operator="equal">
      <formula>"N/A"</formula>
    </cfRule>
    <cfRule type="cellIs" dxfId="1360" priority="27" operator="equal">
      <formula>"NO CUMPLE"</formula>
    </cfRule>
    <cfRule type="cellIs" dxfId="1359" priority="28" operator="equal">
      <formula>"""CUMPLE"""</formula>
    </cfRule>
  </conditionalFormatting>
  <conditionalFormatting sqref="D62:K66">
    <cfRule type="containsBlanks" dxfId="1358" priority="17">
      <formula>LEN(TRIM(D62))=0</formula>
    </cfRule>
    <cfRule type="notContainsErrors" dxfId="1357" priority="18">
      <formula>NOT(ISERROR(D62))</formula>
    </cfRule>
  </conditionalFormatting>
  <conditionalFormatting sqref="E71:E72">
    <cfRule type="notContainsErrors" dxfId="1356" priority="73">
      <formula>NOT(ISERROR(E71))</formula>
    </cfRule>
    <cfRule type="containsBlanks" dxfId="1355" priority="72">
      <formula>LEN(TRIM(E71))=0</formula>
    </cfRule>
  </conditionalFormatting>
  <conditionalFormatting sqref="F22:H22">
    <cfRule type="cellIs" dxfId="1354" priority="96" operator="equal">
      <formula>"NO CUMPLE"</formula>
    </cfRule>
    <cfRule type="cellIs" dxfId="1353" priority="95" operator="equal">
      <formula>"CUMPLE"</formula>
    </cfRule>
    <cfRule type="cellIs" dxfId="1352" priority="97" operator="equal">
      <formula>"""CUMPLE"""</formula>
    </cfRule>
  </conditionalFormatting>
  <conditionalFormatting sqref="G63:J63">
    <cfRule type="containsBlanks" dxfId="1351" priority="9">
      <formula>LEN(TRIM(G63))=0</formula>
    </cfRule>
    <cfRule type="notContainsErrors" dxfId="1350" priority="10">
      <formula>NOT(ISERROR(G63))</formula>
    </cfRule>
  </conditionalFormatting>
  <conditionalFormatting sqref="I11">
    <cfRule type="containsText" dxfId="1349" priority="101" operator="containsText" text="NO CUMPLE">
      <formula>NOT(ISERROR(SEARCH("NO CUMPLE",I11)))</formula>
    </cfRule>
    <cfRule type="containsText" dxfId="1348" priority="100" operator="containsText" text="HABILITADO">
      <formula>NOT(ISERROR(SEARCH("HABILITADO",I11)))</formula>
    </cfRule>
    <cfRule type="containsText" dxfId="1347" priority="99" operator="containsText" text="HABILITADO">
      <formula>NOT(ISERROR(SEARCH("HABILITADO",I11)))</formula>
    </cfRule>
    <cfRule type="containsText" dxfId="1346" priority="98" operator="containsText" text="INHABILITADO">
      <formula>NOT(ISERROR(SEARCH("INHABILITADO",I11)))</formula>
    </cfRule>
  </conditionalFormatting>
  <conditionalFormatting sqref="K18:K20">
    <cfRule type="cellIs" dxfId="1345" priority="70" operator="equal">
      <formula>"NO CUMPLE"</formula>
    </cfRule>
    <cfRule type="cellIs" dxfId="1344" priority="69" operator="equal">
      <formula>"CUMPLE"</formula>
    </cfRule>
    <cfRule type="cellIs" dxfId="1343" priority="71" operator="equal">
      <formula>"""CUMPLE"""</formula>
    </cfRule>
  </conditionalFormatting>
  <conditionalFormatting sqref="K26:K61">
    <cfRule type="containsBlanks" dxfId="1342" priority="1">
      <formula>LEN(TRIM(K26))=0</formula>
    </cfRule>
    <cfRule type="notContainsErrors" dxfId="1341" priority="2">
      <formula>NOT(ISERROR(K26))</formula>
    </cfRule>
  </conditionalFormatting>
  <conditionalFormatting sqref="K67:L67">
    <cfRule type="containsBlanks" dxfId="1340" priority="23">
      <formula>LEN(TRIM(K67))=0</formula>
    </cfRule>
    <cfRule type="notContainsErrors" dxfId="1339" priority="24">
      <formula>NOT(ISERROR(K67))</formula>
    </cfRule>
  </conditionalFormatting>
  <conditionalFormatting sqref="L14">
    <cfRule type="cellIs" dxfId="1338" priority="94" operator="equal">
      <formula>"""CUMPLE"""</formula>
    </cfRule>
    <cfRule type="cellIs" dxfId="1337" priority="93" operator="equal">
      <formula>"NO CUMPLE"</formula>
    </cfRule>
    <cfRule type="cellIs" dxfId="1336" priority="92" operator="equal">
      <formula>"CUMPLE"</formula>
    </cfRule>
  </conditionalFormatting>
  <dataValidations count="2">
    <dataValidation type="list" allowBlank="1" showInputMessage="1" showErrorMessage="1" sqref="D26:J28" xr:uid="{00000000-0002-0000-4B00-000000000000}">
      <formula1>$C$15:$C$21</formula1>
    </dataValidation>
    <dataValidation type="list" allowBlank="1" showInputMessage="1" showErrorMessage="1" sqref="L62:L67" xr:uid="{00000000-0002-0000-4B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4B00-000002000000}">
          <x14:formula1>
            <xm:f>'DATOS INICIALES'!$D$27:$D$29</xm:f>
          </x14:formula1>
          <xm:sqref>M50:M55</xm:sqref>
        </x14:dataValidation>
        <x14:dataValidation type="list" allowBlank="1" showInputMessage="1" showErrorMessage="1" xr:uid="{00000000-0002-0000-4B00-000003000000}">
          <x14:formula1>
            <xm:f>'DATOS INICIALES'!$A$13:$A$50</xm:f>
          </x14:formula1>
          <xm:sqref>H33:I33</xm:sqref>
        </x14:dataValidation>
        <x14:dataValidation type="list" allowBlank="1" showInputMessage="1" showErrorMessage="1" xr:uid="{00000000-0002-0000-4B00-000004000000}">
          <x14:formula1>
            <xm:f>'DATOS INICIALES'!$A$61:$A$66</xm:f>
          </x14:formula1>
          <xm:sqref>D25:I25</xm:sqref>
        </x14:dataValidation>
        <x14:dataValidation type="list" allowBlank="1" showInputMessage="1" showErrorMessage="1" xr:uid="{00000000-0002-0000-4B00-000005000000}">
          <x14:formula1>
            <xm:f>'DATOS INICIALES'!$A$57:$A$59</xm:f>
          </x14:formula1>
          <xm:sqref>D71 D56:J66</xm:sqref>
        </x14:dataValidation>
        <x14:dataValidation type="list" allowBlank="1" showInputMessage="1" showErrorMessage="1" xr:uid="{00000000-0002-0000-4B00-000006000000}">
          <x14:formula1>
            <xm:f>'DATOS INICIALES'!$C$52:$C$53</xm:f>
          </x14:formula1>
          <xm:sqref>D53:J54</xm:sqref>
        </x14:dataValidation>
        <x14:dataValidation type="list" allowBlank="1" showInputMessage="1" showErrorMessage="1" xr:uid="{00000000-0002-0000-4B00-000007000000}">
          <x14:formula1>
            <xm:f>'DATOS INICIALES'!$A$61:$A$67</xm:f>
          </x14:formula1>
          <xm:sqref>J25</xm:sqref>
        </x14:dataValidation>
        <x14:dataValidation type="list" allowBlank="1" showInputMessage="1" showErrorMessage="1" xr:uid="{00000000-0002-0000-4B00-000008000000}">
          <x14:formula1>
            <xm:f>'DATOS INICIALES'!$A$57:$A$58</xm:f>
          </x14:formula1>
          <xm:sqref>D49:J49</xm:sqref>
        </x14:dataValidation>
        <x14:dataValidation type="list" allowBlank="1" showInputMessage="1" showErrorMessage="1" xr:uid="{00000000-0002-0000-4B00-000009000000}">
          <x14:formula1>
            <xm:f>'DATOS INICIALES'!$C$52:$C$54</xm:f>
          </x14:formula1>
          <xm:sqref>D50:J52</xm:sqref>
        </x14:dataValidation>
        <x14:dataValidation type="list" allowBlank="1" showInputMessage="1" showErrorMessage="1" xr:uid="{00000000-0002-0000-4B00-00000A000000}">
          <x14:formula1>
            <xm:f>'/Users/ldrr/Desktop/SDDE/REVISION DE CARPETAS/C:\Users\ASUS\OneDrive\Escritorio\alcaldia local de usaquen\2025\16. EVALUACION DE PROCESOS\INTERVENTORIA DE VIAS\consolidado equipo\[CRISTIAN_ Evaluación_Tecnica_fdlusa-CMA-003-2025 CM 65-74.xlsx]DATOS INICIALES'!#REF!</xm:f>
          </x14:formula1>
          <xm:sqref>G33</xm:sqref>
        </x14:dataValidation>
      </x14:dataValidations>
    </ext>
  </extLst>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tabColor rgb="FF92D050"/>
  </sheetPr>
  <dimension ref="A1:N72"/>
  <sheetViews>
    <sheetView view="pageBreakPreview" topLeftCell="A31" zoomScale="40" zoomScaleNormal="25" zoomScaleSheetLayoutView="40" workbookViewId="0">
      <selection activeCell="H37" sqref="H37"/>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52"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71</v>
      </c>
      <c r="B11" s="2" t="s">
        <v>58</v>
      </c>
      <c r="C11" s="413" t="str">
        <f>VLOOKUP(A11,PROPONENTES!A10:B94,2,FALSE)</f>
        <v>PIV Ingenieria S.A.S.</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3</v>
      </c>
      <c r="J14" s="147">
        <f>+L8</f>
        <v>986.3076290832455</v>
      </c>
      <c r="K14" s="147">
        <f>+E22</f>
        <v>4908.2147181789896</v>
      </c>
      <c r="L14" s="18" t="str">
        <f>IF(K14&gt;=J14,"CUMPLE","NO CUMPLE")</f>
        <v>CUMPLE</v>
      </c>
    </row>
    <row r="15" spans="1:12" ht="33.75" customHeight="1" x14ac:dyDescent="0.2">
      <c r="B15" s="382"/>
      <c r="C15" s="92" t="str">
        <f>IF(VLOOKUP(C11,PROPONENTES!B10:N94,2,FALSE)=0,"",VLOOKUP(C11,PROPONENTES!B10:N94,2,FALSE))</f>
        <v>PIV Ingenieria S.A.S.</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4908.2147181789896</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1636.0715727263298</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3</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3</v>
      </c>
      <c r="J19" s="128">
        <v>1</v>
      </c>
      <c r="K19" s="387"/>
      <c r="L19" s="388"/>
    </row>
    <row r="20" spans="2:14" ht="50.25" customHeight="1" x14ac:dyDescent="0.2">
      <c r="B20" s="382"/>
      <c r="C20" s="92"/>
      <c r="D20" s="93"/>
      <c r="E20" s="94"/>
      <c r="F20" s="95"/>
      <c r="G20" s="96"/>
      <c r="H20" s="96"/>
      <c r="I20" s="128">
        <f>COUNTIFS(D60:J60,"CUMPLE",D67:J67,"CUMPLE")</f>
        <v>3</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3</v>
      </c>
      <c r="J21" s="128">
        <v>1</v>
      </c>
      <c r="K21" s="389"/>
      <c r="L21" s="390"/>
    </row>
    <row r="22" spans="2:14" ht="84.75" customHeight="1" x14ac:dyDescent="0.2">
      <c r="B22" s="29" t="s">
        <v>75</v>
      </c>
      <c r="C22" s="24">
        <f>+VLOOKUP(C11,PROPONENTES!B10:N94,12,FALSE)</f>
        <v>1</v>
      </c>
      <c r="D22" s="93">
        <f>+VLOOKUP(C11,PROPONENTES!B10:N94,13,FALSE)</f>
        <v>1</v>
      </c>
      <c r="E22" s="32">
        <f>SUM(E15:E21)</f>
        <v>4908.2147181789896</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271</v>
      </c>
      <c r="E26" s="84" t="s">
        <v>271</v>
      </c>
      <c r="F26" s="84" t="s">
        <v>271</v>
      </c>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1107</v>
      </c>
      <c r="E29" s="85" t="s">
        <v>1108</v>
      </c>
      <c r="F29" s="85" t="s">
        <v>1109</v>
      </c>
      <c r="G29" s="85"/>
      <c r="H29" s="85"/>
      <c r="I29" s="85"/>
      <c r="J29" s="85"/>
      <c r="K29" s="145"/>
      <c r="L29" s="140"/>
    </row>
    <row r="30" spans="2:14" ht="156.75" customHeight="1" x14ac:dyDescent="0.2">
      <c r="B30" s="374"/>
      <c r="C30" s="25" t="s">
        <v>84</v>
      </c>
      <c r="D30" s="85" t="s">
        <v>1110</v>
      </c>
      <c r="E30" s="85" t="s">
        <v>1111</v>
      </c>
      <c r="F30" s="85" t="s">
        <v>1112</v>
      </c>
      <c r="G30" s="85"/>
      <c r="H30" s="85"/>
      <c r="I30" s="85"/>
      <c r="J30" s="85"/>
      <c r="K30" s="145"/>
      <c r="L30" s="140"/>
    </row>
    <row r="31" spans="2:14" ht="52.5" customHeight="1" x14ac:dyDescent="0.2">
      <c r="B31" s="374"/>
      <c r="C31" s="25" t="s">
        <v>85</v>
      </c>
      <c r="D31" s="89">
        <v>41257</v>
      </c>
      <c r="E31" s="89">
        <v>36595</v>
      </c>
      <c r="F31" s="89">
        <v>36950</v>
      </c>
      <c r="G31" s="89"/>
      <c r="H31" s="89"/>
      <c r="I31" s="89"/>
      <c r="J31" s="89"/>
      <c r="K31" s="145"/>
      <c r="L31" s="140"/>
    </row>
    <row r="32" spans="2:14" ht="54.75" customHeight="1" x14ac:dyDescent="0.2">
      <c r="B32" s="374"/>
      <c r="C32" s="25" t="s">
        <v>86</v>
      </c>
      <c r="D32" s="89">
        <v>42564</v>
      </c>
      <c r="E32" s="89">
        <v>36976</v>
      </c>
      <c r="F32" s="89">
        <v>37361</v>
      </c>
      <c r="G32" s="89"/>
      <c r="H32" s="89"/>
      <c r="I32" s="89"/>
      <c r="J32" s="89"/>
      <c r="K32" s="145"/>
      <c r="L32" s="140"/>
    </row>
    <row r="33" spans="2:12" ht="41.25" customHeight="1" x14ac:dyDescent="0.2">
      <c r="B33" s="374"/>
      <c r="C33" s="25" t="s">
        <v>87</v>
      </c>
      <c r="D33" s="86">
        <v>2016</v>
      </c>
      <c r="E33" s="86">
        <v>2001</v>
      </c>
      <c r="F33" s="86">
        <v>2002</v>
      </c>
      <c r="G33" s="86"/>
      <c r="H33" s="86"/>
      <c r="I33" s="86"/>
      <c r="J33" s="86"/>
      <c r="K33" s="145"/>
      <c r="L33" s="140"/>
    </row>
    <row r="34" spans="2:12" ht="63" customHeight="1" x14ac:dyDescent="0.2">
      <c r="B34" s="374"/>
      <c r="C34" s="25" t="s">
        <v>88</v>
      </c>
      <c r="D34" s="85" t="s">
        <v>1113</v>
      </c>
      <c r="E34" s="85" t="s">
        <v>1114</v>
      </c>
      <c r="F34" s="85" t="s">
        <v>1113</v>
      </c>
      <c r="G34" s="85"/>
      <c r="H34" s="85"/>
      <c r="I34" s="85"/>
      <c r="J34" s="85"/>
      <c r="K34" s="145"/>
      <c r="L34" s="140"/>
    </row>
    <row r="35" spans="2:12" ht="46.5" customHeight="1" x14ac:dyDescent="0.2">
      <c r="B35" s="374"/>
      <c r="C35" s="25" t="s">
        <v>89</v>
      </c>
      <c r="D35" s="85" t="s">
        <v>1115</v>
      </c>
      <c r="E35" s="85" t="s">
        <v>1115</v>
      </c>
      <c r="F35" s="85" t="s">
        <v>1115</v>
      </c>
      <c r="G35" s="85"/>
      <c r="H35" s="85"/>
      <c r="I35" s="85"/>
      <c r="J35" s="85"/>
      <c r="K35" s="145"/>
      <c r="L35" s="140"/>
    </row>
    <row r="36" spans="2:12" ht="27.75" customHeight="1" x14ac:dyDescent="0.2">
      <c r="B36" s="374"/>
      <c r="C36" s="26" t="s">
        <v>90</v>
      </c>
      <c r="D36" s="90">
        <v>188</v>
      </c>
      <c r="E36" s="90">
        <v>179</v>
      </c>
      <c r="F36" s="90">
        <v>128</v>
      </c>
      <c r="G36" s="91"/>
      <c r="H36" s="91"/>
      <c r="I36" s="91"/>
      <c r="J36" s="91"/>
      <c r="K36" s="145"/>
      <c r="L36" s="140"/>
    </row>
    <row r="37" spans="2:12" ht="102.75" customHeight="1" x14ac:dyDescent="0.2">
      <c r="B37" s="374"/>
      <c r="C37" s="25" t="s">
        <v>91</v>
      </c>
      <c r="D37" s="87">
        <v>7349.7</v>
      </c>
      <c r="E37" s="158">
        <v>2946.2819615384601</v>
      </c>
      <c r="F37" s="87">
        <v>3493.7668478964401</v>
      </c>
      <c r="G37" s="87"/>
      <c r="H37" s="87"/>
      <c r="I37" s="87"/>
      <c r="J37" s="87"/>
      <c r="K37" s="242"/>
      <c r="L37" s="243"/>
    </row>
    <row r="38" spans="2:12" ht="48" customHeight="1" x14ac:dyDescent="0.2">
      <c r="B38" s="374"/>
      <c r="C38" s="25" t="s">
        <v>92</v>
      </c>
      <c r="D38" s="97">
        <f>IFERROR(D37*VLOOKUP(D33,'DATOS INICIALES'!$A$12:$B$50,2,0),"0")</f>
        <v>5067287413.5</v>
      </c>
      <c r="E38" s="97">
        <f>IFERROR(E37*VLOOKUP(E33,'DATOS INICIALES'!$A$12:$B$50,2,0),"0")</f>
        <v>842636640.99999964</v>
      </c>
      <c r="F38" s="97">
        <f>IFERROR(F37*VLOOKUP(F33,'DATOS INICIALES'!$A$12:$B$50,2,0),"0")</f>
        <v>1079573956</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0.37</v>
      </c>
      <c r="E39" s="88">
        <v>0.15</v>
      </c>
      <c r="F39" s="88">
        <v>0.5</v>
      </c>
      <c r="G39" s="88"/>
      <c r="H39" s="88"/>
      <c r="I39" s="88"/>
      <c r="J39" s="88"/>
      <c r="K39" s="145"/>
      <c r="L39" s="140"/>
    </row>
    <row r="40" spans="2:12" ht="48.75" customHeight="1" x14ac:dyDescent="0.2">
      <c r="B40" s="374"/>
      <c r="C40" s="25" t="s">
        <v>94</v>
      </c>
      <c r="D40" s="97">
        <f t="shared" ref="D40:J40" si="0">IF(D26="","0",D39*D38)</f>
        <v>1874896342.9949999</v>
      </c>
      <c r="E40" s="97">
        <f t="shared" si="0"/>
        <v>126395496.14999995</v>
      </c>
      <c r="F40" s="97">
        <f t="shared" si="0"/>
        <v>539786978</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2719.3890000000001</v>
      </c>
      <c r="E41" s="98">
        <f t="shared" si="1"/>
        <v>441.94229423076899</v>
      </c>
      <c r="F41" s="98">
        <f t="shared" si="1"/>
        <v>1746.8834239482201</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2719.3890000000001</v>
      </c>
      <c r="E48" s="98">
        <f t="shared" ref="E48:G48" si="6">+E41+E44+E47</f>
        <v>441.94229423076899</v>
      </c>
      <c r="F48" s="98">
        <f t="shared" si="6"/>
        <v>1746.8834239482201</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0:C70"/>
    <mergeCell ref="B71:C71"/>
    <mergeCell ref="B72:C72"/>
    <mergeCell ref="B65:C65"/>
    <mergeCell ref="B66:C66"/>
    <mergeCell ref="B67:C67"/>
    <mergeCell ref="B69:E69"/>
    <mergeCell ref="B62:C62"/>
    <mergeCell ref="B63:C63"/>
    <mergeCell ref="B64:C64"/>
    <mergeCell ref="B59:C59"/>
    <mergeCell ref="B60:C60"/>
    <mergeCell ref="B61:C61"/>
    <mergeCell ref="B56:C56"/>
    <mergeCell ref="B57:C57"/>
    <mergeCell ref="B58:C58"/>
    <mergeCell ref="B50:B55"/>
    <mergeCell ref="B28:C28"/>
    <mergeCell ref="B29:B47"/>
    <mergeCell ref="I22:L22"/>
    <mergeCell ref="B12:L12"/>
    <mergeCell ref="B13:H13"/>
    <mergeCell ref="B14:B21"/>
    <mergeCell ref="K17:L17"/>
    <mergeCell ref="K18:L21"/>
    <mergeCell ref="B24:L24"/>
    <mergeCell ref="K25:L25"/>
    <mergeCell ref="B26:C26"/>
    <mergeCell ref="B27:C27"/>
    <mergeCell ref="B23:L23"/>
    <mergeCell ref="C8:I8"/>
    <mergeCell ref="C9:I9"/>
    <mergeCell ref="C10:I10"/>
    <mergeCell ref="C11:G11"/>
    <mergeCell ref="B2:L2"/>
    <mergeCell ref="B3:L3"/>
    <mergeCell ref="B4:L4"/>
    <mergeCell ref="B5:L5"/>
    <mergeCell ref="B7:I7"/>
    <mergeCell ref="J7:L7"/>
    <mergeCell ref="I11:L11"/>
  </mergeCells>
  <conditionalFormatting sqref="D71">
    <cfRule type="cellIs" dxfId="1335" priority="73" operator="equal">
      <formula>"CUMPLE"</formula>
    </cfRule>
    <cfRule type="containsBlanks" dxfId="1334" priority="70">
      <formula>LEN(TRIM(D71))=0</formula>
    </cfRule>
    <cfRule type="notContainsErrors" dxfId="1333" priority="71">
      <formula>NOT(ISERROR(D71))</formula>
    </cfRule>
    <cfRule type="cellIs" dxfId="1332" priority="72" operator="equal">
      <formula>"NO CUMPLE"</formula>
    </cfRule>
  </conditionalFormatting>
  <conditionalFormatting sqref="D72">
    <cfRule type="cellIs" dxfId="1331" priority="75" operator="equal">
      <formula>"CUMPLE"</formula>
    </cfRule>
    <cfRule type="cellIs" dxfId="1330" priority="74" operator="equal">
      <formula>"N/A"</formula>
    </cfRule>
    <cfRule type="cellIs" dxfId="1329" priority="77" operator="equal">
      <formula>"""CUMPLE"""</formula>
    </cfRule>
    <cfRule type="cellIs" dxfId="1328" priority="76" operator="equal">
      <formula>"NO CUMPLE"</formula>
    </cfRule>
  </conditionalFormatting>
  <conditionalFormatting sqref="D26:J37">
    <cfRule type="notContainsErrors" dxfId="1327" priority="4">
      <formula>NOT(ISERROR(D26))</formula>
    </cfRule>
    <cfRule type="containsBlanks" dxfId="1326" priority="3">
      <formula>LEN(TRIM(D26))=0</formula>
    </cfRule>
  </conditionalFormatting>
  <conditionalFormatting sqref="D36:J36">
    <cfRule type="notContainsErrors" dxfId="1325" priority="6">
      <formula>NOT(ISERROR(D36))</formula>
    </cfRule>
    <cfRule type="containsBlanks" dxfId="1324" priority="5">
      <formula>LEN(TRIM(D36))=0</formula>
    </cfRule>
  </conditionalFormatting>
  <conditionalFormatting sqref="D39:J39">
    <cfRule type="containsBlanks" dxfId="1323" priority="1">
      <formula>LEN(TRIM(D39))=0</formula>
    </cfRule>
    <cfRule type="notContainsErrors" dxfId="1322" priority="2">
      <formula>NOT(ISERROR(D39))</formula>
    </cfRule>
  </conditionalFormatting>
  <conditionalFormatting sqref="D42:J42 D45:J45">
    <cfRule type="notContainsErrors" dxfId="1321" priority="38">
      <formula>NOT(ISERROR(D42))</formula>
    </cfRule>
    <cfRule type="containsBlanks" dxfId="1320" priority="37">
      <formula>LEN(TRIM(D42))=0</formula>
    </cfRule>
  </conditionalFormatting>
  <conditionalFormatting sqref="D49:J54">
    <cfRule type="cellIs" dxfId="1319" priority="17" operator="equal">
      <formula>"NO CUMPLE"</formula>
    </cfRule>
    <cfRule type="cellIs" dxfId="1318" priority="18" operator="equal">
      <formula>"CUMPLE"</formula>
    </cfRule>
    <cfRule type="containsBlanks" dxfId="1317" priority="19">
      <formula>LEN(TRIM(D49))=0</formula>
    </cfRule>
    <cfRule type="notContainsErrors" dxfId="1316" priority="20">
      <formula>NOT(ISERROR(D49))</formula>
    </cfRule>
  </conditionalFormatting>
  <conditionalFormatting sqref="D55:J55">
    <cfRule type="cellIs" dxfId="1315" priority="28" operator="equal">
      <formula>"CUMPLE"</formula>
    </cfRule>
    <cfRule type="cellIs" dxfId="1314" priority="30" operator="equal">
      <formula>"""CUMPLE"""</formula>
    </cfRule>
    <cfRule type="cellIs" dxfId="1313" priority="29" operator="equal">
      <formula>"NO CUMPLE"</formula>
    </cfRule>
    <cfRule type="cellIs" dxfId="1312" priority="27" operator="equal">
      <formula>"N/A"</formula>
    </cfRule>
  </conditionalFormatting>
  <conditionalFormatting sqref="D56:J66">
    <cfRule type="cellIs" dxfId="1311" priority="11" operator="equal">
      <formula>"NO CUMPLE"</formula>
    </cfRule>
    <cfRule type="notContainsErrors" dxfId="1310" priority="14">
      <formula>NOT(ISERROR(D56))</formula>
    </cfRule>
    <cfRule type="containsBlanks" dxfId="1309" priority="13">
      <formula>LEN(TRIM(D56))=0</formula>
    </cfRule>
    <cfRule type="cellIs" dxfId="1308" priority="12" operator="equal">
      <formula>"CUMPLE"</formula>
    </cfRule>
  </conditionalFormatting>
  <conditionalFormatting sqref="D67:J67">
    <cfRule type="cellIs" dxfId="1307" priority="23" operator="equal">
      <formula>"N/A"</formula>
    </cfRule>
    <cfRule type="cellIs" dxfId="1306" priority="24" operator="equal">
      <formula>"CUMPLE"</formula>
    </cfRule>
    <cfRule type="cellIs" dxfId="1305" priority="26" operator="equal">
      <formula>"""CUMPLE"""</formula>
    </cfRule>
    <cfRule type="cellIs" dxfId="1304" priority="25" operator="equal">
      <formula>"NO CUMPLE"</formula>
    </cfRule>
  </conditionalFormatting>
  <conditionalFormatting sqref="D62:K66">
    <cfRule type="containsBlanks" dxfId="1303" priority="15">
      <formula>LEN(TRIM(D62))=0</formula>
    </cfRule>
    <cfRule type="notContainsErrors" dxfId="1302" priority="16">
      <formula>NOT(ISERROR(D62))</formula>
    </cfRule>
  </conditionalFormatting>
  <conditionalFormatting sqref="E71:E72">
    <cfRule type="notContainsErrors" dxfId="1301" priority="69">
      <formula>NOT(ISERROR(E71))</formula>
    </cfRule>
    <cfRule type="containsBlanks" dxfId="1300" priority="68">
      <formula>LEN(TRIM(E71))=0</formula>
    </cfRule>
  </conditionalFormatting>
  <conditionalFormatting sqref="F22:H22">
    <cfRule type="cellIs" dxfId="1299" priority="92" operator="equal">
      <formula>"NO CUMPLE"</formula>
    </cfRule>
    <cfRule type="cellIs" dxfId="1298" priority="93" operator="equal">
      <formula>"""CUMPLE"""</formula>
    </cfRule>
    <cfRule type="cellIs" dxfId="1297" priority="91" operator="equal">
      <formula>"CUMPLE"</formula>
    </cfRule>
  </conditionalFormatting>
  <conditionalFormatting sqref="G63:J63">
    <cfRule type="containsBlanks" dxfId="1296" priority="7">
      <formula>LEN(TRIM(G63))=0</formula>
    </cfRule>
    <cfRule type="notContainsErrors" dxfId="1295" priority="8">
      <formula>NOT(ISERROR(G63))</formula>
    </cfRule>
  </conditionalFormatting>
  <conditionalFormatting sqref="I11">
    <cfRule type="containsText" dxfId="1294" priority="97" operator="containsText" text="NO CUMPLE">
      <formula>NOT(ISERROR(SEARCH("NO CUMPLE",I11)))</formula>
    </cfRule>
    <cfRule type="containsText" dxfId="1293" priority="96" operator="containsText" text="HABILITADO">
      <formula>NOT(ISERROR(SEARCH("HABILITADO",I11)))</formula>
    </cfRule>
    <cfRule type="containsText" dxfId="1292" priority="95" operator="containsText" text="HABILITADO">
      <formula>NOT(ISERROR(SEARCH("HABILITADO",I11)))</formula>
    </cfRule>
    <cfRule type="containsText" dxfId="1291" priority="94" operator="containsText" text="INHABILITADO">
      <formula>NOT(ISERROR(SEARCH("INHABILITADO",I11)))</formula>
    </cfRule>
  </conditionalFormatting>
  <conditionalFormatting sqref="K18:K20">
    <cfRule type="cellIs" dxfId="1290" priority="66" operator="equal">
      <formula>"NO CUMPLE"</formula>
    </cfRule>
    <cfRule type="cellIs" dxfId="1289" priority="67" operator="equal">
      <formula>"""CUMPLE"""</formula>
    </cfRule>
    <cfRule type="cellIs" dxfId="1288" priority="65" operator="equal">
      <formula>"CUMPLE"</formula>
    </cfRule>
  </conditionalFormatting>
  <conditionalFormatting sqref="K26:K61 D62:J62">
    <cfRule type="containsBlanks" dxfId="1287" priority="9">
      <formula>LEN(TRIM(D26))=0</formula>
    </cfRule>
    <cfRule type="notContainsErrors" dxfId="1286" priority="10">
      <formula>NOT(ISERROR(D26))</formula>
    </cfRule>
  </conditionalFormatting>
  <conditionalFormatting sqref="K67:L67">
    <cfRule type="containsBlanks" dxfId="1285" priority="21">
      <formula>LEN(TRIM(K67))=0</formula>
    </cfRule>
    <cfRule type="notContainsErrors" dxfId="1284" priority="22">
      <formula>NOT(ISERROR(K67))</formula>
    </cfRule>
  </conditionalFormatting>
  <conditionalFormatting sqref="L14">
    <cfRule type="cellIs" dxfId="1283" priority="90" operator="equal">
      <formula>"""CUMPLE"""</formula>
    </cfRule>
    <cfRule type="cellIs" dxfId="1282" priority="89" operator="equal">
      <formula>"NO CUMPLE"</formula>
    </cfRule>
    <cfRule type="cellIs" dxfId="1281" priority="88" operator="equal">
      <formula>"CUMPLE"</formula>
    </cfRule>
  </conditionalFormatting>
  <dataValidations count="2">
    <dataValidation type="list" allowBlank="1" showInputMessage="1" showErrorMessage="1" sqref="L62:L67" xr:uid="{00000000-0002-0000-4C00-000000000000}">
      <formula1>"0,1,2,3,4,5,6"</formula1>
    </dataValidation>
    <dataValidation type="list" allowBlank="1" showInputMessage="1" showErrorMessage="1" sqref="D26:J28" xr:uid="{00000000-0002-0000-4C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4C00-000002000000}">
          <x14:formula1>
            <xm:f>'DATOS INICIALES'!$D$27:$D$29</xm:f>
          </x14:formula1>
          <xm:sqref>M50:M55</xm:sqref>
        </x14:dataValidation>
        <x14:dataValidation type="list" allowBlank="1" showInputMessage="1" showErrorMessage="1" xr:uid="{00000000-0002-0000-4C00-000003000000}">
          <x14:formula1>
            <xm:f>'DATOS INICIALES'!$A$57:$A$58</xm:f>
          </x14:formula1>
          <xm:sqref>D49:J49</xm:sqref>
        </x14:dataValidation>
        <x14:dataValidation type="list" allowBlank="1" showInputMessage="1" showErrorMessage="1" xr:uid="{00000000-0002-0000-4C00-000004000000}">
          <x14:formula1>
            <xm:f>'DATOS INICIALES'!$A$61:$A$67</xm:f>
          </x14:formula1>
          <xm:sqref>J25</xm:sqref>
        </x14:dataValidation>
        <x14:dataValidation type="list" allowBlank="1" showInputMessage="1" showErrorMessage="1" xr:uid="{00000000-0002-0000-4C00-000005000000}">
          <x14:formula1>
            <xm:f>'DATOS INICIALES'!$C$52:$C$53</xm:f>
          </x14:formula1>
          <xm:sqref>D53:J54</xm:sqref>
        </x14:dataValidation>
        <x14:dataValidation type="list" allowBlank="1" showInputMessage="1" showErrorMessage="1" xr:uid="{00000000-0002-0000-4C00-000006000000}">
          <x14:formula1>
            <xm:f>'DATOS INICIALES'!$A$57:$A$59</xm:f>
          </x14:formula1>
          <xm:sqref>D71 D56:J66</xm:sqref>
        </x14:dataValidation>
        <x14:dataValidation type="list" allowBlank="1" showInputMessage="1" showErrorMessage="1" xr:uid="{00000000-0002-0000-4C00-000007000000}">
          <x14:formula1>
            <xm:f>'DATOS INICIALES'!$A$61:$A$66</xm:f>
          </x14:formula1>
          <xm:sqref>D25:I25</xm:sqref>
        </x14:dataValidation>
        <x14:dataValidation type="list" allowBlank="1" showInputMessage="1" showErrorMessage="1" xr:uid="{00000000-0002-0000-4C00-000008000000}">
          <x14:formula1>
            <xm:f>'DATOS INICIALES'!$A$13:$A$50</xm:f>
          </x14:formula1>
          <xm:sqref>G33:I33</xm:sqref>
        </x14:dataValidation>
        <x14:dataValidation type="list" allowBlank="1" showInputMessage="1" showErrorMessage="1" xr:uid="{00000000-0002-0000-4C00-000009000000}">
          <x14:formula1>
            <xm:f>'DATOS INICIALES'!$C$52:$C$54</xm:f>
          </x14:formula1>
          <xm:sqref>D50:J52</xm:sqref>
        </x14:dataValidation>
      </x14:dataValidations>
    </ext>
  </extLst>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sheetPr>
    <tabColor rgb="FF92D050"/>
  </sheetPr>
  <dimension ref="A1:N72"/>
  <sheetViews>
    <sheetView view="pageBreakPreview" zoomScale="40" zoomScaleNormal="25" zoomScaleSheetLayoutView="40" workbookViewId="0">
      <selection activeCell="I15" sqref="I15"/>
    </sheetView>
  </sheetViews>
  <sheetFormatPr baseColWidth="10" defaultColWidth="11.5" defaultRowHeight="15" x14ac:dyDescent="0.2"/>
  <cols>
    <col min="1" max="1" width="5.5" customWidth="1"/>
    <col min="2" max="2" width="30.83203125" customWidth="1"/>
    <col min="3" max="3" width="63.1640625" customWidth="1"/>
    <col min="4" max="4" width="59.1640625" customWidth="1"/>
    <col min="5" max="5" width="50.164062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72</v>
      </c>
      <c r="B11" s="2" t="s">
        <v>58</v>
      </c>
      <c r="C11" s="413" t="str">
        <f>VLOOKUP(A11,PROPONENTES!A10:B94,2,FALSE)</f>
        <v>TECNUMEC S.A.S.</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3</v>
      </c>
      <c r="J14" s="147">
        <f>+L8</f>
        <v>986.3076290832455</v>
      </c>
      <c r="K14" s="147">
        <f>+E22</f>
        <v>6070.6050000000005</v>
      </c>
      <c r="L14" s="18" t="str">
        <f>IF(K14&gt;=J14,"CUMPLE","NO CUMPLE")</f>
        <v>CUMPLE</v>
      </c>
    </row>
    <row r="15" spans="1:12" ht="33.75" customHeight="1" x14ac:dyDescent="0.2">
      <c r="B15" s="382"/>
      <c r="C15" s="92" t="str">
        <f>IF(VLOOKUP(C11,PROPONENTES!B10:N94,2,FALSE)=0,"",VLOOKUP(C11,PROPONENTES!B10:N94,2,FALSE))</f>
        <v>TECNUMEC S.A.S.</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6070.6050000000005</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2023.5350000000001</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3</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3</v>
      </c>
      <c r="J19" s="128">
        <v>1</v>
      </c>
      <c r="K19" s="387"/>
      <c r="L19" s="388"/>
    </row>
    <row r="20" spans="2:14" ht="50.25" customHeight="1" x14ac:dyDescent="0.2">
      <c r="B20" s="382"/>
      <c r="C20" s="92"/>
      <c r="D20" s="93"/>
      <c r="E20" s="94"/>
      <c r="F20" s="95"/>
      <c r="G20" s="96"/>
      <c r="H20" s="96"/>
      <c r="I20" s="128">
        <f>COUNTIFS(D60:J60,"CUMPLE",D67:J67,"CUMPLE")</f>
        <v>3</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3</v>
      </c>
      <c r="J21" s="128">
        <v>1</v>
      </c>
      <c r="K21" s="389"/>
      <c r="L21" s="390"/>
    </row>
    <row r="22" spans="2:14" ht="84.75" customHeight="1" x14ac:dyDescent="0.2">
      <c r="B22" s="29" t="s">
        <v>75</v>
      </c>
      <c r="C22" s="24">
        <f>+VLOOKUP(C11,PROPONENTES!B10:N94,12,FALSE)</f>
        <v>1</v>
      </c>
      <c r="D22" s="93">
        <f>+VLOOKUP(C11,PROPONENTES!B10:N94,13,FALSE)</f>
        <v>1</v>
      </c>
      <c r="E22" s="32">
        <f>SUM(E15:E21)</f>
        <v>6070.6050000000005</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272</v>
      </c>
      <c r="E26" s="84" t="s">
        <v>272</v>
      </c>
      <c r="F26" s="84" t="s">
        <v>272</v>
      </c>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1116</v>
      </c>
      <c r="E29" s="85" t="s">
        <v>789</v>
      </c>
      <c r="F29" s="85" t="s">
        <v>1117</v>
      </c>
      <c r="G29" s="85"/>
      <c r="H29" s="85"/>
      <c r="I29" s="85"/>
      <c r="J29" s="85"/>
      <c r="K29" s="145"/>
      <c r="L29" s="140"/>
    </row>
    <row r="30" spans="2:14" ht="156.75" customHeight="1" x14ac:dyDescent="0.2">
      <c r="B30" s="374"/>
      <c r="C30" s="25" t="s">
        <v>84</v>
      </c>
      <c r="D30" s="85" t="s">
        <v>1118</v>
      </c>
      <c r="E30" s="85" t="s">
        <v>1119</v>
      </c>
      <c r="F30" s="85" t="s">
        <v>1120</v>
      </c>
      <c r="G30" s="85"/>
      <c r="H30" s="85"/>
      <c r="I30" s="85"/>
      <c r="J30" s="85"/>
      <c r="K30" s="426" t="s">
        <v>1122</v>
      </c>
      <c r="L30" s="427"/>
    </row>
    <row r="31" spans="2:14" ht="52.5" customHeight="1" x14ac:dyDescent="0.2">
      <c r="B31" s="374"/>
      <c r="C31" s="25" t="s">
        <v>85</v>
      </c>
      <c r="D31" s="89">
        <v>40079</v>
      </c>
      <c r="E31" s="89">
        <v>41976</v>
      </c>
      <c r="F31" s="89">
        <v>41927</v>
      </c>
      <c r="G31" s="89"/>
      <c r="H31" s="89"/>
      <c r="I31" s="89"/>
      <c r="J31" s="89"/>
      <c r="K31" s="145"/>
      <c r="L31" s="140"/>
    </row>
    <row r="32" spans="2:14" ht="54.75" customHeight="1" x14ac:dyDescent="0.2">
      <c r="B32" s="374"/>
      <c r="C32" s="25" t="s">
        <v>86</v>
      </c>
      <c r="D32" s="89">
        <v>42094</v>
      </c>
      <c r="E32" s="89">
        <v>42411</v>
      </c>
      <c r="F32" s="89">
        <v>42325</v>
      </c>
      <c r="G32" s="89"/>
      <c r="H32" s="89"/>
      <c r="I32" s="89"/>
      <c r="J32" s="89"/>
      <c r="K32" s="145"/>
      <c r="L32" s="140"/>
    </row>
    <row r="33" spans="2:12" ht="41.25" customHeight="1" x14ac:dyDescent="0.2">
      <c r="B33" s="374"/>
      <c r="C33" s="25" t="s">
        <v>87</v>
      </c>
      <c r="D33" s="86">
        <v>2015</v>
      </c>
      <c r="E33" s="86">
        <v>2016</v>
      </c>
      <c r="F33" s="86">
        <v>2015</v>
      </c>
      <c r="G33" s="86"/>
      <c r="H33" s="86"/>
      <c r="I33" s="86"/>
      <c r="J33" s="86"/>
      <c r="K33" s="145"/>
      <c r="L33" s="140"/>
    </row>
    <row r="34" spans="2:12" ht="63" customHeight="1" x14ac:dyDescent="0.2">
      <c r="B34" s="374"/>
      <c r="C34" s="25" t="s">
        <v>88</v>
      </c>
      <c r="D34" s="85" t="s">
        <v>322</v>
      </c>
      <c r="E34" s="85" t="s">
        <v>1121</v>
      </c>
      <c r="F34" s="85" t="s">
        <v>1121</v>
      </c>
      <c r="G34" s="85"/>
      <c r="H34" s="85"/>
      <c r="I34" s="85"/>
      <c r="J34" s="85"/>
      <c r="K34" s="145"/>
      <c r="L34" s="140"/>
    </row>
    <row r="35" spans="2:12" ht="46.5" customHeight="1" x14ac:dyDescent="0.2">
      <c r="B35" s="374"/>
      <c r="C35" s="25" t="s">
        <v>89</v>
      </c>
      <c r="D35" s="85" t="s">
        <v>272</v>
      </c>
      <c r="E35" s="85" t="s">
        <v>272</v>
      </c>
      <c r="F35" s="85" t="s">
        <v>272</v>
      </c>
      <c r="G35" s="85"/>
      <c r="H35" s="85"/>
      <c r="I35" s="85"/>
      <c r="J35" s="85"/>
      <c r="K35" s="145"/>
      <c r="L35" s="140"/>
    </row>
    <row r="36" spans="2:12" ht="27.75" customHeight="1" x14ac:dyDescent="0.2">
      <c r="B36" s="374"/>
      <c r="C36" s="26" t="s">
        <v>90</v>
      </c>
      <c r="D36" s="90">
        <v>23</v>
      </c>
      <c r="E36" s="90">
        <v>25</v>
      </c>
      <c r="F36" s="90">
        <v>26</v>
      </c>
      <c r="G36" s="91"/>
      <c r="H36" s="91"/>
      <c r="I36" s="91"/>
      <c r="J36" s="91"/>
      <c r="K36" s="145"/>
      <c r="L36" s="140"/>
    </row>
    <row r="37" spans="2:12" ht="102.75" customHeight="1" x14ac:dyDescent="0.2">
      <c r="B37" s="374"/>
      <c r="C37" s="25" t="s">
        <v>91</v>
      </c>
      <c r="D37" s="87">
        <v>21741.25</v>
      </c>
      <c r="E37" s="158">
        <v>1745.11</v>
      </c>
      <c r="F37" s="87">
        <v>1699.6</v>
      </c>
      <c r="G37" s="87"/>
      <c r="H37" s="87"/>
      <c r="I37" s="87"/>
      <c r="J37" s="87"/>
      <c r="K37" s="242"/>
      <c r="L37" s="243"/>
    </row>
    <row r="38" spans="2:12" ht="48" customHeight="1" x14ac:dyDescent="0.2">
      <c r="B38" s="374"/>
      <c r="C38" s="25" t="s">
        <v>92</v>
      </c>
      <c r="D38" s="97">
        <f>IFERROR(D37*VLOOKUP(D33,'DATOS INICIALES'!$A$12:$B$50,2,0),"0")</f>
        <v>14008974437.5</v>
      </c>
      <c r="E38" s="97">
        <f>IFERROR(E37*VLOOKUP(E33,'DATOS INICIALES'!$A$12:$B$50,2,0),"0")</f>
        <v>1203174815.05</v>
      </c>
      <c r="F38" s="97">
        <f>IFERROR(F37*VLOOKUP(F33,'DATOS INICIALES'!$A$12:$B$50,2,0),"0")</f>
        <v>1095137260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0.2</v>
      </c>
      <c r="E39" s="88">
        <v>0.5</v>
      </c>
      <c r="F39" s="88">
        <v>0.5</v>
      </c>
      <c r="G39" s="88"/>
      <c r="H39" s="88"/>
      <c r="I39" s="88"/>
      <c r="J39" s="88"/>
      <c r="K39" s="145"/>
      <c r="L39" s="140"/>
    </row>
    <row r="40" spans="2:12" ht="48.75" customHeight="1" x14ac:dyDescent="0.2">
      <c r="B40" s="374"/>
      <c r="C40" s="25" t="s">
        <v>94</v>
      </c>
      <c r="D40" s="97">
        <f t="shared" ref="D40:J40" si="0">IF(D26="","0",D39*D38)</f>
        <v>2801794887.5</v>
      </c>
      <c r="E40" s="97">
        <f t="shared" si="0"/>
        <v>601587407.52499998</v>
      </c>
      <c r="F40" s="97">
        <f t="shared" si="0"/>
        <v>547568630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4348.25</v>
      </c>
      <c r="E41" s="98">
        <f t="shared" si="1"/>
        <v>872.55499999999995</v>
      </c>
      <c r="F41" s="98">
        <f t="shared" si="1"/>
        <v>849.8</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4348.25</v>
      </c>
      <c r="E48" s="98">
        <f t="shared" ref="E48:G48" si="6">+E41+E44+E47</f>
        <v>872.55499999999995</v>
      </c>
      <c r="F48" s="98">
        <f t="shared" si="6"/>
        <v>849.8</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2">
    <mergeCell ref="B72:C72"/>
    <mergeCell ref="B65:C65"/>
    <mergeCell ref="B66:C66"/>
    <mergeCell ref="B67:C67"/>
    <mergeCell ref="B69:E69"/>
    <mergeCell ref="B56:C56"/>
    <mergeCell ref="B57:C57"/>
    <mergeCell ref="B58:C58"/>
    <mergeCell ref="B70:C70"/>
    <mergeCell ref="B71:C71"/>
    <mergeCell ref="B62:C62"/>
    <mergeCell ref="B63:C63"/>
    <mergeCell ref="B64:C64"/>
    <mergeCell ref="B59:C59"/>
    <mergeCell ref="B60:C60"/>
    <mergeCell ref="B61:C61"/>
    <mergeCell ref="C8:I8"/>
    <mergeCell ref="C9:I9"/>
    <mergeCell ref="C10:I10"/>
    <mergeCell ref="B23:L23"/>
    <mergeCell ref="I22:L22"/>
    <mergeCell ref="C11:G11"/>
    <mergeCell ref="I11:L11"/>
    <mergeCell ref="K18:L21"/>
    <mergeCell ref="B2:L2"/>
    <mergeCell ref="B3:L3"/>
    <mergeCell ref="B4:L4"/>
    <mergeCell ref="B5:L5"/>
    <mergeCell ref="B7:I7"/>
    <mergeCell ref="J7:L7"/>
    <mergeCell ref="B50:B55"/>
    <mergeCell ref="B28:C28"/>
    <mergeCell ref="B29:B47"/>
    <mergeCell ref="B12:L12"/>
    <mergeCell ref="B13:H13"/>
    <mergeCell ref="B14:B21"/>
    <mergeCell ref="K17:L17"/>
    <mergeCell ref="K30:L30"/>
    <mergeCell ref="B24:L24"/>
    <mergeCell ref="K25:L25"/>
    <mergeCell ref="B26:C26"/>
    <mergeCell ref="B27:C27"/>
  </mergeCells>
  <conditionalFormatting sqref="D71">
    <cfRule type="cellIs" dxfId="1280" priority="99" operator="equal">
      <formula>"CUMPLE"</formula>
    </cfRule>
    <cfRule type="cellIs" dxfId="1279" priority="98" operator="equal">
      <formula>"NO CUMPLE"</formula>
    </cfRule>
    <cfRule type="containsBlanks" dxfId="1278" priority="96">
      <formula>LEN(TRIM(D71))=0</formula>
    </cfRule>
    <cfRule type="notContainsErrors" dxfId="1277" priority="97">
      <formula>NOT(ISERROR(D71))</formula>
    </cfRule>
  </conditionalFormatting>
  <conditionalFormatting sqref="D72">
    <cfRule type="cellIs" dxfId="1276" priority="100" operator="equal">
      <formula>"N/A"</formula>
    </cfRule>
    <cfRule type="cellIs" dxfId="1275" priority="102" operator="equal">
      <formula>"NO CUMPLE"</formula>
    </cfRule>
    <cfRule type="cellIs" dxfId="1274" priority="101" operator="equal">
      <formula>"CUMPLE"</formula>
    </cfRule>
    <cfRule type="cellIs" dxfId="1273" priority="103" operator="equal">
      <formula>"""CUMPLE"""</formula>
    </cfRule>
  </conditionalFormatting>
  <conditionalFormatting sqref="D26:J37">
    <cfRule type="notContainsErrors" dxfId="1272" priority="6">
      <formula>NOT(ISERROR(D26))</formula>
    </cfRule>
    <cfRule type="containsBlanks" dxfId="1271" priority="5">
      <formula>LEN(TRIM(D26))=0</formula>
    </cfRule>
  </conditionalFormatting>
  <conditionalFormatting sqref="D36:J36">
    <cfRule type="notContainsErrors" dxfId="1270" priority="8">
      <formula>NOT(ISERROR(D36))</formula>
    </cfRule>
    <cfRule type="containsBlanks" dxfId="1269" priority="7">
      <formula>LEN(TRIM(D36))=0</formula>
    </cfRule>
  </conditionalFormatting>
  <conditionalFormatting sqref="D39:J39">
    <cfRule type="containsBlanks" dxfId="1268" priority="3">
      <formula>LEN(TRIM(D39))=0</formula>
    </cfRule>
    <cfRule type="notContainsErrors" dxfId="1267" priority="4">
      <formula>NOT(ISERROR(D39))</formula>
    </cfRule>
  </conditionalFormatting>
  <conditionalFormatting sqref="D42:J42 D45:J45">
    <cfRule type="notContainsErrors" dxfId="1266" priority="64">
      <formula>NOT(ISERROR(D42))</formula>
    </cfRule>
    <cfRule type="containsBlanks" dxfId="1265" priority="63">
      <formula>LEN(TRIM(D42))=0</formula>
    </cfRule>
  </conditionalFormatting>
  <conditionalFormatting sqref="D49:J54">
    <cfRule type="notContainsErrors" dxfId="1264" priority="22">
      <formula>NOT(ISERROR(D49))</formula>
    </cfRule>
    <cfRule type="containsBlanks" dxfId="1263" priority="21">
      <formula>LEN(TRIM(D49))=0</formula>
    </cfRule>
    <cfRule type="cellIs" dxfId="1262" priority="19" operator="equal">
      <formula>"NO CUMPLE"</formula>
    </cfRule>
    <cfRule type="cellIs" dxfId="1261" priority="20" operator="equal">
      <formula>"CUMPLE"</formula>
    </cfRule>
  </conditionalFormatting>
  <conditionalFormatting sqref="D55:J55">
    <cfRule type="cellIs" dxfId="1260" priority="31" operator="equal">
      <formula>"NO CUMPLE"</formula>
    </cfRule>
    <cfRule type="cellIs" dxfId="1259" priority="32" operator="equal">
      <formula>"""CUMPLE"""</formula>
    </cfRule>
    <cfRule type="cellIs" dxfId="1258" priority="29" operator="equal">
      <formula>"N/A"</formula>
    </cfRule>
    <cfRule type="cellIs" dxfId="1257" priority="30" operator="equal">
      <formula>"CUMPLE"</formula>
    </cfRule>
  </conditionalFormatting>
  <conditionalFormatting sqref="D56:J66">
    <cfRule type="cellIs" dxfId="1256" priority="14" operator="equal">
      <formula>"CUMPLE"</formula>
    </cfRule>
    <cfRule type="cellIs" dxfId="1255" priority="13" operator="equal">
      <formula>"NO CUMPLE"</formula>
    </cfRule>
    <cfRule type="containsBlanks" dxfId="1254" priority="15">
      <formula>LEN(TRIM(D56))=0</formula>
    </cfRule>
    <cfRule type="notContainsErrors" dxfId="1253" priority="16">
      <formula>NOT(ISERROR(D56))</formula>
    </cfRule>
  </conditionalFormatting>
  <conditionalFormatting sqref="D62:J62">
    <cfRule type="notContainsErrors" dxfId="1252" priority="12">
      <formula>NOT(ISERROR(D62))</formula>
    </cfRule>
    <cfRule type="containsBlanks" dxfId="1251" priority="11">
      <formula>LEN(TRIM(D62))=0</formula>
    </cfRule>
  </conditionalFormatting>
  <conditionalFormatting sqref="D67:J67">
    <cfRule type="cellIs" dxfId="1250" priority="26" operator="equal">
      <formula>"CUMPLE"</formula>
    </cfRule>
    <cfRule type="cellIs" dxfId="1249" priority="25" operator="equal">
      <formula>"N/A"</formula>
    </cfRule>
    <cfRule type="cellIs" dxfId="1248" priority="27" operator="equal">
      <formula>"NO CUMPLE"</formula>
    </cfRule>
    <cfRule type="cellIs" dxfId="1247" priority="28" operator="equal">
      <formula>"""CUMPLE"""</formula>
    </cfRule>
  </conditionalFormatting>
  <conditionalFormatting sqref="D62:K66">
    <cfRule type="containsBlanks" dxfId="1246" priority="17">
      <formula>LEN(TRIM(D62))=0</formula>
    </cfRule>
    <cfRule type="notContainsErrors" dxfId="1245" priority="18">
      <formula>NOT(ISERROR(D62))</formula>
    </cfRule>
  </conditionalFormatting>
  <conditionalFormatting sqref="E71:E72">
    <cfRule type="notContainsErrors" dxfId="1244" priority="95">
      <formula>NOT(ISERROR(E71))</formula>
    </cfRule>
    <cfRule type="containsBlanks" dxfId="1243" priority="94">
      <formula>LEN(TRIM(E71))=0</formula>
    </cfRule>
  </conditionalFormatting>
  <conditionalFormatting sqref="F22:H22">
    <cfRule type="cellIs" dxfId="1242" priority="118" operator="equal">
      <formula>"NO CUMPLE"</formula>
    </cfRule>
    <cfRule type="cellIs" dxfId="1241" priority="117" operator="equal">
      <formula>"CUMPLE"</formula>
    </cfRule>
    <cfRule type="cellIs" dxfId="1240" priority="119" operator="equal">
      <formula>"""CUMPLE"""</formula>
    </cfRule>
  </conditionalFormatting>
  <conditionalFormatting sqref="G63:J63">
    <cfRule type="containsBlanks" dxfId="1239" priority="9">
      <formula>LEN(TRIM(G63))=0</formula>
    </cfRule>
    <cfRule type="notContainsErrors" dxfId="1238" priority="10">
      <formula>NOT(ISERROR(G63))</formula>
    </cfRule>
  </conditionalFormatting>
  <conditionalFormatting sqref="I11">
    <cfRule type="containsText" dxfId="1237" priority="123" operator="containsText" text="NO CUMPLE">
      <formula>NOT(ISERROR(SEARCH("NO CUMPLE",I11)))</formula>
    </cfRule>
    <cfRule type="containsText" dxfId="1236" priority="122" operator="containsText" text="HABILITADO">
      <formula>NOT(ISERROR(SEARCH("HABILITADO",I11)))</formula>
    </cfRule>
    <cfRule type="containsText" dxfId="1235" priority="121" operator="containsText" text="HABILITADO">
      <formula>NOT(ISERROR(SEARCH("HABILITADO",I11)))</formula>
    </cfRule>
    <cfRule type="containsText" dxfId="1234" priority="120" operator="containsText" text="INHABILITADO">
      <formula>NOT(ISERROR(SEARCH("INHABILITADO",I11)))</formula>
    </cfRule>
  </conditionalFormatting>
  <conditionalFormatting sqref="K18:K20">
    <cfRule type="cellIs" dxfId="1233" priority="92" operator="equal">
      <formula>"NO CUMPLE"</formula>
    </cfRule>
    <cfRule type="cellIs" dxfId="1232" priority="91" operator="equal">
      <formula>"CUMPLE"</formula>
    </cfRule>
    <cfRule type="cellIs" dxfId="1231" priority="93" operator="equal">
      <formula>"""CUMPLE"""</formula>
    </cfRule>
  </conditionalFormatting>
  <conditionalFormatting sqref="K26:K61">
    <cfRule type="containsBlanks" dxfId="1230" priority="1">
      <formula>LEN(TRIM(K26))=0</formula>
    </cfRule>
    <cfRule type="notContainsErrors" dxfId="1229" priority="2">
      <formula>NOT(ISERROR(K26))</formula>
    </cfRule>
  </conditionalFormatting>
  <conditionalFormatting sqref="K67:L67">
    <cfRule type="containsBlanks" dxfId="1228" priority="23">
      <formula>LEN(TRIM(K67))=0</formula>
    </cfRule>
    <cfRule type="notContainsErrors" dxfId="1227" priority="24">
      <formula>NOT(ISERROR(K67))</formula>
    </cfRule>
  </conditionalFormatting>
  <conditionalFormatting sqref="L14">
    <cfRule type="cellIs" dxfId="1226" priority="116" operator="equal">
      <formula>"""CUMPLE"""</formula>
    </cfRule>
    <cfRule type="cellIs" dxfId="1225" priority="115" operator="equal">
      <formula>"NO CUMPLE"</formula>
    </cfRule>
    <cfRule type="cellIs" dxfId="1224" priority="114" operator="equal">
      <formula>"CUMPLE"</formula>
    </cfRule>
  </conditionalFormatting>
  <dataValidations count="2">
    <dataValidation type="list" allowBlank="1" showInputMessage="1" showErrorMessage="1" sqref="D26:J28" xr:uid="{00000000-0002-0000-4D00-000000000000}">
      <formula1>$C$15:$C$21</formula1>
    </dataValidation>
    <dataValidation type="list" allowBlank="1" showInputMessage="1" showErrorMessage="1" sqref="L62:L67" xr:uid="{00000000-0002-0000-4D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4D00-000002000000}">
          <x14:formula1>
            <xm:f>'DATOS INICIALES'!$D$27:$D$29</xm:f>
          </x14:formula1>
          <xm:sqref>M50:M55</xm:sqref>
        </x14:dataValidation>
        <x14:dataValidation type="list" allowBlank="1" showInputMessage="1" showErrorMessage="1" xr:uid="{00000000-0002-0000-4D00-000003000000}">
          <x14:formula1>
            <xm:f>'DATOS INICIALES'!$A$13:$A$50</xm:f>
          </x14:formula1>
          <xm:sqref>G33:I33</xm:sqref>
        </x14:dataValidation>
        <x14:dataValidation type="list" allowBlank="1" showInputMessage="1" showErrorMessage="1" xr:uid="{00000000-0002-0000-4D00-000004000000}">
          <x14:formula1>
            <xm:f>'DATOS INICIALES'!$A$61:$A$66</xm:f>
          </x14:formula1>
          <xm:sqref>D25:I25</xm:sqref>
        </x14:dataValidation>
        <x14:dataValidation type="list" allowBlank="1" showInputMessage="1" showErrorMessage="1" xr:uid="{00000000-0002-0000-4D00-000005000000}">
          <x14:formula1>
            <xm:f>'DATOS INICIALES'!$A$57:$A$59</xm:f>
          </x14:formula1>
          <xm:sqref>D71 D56:J66</xm:sqref>
        </x14:dataValidation>
        <x14:dataValidation type="list" allowBlank="1" showInputMessage="1" showErrorMessage="1" xr:uid="{00000000-0002-0000-4D00-000006000000}">
          <x14:formula1>
            <xm:f>'DATOS INICIALES'!$C$52:$C$53</xm:f>
          </x14:formula1>
          <xm:sqref>D53:J54</xm:sqref>
        </x14:dataValidation>
        <x14:dataValidation type="list" allowBlank="1" showInputMessage="1" showErrorMessage="1" xr:uid="{00000000-0002-0000-4D00-000007000000}">
          <x14:formula1>
            <xm:f>'DATOS INICIALES'!$A$61:$A$67</xm:f>
          </x14:formula1>
          <xm:sqref>J25</xm:sqref>
        </x14:dataValidation>
        <x14:dataValidation type="list" allowBlank="1" showInputMessage="1" showErrorMessage="1" xr:uid="{00000000-0002-0000-4D00-000008000000}">
          <x14:formula1>
            <xm:f>'DATOS INICIALES'!$A$57:$A$58</xm:f>
          </x14:formula1>
          <xm:sqref>D49:J49</xm:sqref>
        </x14:dataValidation>
        <x14:dataValidation type="list" allowBlank="1" showInputMessage="1" showErrorMessage="1" xr:uid="{00000000-0002-0000-4D00-000009000000}">
          <x14:formula1>
            <xm:f>'DATOS INICIALES'!$C$52:$C$54</xm:f>
          </x14:formula1>
          <xm:sqref>D50:J52</xm:sqref>
        </x14:dataValidation>
      </x14:dataValidations>
    </ext>
  </extLs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sheetPr>
    <tabColor rgb="FF92D050"/>
  </sheetPr>
  <dimension ref="A1:N72"/>
  <sheetViews>
    <sheetView view="pageBreakPreview" topLeftCell="A37" zoomScale="55" zoomScaleNormal="25" zoomScaleSheetLayoutView="55" workbookViewId="0">
      <selection activeCell="D42" sqref="D42"/>
    </sheetView>
  </sheetViews>
  <sheetFormatPr baseColWidth="10" defaultColWidth="11.5" defaultRowHeight="15" x14ac:dyDescent="0.2"/>
  <cols>
    <col min="1" max="1" width="5.5" customWidth="1"/>
    <col min="2" max="2" width="30.83203125" customWidth="1"/>
    <col min="3" max="3" width="63.1640625" customWidth="1"/>
    <col min="4" max="4" width="51.83203125" customWidth="1"/>
    <col min="5" max="5" width="47.1640625" customWidth="1"/>
    <col min="6" max="6" width="45.83203125" customWidth="1"/>
    <col min="7"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73</v>
      </c>
      <c r="B11" s="2" t="s">
        <v>58</v>
      </c>
      <c r="C11" s="413" t="str">
        <f>VLOOKUP(A11,PROPONENTES!A10:B94,2,FALSE)</f>
        <v>ALIANZA INTEGRAL DE PROYECTOS SAS BIC</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3</v>
      </c>
      <c r="J14" s="147">
        <f>+L8</f>
        <v>986.3076290832455</v>
      </c>
      <c r="K14" s="147">
        <f>+E22</f>
        <v>5044.8644000000004</v>
      </c>
      <c r="L14" s="18" t="str">
        <f>IF(K14&gt;=J14,"CUMPLE","NO CUMPLE")</f>
        <v>CUMPLE</v>
      </c>
    </row>
    <row r="15" spans="1:12" ht="33.75" customHeight="1" x14ac:dyDescent="0.2">
      <c r="B15" s="382"/>
      <c r="C15" s="92" t="str">
        <f>IF(VLOOKUP(C11,PROPONENTES!B10:N94,2,FALSE)=0,"",VLOOKUP(C11,PROPONENTES!B10:N94,2,FALSE))</f>
        <v>ALIANZA INTEGRAL DE PROYECTOS SAS BIC</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5044.8644000000004</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1681.6214666666667</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3</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3</v>
      </c>
      <c r="J19" s="128">
        <v>1</v>
      </c>
      <c r="K19" s="387"/>
      <c r="L19" s="388"/>
    </row>
    <row r="20" spans="2:14" ht="50.25" customHeight="1" x14ac:dyDescent="0.2">
      <c r="B20" s="382"/>
      <c r="C20" s="92"/>
      <c r="D20" s="93"/>
      <c r="E20" s="94"/>
      <c r="F20" s="95"/>
      <c r="G20" s="96"/>
      <c r="H20" s="96"/>
      <c r="I20" s="128">
        <f>COUNTIFS(D60:J60,"CUMPLE",D67:J67,"CUMPLE")</f>
        <v>3</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3</v>
      </c>
      <c r="J21" s="128">
        <v>1</v>
      </c>
      <c r="K21" s="389"/>
      <c r="L21" s="390"/>
    </row>
    <row r="22" spans="2:14" ht="84.75" customHeight="1" x14ac:dyDescent="0.2">
      <c r="B22" s="29" t="s">
        <v>75</v>
      </c>
      <c r="C22" s="24">
        <f>+VLOOKUP(C11,PROPONENTES!B10:N94,12,FALSE)</f>
        <v>1</v>
      </c>
      <c r="D22" s="93">
        <f>+VLOOKUP(C11,PROPONENTES!B10:N94,13,FALSE)</f>
        <v>1</v>
      </c>
      <c r="E22" s="32">
        <f>SUM(E15:E21)</f>
        <v>5044.8644000000004</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195</v>
      </c>
      <c r="E26" s="84" t="s">
        <v>195</v>
      </c>
      <c r="F26" s="84" t="s">
        <v>195</v>
      </c>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1123</v>
      </c>
      <c r="E29" s="85" t="s">
        <v>1124</v>
      </c>
      <c r="F29" s="85" t="s">
        <v>1125</v>
      </c>
      <c r="G29" s="85"/>
      <c r="H29" s="85"/>
      <c r="I29" s="85"/>
      <c r="J29" s="85"/>
      <c r="K29" s="145"/>
      <c r="L29" s="140"/>
    </row>
    <row r="30" spans="2:14" ht="236.5" customHeight="1" x14ac:dyDescent="0.2">
      <c r="B30" s="374"/>
      <c r="C30" s="25" t="s">
        <v>84</v>
      </c>
      <c r="D30" s="85" t="s">
        <v>1126</v>
      </c>
      <c r="E30" s="85" t="s">
        <v>1127</v>
      </c>
      <c r="F30" s="85" t="s">
        <v>1128</v>
      </c>
      <c r="G30" s="85"/>
      <c r="H30" s="85"/>
      <c r="I30" s="85"/>
      <c r="J30" s="85"/>
      <c r="K30" s="145"/>
      <c r="L30" s="140"/>
    </row>
    <row r="31" spans="2:14" ht="52.5" customHeight="1" x14ac:dyDescent="0.2">
      <c r="B31" s="374"/>
      <c r="C31" s="25" t="s">
        <v>85</v>
      </c>
      <c r="D31" s="89">
        <v>40176</v>
      </c>
      <c r="E31" s="89">
        <v>41653</v>
      </c>
      <c r="F31" s="89">
        <v>41940</v>
      </c>
      <c r="G31" s="89"/>
      <c r="H31" s="89"/>
      <c r="I31" s="89"/>
      <c r="J31" s="89"/>
      <c r="K31" s="145"/>
      <c r="L31" s="140"/>
    </row>
    <row r="32" spans="2:14" ht="54.75" customHeight="1" x14ac:dyDescent="0.2">
      <c r="B32" s="374"/>
      <c r="C32" s="25" t="s">
        <v>86</v>
      </c>
      <c r="D32" s="89">
        <v>40983</v>
      </c>
      <c r="E32" s="89">
        <v>42432</v>
      </c>
      <c r="F32" s="89">
        <v>42328</v>
      </c>
      <c r="G32" s="89"/>
      <c r="H32" s="89"/>
      <c r="I32" s="89"/>
      <c r="J32" s="89"/>
      <c r="K32" s="145"/>
      <c r="L32" s="140"/>
    </row>
    <row r="33" spans="2:12" ht="41.25" customHeight="1" x14ac:dyDescent="0.2">
      <c r="B33" s="374"/>
      <c r="C33" s="25" t="s">
        <v>87</v>
      </c>
      <c r="D33" s="86">
        <v>2012</v>
      </c>
      <c r="E33" s="86">
        <v>2016</v>
      </c>
      <c r="F33" s="86">
        <v>2015</v>
      </c>
      <c r="G33" s="86"/>
      <c r="H33" s="86"/>
      <c r="I33" s="86"/>
      <c r="J33" s="86"/>
      <c r="K33" s="145"/>
      <c r="L33" s="140"/>
    </row>
    <row r="34" spans="2:12" ht="63" customHeight="1" x14ac:dyDescent="0.2">
      <c r="B34" s="374"/>
      <c r="C34" s="25" t="s">
        <v>88</v>
      </c>
      <c r="D34" s="85" t="s">
        <v>1129</v>
      </c>
      <c r="E34" s="85" t="s">
        <v>1130</v>
      </c>
      <c r="F34" s="85" t="s">
        <v>1131</v>
      </c>
      <c r="G34" s="85"/>
      <c r="H34" s="85"/>
      <c r="I34" s="85"/>
      <c r="J34" s="85"/>
      <c r="K34" s="145"/>
      <c r="L34" s="140"/>
    </row>
    <row r="35" spans="2:12" ht="46.5" customHeight="1" x14ac:dyDescent="0.2">
      <c r="B35" s="374"/>
      <c r="C35" s="25" t="s">
        <v>89</v>
      </c>
      <c r="D35" s="85" t="s">
        <v>195</v>
      </c>
      <c r="E35" s="85" t="s">
        <v>195</v>
      </c>
      <c r="F35" s="85" t="s">
        <v>195</v>
      </c>
      <c r="G35" s="85"/>
      <c r="H35" s="85"/>
      <c r="I35" s="85"/>
      <c r="J35" s="85"/>
      <c r="K35" s="145"/>
      <c r="L35" s="140"/>
    </row>
    <row r="36" spans="2:12" ht="27.75" customHeight="1" x14ac:dyDescent="0.2">
      <c r="B36" s="374"/>
      <c r="C36" s="26" t="s">
        <v>90</v>
      </c>
      <c r="D36" s="90">
        <v>83</v>
      </c>
      <c r="E36" s="90">
        <v>351</v>
      </c>
      <c r="F36" s="90">
        <v>326</v>
      </c>
      <c r="G36" s="91"/>
      <c r="H36" s="91"/>
      <c r="I36" s="91"/>
      <c r="J36" s="91"/>
      <c r="K36" s="145"/>
      <c r="L36" s="140"/>
    </row>
    <row r="37" spans="2:12" ht="102.75" customHeight="1" x14ac:dyDescent="0.2">
      <c r="B37" s="374"/>
      <c r="C37" s="25" t="s">
        <v>91</v>
      </c>
      <c r="D37" s="87">
        <v>8681.1200000000008</v>
      </c>
      <c r="E37" s="158">
        <v>953.69</v>
      </c>
      <c r="F37" s="87">
        <v>541.73</v>
      </c>
      <c r="G37" s="87"/>
      <c r="H37" s="87"/>
      <c r="I37" s="87"/>
      <c r="J37" s="87"/>
      <c r="K37" s="242"/>
      <c r="L37" s="243"/>
    </row>
    <row r="38" spans="2:12" ht="48" customHeight="1" x14ac:dyDescent="0.2">
      <c r="B38" s="374"/>
      <c r="C38" s="25" t="s">
        <v>92</v>
      </c>
      <c r="D38" s="97">
        <f>IFERROR(D37*VLOOKUP(D33,'DATOS INICIALES'!$A$12:$B$50,2,0),"0")</f>
        <v>4919590704</v>
      </c>
      <c r="E38" s="97">
        <f>IFERROR(E37*VLOOKUP(E33,'DATOS INICIALES'!$A$12:$B$50,2,0),"0")</f>
        <v>657526338.95000005</v>
      </c>
      <c r="F38" s="97">
        <f>IFERROR(F37*VLOOKUP(F33,'DATOS INICIALES'!$A$12:$B$50,2,0),"0")</f>
        <v>349063725.5</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0.495</v>
      </c>
      <c r="E39" s="88">
        <v>0.5</v>
      </c>
      <c r="F39" s="88">
        <v>0.5</v>
      </c>
      <c r="G39" s="88"/>
      <c r="H39" s="88"/>
      <c r="I39" s="88"/>
      <c r="J39" s="88"/>
      <c r="K39" s="145"/>
      <c r="L39" s="140"/>
    </row>
    <row r="40" spans="2:12" ht="48.75" customHeight="1" x14ac:dyDescent="0.2">
      <c r="B40" s="374"/>
      <c r="C40" s="25" t="s">
        <v>94</v>
      </c>
      <c r="D40" s="97">
        <f t="shared" ref="D40:J40" si="0">IF(D26="","0",D39*D38)</f>
        <v>2435197398.48</v>
      </c>
      <c r="E40" s="97">
        <f t="shared" si="0"/>
        <v>328763169.47500002</v>
      </c>
      <c r="F40" s="97">
        <f t="shared" si="0"/>
        <v>174531862.75</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4297.1544000000004</v>
      </c>
      <c r="E41" s="98">
        <f t="shared" si="1"/>
        <v>476.84500000000003</v>
      </c>
      <c r="F41" s="98">
        <f t="shared" si="1"/>
        <v>270.86500000000001</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4297.1544000000004</v>
      </c>
      <c r="E48" s="98">
        <f t="shared" ref="E48:G48" si="6">+E41+E44+E47</f>
        <v>476.84500000000003</v>
      </c>
      <c r="F48" s="98">
        <f t="shared" si="6"/>
        <v>270.86500000000001</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0:C70"/>
    <mergeCell ref="B71:C71"/>
    <mergeCell ref="B72:C72"/>
    <mergeCell ref="B65:C65"/>
    <mergeCell ref="B66:C66"/>
    <mergeCell ref="B67:C67"/>
    <mergeCell ref="B69:E69"/>
    <mergeCell ref="B62:C62"/>
    <mergeCell ref="B63:C63"/>
    <mergeCell ref="B64:C64"/>
    <mergeCell ref="B59:C59"/>
    <mergeCell ref="B60:C60"/>
    <mergeCell ref="B61:C61"/>
    <mergeCell ref="B56:C56"/>
    <mergeCell ref="B57:C57"/>
    <mergeCell ref="B58:C58"/>
    <mergeCell ref="B50:B55"/>
    <mergeCell ref="B28:C28"/>
    <mergeCell ref="B29:B47"/>
    <mergeCell ref="I22:L22"/>
    <mergeCell ref="B12:L12"/>
    <mergeCell ref="B13:H13"/>
    <mergeCell ref="B14:B21"/>
    <mergeCell ref="K17:L17"/>
    <mergeCell ref="K18:L21"/>
    <mergeCell ref="B24:L24"/>
    <mergeCell ref="K25:L25"/>
    <mergeCell ref="B26:C26"/>
    <mergeCell ref="B27:C27"/>
    <mergeCell ref="B23:L23"/>
    <mergeCell ref="C8:I8"/>
    <mergeCell ref="C9:I9"/>
    <mergeCell ref="C10:I10"/>
    <mergeCell ref="C11:G11"/>
    <mergeCell ref="B2:L2"/>
    <mergeCell ref="B3:L3"/>
    <mergeCell ref="B4:L4"/>
    <mergeCell ref="B5:L5"/>
    <mergeCell ref="B7:I7"/>
    <mergeCell ref="J7:L7"/>
    <mergeCell ref="I11:L11"/>
  </mergeCells>
  <conditionalFormatting sqref="D71">
    <cfRule type="cellIs" dxfId="1223" priority="73" operator="equal">
      <formula>"CUMPLE"</formula>
    </cfRule>
    <cfRule type="containsBlanks" dxfId="1222" priority="70">
      <formula>LEN(TRIM(D71))=0</formula>
    </cfRule>
    <cfRule type="notContainsErrors" dxfId="1221" priority="71">
      <formula>NOT(ISERROR(D71))</formula>
    </cfRule>
    <cfRule type="cellIs" dxfId="1220" priority="72" operator="equal">
      <formula>"NO CUMPLE"</formula>
    </cfRule>
  </conditionalFormatting>
  <conditionalFormatting sqref="D72">
    <cfRule type="cellIs" dxfId="1219" priority="75" operator="equal">
      <formula>"CUMPLE"</formula>
    </cfRule>
    <cfRule type="cellIs" dxfId="1218" priority="74" operator="equal">
      <formula>"N/A"</formula>
    </cfRule>
    <cfRule type="cellIs" dxfId="1217" priority="77" operator="equal">
      <formula>"""CUMPLE"""</formula>
    </cfRule>
    <cfRule type="cellIs" dxfId="1216" priority="76" operator="equal">
      <formula>"NO CUMPLE"</formula>
    </cfRule>
  </conditionalFormatting>
  <conditionalFormatting sqref="D26:J37">
    <cfRule type="notContainsErrors" dxfId="1215" priority="4">
      <formula>NOT(ISERROR(D26))</formula>
    </cfRule>
    <cfRule type="containsBlanks" dxfId="1214" priority="3">
      <formula>LEN(TRIM(D26))=0</formula>
    </cfRule>
  </conditionalFormatting>
  <conditionalFormatting sqref="D36:J36">
    <cfRule type="notContainsErrors" dxfId="1213" priority="6">
      <formula>NOT(ISERROR(D36))</formula>
    </cfRule>
    <cfRule type="containsBlanks" dxfId="1212" priority="5">
      <formula>LEN(TRIM(D36))=0</formula>
    </cfRule>
  </conditionalFormatting>
  <conditionalFormatting sqref="D39:J39">
    <cfRule type="containsBlanks" dxfId="1211" priority="1">
      <formula>LEN(TRIM(D39))=0</formula>
    </cfRule>
    <cfRule type="notContainsErrors" dxfId="1210" priority="2">
      <formula>NOT(ISERROR(D39))</formula>
    </cfRule>
  </conditionalFormatting>
  <conditionalFormatting sqref="D42:J42 D45:J45">
    <cfRule type="notContainsErrors" dxfId="1209" priority="38">
      <formula>NOT(ISERROR(D42))</formula>
    </cfRule>
    <cfRule type="containsBlanks" dxfId="1208" priority="37">
      <formula>LEN(TRIM(D42))=0</formula>
    </cfRule>
  </conditionalFormatting>
  <conditionalFormatting sqref="D49:J54">
    <cfRule type="cellIs" dxfId="1207" priority="17" operator="equal">
      <formula>"NO CUMPLE"</formula>
    </cfRule>
    <cfRule type="cellIs" dxfId="1206" priority="18" operator="equal">
      <formula>"CUMPLE"</formula>
    </cfRule>
    <cfRule type="containsBlanks" dxfId="1205" priority="19">
      <formula>LEN(TRIM(D49))=0</formula>
    </cfRule>
    <cfRule type="notContainsErrors" dxfId="1204" priority="20">
      <formula>NOT(ISERROR(D49))</formula>
    </cfRule>
  </conditionalFormatting>
  <conditionalFormatting sqref="D55:J55">
    <cfRule type="cellIs" dxfId="1203" priority="28" operator="equal">
      <formula>"CUMPLE"</formula>
    </cfRule>
    <cfRule type="cellIs" dxfId="1202" priority="30" operator="equal">
      <formula>"""CUMPLE"""</formula>
    </cfRule>
    <cfRule type="cellIs" dxfId="1201" priority="29" operator="equal">
      <formula>"NO CUMPLE"</formula>
    </cfRule>
    <cfRule type="cellIs" dxfId="1200" priority="27" operator="equal">
      <formula>"N/A"</formula>
    </cfRule>
  </conditionalFormatting>
  <conditionalFormatting sqref="D56:J66">
    <cfRule type="cellIs" dxfId="1199" priority="11" operator="equal">
      <formula>"NO CUMPLE"</formula>
    </cfRule>
    <cfRule type="notContainsErrors" dxfId="1198" priority="14">
      <formula>NOT(ISERROR(D56))</formula>
    </cfRule>
    <cfRule type="containsBlanks" dxfId="1197" priority="13">
      <formula>LEN(TRIM(D56))=0</formula>
    </cfRule>
    <cfRule type="cellIs" dxfId="1196" priority="12" operator="equal">
      <formula>"CUMPLE"</formula>
    </cfRule>
  </conditionalFormatting>
  <conditionalFormatting sqref="D67:J67">
    <cfRule type="cellIs" dxfId="1195" priority="23" operator="equal">
      <formula>"N/A"</formula>
    </cfRule>
    <cfRule type="cellIs" dxfId="1194" priority="24" operator="equal">
      <formula>"CUMPLE"</formula>
    </cfRule>
    <cfRule type="cellIs" dxfId="1193" priority="26" operator="equal">
      <formula>"""CUMPLE"""</formula>
    </cfRule>
    <cfRule type="cellIs" dxfId="1192" priority="25" operator="equal">
      <formula>"NO CUMPLE"</formula>
    </cfRule>
  </conditionalFormatting>
  <conditionalFormatting sqref="D62:K66">
    <cfRule type="containsBlanks" dxfId="1191" priority="15">
      <formula>LEN(TRIM(D62))=0</formula>
    </cfRule>
    <cfRule type="notContainsErrors" dxfId="1190" priority="16">
      <formula>NOT(ISERROR(D62))</formula>
    </cfRule>
  </conditionalFormatting>
  <conditionalFormatting sqref="E71:E72">
    <cfRule type="notContainsErrors" dxfId="1189" priority="69">
      <formula>NOT(ISERROR(E71))</formula>
    </cfRule>
    <cfRule type="containsBlanks" dxfId="1188" priority="68">
      <formula>LEN(TRIM(E71))=0</formula>
    </cfRule>
  </conditionalFormatting>
  <conditionalFormatting sqref="F22:H22">
    <cfRule type="cellIs" dxfId="1187" priority="92" operator="equal">
      <formula>"NO CUMPLE"</formula>
    </cfRule>
    <cfRule type="cellIs" dxfId="1186" priority="93" operator="equal">
      <formula>"""CUMPLE"""</formula>
    </cfRule>
    <cfRule type="cellIs" dxfId="1185" priority="91" operator="equal">
      <formula>"CUMPLE"</formula>
    </cfRule>
  </conditionalFormatting>
  <conditionalFormatting sqref="G63:J63">
    <cfRule type="containsBlanks" dxfId="1184" priority="7">
      <formula>LEN(TRIM(G63))=0</formula>
    </cfRule>
    <cfRule type="notContainsErrors" dxfId="1183" priority="8">
      <formula>NOT(ISERROR(G63))</formula>
    </cfRule>
  </conditionalFormatting>
  <conditionalFormatting sqref="I11">
    <cfRule type="containsText" dxfId="1182" priority="97" operator="containsText" text="NO CUMPLE">
      <formula>NOT(ISERROR(SEARCH("NO CUMPLE",I11)))</formula>
    </cfRule>
    <cfRule type="containsText" dxfId="1181" priority="96" operator="containsText" text="HABILITADO">
      <formula>NOT(ISERROR(SEARCH("HABILITADO",I11)))</formula>
    </cfRule>
    <cfRule type="containsText" dxfId="1180" priority="95" operator="containsText" text="HABILITADO">
      <formula>NOT(ISERROR(SEARCH("HABILITADO",I11)))</formula>
    </cfRule>
    <cfRule type="containsText" dxfId="1179" priority="94" operator="containsText" text="INHABILITADO">
      <formula>NOT(ISERROR(SEARCH("INHABILITADO",I11)))</formula>
    </cfRule>
  </conditionalFormatting>
  <conditionalFormatting sqref="K18:K20">
    <cfRule type="cellIs" dxfId="1178" priority="66" operator="equal">
      <formula>"NO CUMPLE"</formula>
    </cfRule>
    <cfRule type="cellIs" dxfId="1177" priority="67" operator="equal">
      <formula>"""CUMPLE"""</formula>
    </cfRule>
    <cfRule type="cellIs" dxfId="1176" priority="65" operator="equal">
      <formula>"CUMPLE"</formula>
    </cfRule>
  </conditionalFormatting>
  <conditionalFormatting sqref="K26:K61 D62:J62">
    <cfRule type="containsBlanks" dxfId="1175" priority="9">
      <formula>LEN(TRIM(D26))=0</formula>
    </cfRule>
    <cfRule type="notContainsErrors" dxfId="1174" priority="10">
      <formula>NOT(ISERROR(D26))</formula>
    </cfRule>
  </conditionalFormatting>
  <conditionalFormatting sqref="K67:L67">
    <cfRule type="containsBlanks" dxfId="1173" priority="21">
      <formula>LEN(TRIM(K67))=0</formula>
    </cfRule>
    <cfRule type="notContainsErrors" dxfId="1172" priority="22">
      <formula>NOT(ISERROR(K67))</formula>
    </cfRule>
  </conditionalFormatting>
  <conditionalFormatting sqref="L14">
    <cfRule type="cellIs" dxfId="1171" priority="90" operator="equal">
      <formula>"""CUMPLE"""</formula>
    </cfRule>
    <cfRule type="cellIs" dxfId="1170" priority="89" operator="equal">
      <formula>"NO CUMPLE"</formula>
    </cfRule>
    <cfRule type="cellIs" dxfId="1169" priority="88" operator="equal">
      <formula>"CUMPLE"</formula>
    </cfRule>
  </conditionalFormatting>
  <dataValidations count="2">
    <dataValidation type="list" allowBlank="1" showInputMessage="1" showErrorMessage="1" sqref="D26:J28" xr:uid="{00000000-0002-0000-4E00-000000000000}">
      <formula1>$C$15:$C$21</formula1>
    </dataValidation>
    <dataValidation type="list" allowBlank="1" showInputMessage="1" showErrorMessage="1" sqref="L62:L67" xr:uid="{00000000-0002-0000-4E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4E00-000002000000}">
          <x14:formula1>
            <xm:f>'DATOS INICIALES'!$D$27:$D$29</xm:f>
          </x14:formula1>
          <xm:sqref>M50:M55</xm:sqref>
        </x14:dataValidation>
        <x14:dataValidation type="list" allowBlank="1" showInputMessage="1" showErrorMessage="1" xr:uid="{00000000-0002-0000-4E00-000003000000}">
          <x14:formula1>
            <xm:f>'DATOS INICIALES'!$A$13:$A$50</xm:f>
          </x14:formula1>
          <xm:sqref>G33:I33</xm:sqref>
        </x14:dataValidation>
        <x14:dataValidation type="list" allowBlank="1" showInputMessage="1" showErrorMessage="1" xr:uid="{00000000-0002-0000-4E00-000004000000}">
          <x14:formula1>
            <xm:f>'DATOS INICIALES'!$A$61:$A$66</xm:f>
          </x14:formula1>
          <xm:sqref>D25:I25</xm:sqref>
        </x14:dataValidation>
        <x14:dataValidation type="list" allowBlank="1" showInputMessage="1" showErrorMessage="1" xr:uid="{00000000-0002-0000-4E00-000005000000}">
          <x14:formula1>
            <xm:f>'DATOS INICIALES'!$A$57:$A$59</xm:f>
          </x14:formula1>
          <xm:sqref>D71 D56:J66</xm:sqref>
        </x14:dataValidation>
        <x14:dataValidation type="list" allowBlank="1" showInputMessage="1" showErrorMessage="1" xr:uid="{00000000-0002-0000-4E00-000006000000}">
          <x14:formula1>
            <xm:f>'DATOS INICIALES'!$C$52:$C$53</xm:f>
          </x14:formula1>
          <xm:sqref>D53:J54</xm:sqref>
        </x14:dataValidation>
        <x14:dataValidation type="list" allowBlank="1" showInputMessage="1" showErrorMessage="1" xr:uid="{00000000-0002-0000-4E00-000007000000}">
          <x14:formula1>
            <xm:f>'DATOS INICIALES'!$A$61:$A$67</xm:f>
          </x14:formula1>
          <xm:sqref>J25</xm:sqref>
        </x14:dataValidation>
        <x14:dataValidation type="list" allowBlank="1" showInputMessage="1" showErrorMessage="1" xr:uid="{00000000-0002-0000-4E00-000008000000}">
          <x14:formula1>
            <xm:f>'DATOS INICIALES'!$A$57:$A$58</xm:f>
          </x14:formula1>
          <xm:sqref>D49:J49</xm:sqref>
        </x14:dataValidation>
        <x14:dataValidation type="list" allowBlank="1" showInputMessage="1" showErrorMessage="1" xr:uid="{00000000-0002-0000-4E00-000009000000}">
          <x14:formula1>
            <xm:f>'DATOS INICIALES'!$C$52:$C$54</xm:f>
          </x14:formula1>
          <xm:sqref>D50:J52</xm:sqref>
        </x14:dataValidation>
      </x14:dataValidations>
    </ext>
  </extLst>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tabColor rgb="FF92D050"/>
  </sheetPr>
  <dimension ref="A1:N72"/>
  <sheetViews>
    <sheetView view="pageBreakPreview" topLeftCell="A16" zoomScale="55" zoomScaleNormal="25" zoomScaleSheetLayoutView="55" workbookViewId="0">
      <selection activeCell="G42" sqref="G42"/>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74</v>
      </c>
      <c r="B11" s="2" t="s">
        <v>58</v>
      </c>
      <c r="C11" s="413" t="str">
        <f>VLOOKUP(A11,PROPONENTES!A10:B94,2,FALSE)</f>
        <v>CONSORCIO USAQUÉN VELNEC</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4</v>
      </c>
      <c r="J14" s="147">
        <f>+L8</f>
        <v>986.3076290832455</v>
      </c>
      <c r="K14" s="147">
        <f>+E22</f>
        <v>7985.6239999999998</v>
      </c>
      <c r="L14" s="18" t="str">
        <f>IF(K14&gt;=J14,"CUMPLE","NO CUMPLE")</f>
        <v>CUMPLE</v>
      </c>
    </row>
    <row r="15" spans="1:12" ht="33.75" customHeight="1" x14ac:dyDescent="0.2">
      <c r="B15" s="382"/>
      <c r="C15" s="92" t="str">
        <f>IF(VLOOKUP(C11,PROPONENTES!B10:N94,2,FALSE)=0,"",VLOOKUP(C11,PROPONENTES!B10:N94,2,FALSE))</f>
        <v>VELNEC S.A.</v>
      </c>
      <c r="D15" s="93">
        <f>IF(VLOOKUP(C11,PROPONENTES!B10:N94,3,FALSE)=0,"",VLOOKUP(C11,PROPONENTES!B10:N94,3,FALSE))</f>
        <v>0.2</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6045.674</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VELNEC INGENIERIA S.A.S. BIC</v>
      </c>
      <c r="D16" s="93">
        <f>IF(VLOOKUP(C11,PROPONENTES!B10:N94,5,FALSE)=0,"",VLOOKUP(C11,PROPONENTES!B10:N94,5,FALSE))</f>
        <v>0.8</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1939.95</v>
      </c>
      <c r="F16" s="95" t="str">
        <f>IF(C16="","",IF(E16&gt;=$J$14*0.5,"SI","NO"))</f>
        <v>SI</v>
      </c>
      <c r="G16" s="96" t="str">
        <f>IF(C16="","",IF(E16&gt;=$J$14*0.05,"SI",IF(E16=0,"NO APORTA EXPERIENCIA",)))</f>
        <v>SI</v>
      </c>
      <c r="H16" s="96" t="str">
        <f>IF(C16="","",IF(AND(G16="NO APORTA EXPERIENCIA",D16&lt;=10%),"SI",IF(G16="SI","NO APLICA","NO - PORCENTAJE MAYOR AL 10%")))</f>
        <v>NO APLICA</v>
      </c>
      <c r="I16" s="162"/>
      <c r="J16" s="162"/>
      <c r="K16" s="162"/>
      <c r="L16" s="161">
        <f>AVERAGEIF(D67:J67,"CUMPLE",D48:J48)</f>
        <v>1996.4059999999999</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4</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4</v>
      </c>
      <c r="J19" s="128">
        <v>1</v>
      </c>
      <c r="K19" s="387"/>
      <c r="L19" s="388"/>
    </row>
    <row r="20" spans="2:14" ht="50.25" customHeight="1" x14ac:dyDescent="0.2">
      <c r="B20" s="382"/>
      <c r="C20" s="92"/>
      <c r="D20" s="93"/>
      <c r="E20" s="94"/>
      <c r="F20" s="95"/>
      <c r="G20" s="96"/>
      <c r="H20" s="96"/>
      <c r="I20" s="128">
        <f>COUNTIFS(D60:J60,"CUMPLE",D67:J67,"CUMPLE")</f>
        <v>4</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4</v>
      </c>
      <c r="J21" s="128">
        <v>1</v>
      </c>
      <c r="K21" s="389"/>
      <c r="L21" s="390"/>
    </row>
    <row r="22" spans="2:14" ht="84.75" customHeight="1" x14ac:dyDescent="0.2">
      <c r="B22" s="29" t="s">
        <v>75</v>
      </c>
      <c r="C22" s="24">
        <f>+VLOOKUP(C11,PROPONENTES!B10:N94,12,FALSE)</f>
        <v>2</v>
      </c>
      <c r="D22" s="93">
        <f>+VLOOKUP(C11,PROPONENTES!B10:N94,13,FALSE)</f>
        <v>1</v>
      </c>
      <c r="E22" s="32">
        <f>SUM(E15:E21)</f>
        <v>7985.6239999999998</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1058</v>
      </c>
      <c r="E26" s="84" t="s">
        <v>1057</v>
      </c>
      <c r="F26" s="84" t="s">
        <v>1057</v>
      </c>
      <c r="G26" s="84" t="s">
        <v>1057</v>
      </c>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1132</v>
      </c>
      <c r="E29" s="85" t="s">
        <v>1133</v>
      </c>
      <c r="F29" s="85" t="s">
        <v>1134</v>
      </c>
      <c r="G29" s="85" t="s">
        <v>1135</v>
      </c>
      <c r="H29" s="85"/>
      <c r="I29" s="85"/>
      <c r="J29" s="85"/>
      <c r="K29" s="145"/>
      <c r="L29" s="140"/>
    </row>
    <row r="30" spans="2:14" ht="156.75" customHeight="1" x14ac:dyDescent="0.2">
      <c r="B30" s="374"/>
      <c r="C30" s="25" t="s">
        <v>84</v>
      </c>
      <c r="D30" s="85" t="s">
        <v>1136</v>
      </c>
      <c r="E30" s="85" t="s">
        <v>1137</v>
      </c>
      <c r="F30" s="85" t="s">
        <v>1138</v>
      </c>
      <c r="G30" s="85" t="s">
        <v>1139</v>
      </c>
      <c r="H30" s="85"/>
      <c r="I30" s="85"/>
      <c r="J30" s="85"/>
      <c r="K30" s="145"/>
      <c r="L30" s="140"/>
    </row>
    <row r="31" spans="2:14" ht="52.5" customHeight="1" x14ac:dyDescent="0.2">
      <c r="B31" s="374"/>
      <c r="C31" s="25" t="s">
        <v>85</v>
      </c>
      <c r="D31" s="89">
        <v>39407</v>
      </c>
      <c r="E31" s="89">
        <v>44223</v>
      </c>
      <c r="F31" s="89">
        <v>42395</v>
      </c>
      <c r="G31" s="89">
        <v>41901</v>
      </c>
      <c r="H31" s="89"/>
      <c r="I31" s="89"/>
      <c r="J31" s="89"/>
      <c r="K31" s="145"/>
      <c r="L31" s="140"/>
    </row>
    <row r="32" spans="2:14" ht="54.75" customHeight="1" x14ac:dyDescent="0.2">
      <c r="B32" s="374"/>
      <c r="C32" s="25" t="s">
        <v>86</v>
      </c>
      <c r="D32" s="89">
        <v>39854</v>
      </c>
      <c r="E32" s="89">
        <v>44707</v>
      </c>
      <c r="F32" s="89">
        <v>44347</v>
      </c>
      <c r="G32" s="89">
        <v>42035</v>
      </c>
      <c r="H32" s="89"/>
      <c r="I32" s="89"/>
      <c r="J32" s="89"/>
      <c r="K32" s="145"/>
      <c r="L32" s="140"/>
    </row>
    <row r="33" spans="2:12" ht="41.25" customHeight="1" x14ac:dyDescent="0.2">
      <c r="B33" s="374"/>
      <c r="C33" s="25" t="s">
        <v>87</v>
      </c>
      <c r="D33" s="294">
        <v>2009</v>
      </c>
      <c r="E33" s="86">
        <v>2022</v>
      </c>
      <c r="F33" s="86">
        <v>2021</v>
      </c>
      <c r="G33" s="86">
        <v>2015</v>
      </c>
      <c r="H33" s="86"/>
      <c r="I33" s="86"/>
      <c r="J33" s="86"/>
      <c r="K33" s="145"/>
      <c r="L33" s="140"/>
    </row>
    <row r="34" spans="2:12" ht="63" customHeight="1" x14ac:dyDescent="0.2">
      <c r="B34" s="374"/>
      <c r="C34" s="25" t="s">
        <v>88</v>
      </c>
      <c r="D34" s="85" t="s">
        <v>1140</v>
      </c>
      <c r="E34" s="85" t="s">
        <v>1140</v>
      </c>
      <c r="F34" s="85" t="s">
        <v>1141</v>
      </c>
      <c r="G34" s="85" t="s">
        <v>1142</v>
      </c>
      <c r="H34" s="85"/>
      <c r="I34" s="85"/>
      <c r="J34" s="85"/>
      <c r="K34" s="145"/>
      <c r="L34" s="140"/>
    </row>
    <row r="35" spans="2:12" ht="46.5" customHeight="1" x14ac:dyDescent="0.2">
      <c r="B35" s="374"/>
      <c r="C35" s="25" t="s">
        <v>89</v>
      </c>
      <c r="D35" s="85" t="s">
        <v>1143</v>
      </c>
      <c r="E35" s="85" t="s">
        <v>1057</v>
      </c>
      <c r="F35" s="85" t="s">
        <v>1057</v>
      </c>
      <c r="G35" s="85" t="s">
        <v>1057</v>
      </c>
      <c r="H35" s="85"/>
      <c r="I35" s="85"/>
      <c r="J35" s="85"/>
      <c r="K35" s="145"/>
      <c r="L35" s="140"/>
    </row>
    <row r="36" spans="2:12" ht="27.75" customHeight="1" x14ac:dyDescent="0.2">
      <c r="B36" s="374"/>
      <c r="C36" s="26" t="s">
        <v>90</v>
      </c>
      <c r="D36" s="90">
        <v>67</v>
      </c>
      <c r="E36" s="90">
        <v>206</v>
      </c>
      <c r="F36" s="90">
        <v>200</v>
      </c>
      <c r="G36" s="91">
        <v>106</v>
      </c>
      <c r="H36" s="91"/>
      <c r="I36" s="91"/>
      <c r="J36" s="91"/>
      <c r="K36" s="145"/>
      <c r="L36" s="140"/>
    </row>
    <row r="37" spans="2:12" ht="102.75" customHeight="1" x14ac:dyDescent="0.2">
      <c r="B37" s="374"/>
      <c r="C37" s="25" t="s">
        <v>91</v>
      </c>
      <c r="D37" s="87">
        <v>1939.95</v>
      </c>
      <c r="E37" s="158">
        <v>2715.22</v>
      </c>
      <c r="F37" s="87">
        <v>11053.52</v>
      </c>
      <c r="G37" s="87">
        <v>1119.75</v>
      </c>
      <c r="H37" s="87"/>
      <c r="I37" s="87"/>
      <c r="J37" s="87"/>
      <c r="K37" s="242"/>
      <c r="L37" s="243"/>
    </row>
    <row r="38" spans="2:12" ht="48" customHeight="1" x14ac:dyDescent="0.2">
      <c r="B38" s="374"/>
      <c r="C38" s="25" t="s">
        <v>92</v>
      </c>
      <c r="D38" s="97">
        <f>IFERROR(D37*VLOOKUP(D33,'DATOS INICIALES'!$A$12:$B$50,2,0),"0")</f>
        <v>963961155</v>
      </c>
      <c r="E38" s="97">
        <f>IFERROR(E37*VLOOKUP(E33,'DATOS INICIALES'!$A$12:$B$50,2,0),"0")</f>
        <v>2715220000</v>
      </c>
      <c r="F38" s="97">
        <f>IFERROR(F37*VLOOKUP(F33,'DATOS INICIALES'!$A$12:$B$50,2,0),"0")</f>
        <v>10042410311.52</v>
      </c>
      <c r="G38" s="97">
        <f>IFERROR(G37*VLOOKUP(G33,'DATOS INICIALES'!$A$12:$B$50,2,0),"0")</f>
        <v>721510912.5</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1</v>
      </c>
      <c r="E39" s="88">
        <v>1</v>
      </c>
      <c r="F39" s="88">
        <v>0.2</v>
      </c>
      <c r="G39" s="88">
        <v>1</v>
      </c>
      <c r="H39" s="88"/>
      <c r="I39" s="88"/>
      <c r="J39" s="88"/>
      <c r="K39" s="145"/>
      <c r="L39" s="140"/>
    </row>
    <row r="40" spans="2:12" ht="48.75" customHeight="1" x14ac:dyDescent="0.2">
      <c r="B40" s="374"/>
      <c r="C40" s="25" t="s">
        <v>94</v>
      </c>
      <c r="D40" s="97">
        <f t="shared" ref="D40:J40" si="0">IF(D26="","0",D39*D38)</f>
        <v>963961155</v>
      </c>
      <c r="E40" s="97">
        <f t="shared" si="0"/>
        <v>2715220000</v>
      </c>
      <c r="F40" s="97">
        <f t="shared" si="0"/>
        <v>2008482062.3040001</v>
      </c>
      <c r="G40" s="97">
        <f t="shared" si="0"/>
        <v>721510912.5</v>
      </c>
      <c r="H40" s="97" t="str">
        <f t="shared" si="0"/>
        <v>0</v>
      </c>
      <c r="I40" s="97" t="str">
        <f t="shared" si="0"/>
        <v>0</v>
      </c>
      <c r="J40" s="97" t="str">
        <f t="shared" si="0"/>
        <v>0</v>
      </c>
      <c r="K40" s="145"/>
      <c r="L40" s="140"/>
    </row>
    <row r="41" spans="2:12" ht="65.25" customHeight="1" x14ac:dyDescent="0.2">
      <c r="B41" s="374"/>
      <c r="C41" s="25" t="s">
        <v>95</v>
      </c>
      <c r="D41" s="98">
        <f t="shared" ref="D41:J41" si="1">IFERROR(D37*D39,"0")</f>
        <v>1939.95</v>
      </c>
      <c r="E41" s="98">
        <f t="shared" si="1"/>
        <v>2715.22</v>
      </c>
      <c r="F41" s="98">
        <f t="shared" si="1"/>
        <v>2210.7040000000002</v>
      </c>
      <c r="G41" s="98">
        <f t="shared" si="1"/>
        <v>1119.75</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1939.95</v>
      </c>
      <c r="E48" s="98">
        <f t="shared" ref="E48:G48" si="6">+E41+E44+E47</f>
        <v>2715.22</v>
      </c>
      <c r="F48" s="98">
        <f t="shared" si="6"/>
        <v>2210.7040000000002</v>
      </c>
      <c r="G48" s="98">
        <f t="shared" si="6"/>
        <v>1119.75</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CUMPLE</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CUMPLE</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0:C70"/>
    <mergeCell ref="B71:C71"/>
    <mergeCell ref="B72:C72"/>
    <mergeCell ref="B65:C65"/>
    <mergeCell ref="B66:C66"/>
    <mergeCell ref="B67:C67"/>
    <mergeCell ref="B69:E69"/>
    <mergeCell ref="B62:C62"/>
    <mergeCell ref="B63:C63"/>
    <mergeCell ref="B64:C64"/>
    <mergeCell ref="B59:C59"/>
    <mergeCell ref="B60:C60"/>
    <mergeCell ref="B61:C61"/>
    <mergeCell ref="B56:C56"/>
    <mergeCell ref="B57:C57"/>
    <mergeCell ref="B58:C58"/>
    <mergeCell ref="B50:B55"/>
    <mergeCell ref="B28:C28"/>
    <mergeCell ref="B29:B47"/>
    <mergeCell ref="I22:L22"/>
    <mergeCell ref="B12:L12"/>
    <mergeCell ref="B13:H13"/>
    <mergeCell ref="B14:B21"/>
    <mergeCell ref="K17:L17"/>
    <mergeCell ref="K18:L21"/>
    <mergeCell ref="B24:L24"/>
    <mergeCell ref="K25:L25"/>
    <mergeCell ref="B26:C26"/>
    <mergeCell ref="B27:C27"/>
    <mergeCell ref="B23:L23"/>
    <mergeCell ref="C8:I8"/>
    <mergeCell ref="C9:I9"/>
    <mergeCell ref="C10:I10"/>
    <mergeCell ref="C11:G11"/>
    <mergeCell ref="B2:L2"/>
    <mergeCell ref="B3:L3"/>
    <mergeCell ref="B4:L4"/>
    <mergeCell ref="B5:L5"/>
    <mergeCell ref="B7:I7"/>
    <mergeCell ref="J7:L7"/>
    <mergeCell ref="I11:L11"/>
  </mergeCells>
  <conditionalFormatting sqref="D71">
    <cfRule type="cellIs" dxfId="1168" priority="73" operator="equal">
      <formula>"CUMPLE"</formula>
    </cfRule>
    <cfRule type="containsBlanks" dxfId="1167" priority="70">
      <formula>LEN(TRIM(D71))=0</formula>
    </cfRule>
    <cfRule type="notContainsErrors" dxfId="1166" priority="71">
      <formula>NOT(ISERROR(D71))</formula>
    </cfRule>
    <cfRule type="cellIs" dxfId="1165" priority="72" operator="equal">
      <formula>"NO CUMPLE"</formula>
    </cfRule>
  </conditionalFormatting>
  <conditionalFormatting sqref="D72">
    <cfRule type="cellIs" dxfId="1164" priority="75" operator="equal">
      <formula>"CUMPLE"</formula>
    </cfRule>
    <cfRule type="cellIs" dxfId="1163" priority="74" operator="equal">
      <formula>"N/A"</formula>
    </cfRule>
    <cfRule type="cellIs" dxfId="1162" priority="77" operator="equal">
      <formula>"""CUMPLE"""</formula>
    </cfRule>
    <cfRule type="cellIs" dxfId="1161" priority="76" operator="equal">
      <formula>"NO CUMPLE"</formula>
    </cfRule>
  </conditionalFormatting>
  <conditionalFormatting sqref="D26:J37">
    <cfRule type="notContainsErrors" dxfId="1160" priority="4">
      <formula>NOT(ISERROR(D26))</formula>
    </cfRule>
    <cfRule type="containsBlanks" dxfId="1159" priority="3">
      <formula>LEN(TRIM(D26))=0</formula>
    </cfRule>
  </conditionalFormatting>
  <conditionalFormatting sqref="D36:J36">
    <cfRule type="notContainsErrors" dxfId="1158" priority="6">
      <formula>NOT(ISERROR(D36))</formula>
    </cfRule>
    <cfRule type="containsBlanks" dxfId="1157" priority="5">
      <formula>LEN(TRIM(D36))=0</formula>
    </cfRule>
  </conditionalFormatting>
  <conditionalFormatting sqref="D39:J39">
    <cfRule type="containsBlanks" dxfId="1156" priority="1">
      <formula>LEN(TRIM(D39))=0</formula>
    </cfRule>
    <cfRule type="notContainsErrors" dxfId="1155" priority="2">
      <formula>NOT(ISERROR(D39))</formula>
    </cfRule>
  </conditionalFormatting>
  <conditionalFormatting sqref="D42:J42 D45:J45">
    <cfRule type="notContainsErrors" dxfId="1154" priority="38">
      <formula>NOT(ISERROR(D42))</formula>
    </cfRule>
    <cfRule type="containsBlanks" dxfId="1153" priority="37">
      <formula>LEN(TRIM(D42))=0</formula>
    </cfRule>
  </conditionalFormatting>
  <conditionalFormatting sqref="D49:J54">
    <cfRule type="cellIs" dxfId="1152" priority="17" operator="equal">
      <formula>"NO CUMPLE"</formula>
    </cfRule>
    <cfRule type="cellIs" dxfId="1151" priority="18" operator="equal">
      <formula>"CUMPLE"</formula>
    </cfRule>
    <cfRule type="containsBlanks" dxfId="1150" priority="19">
      <formula>LEN(TRIM(D49))=0</formula>
    </cfRule>
    <cfRule type="notContainsErrors" dxfId="1149" priority="20">
      <formula>NOT(ISERROR(D49))</formula>
    </cfRule>
  </conditionalFormatting>
  <conditionalFormatting sqref="D55:J55">
    <cfRule type="cellIs" dxfId="1148" priority="28" operator="equal">
      <formula>"CUMPLE"</formula>
    </cfRule>
    <cfRule type="cellIs" dxfId="1147" priority="30" operator="equal">
      <formula>"""CUMPLE"""</formula>
    </cfRule>
    <cfRule type="cellIs" dxfId="1146" priority="29" operator="equal">
      <formula>"NO CUMPLE"</formula>
    </cfRule>
    <cfRule type="cellIs" dxfId="1145" priority="27" operator="equal">
      <formula>"N/A"</formula>
    </cfRule>
  </conditionalFormatting>
  <conditionalFormatting sqref="D56:J66">
    <cfRule type="cellIs" dxfId="1144" priority="11" operator="equal">
      <formula>"NO CUMPLE"</formula>
    </cfRule>
    <cfRule type="notContainsErrors" dxfId="1143" priority="14">
      <formula>NOT(ISERROR(D56))</formula>
    </cfRule>
    <cfRule type="containsBlanks" dxfId="1142" priority="13">
      <formula>LEN(TRIM(D56))=0</formula>
    </cfRule>
    <cfRule type="cellIs" dxfId="1141" priority="12" operator="equal">
      <formula>"CUMPLE"</formula>
    </cfRule>
  </conditionalFormatting>
  <conditionalFormatting sqref="D67:J67">
    <cfRule type="cellIs" dxfId="1140" priority="23" operator="equal">
      <formula>"N/A"</formula>
    </cfRule>
    <cfRule type="cellIs" dxfId="1139" priority="24" operator="equal">
      <formula>"CUMPLE"</formula>
    </cfRule>
    <cfRule type="cellIs" dxfId="1138" priority="26" operator="equal">
      <formula>"""CUMPLE"""</formula>
    </cfRule>
    <cfRule type="cellIs" dxfId="1137" priority="25" operator="equal">
      <formula>"NO CUMPLE"</formula>
    </cfRule>
  </conditionalFormatting>
  <conditionalFormatting sqref="D62:K66">
    <cfRule type="containsBlanks" dxfId="1136" priority="15">
      <formula>LEN(TRIM(D62))=0</formula>
    </cfRule>
    <cfRule type="notContainsErrors" dxfId="1135" priority="16">
      <formula>NOT(ISERROR(D62))</formula>
    </cfRule>
  </conditionalFormatting>
  <conditionalFormatting sqref="E71:E72">
    <cfRule type="notContainsErrors" dxfId="1134" priority="69">
      <formula>NOT(ISERROR(E71))</formula>
    </cfRule>
    <cfRule type="containsBlanks" dxfId="1133" priority="68">
      <formula>LEN(TRIM(E71))=0</formula>
    </cfRule>
  </conditionalFormatting>
  <conditionalFormatting sqref="F22:H22">
    <cfRule type="cellIs" dxfId="1132" priority="92" operator="equal">
      <formula>"NO CUMPLE"</formula>
    </cfRule>
    <cfRule type="cellIs" dxfId="1131" priority="93" operator="equal">
      <formula>"""CUMPLE"""</formula>
    </cfRule>
    <cfRule type="cellIs" dxfId="1130" priority="91" operator="equal">
      <formula>"CUMPLE"</formula>
    </cfRule>
  </conditionalFormatting>
  <conditionalFormatting sqref="G63:J63">
    <cfRule type="containsBlanks" dxfId="1129" priority="7">
      <formula>LEN(TRIM(G63))=0</formula>
    </cfRule>
    <cfRule type="notContainsErrors" dxfId="1128" priority="8">
      <formula>NOT(ISERROR(G63))</formula>
    </cfRule>
  </conditionalFormatting>
  <conditionalFormatting sqref="I11">
    <cfRule type="containsText" dxfId="1127" priority="97" operator="containsText" text="NO CUMPLE">
      <formula>NOT(ISERROR(SEARCH("NO CUMPLE",I11)))</formula>
    </cfRule>
    <cfRule type="containsText" dxfId="1126" priority="96" operator="containsText" text="HABILITADO">
      <formula>NOT(ISERROR(SEARCH("HABILITADO",I11)))</formula>
    </cfRule>
    <cfRule type="containsText" dxfId="1125" priority="95" operator="containsText" text="HABILITADO">
      <formula>NOT(ISERROR(SEARCH("HABILITADO",I11)))</formula>
    </cfRule>
    <cfRule type="containsText" dxfId="1124" priority="94" operator="containsText" text="INHABILITADO">
      <formula>NOT(ISERROR(SEARCH("INHABILITADO",I11)))</formula>
    </cfRule>
  </conditionalFormatting>
  <conditionalFormatting sqref="K18:K20">
    <cfRule type="cellIs" dxfId="1123" priority="66" operator="equal">
      <formula>"NO CUMPLE"</formula>
    </cfRule>
    <cfRule type="cellIs" dxfId="1122" priority="67" operator="equal">
      <formula>"""CUMPLE"""</formula>
    </cfRule>
    <cfRule type="cellIs" dxfId="1121" priority="65" operator="equal">
      <formula>"CUMPLE"</formula>
    </cfRule>
  </conditionalFormatting>
  <conditionalFormatting sqref="K26:K61 D62:J62">
    <cfRule type="containsBlanks" dxfId="1120" priority="9">
      <formula>LEN(TRIM(D26))=0</formula>
    </cfRule>
    <cfRule type="notContainsErrors" dxfId="1119" priority="10">
      <formula>NOT(ISERROR(D26))</formula>
    </cfRule>
  </conditionalFormatting>
  <conditionalFormatting sqref="K67:L67">
    <cfRule type="containsBlanks" dxfId="1118" priority="21">
      <formula>LEN(TRIM(K67))=0</formula>
    </cfRule>
    <cfRule type="notContainsErrors" dxfId="1117" priority="22">
      <formula>NOT(ISERROR(K67))</formula>
    </cfRule>
  </conditionalFormatting>
  <conditionalFormatting sqref="L14">
    <cfRule type="cellIs" dxfId="1116" priority="90" operator="equal">
      <formula>"""CUMPLE"""</formula>
    </cfRule>
    <cfRule type="cellIs" dxfId="1115" priority="89" operator="equal">
      <formula>"NO CUMPLE"</formula>
    </cfRule>
    <cfRule type="cellIs" dxfId="1114" priority="88" operator="equal">
      <formula>"CUMPLE"</formula>
    </cfRule>
  </conditionalFormatting>
  <dataValidations count="2">
    <dataValidation type="list" allowBlank="1" showInputMessage="1" showErrorMessage="1" sqref="L62:L67" xr:uid="{00000000-0002-0000-4F00-000000000000}">
      <formula1>"0,1,2,3,4,5,6"</formula1>
    </dataValidation>
    <dataValidation type="list" allowBlank="1" showInputMessage="1" showErrorMessage="1" sqref="D26:J28" xr:uid="{00000000-0002-0000-4F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4F00-000002000000}">
          <x14:formula1>
            <xm:f>'DATOS INICIALES'!$D$27:$D$29</xm:f>
          </x14:formula1>
          <xm:sqref>M50:M55</xm:sqref>
        </x14:dataValidation>
        <x14:dataValidation type="list" allowBlank="1" showInputMessage="1" showErrorMessage="1" xr:uid="{00000000-0002-0000-4F00-000003000000}">
          <x14:formula1>
            <xm:f>'DATOS INICIALES'!$A$57:$A$58</xm:f>
          </x14:formula1>
          <xm:sqref>D49:J49</xm:sqref>
        </x14:dataValidation>
        <x14:dataValidation type="list" allowBlank="1" showInputMessage="1" showErrorMessage="1" xr:uid="{00000000-0002-0000-4F00-000004000000}">
          <x14:formula1>
            <xm:f>'DATOS INICIALES'!$A$61:$A$67</xm:f>
          </x14:formula1>
          <xm:sqref>J25</xm:sqref>
        </x14:dataValidation>
        <x14:dataValidation type="list" allowBlank="1" showInputMessage="1" showErrorMessage="1" xr:uid="{00000000-0002-0000-4F00-000005000000}">
          <x14:formula1>
            <xm:f>'DATOS INICIALES'!$C$52:$C$53</xm:f>
          </x14:formula1>
          <xm:sqref>D53:J54</xm:sqref>
        </x14:dataValidation>
        <x14:dataValidation type="list" allowBlank="1" showInputMessage="1" showErrorMessage="1" xr:uid="{00000000-0002-0000-4F00-000006000000}">
          <x14:formula1>
            <xm:f>'DATOS INICIALES'!$A$57:$A$59</xm:f>
          </x14:formula1>
          <xm:sqref>D71 D56:J66</xm:sqref>
        </x14:dataValidation>
        <x14:dataValidation type="list" allowBlank="1" showInputMessage="1" showErrorMessage="1" xr:uid="{00000000-0002-0000-4F00-000007000000}">
          <x14:formula1>
            <xm:f>'DATOS INICIALES'!$A$61:$A$66</xm:f>
          </x14:formula1>
          <xm:sqref>D25:I25</xm:sqref>
        </x14:dataValidation>
        <x14:dataValidation type="list" allowBlank="1" showInputMessage="1" showErrorMessage="1" xr:uid="{00000000-0002-0000-4F00-000008000000}">
          <x14:formula1>
            <xm:f>'DATOS INICIALES'!$A$13:$A$50</xm:f>
          </x14:formula1>
          <xm:sqref>H33:I33</xm:sqref>
        </x14:dataValidation>
        <x14:dataValidation type="list" allowBlank="1" showInputMessage="1" showErrorMessage="1" xr:uid="{00000000-0002-0000-4F00-000009000000}">
          <x14:formula1>
            <xm:f>'DATOS INICIALES'!$C$52:$C$54</xm:f>
          </x14:formula1>
          <xm:sqref>D50:J52</xm:sqref>
        </x14:dataValidation>
        <x14:dataValidation type="list" allowBlank="1" showInputMessage="1" showErrorMessage="1" xr:uid="{00000000-0002-0000-4F00-00000A000000}">
          <x14:formula1>
            <xm:f>'/Users/ldrr/Desktop/SDDE/REVISION DE CARPETAS/C:\Users\ASUS\OneDrive\Escritorio\alcaldia local de usaquen\2025\16. EVALUACION DE PROCESOS\INTERVENTORIA DE VIAS\consolidado equipo\[CRISTIAN_ Evaluación_Tecnica_fdlusa-CMA-003-2025 CM 65-74.xlsx]DATOS INICIALES'!#REF!</xm:f>
          </x14:formula1>
          <xm:sqref>G33</xm:sqref>
        </x14:dataValidation>
      </x14:dataValidations>
    </ext>
  </extLst>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tabColor rgb="FF92D050"/>
  </sheetPr>
  <dimension ref="A1:N72"/>
  <sheetViews>
    <sheetView view="pageBreakPreview" topLeftCell="A22" zoomScale="55" zoomScaleNormal="25" zoomScaleSheetLayoutView="55" workbookViewId="0">
      <selection activeCell="D39" sqref="D39:F39"/>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75</v>
      </c>
      <c r="B11" s="2" t="s">
        <v>58</v>
      </c>
      <c r="C11" s="413" t="str">
        <f>VLOOKUP(A11,PROPONENTES!A10:B94,2,FALSE)</f>
        <v>GEVIAL S.A.S.</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3</v>
      </c>
      <c r="J14" s="147">
        <f>+L8</f>
        <v>986.3076290832455</v>
      </c>
      <c r="K14" s="147">
        <f>+E22</f>
        <v>4709.93</v>
      </c>
      <c r="L14" s="18" t="str">
        <f>IF(K14&gt;=J14,"CUMPLE","NO CUMPLE")</f>
        <v>CUMPLE</v>
      </c>
    </row>
    <row r="15" spans="1:12" ht="33.75" customHeight="1" x14ac:dyDescent="0.2">
      <c r="B15" s="382"/>
      <c r="C15" s="92" t="str">
        <f>IF(VLOOKUP(C11,PROPONENTES!B10:N94,2,FALSE)=0,"",VLOOKUP(C11,PROPONENTES!B10:N94,2,FALSE))</f>
        <v>INGENIERIA Y GESTION VIASL S.A.S (GEVIAL)</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4709.93</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1569.9766666666667</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3</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3</v>
      </c>
      <c r="J19" s="128">
        <v>1</v>
      </c>
      <c r="K19" s="387"/>
      <c r="L19" s="388"/>
    </row>
    <row r="20" spans="2:14" ht="50.25" customHeight="1" x14ac:dyDescent="0.2">
      <c r="B20" s="382"/>
      <c r="C20" s="92"/>
      <c r="D20" s="93"/>
      <c r="E20" s="94"/>
      <c r="F20" s="95"/>
      <c r="G20" s="96"/>
      <c r="H20" s="96"/>
      <c r="I20" s="128">
        <f>COUNTIFS(D60:J60,"CUMPLE",D67:J67,"CUMPLE")</f>
        <v>3</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3</v>
      </c>
      <c r="J21" s="128">
        <v>1</v>
      </c>
      <c r="K21" s="389"/>
      <c r="L21" s="390"/>
    </row>
    <row r="22" spans="2:14" ht="84.75" customHeight="1" x14ac:dyDescent="0.2">
      <c r="B22" s="29" t="s">
        <v>75</v>
      </c>
      <c r="C22" s="24">
        <f>+VLOOKUP(C11,PROPONENTES!B10:N94,12,FALSE)</f>
        <v>1</v>
      </c>
      <c r="D22" s="93">
        <f>+VLOOKUP(C11,PROPONENTES!B10:N94,13,FALSE)</f>
        <v>1</v>
      </c>
      <c r="E22" s="32">
        <f>SUM(E15:E21)</f>
        <v>4709.93</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1144</v>
      </c>
      <c r="E26" s="84" t="s">
        <v>1144</v>
      </c>
      <c r="F26" s="84" t="s">
        <v>1144</v>
      </c>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1156</v>
      </c>
      <c r="E29" s="85" t="s">
        <v>1157</v>
      </c>
      <c r="F29" s="85" t="s">
        <v>1158</v>
      </c>
      <c r="G29" s="85"/>
      <c r="H29" s="85"/>
      <c r="I29" s="85"/>
      <c r="J29" s="85"/>
      <c r="K29" s="145"/>
      <c r="L29" s="140"/>
    </row>
    <row r="30" spans="2:14" ht="156.75" customHeight="1" x14ac:dyDescent="0.2">
      <c r="B30" s="374"/>
      <c r="C30" s="25" t="s">
        <v>84</v>
      </c>
      <c r="D30" s="85" t="s">
        <v>1159</v>
      </c>
      <c r="E30" s="85" t="s">
        <v>1160</v>
      </c>
      <c r="F30" s="85" t="s">
        <v>1161</v>
      </c>
      <c r="G30" s="85"/>
      <c r="H30" s="85"/>
      <c r="I30" s="85"/>
      <c r="J30" s="85"/>
      <c r="K30" s="145"/>
      <c r="L30" s="140"/>
    </row>
    <row r="31" spans="2:14" ht="52.5" customHeight="1" x14ac:dyDescent="0.2">
      <c r="B31" s="374"/>
      <c r="C31" s="25" t="s">
        <v>85</v>
      </c>
      <c r="D31" s="89">
        <v>39070</v>
      </c>
      <c r="E31" s="89">
        <v>42044</v>
      </c>
      <c r="F31" s="89">
        <v>44222</v>
      </c>
      <c r="G31" s="89"/>
      <c r="H31" s="89"/>
      <c r="I31" s="89"/>
      <c r="J31" s="89"/>
      <c r="K31" s="145"/>
      <c r="L31" s="140"/>
    </row>
    <row r="32" spans="2:14" ht="54.75" customHeight="1" x14ac:dyDescent="0.2">
      <c r="B32" s="374"/>
      <c r="C32" s="25" t="s">
        <v>86</v>
      </c>
      <c r="D32" s="89">
        <v>39304</v>
      </c>
      <c r="E32" s="89">
        <v>43251</v>
      </c>
      <c r="F32" s="89">
        <v>44721</v>
      </c>
      <c r="G32" s="89"/>
      <c r="H32" s="89"/>
      <c r="I32" s="89"/>
      <c r="J32" s="89"/>
      <c r="K32" s="145"/>
      <c r="L32" s="140"/>
    </row>
    <row r="33" spans="2:12" ht="41.25" customHeight="1" x14ac:dyDescent="0.2">
      <c r="B33" s="374"/>
      <c r="C33" s="25" t="s">
        <v>87</v>
      </c>
      <c r="D33" s="86">
        <v>2007</v>
      </c>
      <c r="E33" s="86">
        <v>2018</v>
      </c>
      <c r="F33" s="86">
        <v>2022</v>
      </c>
      <c r="G33" s="86"/>
      <c r="H33" s="86"/>
      <c r="I33" s="86"/>
      <c r="J33" s="86"/>
      <c r="K33" s="145"/>
      <c r="L33" s="140"/>
    </row>
    <row r="34" spans="2:12" ht="63" customHeight="1" x14ac:dyDescent="0.2">
      <c r="B34" s="374"/>
      <c r="C34" s="25" t="s">
        <v>88</v>
      </c>
      <c r="D34" s="85" t="s">
        <v>322</v>
      </c>
      <c r="E34" s="85" t="s">
        <v>793</v>
      </c>
      <c r="F34" s="85" t="s">
        <v>793</v>
      </c>
      <c r="G34" s="85"/>
      <c r="H34" s="85"/>
      <c r="I34" s="85"/>
      <c r="J34" s="85"/>
      <c r="K34" s="145"/>
      <c r="L34" s="140"/>
    </row>
    <row r="35" spans="2:12" ht="46.5" customHeight="1" x14ac:dyDescent="0.2">
      <c r="B35" s="374"/>
      <c r="C35" s="25" t="s">
        <v>89</v>
      </c>
      <c r="D35" s="85" t="s">
        <v>1162</v>
      </c>
      <c r="E35" s="85" t="s">
        <v>1163</v>
      </c>
      <c r="F35" s="85" t="s">
        <v>1164</v>
      </c>
      <c r="G35" s="85"/>
      <c r="H35" s="85"/>
      <c r="I35" s="85"/>
      <c r="J35" s="85"/>
      <c r="K35" s="145"/>
      <c r="L35" s="140"/>
    </row>
    <row r="36" spans="2:12" ht="27.75" customHeight="1" x14ac:dyDescent="0.2">
      <c r="B36" s="374"/>
      <c r="C36" s="26" t="s">
        <v>90</v>
      </c>
      <c r="D36" s="90">
        <v>25</v>
      </c>
      <c r="E36" s="90">
        <v>45</v>
      </c>
      <c r="F36" s="90">
        <v>63</v>
      </c>
      <c r="G36" s="91"/>
      <c r="H36" s="91"/>
      <c r="I36" s="91"/>
      <c r="J36" s="91"/>
      <c r="K36" s="145"/>
      <c r="L36" s="140"/>
    </row>
    <row r="37" spans="2:12" ht="102.75" customHeight="1" x14ac:dyDescent="0.2">
      <c r="B37" s="374"/>
      <c r="C37" s="25" t="s">
        <v>91</v>
      </c>
      <c r="D37" s="87">
        <v>128.75</v>
      </c>
      <c r="E37" s="158">
        <v>6678.89</v>
      </c>
      <c r="F37" s="87">
        <v>2483.4699999999998</v>
      </c>
      <c r="G37" s="87"/>
      <c r="H37" s="87"/>
      <c r="I37" s="87"/>
      <c r="J37" s="87"/>
      <c r="K37" s="242"/>
      <c r="L37" s="243"/>
    </row>
    <row r="38" spans="2:12" ht="48" customHeight="1" x14ac:dyDescent="0.2">
      <c r="B38" s="374"/>
      <c r="C38" s="25" t="s">
        <v>92</v>
      </c>
      <c r="D38" s="97">
        <f>IFERROR(D37*VLOOKUP(D33,'DATOS INICIALES'!$A$12:$B$50,2,0),"0")</f>
        <v>55838875</v>
      </c>
      <c r="E38" s="97">
        <f>IFERROR(E37*VLOOKUP(E33,'DATOS INICIALES'!$A$12:$B$50,2,0),"0")</f>
        <v>5217829381.3800001</v>
      </c>
      <c r="F38" s="97">
        <f>IFERROR(F37*VLOOKUP(F33,'DATOS INICIALES'!$A$12:$B$50,2,0),"0")</f>
        <v>2483470000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1</v>
      </c>
      <c r="E39" s="88">
        <v>0.5</v>
      </c>
      <c r="F39" s="88">
        <v>0.5</v>
      </c>
      <c r="G39" s="88"/>
      <c r="H39" s="88"/>
      <c r="I39" s="88"/>
      <c r="J39" s="88"/>
      <c r="K39" s="145"/>
      <c r="L39" s="140"/>
    </row>
    <row r="40" spans="2:12" ht="48.75" customHeight="1" x14ac:dyDescent="0.2">
      <c r="B40" s="374"/>
      <c r="C40" s="25" t="s">
        <v>94</v>
      </c>
      <c r="D40" s="97">
        <f t="shared" ref="D40:J40" si="0">IF(D26="","0",D39*D38)</f>
        <v>55838875</v>
      </c>
      <c r="E40" s="97">
        <f t="shared" si="0"/>
        <v>2608914690.6900001</v>
      </c>
      <c r="F40" s="97">
        <f t="shared" si="0"/>
        <v>1241735000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128.75</v>
      </c>
      <c r="E41" s="98">
        <f t="shared" si="1"/>
        <v>3339.4450000000002</v>
      </c>
      <c r="F41" s="98">
        <f t="shared" si="1"/>
        <v>1241.7349999999999</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128.75</v>
      </c>
      <c r="E48" s="98">
        <f t="shared" ref="E48:G48" si="6">+E41+E44+E47</f>
        <v>3339.4450000000002</v>
      </c>
      <c r="F48" s="98">
        <f t="shared" si="6"/>
        <v>1241.7349999999999</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0:C70"/>
    <mergeCell ref="B71:C71"/>
    <mergeCell ref="B72:C72"/>
    <mergeCell ref="B65:C65"/>
    <mergeCell ref="B66:C66"/>
    <mergeCell ref="B67:C67"/>
    <mergeCell ref="B69:E69"/>
    <mergeCell ref="B62:C62"/>
    <mergeCell ref="B63:C63"/>
    <mergeCell ref="B64:C64"/>
    <mergeCell ref="B59:C59"/>
    <mergeCell ref="B60:C60"/>
    <mergeCell ref="B61:C61"/>
    <mergeCell ref="B56:C56"/>
    <mergeCell ref="B57:C57"/>
    <mergeCell ref="B58:C58"/>
    <mergeCell ref="B50:B55"/>
    <mergeCell ref="B28:C28"/>
    <mergeCell ref="B29:B47"/>
    <mergeCell ref="I22:L22"/>
    <mergeCell ref="B12:L12"/>
    <mergeCell ref="B13:H13"/>
    <mergeCell ref="B14:B21"/>
    <mergeCell ref="K17:L17"/>
    <mergeCell ref="K18:L21"/>
    <mergeCell ref="B24:L24"/>
    <mergeCell ref="K25:L25"/>
    <mergeCell ref="B26:C26"/>
    <mergeCell ref="B27:C27"/>
    <mergeCell ref="B23:L23"/>
    <mergeCell ref="C8:I8"/>
    <mergeCell ref="C9:I9"/>
    <mergeCell ref="C10:I10"/>
    <mergeCell ref="C11:G11"/>
    <mergeCell ref="B2:L2"/>
    <mergeCell ref="B3:L3"/>
    <mergeCell ref="B4:L4"/>
    <mergeCell ref="B5:L5"/>
    <mergeCell ref="B7:I7"/>
    <mergeCell ref="J7:L7"/>
    <mergeCell ref="I11:L11"/>
  </mergeCells>
  <conditionalFormatting sqref="D71">
    <cfRule type="cellIs" dxfId="1113" priority="73" operator="equal">
      <formula>"CUMPLE"</formula>
    </cfRule>
    <cfRule type="containsBlanks" dxfId="1112" priority="70">
      <formula>LEN(TRIM(D71))=0</formula>
    </cfRule>
    <cfRule type="notContainsErrors" dxfId="1111" priority="71">
      <formula>NOT(ISERROR(D71))</formula>
    </cfRule>
    <cfRule type="cellIs" dxfId="1110" priority="72" operator="equal">
      <formula>"NO CUMPLE"</formula>
    </cfRule>
  </conditionalFormatting>
  <conditionalFormatting sqref="D72">
    <cfRule type="cellIs" dxfId="1109" priority="75" operator="equal">
      <formula>"CUMPLE"</formula>
    </cfRule>
    <cfRule type="cellIs" dxfId="1108" priority="74" operator="equal">
      <formula>"N/A"</formula>
    </cfRule>
    <cfRule type="cellIs" dxfId="1107" priority="77" operator="equal">
      <formula>"""CUMPLE"""</formula>
    </cfRule>
    <cfRule type="cellIs" dxfId="1106" priority="76" operator="equal">
      <formula>"NO CUMPLE"</formula>
    </cfRule>
  </conditionalFormatting>
  <conditionalFormatting sqref="D26:J37">
    <cfRule type="notContainsErrors" dxfId="1105" priority="4">
      <formula>NOT(ISERROR(D26))</formula>
    </cfRule>
    <cfRule type="containsBlanks" dxfId="1104" priority="3">
      <formula>LEN(TRIM(D26))=0</formula>
    </cfRule>
  </conditionalFormatting>
  <conditionalFormatting sqref="D36:J36">
    <cfRule type="notContainsErrors" dxfId="1103" priority="6">
      <formula>NOT(ISERROR(D36))</formula>
    </cfRule>
    <cfRule type="containsBlanks" dxfId="1102" priority="5">
      <formula>LEN(TRIM(D36))=0</formula>
    </cfRule>
  </conditionalFormatting>
  <conditionalFormatting sqref="D39:J39">
    <cfRule type="containsBlanks" dxfId="1101" priority="1">
      <formula>LEN(TRIM(D39))=0</formula>
    </cfRule>
    <cfRule type="notContainsErrors" dxfId="1100" priority="2">
      <formula>NOT(ISERROR(D39))</formula>
    </cfRule>
  </conditionalFormatting>
  <conditionalFormatting sqref="D42:J42 D45:J45">
    <cfRule type="notContainsErrors" dxfId="1099" priority="38">
      <formula>NOT(ISERROR(D42))</formula>
    </cfRule>
    <cfRule type="containsBlanks" dxfId="1098" priority="37">
      <formula>LEN(TRIM(D42))=0</formula>
    </cfRule>
  </conditionalFormatting>
  <conditionalFormatting sqref="D49:J54">
    <cfRule type="cellIs" dxfId="1097" priority="17" operator="equal">
      <formula>"NO CUMPLE"</formula>
    </cfRule>
    <cfRule type="cellIs" dxfId="1096" priority="18" operator="equal">
      <formula>"CUMPLE"</formula>
    </cfRule>
    <cfRule type="containsBlanks" dxfId="1095" priority="19">
      <formula>LEN(TRIM(D49))=0</formula>
    </cfRule>
    <cfRule type="notContainsErrors" dxfId="1094" priority="20">
      <formula>NOT(ISERROR(D49))</formula>
    </cfRule>
  </conditionalFormatting>
  <conditionalFormatting sqref="D55:J55">
    <cfRule type="cellIs" dxfId="1093" priority="28" operator="equal">
      <formula>"CUMPLE"</formula>
    </cfRule>
    <cfRule type="cellIs" dxfId="1092" priority="30" operator="equal">
      <formula>"""CUMPLE"""</formula>
    </cfRule>
    <cfRule type="cellIs" dxfId="1091" priority="29" operator="equal">
      <formula>"NO CUMPLE"</formula>
    </cfRule>
    <cfRule type="cellIs" dxfId="1090" priority="27" operator="equal">
      <formula>"N/A"</formula>
    </cfRule>
  </conditionalFormatting>
  <conditionalFormatting sqref="D56:J66">
    <cfRule type="cellIs" dxfId="1089" priority="11" operator="equal">
      <formula>"NO CUMPLE"</formula>
    </cfRule>
    <cfRule type="notContainsErrors" dxfId="1088" priority="14">
      <formula>NOT(ISERROR(D56))</formula>
    </cfRule>
    <cfRule type="containsBlanks" dxfId="1087" priority="13">
      <formula>LEN(TRIM(D56))=0</formula>
    </cfRule>
    <cfRule type="cellIs" dxfId="1086" priority="12" operator="equal">
      <formula>"CUMPLE"</formula>
    </cfRule>
  </conditionalFormatting>
  <conditionalFormatting sqref="D67:J67">
    <cfRule type="cellIs" dxfId="1085" priority="23" operator="equal">
      <formula>"N/A"</formula>
    </cfRule>
    <cfRule type="cellIs" dxfId="1084" priority="24" operator="equal">
      <formula>"CUMPLE"</formula>
    </cfRule>
    <cfRule type="cellIs" dxfId="1083" priority="26" operator="equal">
      <formula>"""CUMPLE"""</formula>
    </cfRule>
    <cfRule type="cellIs" dxfId="1082" priority="25" operator="equal">
      <formula>"NO CUMPLE"</formula>
    </cfRule>
  </conditionalFormatting>
  <conditionalFormatting sqref="D62:K66">
    <cfRule type="containsBlanks" dxfId="1081" priority="15">
      <formula>LEN(TRIM(D62))=0</formula>
    </cfRule>
    <cfRule type="notContainsErrors" dxfId="1080" priority="16">
      <formula>NOT(ISERROR(D62))</formula>
    </cfRule>
  </conditionalFormatting>
  <conditionalFormatting sqref="E71:E72">
    <cfRule type="notContainsErrors" dxfId="1079" priority="69">
      <formula>NOT(ISERROR(E71))</formula>
    </cfRule>
    <cfRule type="containsBlanks" dxfId="1078" priority="68">
      <formula>LEN(TRIM(E71))=0</formula>
    </cfRule>
  </conditionalFormatting>
  <conditionalFormatting sqref="F22:H22">
    <cfRule type="cellIs" dxfId="1077" priority="92" operator="equal">
      <formula>"NO CUMPLE"</formula>
    </cfRule>
    <cfRule type="cellIs" dxfId="1076" priority="93" operator="equal">
      <formula>"""CUMPLE"""</formula>
    </cfRule>
    <cfRule type="cellIs" dxfId="1075" priority="91" operator="equal">
      <formula>"CUMPLE"</formula>
    </cfRule>
  </conditionalFormatting>
  <conditionalFormatting sqref="G63:J63">
    <cfRule type="containsBlanks" dxfId="1074" priority="7">
      <formula>LEN(TRIM(G63))=0</formula>
    </cfRule>
    <cfRule type="notContainsErrors" dxfId="1073" priority="8">
      <formula>NOT(ISERROR(G63))</formula>
    </cfRule>
  </conditionalFormatting>
  <conditionalFormatting sqref="I11">
    <cfRule type="containsText" dxfId="1072" priority="97" operator="containsText" text="NO CUMPLE">
      <formula>NOT(ISERROR(SEARCH("NO CUMPLE",I11)))</formula>
    </cfRule>
    <cfRule type="containsText" dxfId="1071" priority="96" operator="containsText" text="HABILITADO">
      <formula>NOT(ISERROR(SEARCH("HABILITADO",I11)))</formula>
    </cfRule>
    <cfRule type="containsText" dxfId="1070" priority="95" operator="containsText" text="HABILITADO">
      <formula>NOT(ISERROR(SEARCH("HABILITADO",I11)))</formula>
    </cfRule>
    <cfRule type="containsText" dxfId="1069" priority="94" operator="containsText" text="INHABILITADO">
      <formula>NOT(ISERROR(SEARCH("INHABILITADO",I11)))</formula>
    </cfRule>
  </conditionalFormatting>
  <conditionalFormatting sqref="K18:K20">
    <cfRule type="cellIs" dxfId="1068" priority="66" operator="equal">
      <formula>"NO CUMPLE"</formula>
    </cfRule>
    <cfRule type="cellIs" dxfId="1067" priority="67" operator="equal">
      <formula>"""CUMPLE"""</formula>
    </cfRule>
    <cfRule type="cellIs" dxfId="1066" priority="65" operator="equal">
      <formula>"CUMPLE"</formula>
    </cfRule>
  </conditionalFormatting>
  <conditionalFormatting sqref="K26:K61 D62:J62">
    <cfRule type="containsBlanks" dxfId="1065" priority="9">
      <formula>LEN(TRIM(D26))=0</formula>
    </cfRule>
    <cfRule type="notContainsErrors" dxfId="1064" priority="10">
      <formula>NOT(ISERROR(D26))</formula>
    </cfRule>
  </conditionalFormatting>
  <conditionalFormatting sqref="K67:L67">
    <cfRule type="containsBlanks" dxfId="1063" priority="21">
      <formula>LEN(TRIM(K67))=0</formula>
    </cfRule>
    <cfRule type="notContainsErrors" dxfId="1062" priority="22">
      <formula>NOT(ISERROR(K67))</formula>
    </cfRule>
  </conditionalFormatting>
  <conditionalFormatting sqref="L14">
    <cfRule type="cellIs" dxfId="1061" priority="90" operator="equal">
      <formula>"""CUMPLE"""</formula>
    </cfRule>
    <cfRule type="cellIs" dxfId="1060" priority="89" operator="equal">
      <formula>"NO CUMPLE"</formula>
    </cfRule>
    <cfRule type="cellIs" dxfId="1059" priority="88" operator="equal">
      <formula>"CUMPLE"</formula>
    </cfRule>
  </conditionalFormatting>
  <dataValidations count="2">
    <dataValidation type="list" allowBlank="1" showInputMessage="1" showErrorMessage="1" sqref="D26:J28" xr:uid="{00000000-0002-0000-5000-000000000000}">
      <formula1>$C$15:$C$21</formula1>
    </dataValidation>
    <dataValidation type="list" allowBlank="1" showInputMessage="1" showErrorMessage="1" sqref="L62:L67" xr:uid="{00000000-0002-0000-50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5000-000002000000}">
          <x14:formula1>
            <xm:f>'DATOS INICIALES'!$D$27:$D$29</xm:f>
          </x14:formula1>
          <xm:sqref>M50:M55</xm:sqref>
        </x14:dataValidation>
        <x14:dataValidation type="list" allowBlank="1" showInputMessage="1" showErrorMessage="1" xr:uid="{00000000-0002-0000-5000-000003000000}">
          <x14:formula1>
            <xm:f>'DATOS INICIALES'!$A$13:$A$50</xm:f>
          </x14:formula1>
          <xm:sqref>G33:I33</xm:sqref>
        </x14:dataValidation>
        <x14:dataValidation type="list" allowBlank="1" showInputMessage="1" showErrorMessage="1" xr:uid="{00000000-0002-0000-5000-000004000000}">
          <x14:formula1>
            <xm:f>'DATOS INICIALES'!$A$61:$A$66</xm:f>
          </x14:formula1>
          <xm:sqref>D25:I25</xm:sqref>
        </x14:dataValidation>
        <x14:dataValidation type="list" allowBlank="1" showInputMessage="1" showErrorMessage="1" xr:uid="{00000000-0002-0000-5000-000005000000}">
          <x14:formula1>
            <xm:f>'DATOS INICIALES'!$A$57:$A$59</xm:f>
          </x14:formula1>
          <xm:sqref>D71 D56:J66</xm:sqref>
        </x14:dataValidation>
        <x14:dataValidation type="list" allowBlank="1" showInputMessage="1" showErrorMessage="1" xr:uid="{00000000-0002-0000-5000-000006000000}">
          <x14:formula1>
            <xm:f>'DATOS INICIALES'!$C$52:$C$53</xm:f>
          </x14:formula1>
          <xm:sqref>D53:J54</xm:sqref>
        </x14:dataValidation>
        <x14:dataValidation type="list" allowBlank="1" showInputMessage="1" showErrorMessage="1" xr:uid="{00000000-0002-0000-5000-000007000000}">
          <x14:formula1>
            <xm:f>'DATOS INICIALES'!$A$61:$A$67</xm:f>
          </x14:formula1>
          <xm:sqref>J25</xm:sqref>
        </x14:dataValidation>
        <x14:dataValidation type="list" allowBlank="1" showInputMessage="1" showErrorMessage="1" xr:uid="{00000000-0002-0000-5000-000008000000}">
          <x14:formula1>
            <xm:f>'DATOS INICIALES'!$A$57:$A$58</xm:f>
          </x14:formula1>
          <xm:sqref>D49:J49</xm:sqref>
        </x14:dataValidation>
        <x14:dataValidation type="list" allowBlank="1" showInputMessage="1" showErrorMessage="1" xr:uid="{00000000-0002-0000-5000-000009000000}">
          <x14:formula1>
            <xm:f>'DATOS INICIALES'!$C$52:$C$54</xm:f>
          </x14:formula1>
          <xm:sqref>D50:J52</xm:sqref>
        </x14:dataValidation>
      </x14:dataValidations>
    </ext>
  </extLst>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sheetPr>
    <tabColor rgb="FF92D050"/>
  </sheetPr>
  <dimension ref="A1:N72"/>
  <sheetViews>
    <sheetView view="pageBreakPreview" topLeftCell="A22" zoomScale="55" zoomScaleNormal="25" zoomScaleSheetLayoutView="55" workbookViewId="0">
      <selection activeCell="E42" sqref="E42"/>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76</v>
      </c>
      <c r="B11" s="2" t="s">
        <v>58</v>
      </c>
      <c r="C11" s="413" t="str">
        <f>VLOOKUP(A11,PROPONENTES!A10:B94,2,FALSE)</f>
        <v>CONSORCIO HUPK VIAS DE USAQUEN</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5</v>
      </c>
      <c r="J14" s="147">
        <f>+L8</f>
        <v>986.3076290832455</v>
      </c>
      <c r="K14" s="147">
        <f>+E22</f>
        <v>7504.4996999999994</v>
      </c>
      <c r="L14" s="18" t="str">
        <f>IF(K14&gt;=J14,"CUMPLE","NO CUMPLE")</f>
        <v>CUMPLE</v>
      </c>
    </row>
    <row r="15" spans="1:12" ht="33.75" customHeight="1" x14ac:dyDescent="0.2">
      <c r="B15" s="382"/>
      <c r="C15" s="92" t="str">
        <f>IF(VLOOKUP(C11,PROPONENTES!B10:N94,2,FALSE)=0,"",VLOOKUP(C11,PROPONENTES!B10:N94,2,FALSE))</f>
        <v>HUPERNIKAO INGENIERIA
S.A.S</v>
      </c>
      <c r="D15" s="93">
        <f>IF(VLOOKUP(C11,PROPONENTES!B10:N94,3,FALSE)=0,"",VLOOKUP(C11,PROPONENTES!B10:N94,3,FALSE))</f>
        <v>0.99</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921.40499999999997</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MCCA S.A.S.</v>
      </c>
      <c r="D16" s="93">
        <f>IF(VLOOKUP(C11,PROPONENTES!B10:N94,5,FALSE)=0,"",VLOOKUP(C11,PROPONENTES!B10:N94,5,FALSE))</f>
        <v>0.01</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6583.0946999999996</v>
      </c>
      <c r="F16" s="95" t="str">
        <f>IF(C16="","",IF(E16&gt;=$J$14*0.5,"SI","NO"))</f>
        <v>SI</v>
      </c>
      <c r="G16" s="96" t="str">
        <f>IF(C16="","",IF(E16&gt;=$J$14*0.05,"SI",IF(E16=0,"NO APORTA EXPERIENCIA",)))</f>
        <v>SI</v>
      </c>
      <c r="H16" s="96" t="str">
        <f>IF(C16="","",IF(AND(G16="NO APORTA EXPERIENCIA",D16&lt;=10%),"SI",IF(G16="SI","NO APLICA","NO - PORCENTAJE MAYOR AL 10%")))</f>
        <v>NO APLICA</v>
      </c>
      <c r="I16" s="162"/>
      <c r="J16" s="162"/>
      <c r="K16" s="162"/>
      <c r="L16" s="161">
        <f>AVERAGEIF(D67:J67,"CUMPLE",D48:J48)</f>
        <v>1500.89994</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5</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5</v>
      </c>
      <c r="J19" s="128">
        <v>1</v>
      </c>
      <c r="K19" s="387"/>
      <c r="L19" s="388"/>
    </row>
    <row r="20" spans="2:14" ht="50.25" customHeight="1" x14ac:dyDescent="0.2">
      <c r="B20" s="382"/>
      <c r="C20" s="92"/>
      <c r="D20" s="93"/>
      <c r="E20" s="94"/>
      <c r="F20" s="95"/>
      <c r="G20" s="96"/>
      <c r="H20" s="96"/>
      <c r="I20" s="128">
        <f>COUNTIFS(D60:J60,"CUMPLE",D67:J67,"CUMPLE")</f>
        <v>5</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5</v>
      </c>
      <c r="J21" s="128">
        <v>1</v>
      </c>
      <c r="K21" s="389"/>
      <c r="L21" s="390"/>
    </row>
    <row r="22" spans="2:14" ht="84.75" customHeight="1" x14ac:dyDescent="0.2">
      <c r="B22" s="29" t="s">
        <v>75</v>
      </c>
      <c r="C22" s="24">
        <f>+VLOOKUP(C11,PROPONENTES!B10:N94,12,FALSE)</f>
        <v>2</v>
      </c>
      <c r="D22" s="93">
        <f>+VLOOKUP(C11,PROPONENTES!B10:N94,13,FALSE)</f>
        <v>1</v>
      </c>
      <c r="E22" s="32">
        <f>SUM(E15:E21)</f>
        <v>7504.4996999999994</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1145</v>
      </c>
      <c r="E26" s="84" t="s">
        <v>1146</v>
      </c>
      <c r="F26" s="84" t="s">
        <v>1146</v>
      </c>
      <c r="G26" s="84" t="s">
        <v>1146</v>
      </c>
      <c r="H26" s="84" t="s">
        <v>1146</v>
      </c>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thickBot="1" x14ac:dyDescent="0.25">
      <c r="B29" s="373" t="s">
        <v>82</v>
      </c>
      <c r="C29" s="25" t="s">
        <v>83</v>
      </c>
      <c r="D29" s="85" t="s">
        <v>1165</v>
      </c>
      <c r="E29" s="85" t="s">
        <v>1166</v>
      </c>
      <c r="F29" s="85" t="s">
        <v>1167</v>
      </c>
      <c r="G29" s="85" t="s">
        <v>1168</v>
      </c>
      <c r="H29" s="85" t="s">
        <v>1169</v>
      </c>
      <c r="I29" s="85"/>
      <c r="J29" s="85"/>
      <c r="K29" s="145"/>
      <c r="L29" s="140"/>
    </row>
    <row r="30" spans="2:14" ht="156.75" customHeight="1" thickTop="1" thickBot="1" x14ac:dyDescent="0.25">
      <c r="B30" s="374"/>
      <c r="C30" s="25" t="s">
        <v>84</v>
      </c>
      <c r="D30" s="296" t="s">
        <v>1170</v>
      </c>
      <c r="E30" s="297" t="s">
        <v>1171</v>
      </c>
      <c r="F30" s="298" t="s">
        <v>1172</v>
      </c>
      <c r="G30" s="298" t="s">
        <v>1173</v>
      </c>
      <c r="H30" s="299" t="s">
        <v>1174</v>
      </c>
      <c r="I30" s="85"/>
      <c r="J30" s="85"/>
      <c r="K30" s="145"/>
      <c r="L30" s="140"/>
    </row>
    <row r="31" spans="2:14" ht="52.5" customHeight="1" thickTop="1" thickBot="1" x14ac:dyDescent="0.25">
      <c r="B31" s="374"/>
      <c r="C31" s="25" t="s">
        <v>85</v>
      </c>
      <c r="D31" s="300">
        <v>44481</v>
      </c>
      <c r="E31" s="301">
        <v>44756</v>
      </c>
      <c r="F31" s="301">
        <v>43027</v>
      </c>
      <c r="G31" s="302">
        <v>44925</v>
      </c>
      <c r="H31" s="303">
        <v>41674</v>
      </c>
      <c r="I31" s="89"/>
      <c r="J31" s="89"/>
      <c r="K31" s="145"/>
      <c r="L31" s="140"/>
    </row>
    <row r="32" spans="2:14" ht="54.75" customHeight="1" thickTop="1" thickBot="1" x14ac:dyDescent="0.25">
      <c r="B32" s="374"/>
      <c r="C32" s="25" t="s">
        <v>86</v>
      </c>
      <c r="D32" s="300">
        <v>45742</v>
      </c>
      <c r="E32" s="301">
        <v>45127</v>
      </c>
      <c r="F32" s="301">
        <v>43800</v>
      </c>
      <c r="G32" s="302">
        <v>45503</v>
      </c>
      <c r="H32" s="303">
        <v>42281</v>
      </c>
      <c r="I32" s="89"/>
      <c r="J32" s="89"/>
      <c r="K32" s="145"/>
      <c r="L32" s="140"/>
    </row>
    <row r="33" spans="2:12" ht="41.25" customHeight="1" thickTop="1" x14ac:dyDescent="0.2">
      <c r="B33" s="374"/>
      <c r="C33" s="25" t="s">
        <v>87</v>
      </c>
      <c r="D33" s="86">
        <v>2025</v>
      </c>
      <c r="E33" s="86">
        <v>2025</v>
      </c>
      <c r="F33" s="86">
        <v>2019</v>
      </c>
      <c r="G33" s="86">
        <v>2024</v>
      </c>
      <c r="H33" s="86">
        <v>2015</v>
      </c>
      <c r="I33" s="86"/>
      <c r="J33" s="86"/>
      <c r="K33" s="145"/>
      <c r="L33" s="140"/>
    </row>
    <row r="34" spans="2:12" ht="63" customHeight="1" x14ac:dyDescent="0.2">
      <c r="B34" s="374"/>
      <c r="C34" s="25" t="s">
        <v>88</v>
      </c>
      <c r="D34" s="85" t="s">
        <v>1175</v>
      </c>
      <c r="E34" s="85" t="s">
        <v>1176</v>
      </c>
      <c r="F34" s="85" t="s">
        <v>1177</v>
      </c>
      <c r="G34" s="85" t="s">
        <v>1178</v>
      </c>
      <c r="H34" s="85" t="s">
        <v>1177</v>
      </c>
      <c r="I34" s="85"/>
      <c r="J34" s="85"/>
      <c r="K34" s="145"/>
      <c r="L34" s="140"/>
    </row>
    <row r="35" spans="2:12" ht="46.5" customHeight="1" x14ac:dyDescent="0.2">
      <c r="B35" s="374"/>
      <c r="C35" s="25" t="s">
        <v>89</v>
      </c>
      <c r="D35" s="85" t="s">
        <v>1179</v>
      </c>
      <c r="E35" s="85" t="s">
        <v>1180</v>
      </c>
      <c r="F35" s="85" t="s">
        <v>1181</v>
      </c>
      <c r="G35" s="85" t="s">
        <v>1182</v>
      </c>
      <c r="H35" s="85" t="s">
        <v>1183</v>
      </c>
      <c r="I35" s="85"/>
      <c r="J35" s="85"/>
      <c r="K35" s="145"/>
      <c r="L35" s="140"/>
    </row>
    <row r="36" spans="2:12" ht="27.75" customHeight="1" x14ac:dyDescent="0.2">
      <c r="B36" s="374"/>
      <c r="C36" s="26" t="s">
        <v>90</v>
      </c>
      <c r="D36" s="90">
        <v>45</v>
      </c>
      <c r="E36" s="90">
        <v>71</v>
      </c>
      <c r="F36" s="90">
        <v>37</v>
      </c>
      <c r="G36" s="91">
        <v>78</v>
      </c>
      <c r="H36" s="91">
        <v>8</v>
      </c>
      <c r="I36" s="91"/>
      <c r="J36" s="91"/>
      <c r="K36" s="145"/>
      <c r="L36" s="140"/>
    </row>
    <row r="37" spans="2:12" ht="102.75" customHeight="1" x14ac:dyDescent="0.2">
      <c r="B37" s="374"/>
      <c r="C37" s="25" t="s">
        <v>91</v>
      </c>
      <c r="D37" s="87">
        <v>1842.81</v>
      </c>
      <c r="E37" s="158">
        <v>484.59</v>
      </c>
      <c r="F37" s="87">
        <v>2418.44</v>
      </c>
      <c r="G37" s="87">
        <v>3154.57</v>
      </c>
      <c r="H37" s="158">
        <v>3106.87</v>
      </c>
      <c r="I37" s="87"/>
      <c r="J37" s="87"/>
      <c r="K37" s="244"/>
      <c r="L37" s="245"/>
    </row>
    <row r="38" spans="2:12" ht="48" customHeight="1" x14ac:dyDescent="0.2">
      <c r="B38" s="374"/>
      <c r="C38" s="25" t="s">
        <v>92</v>
      </c>
      <c r="D38" s="97">
        <f>IFERROR(D37*VLOOKUP(D33,'DATOS INICIALES'!$A$12:$B$50,2,0),"0")</f>
        <v>2623240035</v>
      </c>
      <c r="E38" s="97">
        <f>IFERROR(E37*VLOOKUP(E33,'DATOS INICIALES'!$A$12:$B$50,2,0),"0")</f>
        <v>689813865</v>
      </c>
      <c r="F38" s="97">
        <f>IFERROR(F37*VLOOKUP(F33,'DATOS INICIALES'!$A$12:$B$50,2,0),"0")</f>
        <v>2002748859.04</v>
      </c>
      <c r="G38" s="97">
        <f>IFERROR(G37*VLOOKUP(G33,'DATOS INICIALES'!$A$12:$B$50,2,0),"0")</f>
        <v>4100941000</v>
      </c>
      <c r="H38" s="97">
        <f>IFERROR(H37*VLOOKUP(H33,'DATOS INICIALES'!$A$12:$B$50,2,0),"0")</f>
        <v>2001911684.5</v>
      </c>
      <c r="I38" s="97" t="str">
        <f>IFERROR(I37*VLOOKUP(I33,'DATOS INICIALES'!$A$12:$B$50,2,0),"0")</f>
        <v>0</v>
      </c>
      <c r="J38" s="97" t="str">
        <f>IFERROR(J37*VLOOKUP(J33,'DATOS INICIALES'!$A$12:$B$50,2,0),"0")</f>
        <v>0</v>
      </c>
      <c r="K38" s="145"/>
      <c r="L38" s="140"/>
    </row>
    <row r="39" spans="2:12" ht="33.75" customHeight="1" x14ac:dyDescent="0.2">
      <c r="B39" s="374"/>
      <c r="C39" s="25" t="s">
        <v>93</v>
      </c>
      <c r="D39" s="88">
        <v>0.5</v>
      </c>
      <c r="E39" s="88">
        <v>0.95</v>
      </c>
      <c r="F39" s="88">
        <v>0.9</v>
      </c>
      <c r="G39" s="88">
        <v>0.66</v>
      </c>
      <c r="H39" s="88">
        <v>0.6</v>
      </c>
      <c r="I39" s="88"/>
      <c r="J39" s="88"/>
      <c r="K39" s="145"/>
      <c r="L39" s="140"/>
    </row>
    <row r="40" spans="2:12" ht="48.75" customHeight="1" x14ac:dyDescent="0.2">
      <c r="B40" s="374"/>
      <c r="C40" s="25" t="s">
        <v>94</v>
      </c>
      <c r="D40" s="97">
        <f t="shared" ref="D40:J40" si="0">IF(D26="","0",D39*D38)</f>
        <v>1311620017.5</v>
      </c>
      <c r="E40" s="97">
        <f t="shared" si="0"/>
        <v>655323171.75</v>
      </c>
      <c r="F40" s="97">
        <f t="shared" si="0"/>
        <v>1802473973.1359999</v>
      </c>
      <c r="G40" s="97">
        <f t="shared" si="0"/>
        <v>2706621060</v>
      </c>
      <c r="H40" s="97">
        <f t="shared" si="0"/>
        <v>1201147010.7</v>
      </c>
      <c r="I40" s="97" t="str">
        <f t="shared" si="0"/>
        <v>0</v>
      </c>
      <c r="J40" s="97" t="str">
        <f t="shared" si="0"/>
        <v>0</v>
      </c>
      <c r="K40" s="145"/>
      <c r="L40" s="140"/>
    </row>
    <row r="41" spans="2:12" ht="65.25" customHeight="1" x14ac:dyDescent="0.2">
      <c r="B41" s="374"/>
      <c r="C41" s="25" t="s">
        <v>95</v>
      </c>
      <c r="D41" s="98">
        <f t="shared" ref="D41:J41" si="1">IFERROR(D37*D39,"0")</f>
        <v>921.40499999999997</v>
      </c>
      <c r="E41" s="98">
        <f t="shared" si="1"/>
        <v>460.36049999999994</v>
      </c>
      <c r="F41" s="98">
        <f t="shared" si="1"/>
        <v>2176.596</v>
      </c>
      <c r="G41" s="98">
        <f t="shared" si="1"/>
        <v>2082.0162</v>
      </c>
      <c r="H41" s="98">
        <f t="shared" si="1"/>
        <v>1864.1219999999998</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921.40499999999997</v>
      </c>
      <c r="E48" s="98">
        <f t="shared" ref="E48:G48" si="6">+E41+E44+E47</f>
        <v>460.36049999999994</v>
      </c>
      <c r="F48" s="98">
        <f t="shared" si="6"/>
        <v>2176.596</v>
      </c>
      <c r="G48" s="98">
        <f t="shared" si="6"/>
        <v>2082.0162</v>
      </c>
      <c r="H48" s="98">
        <f>+H41+H44+H47</f>
        <v>1864.1219999999998</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CUMPLE</v>
      </c>
      <c r="H55" s="18" t="str">
        <f t="shared" si="8"/>
        <v>CUMPLE</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CUMPLE</v>
      </c>
      <c r="H67" s="18" t="str">
        <f t="shared" ref="H67:J67" si="9">IF(H26="","N/A",IF(AND(H49="CUMPLE",H55="CUMPLE",OR(H56="CUMPLE",H56="N/A"),OR(H59="CUMPLE",H59="N/A"),H62="CUMPLE",H63="CUMPLE",OR(H64="CUMPLE",H64="N/A"),H65="CUMPLE",OR(H66="CUMPLE",H66="N/A")),"CUMPLE","NO CUMPLE"))</f>
        <v>CUMPLE</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0:C70"/>
    <mergeCell ref="B71:C71"/>
    <mergeCell ref="B72:C72"/>
    <mergeCell ref="B65:C65"/>
    <mergeCell ref="B66:C66"/>
    <mergeCell ref="B67:C67"/>
    <mergeCell ref="B69:E69"/>
    <mergeCell ref="B62:C62"/>
    <mergeCell ref="B63:C63"/>
    <mergeCell ref="B64:C64"/>
    <mergeCell ref="B59:C59"/>
    <mergeCell ref="B60:C60"/>
    <mergeCell ref="B61:C61"/>
    <mergeCell ref="B56:C56"/>
    <mergeCell ref="B57:C57"/>
    <mergeCell ref="B58:C58"/>
    <mergeCell ref="B50:B55"/>
    <mergeCell ref="B28:C28"/>
    <mergeCell ref="B29:B47"/>
    <mergeCell ref="I22:L22"/>
    <mergeCell ref="B12:L12"/>
    <mergeCell ref="B13:H13"/>
    <mergeCell ref="B14:B21"/>
    <mergeCell ref="K17:L17"/>
    <mergeCell ref="K18:L21"/>
    <mergeCell ref="B24:L24"/>
    <mergeCell ref="K25:L25"/>
    <mergeCell ref="B26:C26"/>
    <mergeCell ref="B27:C27"/>
    <mergeCell ref="B23:L23"/>
    <mergeCell ref="C8:I8"/>
    <mergeCell ref="C9:I9"/>
    <mergeCell ref="C10:I10"/>
    <mergeCell ref="C11:G11"/>
    <mergeCell ref="B2:L2"/>
    <mergeCell ref="B3:L3"/>
    <mergeCell ref="B4:L4"/>
    <mergeCell ref="B5:L5"/>
    <mergeCell ref="B7:I7"/>
    <mergeCell ref="J7:L7"/>
    <mergeCell ref="I11:L11"/>
  </mergeCells>
  <conditionalFormatting sqref="D71">
    <cfRule type="cellIs" dxfId="1058" priority="77" operator="equal">
      <formula>"CUMPLE"</formula>
    </cfRule>
    <cfRule type="containsBlanks" dxfId="1057" priority="74">
      <formula>LEN(TRIM(D71))=0</formula>
    </cfRule>
    <cfRule type="notContainsErrors" dxfId="1056" priority="75">
      <formula>NOT(ISERROR(D71))</formula>
    </cfRule>
    <cfRule type="cellIs" dxfId="1055" priority="76" operator="equal">
      <formula>"NO CUMPLE"</formula>
    </cfRule>
  </conditionalFormatting>
  <conditionalFormatting sqref="D72">
    <cfRule type="cellIs" dxfId="1054" priority="79" operator="equal">
      <formula>"CUMPLE"</formula>
    </cfRule>
    <cfRule type="cellIs" dxfId="1053" priority="78" operator="equal">
      <formula>"N/A"</formula>
    </cfRule>
    <cfRule type="cellIs" dxfId="1052" priority="81" operator="equal">
      <formula>"""CUMPLE"""</formula>
    </cfRule>
    <cfRule type="cellIs" dxfId="1051" priority="80" operator="equal">
      <formula>"NO CUMPLE"</formula>
    </cfRule>
  </conditionalFormatting>
  <conditionalFormatting sqref="D26:J37">
    <cfRule type="notContainsErrors" dxfId="1050" priority="4">
      <formula>NOT(ISERROR(D26))</formula>
    </cfRule>
    <cfRule type="containsBlanks" dxfId="1049" priority="3">
      <formula>LEN(TRIM(D26))=0</formula>
    </cfRule>
  </conditionalFormatting>
  <conditionalFormatting sqref="D36:J36">
    <cfRule type="notContainsErrors" dxfId="1048" priority="6">
      <formula>NOT(ISERROR(D36))</formula>
    </cfRule>
    <cfRule type="containsBlanks" dxfId="1047" priority="5">
      <formula>LEN(TRIM(D36))=0</formula>
    </cfRule>
  </conditionalFormatting>
  <conditionalFormatting sqref="D39:J39">
    <cfRule type="containsBlanks" dxfId="1046" priority="1">
      <formula>LEN(TRIM(D39))=0</formula>
    </cfRule>
    <cfRule type="notContainsErrors" dxfId="1045" priority="2">
      <formula>NOT(ISERROR(D39))</formula>
    </cfRule>
  </conditionalFormatting>
  <conditionalFormatting sqref="D42:J42 D45:J45">
    <cfRule type="notContainsErrors" dxfId="1044" priority="38">
      <formula>NOT(ISERROR(D42))</formula>
    </cfRule>
    <cfRule type="containsBlanks" dxfId="1043" priority="37">
      <formula>LEN(TRIM(D42))=0</formula>
    </cfRule>
  </conditionalFormatting>
  <conditionalFormatting sqref="D49:J54">
    <cfRule type="cellIs" dxfId="1042" priority="17" operator="equal">
      <formula>"NO CUMPLE"</formula>
    </cfRule>
    <cfRule type="cellIs" dxfId="1041" priority="18" operator="equal">
      <formula>"CUMPLE"</formula>
    </cfRule>
    <cfRule type="containsBlanks" dxfId="1040" priority="19">
      <formula>LEN(TRIM(D49))=0</formula>
    </cfRule>
    <cfRule type="notContainsErrors" dxfId="1039" priority="20">
      <formula>NOT(ISERROR(D49))</formula>
    </cfRule>
  </conditionalFormatting>
  <conditionalFormatting sqref="D55:J55">
    <cfRule type="cellIs" dxfId="1038" priority="28" operator="equal">
      <formula>"CUMPLE"</formula>
    </cfRule>
    <cfRule type="cellIs" dxfId="1037" priority="30" operator="equal">
      <formula>"""CUMPLE"""</formula>
    </cfRule>
    <cfRule type="cellIs" dxfId="1036" priority="29" operator="equal">
      <formula>"NO CUMPLE"</formula>
    </cfRule>
    <cfRule type="cellIs" dxfId="1035" priority="27" operator="equal">
      <formula>"N/A"</formula>
    </cfRule>
  </conditionalFormatting>
  <conditionalFormatting sqref="D56:J66">
    <cfRule type="cellIs" dxfId="1034" priority="11" operator="equal">
      <formula>"NO CUMPLE"</formula>
    </cfRule>
    <cfRule type="notContainsErrors" dxfId="1033" priority="14">
      <formula>NOT(ISERROR(D56))</formula>
    </cfRule>
    <cfRule type="containsBlanks" dxfId="1032" priority="13">
      <formula>LEN(TRIM(D56))=0</formula>
    </cfRule>
    <cfRule type="cellIs" dxfId="1031" priority="12" operator="equal">
      <formula>"CUMPLE"</formula>
    </cfRule>
  </conditionalFormatting>
  <conditionalFormatting sqref="D67:J67">
    <cfRule type="cellIs" dxfId="1030" priority="23" operator="equal">
      <formula>"N/A"</formula>
    </cfRule>
    <cfRule type="cellIs" dxfId="1029" priority="24" operator="equal">
      <formula>"CUMPLE"</formula>
    </cfRule>
    <cfRule type="cellIs" dxfId="1028" priority="26" operator="equal">
      <formula>"""CUMPLE"""</formula>
    </cfRule>
    <cfRule type="cellIs" dxfId="1027" priority="25" operator="equal">
      <formula>"NO CUMPLE"</formula>
    </cfRule>
  </conditionalFormatting>
  <conditionalFormatting sqref="D62:K66">
    <cfRule type="containsBlanks" dxfId="1026" priority="15">
      <formula>LEN(TRIM(D62))=0</formula>
    </cfRule>
    <cfRule type="notContainsErrors" dxfId="1025" priority="16">
      <formula>NOT(ISERROR(D62))</formula>
    </cfRule>
  </conditionalFormatting>
  <conditionalFormatting sqref="E71:E72">
    <cfRule type="notContainsErrors" dxfId="1024" priority="73">
      <formula>NOT(ISERROR(E71))</formula>
    </cfRule>
    <cfRule type="containsBlanks" dxfId="1023" priority="72">
      <formula>LEN(TRIM(E71))=0</formula>
    </cfRule>
  </conditionalFormatting>
  <conditionalFormatting sqref="F22:H22">
    <cfRule type="cellIs" dxfId="1022" priority="96" operator="equal">
      <formula>"NO CUMPLE"</formula>
    </cfRule>
    <cfRule type="cellIs" dxfId="1021" priority="97" operator="equal">
      <formula>"""CUMPLE"""</formula>
    </cfRule>
    <cfRule type="cellIs" dxfId="1020" priority="95" operator="equal">
      <formula>"CUMPLE"</formula>
    </cfRule>
  </conditionalFormatting>
  <conditionalFormatting sqref="G63:J63">
    <cfRule type="containsBlanks" dxfId="1019" priority="7">
      <formula>LEN(TRIM(G63))=0</formula>
    </cfRule>
    <cfRule type="notContainsErrors" dxfId="1018" priority="8">
      <formula>NOT(ISERROR(G63))</formula>
    </cfRule>
  </conditionalFormatting>
  <conditionalFormatting sqref="I11">
    <cfRule type="containsText" dxfId="1017" priority="101" operator="containsText" text="NO CUMPLE">
      <formula>NOT(ISERROR(SEARCH("NO CUMPLE",I11)))</formula>
    </cfRule>
    <cfRule type="containsText" dxfId="1016" priority="100" operator="containsText" text="HABILITADO">
      <formula>NOT(ISERROR(SEARCH("HABILITADO",I11)))</formula>
    </cfRule>
    <cfRule type="containsText" dxfId="1015" priority="99" operator="containsText" text="HABILITADO">
      <formula>NOT(ISERROR(SEARCH("HABILITADO",I11)))</formula>
    </cfRule>
    <cfRule type="containsText" dxfId="1014" priority="98" operator="containsText" text="INHABILITADO">
      <formula>NOT(ISERROR(SEARCH("INHABILITADO",I11)))</formula>
    </cfRule>
  </conditionalFormatting>
  <conditionalFormatting sqref="K18:K20">
    <cfRule type="cellIs" dxfId="1013" priority="70" operator="equal">
      <formula>"NO CUMPLE"</formula>
    </cfRule>
    <cfRule type="cellIs" dxfId="1012" priority="71" operator="equal">
      <formula>"""CUMPLE"""</formula>
    </cfRule>
    <cfRule type="cellIs" dxfId="1011" priority="69" operator="equal">
      <formula>"CUMPLE"</formula>
    </cfRule>
  </conditionalFormatting>
  <conditionalFormatting sqref="K26:K61 D62:J62">
    <cfRule type="containsBlanks" dxfId="1010" priority="9">
      <formula>LEN(TRIM(D26))=0</formula>
    </cfRule>
    <cfRule type="notContainsErrors" dxfId="1009" priority="10">
      <formula>NOT(ISERROR(D26))</formula>
    </cfRule>
  </conditionalFormatting>
  <conditionalFormatting sqref="K67:L67">
    <cfRule type="containsBlanks" dxfId="1008" priority="21">
      <formula>LEN(TRIM(K67))=0</formula>
    </cfRule>
    <cfRule type="notContainsErrors" dxfId="1007" priority="22">
      <formula>NOT(ISERROR(K67))</formula>
    </cfRule>
  </conditionalFormatting>
  <conditionalFormatting sqref="L14">
    <cfRule type="cellIs" dxfId="1006" priority="94" operator="equal">
      <formula>"""CUMPLE"""</formula>
    </cfRule>
    <cfRule type="cellIs" dxfId="1005" priority="93" operator="equal">
      <formula>"NO CUMPLE"</formula>
    </cfRule>
    <cfRule type="cellIs" dxfId="1004" priority="92" operator="equal">
      <formula>"CUMPLE"</formula>
    </cfRule>
  </conditionalFormatting>
  <dataValidations count="2">
    <dataValidation type="list" allowBlank="1" showInputMessage="1" showErrorMessage="1" sqref="L62:L67" xr:uid="{00000000-0002-0000-5100-000000000000}">
      <formula1>"0,1,2,3,4,5,6"</formula1>
    </dataValidation>
    <dataValidation type="list" allowBlank="1" showInputMessage="1" showErrorMessage="1" sqref="D26:J28" xr:uid="{00000000-0002-0000-51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5100-000002000000}">
          <x14:formula1>
            <xm:f>'DATOS INICIALES'!$D$27:$D$29</xm:f>
          </x14:formula1>
          <xm:sqref>M50:M55</xm:sqref>
        </x14:dataValidation>
        <x14:dataValidation type="list" allowBlank="1" showInputMessage="1" showErrorMessage="1" xr:uid="{00000000-0002-0000-5100-000003000000}">
          <x14:formula1>
            <xm:f>'DATOS INICIALES'!$A$57:$A$58</xm:f>
          </x14:formula1>
          <xm:sqref>D49:J49</xm:sqref>
        </x14:dataValidation>
        <x14:dataValidation type="list" allowBlank="1" showInputMessage="1" showErrorMessage="1" xr:uid="{00000000-0002-0000-5100-000004000000}">
          <x14:formula1>
            <xm:f>'DATOS INICIALES'!$A$61:$A$67</xm:f>
          </x14:formula1>
          <xm:sqref>J25</xm:sqref>
        </x14:dataValidation>
        <x14:dataValidation type="list" allowBlank="1" showInputMessage="1" showErrorMessage="1" xr:uid="{00000000-0002-0000-5100-000005000000}">
          <x14:formula1>
            <xm:f>'DATOS INICIALES'!$C$52:$C$53</xm:f>
          </x14:formula1>
          <xm:sqref>D53:J54</xm:sqref>
        </x14:dataValidation>
        <x14:dataValidation type="list" allowBlank="1" showInputMessage="1" showErrorMessage="1" xr:uid="{00000000-0002-0000-5100-000006000000}">
          <x14:formula1>
            <xm:f>'DATOS INICIALES'!$A$57:$A$59</xm:f>
          </x14:formula1>
          <xm:sqref>D71 D56:J66</xm:sqref>
        </x14:dataValidation>
        <x14:dataValidation type="list" allowBlank="1" showInputMessage="1" showErrorMessage="1" xr:uid="{00000000-0002-0000-5100-000007000000}">
          <x14:formula1>
            <xm:f>'DATOS INICIALES'!$A$61:$A$66</xm:f>
          </x14:formula1>
          <xm:sqref>D25:I25</xm:sqref>
        </x14:dataValidation>
        <x14:dataValidation type="list" allowBlank="1" showInputMessage="1" showErrorMessage="1" xr:uid="{00000000-0002-0000-5100-000008000000}">
          <x14:formula1>
            <xm:f>'DATOS INICIALES'!$A$13:$A$50</xm:f>
          </x14:formula1>
          <xm:sqref>I33</xm:sqref>
        </x14:dataValidation>
        <x14:dataValidation type="list" allowBlank="1" showInputMessage="1" showErrorMessage="1" xr:uid="{00000000-0002-0000-5100-000009000000}">
          <x14:formula1>
            <xm:f>'DATOS INICIALES'!$C$52:$C$54</xm:f>
          </x14:formula1>
          <xm:sqref>D50:J52</xm:sqref>
        </x14:dataValidation>
        <x14:dataValidation type="list" allowBlank="1" showInputMessage="1" showErrorMessage="1" xr:uid="{00000000-0002-0000-5100-00000A000000}">
          <x14:formula1>
            <xm:f>'/Users/ldrr/Desktop/SDDE/REVISION DE CARPETAS/C:\Users\ASUS\OneDrive\Escritorio\alcaldia local de usaquen\2025\16. EVALUACION DE PROCESOS\INTERVENTORIA DE VIAS\consolidado equipo\[ALBERT_ Evaluación_Tecnica_Albert Bahamon.xlsx]DATOS INICIALES'!#REF!</xm:f>
          </x14:formula1>
          <xm:sqref>G33:H33</xm:sqref>
        </x14:dataValidation>
      </x14:dataValidations>
    </ext>
  </extLst>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sheetPr>
    <tabColor rgb="FF92D050"/>
  </sheetPr>
  <dimension ref="A1:N72"/>
  <sheetViews>
    <sheetView view="pageBreakPreview" topLeftCell="A22" zoomScale="55" zoomScaleNormal="25" zoomScaleSheetLayoutView="55" workbookViewId="0">
      <selection activeCell="D41" sqref="D41"/>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77</v>
      </c>
      <c r="B11" s="2" t="s">
        <v>58</v>
      </c>
      <c r="C11" s="413" t="str">
        <f>VLOOKUP(A11,PROPONENTES!A10:B94,2,FALSE)</f>
        <v>EMPRESA DE INFRAESTRUCTURA COLOMBIANA S.A.S</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1</v>
      </c>
      <c r="J14" s="147">
        <f>+L8</f>
        <v>986.3076290832455</v>
      </c>
      <c r="K14" s="147">
        <f>+E22</f>
        <v>5411.76</v>
      </c>
      <c r="L14" s="18" t="str">
        <f>IF(K14&gt;=J14,"CUMPLE","NO CUMPLE")</f>
        <v>CUMPLE</v>
      </c>
    </row>
    <row r="15" spans="1:12" ht="33.75" customHeight="1" x14ac:dyDescent="0.2">
      <c r="B15" s="382"/>
      <c r="C15" s="92" t="str">
        <f>IF(VLOOKUP(C11,PROPONENTES!B10:N94,2,FALSE)=0,"",VLOOKUP(C11,PROPONENTES!B10:N94,2,FALSE))</f>
        <v>EMPRESA DE INFRAESTRUCTURA COLOMBIANA S.A.S</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5411.76</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5411.76</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1</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1</v>
      </c>
      <c r="J19" s="128">
        <v>1</v>
      </c>
      <c r="K19" s="387"/>
      <c r="L19" s="388"/>
    </row>
    <row r="20" spans="2:14" ht="50.25" customHeight="1" x14ac:dyDescent="0.2">
      <c r="B20" s="382"/>
      <c r="C20" s="92"/>
      <c r="D20" s="93"/>
      <c r="E20" s="94"/>
      <c r="F20" s="95"/>
      <c r="G20" s="96"/>
      <c r="H20" s="96"/>
      <c r="I20" s="128">
        <f>COUNTIFS(D60:J60,"CUMPLE",D67:J67,"CUMPLE")</f>
        <v>1</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1</v>
      </c>
      <c r="J21" s="128">
        <v>1</v>
      </c>
      <c r="K21" s="389"/>
      <c r="L21" s="390"/>
    </row>
    <row r="22" spans="2:14" ht="84.75" customHeight="1" x14ac:dyDescent="0.2">
      <c r="B22" s="29" t="s">
        <v>75</v>
      </c>
      <c r="C22" s="24">
        <f>+VLOOKUP(C11,PROPONENTES!B10:N94,12,FALSE)</f>
        <v>1</v>
      </c>
      <c r="D22" s="93">
        <f>+VLOOKUP(C11,PROPONENTES!B10:N94,13,FALSE)</f>
        <v>1</v>
      </c>
      <c r="E22" s="32">
        <f>SUM(E15:E21)</f>
        <v>5411.76</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276</v>
      </c>
      <c r="E26" s="84"/>
      <c r="F26" s="84"/>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1184</v>
      </c>
      <c r="E29" s="85"/>
      <c r="F29" s="85"/>
      <c r="G29" s="85"/>
      <c r="H29" s="85"/>
      <c r="I29" s="85"/>
      <c r="J29" s="85"/>
      <c r="K29" s="145"/>
      <c r="L29" s="140"/>
    </row>
    <row r="30" spans="2:14" ht="156.75" customHeight="1" x14ac:dyDescent="0.2">
      <c r="B30" s="374"/>
      <c r="C30" s="25" t="s">
        <v>84</v>
      </c>
      <c r="D30" s="85" t="s">
        <v>1185</v>
      </c>
      <c r="E30" s="85"/>
      <c r="F30" s="85"/>
      <c r="G30" s="85"/>
      <c r="H30" s="85"/>
      <c r="I30" s="85"/>
      <c r="J30" s="85"/>
      <c r="K30" s="145"/>
      <c r="L30" s="140"/>
    </row>
    <row r="31" spans="2:14" ht="52.5" customHeight="1" x14ac:dyDescent="0.2">
      <c r="B31" s="374"/>
      <c r="C31" s="25" t="s">
        <v>85</v>
      </c>
      <c r="D31" s="89">
        <v>38058</v>
      </c>
      <c r="E31" s="89"/>
      <c r="F31" s="89"/>
      <c r="G31" s="89"/>
      <c r="H31" s="89"/>
      <c r="I31" s="89"/>
      <c r="J31" s="89"/>
      <c r="K31" s="145"/>
      <c r="L31" s="140"/>
    </row>
    <row r="32" spans="2:14" ht="54.75" customHeight="1" x14ac:dyDescent="0.2">
      <c r="B32" s="374"/>
      <c r="C32" s="25" t="s">
        <v>86</v>
      </c>
      <c r="D32" s="89">
        <v>39071</v>
      </c>
      <c r="E32" s="89"/>
      <c r="F32" s="89"/>
      <c r="G32" s="89"/>
      <c r="H32" s="89"/>
      <c r="I32" s="89"/>
      <c r="J32" s="89"/>
      <c r="K32" s="145"/>
      <c r="L32" s="140"/>
    </row>
    <row r="33" spans="2:12" ht="41.25" customHeight="1" x14ac:dyDescent="0.2">
      <c r="B33" s="374"/>
      <c r="C33" s="25" t="s">
        <v>87</v>
      </c>
      <c r="D33" s="86">
        <v>2006</v>
      </c>
      <c r="E33" s="86"/>
      <c r="F33" s="86"/>
      <c r="G33" s="86"/>
      <c r="H33" s="86"/>
      <c r="I33" s="86"/>
      <c r="J33" s="86"/>
      <c r="K33" s="145"/>
      <c r="L33" s="140"/>
    </row>
    <row r="34" spans="2:12" ht="63" customHeight="1" x14ac:dyDescent="0.2">
      <c r="B34" s="374"/>
      <c r="C34" s="25" t="s">
        <v>88</v>
      </c>
      <c r="D34" s="85" t="s">
        <v>1186</v>
      </c>
      <c r="E34" s="85"/>
      <c r="F34" s="85"/>
      <c r="G34" s="85"/>
      <c r="H34" s="85"/>
      <c r="I34" s="85"/>
      <c r="J34" s="85"/>
      <c r="K34" s="145"/>
      <c r="L34" s="140"/>
    </row>
    <row r="35" spans="2:12" ht="46.5" customHeight="1" x14ac:dyDescent="0.2">
      <c r="B35" s="374"/>
      <c r="C35" s="25" t="s">
        <v>89</v>
      </c>
      <c r="D35" s="85" t="s">
        <v>1187</v>
      </c>
      <c r="E35" s="85"/>
      <c r="F35" s="85"/>
      <c r="G35" s="85"/>
      <c r="H35" s="85"/>
      <c r="I35" s="85"/>
      <c r="J35" s="85"/>
      <c r="K35" s="145"/>
      <c r="L35" s="140"/>
    </row>
    <row r="36" spans="2:12" ht="27.75" customHeight="1" x14ac:dyDescent="0.2">
      <c r="B36" s="374"/>
      <c r="C36" s="26" t="s">
        <v>90</v>
      </c>
      <c r="D36" s="90">
        <v>116</v>
      </c>
      <c r="E36" s="90"/>
      <c r="F36" s="90"/>
      <c r="G36" s="91"/>
      <c r="H36" s="91"/>
      <c r="I36" s="91"/>
      <c r="J36" s="91"/>
      <c r="K36" s="145"/>
      <c r="L36" s="140"/>
    </row>
    <row r="37" spans="2:12" ht="102.75" customHeight="1" x14ac:dyDescent="0.2">
      <c r="B37" s="374"/>
      <c r="C37" s="25" t="s">
        <v>91</v>
      </c>
      <c r="D37" s="87">
        <v>5411.76</v>
      </c>
      <c r="E37" s="158"/>
      <c r="F37" s="87"/>
      <c r="G37" s="87"/>
      <c r="H37" s="87"/>
      <c r="I37" s="87"/>
      <c r="J37" s="87"/>
      <c r="K37" s="242"/>
      <c r="L37" s="243"/>
    </row>
    <row r="38" spans="2:12" ht="48" customHeight="1" x14ac:dyDescent="0.2">
      <c r="B38" s="374"/>
      <c r="C38" s="25" t="s">
        <v>92</v>
      </c>
      <c r="D38" s="97">
        <f>IFERROR(D37*VLOOKUP(D33,'DATOS INICIALES'!$A$12:$B$50,2,0),"0")</f>
        <v>2207998080</v>
      </c>
      <c r="E38" s="97" t="str">
        <f>IFERROR(E37*VLOOKUP(E33,'DATOS INICIALES'!$A$12:$B$50,2,0),"0")</f>
        <v>0</v>
      </c>
      <c r="F38" s="97" t="str">
        <f>IFERROR(F37*VLOOKUP(F33,'DATOS INICIALES'!$A$12:$B$50,2,0),"0")</f>
        <v>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1</v>
      </c>
      <c r="E39" s="88"/>
      <c r="F39" s="88"/>
      <c r="G39" s="88"/>
      <c r="H39" s="88"/>
      <c r="I39" s="88"/>
      <c r="J39" s="88"/>
      <c r="K39" s="145"/>
      <c r="L39" s="140"/>
    </row>
    <row r="40" spans="2:12" ht="48.75" customHeight="1" x14ac:dyDescent="0.2">
      <c r="B40" s="374"/>
      <c r="C40" s="25" t="s">
        <v>94</v>
      </c>
      <c r="D40" s="97">
        <f t="shared" ref="D40:J40" si="0">IF(D26="","0",D39*D38)</f>
        <v>2207998080</v>
      </c>
      <c r="E40" s="97" t="str">
        <f t="shared" si="0"/>
        <v>0</v>
      </c>
      <c r="F40" s="97" t="str">
        <f t="shared" si="0"/>
        <v>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5411.76</v>
      </c>
      <c r="E41" s="98">
        <f t="shared" si="1"/>
        <v>0</v>
      </c>
      <c r="F41" s="98">
        <f t="shared" si="1"/>
        <v>0</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5411.76</v>
      </c>
      <c r="E48" s="98">
        <f t="shared" ref="E48:G48" si="6">+E41+E44+E47</f>
        <v>0</v>
      </c>
      <c r="F48" s="98">
        <f t="shared" si="6"/>
        <v>0</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N/A</v>
      </c>
      <c r="F55" s="18" t="str">
        <f t="shared" si="8"/>
        <v>N/A</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N/A</v>
      </c>
      <c r="F67" s="18" t="str">
        <f>IF(F26="","N/A",IF(AND(F49="CUMPLE",F55="CUMPLE",OR(F56="CUMPLE",F56="N/A"),OR(F59="CUMPLE",F59="N/A"),F62="CUMPLE",F63="CUMPLE",OR(F64="CUMPLE",F64="N/A"),F65="CUMPLE",OR(F66="CUMPLE",F66="N/A")),"CUMPLE","NO CUMPLE"))</f>
        <v>N/A</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0:C70"/>
    <mergeCell ref="B71:C71"/>
    <mergeCell ref="B72:C72"/>
    <mergeCell ref="B65:C65"/>
    <mergeCell ref="B66:C66"/>
    <mergeCell ref="B67:C67"/>
    <mergeCell ref="B69:E69"/>
    <mergeCell ref="B62:C62"/>
    <mergeCell ref="B63:C63"/>
    <mergeCell ref="B64:C64"/>
    <mergeCell ref="B59:C59"/>
    <mergeCell ref="B60:C60"/>
    <mergeCell ref="B61:C61"/>
    <mergeCell ref="B56:C56"/>
    <mergeCell ref="B57:C57"/>
    <mergeCell ref="B58:C58"/>
    <mergeCell ref="B50:B55"/>
    <mergeCell ref="B28:C28"/>
    <mergeCell ref="B29:B47"/>
    <mergeCell ref="I22:L22"/>
    <mergeCell ref="B12:L12"/>
    <mergeCell ref="B13:H13"/>
    <mergeCell ref="B14:B21"/>
    <mergeCell ref="K17:L17"/>
    <mergeCell ref="K18:L21"/>
    <mergeCell ref="B24:L24"/>
    <mergeCell ref="K25:L25"/>
    <mergeCell ref="B26:C26"/>
    <mergeCell ref="B27:C27"/>
    <mergeCell ref="B23:L23"/>
    <mergeCell ref="C8:I8"/>
    <mergeCell ref="C9:I9"/>
    <mergeCell ref="C10:I10"/>
    <mergeCell ref="C11:G11"/>
    <mergeCell ref="B2:L2"/>
    <mergeCell ref="B3:L3"/>
    <mergeCell ref="B4:L4"/>
    <mergeCell ref="B5:L5"/>
    <mergeCell ref="B7:I7"/>
    <mergeCell ref="J7:L7"/>
    <mergeCell ref="I11:L11"/>
  </mergeCells>
  <conditionalFormatting sqref="D71">
    <cfRule type="cellIs" dxfId="1003" priority="73" operator="equal">
      <formula>"CUMPLE"</formula>
    </cfRule>
    <cfRule type="containsBlanks" dxfId="1002" priority="70">
      <formula>LEN(TRIM(D71))=0</formula>
    </cfRule>
    <cfRule type="notContainsErrors" dxfId="1001" priority="71">
      <formula>NOT(ISERROR(D71))</formula>
    </cfRule>
    <cfRule type="cellIs" dxfId="1000" priority="72" operator="equal">
      <formula>"NO CUMPLE"</formula>
    </cfRule>
  </conditionalFormatting>
  <conditionalFormatting sqref="D72">
    <cfRule type="cellIs" dxfId="999" priority="75" operator="equal">
      <formula>"CUMPLE"</formula>
    </cfRule>
    <cfRule type="cellIs" dxfId="998" priority="74" operator="equal">
      <formula>"N/A"</formula>
    </cfRule>
    <cfRule type="cellIs" dxfId="997" priority="77" operator="equal">
      <formula>"""CUMPLE"""</formula>
    </cfRule>
    <cfRule type="cellIs" dxfId="996" priority="76" operator="equal">
      <formula>"NO CUMPLE"</formula>
    </cfRule>
  </conditionalFormatting>
  <conditionalFormatting sqref="D26:J37">
    <cfRule type="notContainsErrors" dxfId="995" priority="4">
      <formula>NOT(ISERROR(D26))</formula>
    </cfRule>
    <cfRule type="containsBlanks" dxfId="994" priority="3">
      <formula>LEN(TRIM(D26))=0</formula>
    </cfRule>
  </conditionalFormatting>
  <conditionalFormatting sqref="D36:J36">
    <cfRule type="notContainsErrors" dxfId="993" priority="6">
      <formula>NOT(ISERROR(D36))</formula>
    </cfRule>
    <cfRule type="containsBlanks" dxfId="992" priority="5">
      <formula>LEN(TRIM(D36))=0</formula>
    </cfRule>
  </conditionalFormatting>
  <conditionalFormatting sqref="D39:J39">
    <cfRule type="containsBlanks" dxfId="991" priority="1">
      <formula>LEN(TRIM(D39))=0</formula>
    </cfRule>
    <cfRule type="notContainsErrors" dxfId="990" priority="2">
      <formula>NOT(ISERROR(D39))</formula>
    </cfRule>
  </conditionalFormatting>
  <conditionalFormatting sqref="D42:J42 D45:J45">
    <cfRule type="notContainsErrors" dxfId="989" priority="38">
      <formula>NOT(ISERROR(D42))</formula>
    </cfRule>
    <cfRule type="containsBlanks" dxfId="988" priority="37">
      <formula>LEN(TRIM(D42))=0</formula>
    </cfRule>
  </conditionalFormatting>
  <conditionalFormatting sqref="D49:J54">
    <cfRule type="cellIs" dxfId="987" priority="17" operator="equal">
      <formula>"NO CUMPLE"</formula>
    </cfRule>
    <cfRule type="cellIs" dxfId="986" priority="18" operator="equal">
      <formula>"CUMPLE"</formula>
    </cfRule>
    <cfRule type="containsBlanks" dxfId="985" priority="19">
      <formula>LEN(TRIM(D49))=0</formula>
    </cfRule>
    <cfRule type="notContainsErrors" dxfId="984" priority="20">
      <formula>NOT(ISERROR(D49))</formula>
    </cfRule>
  </conditionalFormatting>
  <conditionalFormatting sqref="D55:J55">
    <cfRule type="cellIs" dxfId="983" priority="28" operator="equal">
      <formula>"CUMPLE"</formula>
    </cfRule>
    <cfRule type="cellIs" dxfId="982" priority="30" operator="equal">
      <formula>"""CUMPLE"""</formula>
    </cfRule>
    <cfRule type="cellIs" dxfId="981" priority="29" operator="equal">
      <formula>"NO CUMPLE"</formula>
    </cfRule>
    <cfRule type="cellIs" dxfId="980" priority="27" operator="equal">
      <formula>"N/A"</formula>
    </cfRule>
  </conditionalFormatting>
  <conditionalFormatting sqref="D56:J66">
    <cfRule type="cellIs" dxfId="979" priority="11" operator="equal">
      <formula>"NO CUMPLE"</formula>
    </cfRule>
    <cfRule type="notContainsErrors" dxfId="978" priority="14">
      <formula>NOT(ISERROR(D56))</formula>
    </cfRule>
    <cfRule type="containsBlanks" dxfId="977" priority="13">
      <formula>LEN(TRIM(D56))=0</formula>
    </cfRule>
    <cfRule type="cellIs" dxfId="976" priority="12" operator="equal">
      <formula>"CUMPLE"</formula>
    </cfRule>
  </conditionalFormatting>
  <conditionalFormatting sqref="D67:J67">
    <cfRule type="cellIs" dxfId="975" priority="23" operator="equal">
      <formula>"N/A"</formula>
    </cfRule>
    <cfRule type="cellIs" dxfId="974" priority="24" operator="equal">
      <formula>"CUMPLE"</formula>
    </cfRule>
    <cfRule type="cellIs" dxfId="973" priority="26" operator="equal">
      <formula>"""CUMPLE"""</formula>
    </cfRule>
    <cfRule type="cellIs" dxfId="972" priority="25" operator="equal">
      <formula>"NO CUMPLE"</formula>
    </cfRule>
  </conditionalFormatting>
  <conditionalFormatting sqref="D62:K66">
    <cfRule type="containsBlanks" dxfId="971" priority="15">
      <formula>LEN(TRIM(D62))=0</formula>
    </cfRule>
    <cfRule type="notContainsErrors" dxfId="970" priority="16">
      <formula>NOT(ISERROR(D62))</formula>
    </cfRule>
  </conditionalFormatting>
  <conditionalFormatting sqref="E71:E72">
    <cfRule type="notContainsErrors" dxfId="969" priority="69">
      <formula>NOT(ISERROR(E71))</formula>
    </cfRule>
    <cfRule type="containsBlanks" dxfId="968" priority="68">
      <formula>LEN(TRIM(E71))=0</formula>
    </cfRule>
  </conditionalFormatting>
  <conditionalFormatting sqref="F22:H22">
    <cfRule type="cellIs" dxfId="967" priority="92" operator="equal">
      <formula>"NO CUMPLE"</formula>
    </cfRule>
    <cfRule type="cellIs" dxfId="966" priority="93" operator="equal">
      <formula>"""CUMPLE"""</formula>
    </cfRule>
    <cfRule type="cellIs" dxfId="965" priority="91" operator="equal">
      <formula>"CUMPLE"</formula>
    </cfRule>
  </conditionalFormatting>
  <conditionalFormatting sqref="G63:J63">
    <cfRule type="containsBlanks" dxfId="964" priority="7">
      <formula>LEN(TRIM(G63))=0</formula>
    </cfRule>
    <cfRule type="notContainsErrors" dxfId="963" priority="8">
      <formula>NOT(ISERROR(G63))</formula>
    </cfRule>
  </conditionalFormatting>
  <conditionalFormatting sqref="I11">
    <cfRule type="containsText" dxfId="962" priority="97" operator="containsText" text="NO CUMPLE">
      <formula>NOT(ISERROR(SEARCH("NO CUMPLE",I11)))</formula>
    </cfRule>
    <cfRule type="containsText" dxfId="961" priority="96" operator="containsText" text="HABILITADO">
      <formula>NOT(ISERROR(SEARCH("HABILITADO",I11)))</formula>
    </cfRule>
    <cfRule type="containsText" dxfId="960" priority="95" operator="containsText" text="HABILITADO">
      <formula>NOT(ISERROR(SEARCH("HABILITADO",I11)))</formula>
    </cfRule>
    <cfRule type="containsText" dxfId="959" priority="94" operator="containsText" text="INHABILITADO">
      <formula>NOT(ISERROR(SEARCH("INHABILITADO",I11)))</formula>
    </cfRule>
  </conditionalFormatting>
  <conditionalFormatting sqref="K18:K20">
    <cfRule type="cellIs" dxfId="958" priority="66" operator="equal">
      <formula>"NO CUMPLE"</formula>
    </cfRule>
    <cfRule type="cellIs" dxfId="957" priority="67" operator="equal">
      <formula>"""CUMPLE"""</formula>
    </cfRule>
    <cfRule type="cellIs" dxfId="956" priority="65" operator="equal">
      <formula>"CUMPLE"</formula>
    </cfRule>
  </conditionalFormatting>
  <conditionalFormatting sqref="K26:K61 D62:J62">
    <cfRule type="containsBlanks" dxfId="955" priority="9">
      <formula>LEN(TRIM(D26))=0</formula>
    </cfRule>
    <cfRule type="notContainsErrors" dxfId="954" priority="10">
      <formula>NOT(ISERROR(D26))</formula>
    </cfRule>
  </conditionalFormatting>
  <conditionalFormatting sqref="K67:L67">
    <cfRule type="containsBlanks" dxfId="953" priority="21">
      <formula>LEN(TRIM(K67))=0</formula>
    </cfRule>
    <cfRule type="notContainsErrors" dxfId="952" priority="22">
      <formula>NOT(ISERROR(K67))</formula>
    </cfRule>
  </conditionalFormatting>
  <conditionalFormatting sqref="L14">
    <cfRule type="cellIs" dxfId="951" priority="90" operator="equal">
      <formula>"""CUMPLE"""</formula>
    </cfRule>
    <cfRule type="cellIs" dxfId="950" priority="89" operator="equal">
      <formula>"NO CUMPLE"</formula>
    </cfRule>
    <cfRule type="cellIs" dxfId="949" priority="88" operator="equal">
      <formula>"CUMPLE"</formula>
    </cfRule>
  </conditionalFormatting>
  <dataValidations count="2">
    <dataValidation type="list" allowBlank="1" showInputMessage="1" showErrorMessage="1" sqref="D26:J28" xr:uid="{00000000-0002-0000-5200-000000000000}">
      <formula1>$C$15:$C$21</formula1>
    </dataValidation>
    <dataValidation type="list" allowBlank="1" showInputMessage="1" showErrorMessage="1" sqref="L62:L67" xr:uid="{00000000-0002-0000-52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5200-000002000000}">
          <x14:formula1>
            <xm:f>'DATOS INICIALES'!$D$27:$D$29</xm:f>
          </x14:formula1>
          <xm:sqref>M50:M55</xm:sqref>
        </x14:dataValidation>
        <x14:dataValidation type="list" allowBlank="1" showInputMessage="1" showErrorMessage="1" xr:uid="{00000000-0002-0000-5200-000003000000}">
          <x14:formula1>
            <xm:f>'DATOS INICIALES'!$A$13:$A$50</xm:f>
          </x14:formula1>
          <xm:sqref>G33:I33</xm:sqref>
        </x14:dataValidation>
        <x14:dataValidation type="list" allowBlank="1" showInputMessage="1" showErrorMessage="1" xr:uid="{00000000-0002-0000-5200-000004000000}">
          <x14:formula1>
            <xm:f>'DATOS INICIALES'!$A$61:$A$66</xm:f>
          </x14:formula1>
          <xm:sqref>D25:I25</xm:sqref>
        </x14:dataValidation>
        <x14:dataValidation type="list" allowBlank="1" showInputMessage="1" showErrorMessage="1" xr:uid="{00000000-0002-0000-5200-000005000000}">
          <x14:formula1>
            <xm:f>'DATOS INICIALES'!$A$57:$A$59</xm:f>
          </x14:formula1>
          <xm:sqref>D71 D56:J66</xm:sqref>
        </x14:dataValidation>
        <x14:dataValidation type="list" allowBlank="1" showInputMessage="1" showErrorMessage="1" xr:uid="{00000000-0002-0000-5200-000006000000}">
          <x14:formula1>
            <xm:f>'DATOS INICIALES'!$C$52:$C$53</xm:f>
          </x14:formula1>
          <xm:sqref>D53:J54</xm:sqref>
        </x14:dataValidation>
        <x14:dataValidation type="list" allowBlank="1" showInputMessage="1" showErrorMessage="1" xr:uid="{00000000-0002-0000-5200-000007000000}">
          <x14:formula1>
            <xm:f>'DATOS INICIALES'!$A$61:$A$67</xm:f>
          </x14:formula1>
          <xm:sqref>J25</xm:sqref>
        </x14:dataValidation>
        <x14:dataValidation type="list" allowBlank="1" showInputMessage="1" showErrorMessage="1" xr:uid="{00000000-0002-0000-5200-000008000000}">
          <x14:formula1>
            <xm:f>'DATOS INICIALES'!$A$57:$A$58</xm:f>
          </x14:formula1>
          <xm:sqref>D49:J49</xm:sqref>
        </x14:dataValidation>
        <x14:dataValidation type="list" allowBlank="1" showInputMessage="1" showErrorMessage="1" xr:uid="{00000000-0002-0000-5200-000009000000}">
          <x14:formula1>
            <xm:f>'DATOS INICIALES'!$C$52:$C$54</xm:f>
          </x14:formula1>
          <xm:sqref>D50:J52</xm:sqref>
        </x14:dataValidation>
      </x14:dataValidations>
    </ext>
  </extLst>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sheetPr>
    <tabColor rgb="FF92D050"/>
  </sheetPr>
  <dimension ref="A1:N72"/>
  <sheetViews>
    <sheetView view="pageBreakPreview" topLeftCell="C46" zoomScale="70" zoomScaleNormal="25" zoomScaleSheetLayoutView="70" workbookViewId="0">
      <selection activeCell="E43" sqref="E43"/>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78</v>
      </c>
      <c r="B11" s="2" t="s">
        <v>58</v>
      </c>
      <c r="C11" s="413" t="str">
        <f>VLOOKUP(A11,PROPONENTES!A10:B94,2,FALSE)</f>
        <v>CONSORCIO VIAS LOCALES 2025</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6</v>
      </c>
      <c r="J14" s="147">
        <f>+L8</f>
        <v>986.3076290832455</v>
      </c>
      <c r="K14" s="147">
        <f>+E22</f>
        <v>12738.7325</v>
      </c>
      <c r="L14" s="18" t="str">
        <f>IF(K14&gt;=J14,"CUMPLE","NO CUMPLE")</f>
        <v>CUMPLE</v>
      </c>
    </row>
    <row r="15" spans="1:12" ht="33.75" customHeight="1" x14ac:dyDescent="0.2">
      <c r="B15" s="382"/>
      <c r="C15" s="92" t="str">
        <f>IF(VLOOKUP(C11,PROPONENTES!B10:N94,2,FALSE)=0,"",VLOOKUP(C11,PROPONENTES!B10:N94,2,FALSE))</f>
        <v>LITORAL CONSULTING SAS</v>
      </c>
      <c r="D15" s="93">
        <f>IF(VLOOKUP(C11,PROPONENTES!B10:N94,3,FALSE)=0,"",VLOOKUP(C11,PROPONENTES!B10:N94,3,FALSE))</f>
        <v>0.5</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3625.2049999999999</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MC CONSULTORES Y
CONSTRUCTORES S.A.S.</v>
      </c>
      <c r="D16" s="93">
        <f>IF(VLOOKUP(C11,PROPONENTES!B10:N94,5,FALSE)=0,"",VLOOKUP(C11,PROPONENTES!B10:N94,5,FALSE))</f>
        <v>0.5</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9113.5275000000001</v>
      </c>
      <c r="F16" s="95" t="str">
        <f>IF(C16="","",IF(E16&gt;=$J$14*0.5,"SI","NO"))</f>
        <v>SI</v>
      </c>
      <c r="G16" s="96" t="str">
        <f>IF(C16="","",IF(E16&gt;=$J$14*0.05,"SI",IF(E16=0,"NO APORTA EXPERIENCIA",)))</f>
        <v>SI</v>
      </c>
      <c r="H16" s="96" t="str">
        <f>IF(C16="","",IF(AND(G16="NO APORTA EXPERIENCIA",D16&lt;=10%),"SI",IF(G16="SI","NO APLICA","NO - PORCENTAJE MAYOR AL 10%")))</f>
        <v>NO APLICA</v>
      </c>
      <c r="I16" s="162"/>
      <c r="J16" s="162"/>
      <c r="K16" s="162"/>
      <c r="L16" s="161">
        <f>AVERAGEIF(D67:J67,"CUMPLE",D48:J48)</f>
        <v>2123.1220833333332</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6</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6</v>
      </c>
      <c r="J19" s="128">
        <v>1</v>
      </c>
      <c r="K19" s="387"/>
      <c r="L19" s="388"/>
    </row>
    <row r="20" spans="2:14" ht="50.25" customHeight="1" x14ac:dyDescent="0.2">
      <c r="B20" s="382"/>
      <c r="C20" s="92"/>
      <c r="D20" s="93"/>
      <c r="E20" s="94"/>
      <c r="F20" s="95"/>
      <c r="G20" s="96"/>
      <c r="H20" s="96"/>
      <c r="I20" s="128">
        <f>COUNTIFS(D60:J60,"CUMPLE",D67:J67,"CUMPLE")</f>
        <v>6</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6</v>
      </c>
      <c r="J21" s="128">
        <v>1</v>
      </c>
      <c r="K21" s="389"/>
      <c r="L21" s="390"/>
    </row>
    <row r="22" spans="2:14" ht="84.75" customHeight="1" x14ac:dyDescent="0.2">
      <c r="B22" s="29" t="s">
        <v>75</v>
      </c>
      <c r="C22" s="24">
        <f>+VLOOKUP(C11,PROPONENTES!B10:N94,12,FALSE)</f>
        <v>2</v>
      </c>
      <c r="D22" s="93">
        <f>+VLOOKUP(C11,PROPONENTES!B10:N94,13,FALSE)</f>
        <v>1</v>
      </c>
      <c r="E22" s="32">
        <f>SUM(E15:E21)</f>
        <v>12738.7325</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1147</v>
      </c>
      <c r="E26" s="84" t="s">
        <v>1147</v>
      </c>
      <c r="F26" s="84" t="s">
        <v>1147</v>
      </c>
      <c r="G26" s="84" t="s">
        <v>1148</v>
      </c>
      <c r="H26" s="84" t="s">
        <v>1148</v>
      </c>
      <c r="I26" s="84" t="s">
        <v>1148</v>
      </c>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1188</v>
      </c>
      <c r="E29" s="85" t="s">
        <v>1189</v>
      </c>
      <c r="F29" s="85" t="s">
        <v>1190</v>
      </c>
      <c r="G29" s="85" t="s">
        <v>1191</v>
      </c>
      <c r="H29" s="85" t="s">
        <v>1192</v>
      </c>
      <c r="I29" s="85" t="s">
        <v>1193</v>
      </c>
      <c r="J29" s="85"/>
      <c r="K29" s="145"/>
      <c r="L29" s="140"/>
    </row>
    <row r="30" spans="2:14" ht="156.75" customHeight="1" x14ac:dyDescent="0.2">
      <c r="B30" s="374"/>
      <c r="C30" s="25" t="s">
        <v>84</v>
      </c>
      <c r="D30" s="85" t="s">
        <v>1194</v>
      </c>
      <c r="E30" s="85" t="s">
        <v>1195</v>
      </c>
      <c r="F30" s="85" t="s">
        <v>1196</v>
      </c>
      <c r="G30" s="85" t="s">
        <v>1197</v>
      </c>
      <c r="H30" s="85" t="s">
        <v>1198</v>
      </c>
      <c r="I30" s="85" t="s">
        <v>1199</v>
      </c>
      <c r="J30" s="85"/>
      <c r="K30" s="145"/>
      <c r="L30" s="140"/>
    </row>
    <row r="31" spans="2:14" ht="52.5" customHeight="1" x14ac:dyDescent="0.2">
      <c r="B31" s="374"/>
      <c r="C31" s="25" t="s">
        <v>85</v>
      </c>
      <c r="D31" s="89">
        <v>41379</v>
      </c>
      <c r="E31" s="89">
        <v>39377</v>
      </c>
      <c r="F31" s="89">
        <v>42100</v>
      </c>
      <c r="G31" s="89">
        <v>36637</v>
      </c>
      <c r="H31" s="89">
        <v>43181</v>
      </c>
      <c r="I31" s="89">
        <v>43648</v>
      </c>
      <c r="J31" s="89"/>
      <c r="K31" s="145"/>
      <c r="L31" s="140"/>
    </row>
    <row r="32" spans="2:14" ht="54.75" customHeight="1" x14ac:dyDescent="0.2">
      <c r="B32" s="374"/>
      <c r="C32" s="25" t="s">
        <v>86</v>
      </c>
      <c r="D32" s="89">
        <v>42232</v>
      </c>
      <c r="E32" s="89">
        <v>39789</v>
      </c>
      <c r="F32" s="89">
        <v>42587</v>
      </c>
      <c r="G32" s="89">
        <v>36961</v>
      </c>
      <c r="H32" s="89">
        <v>44099</v>
      </c>
      <c r="I32" s="89">
        <v>44956</v>
      </c>
      <c r="J32" s="89"/>
      <c r="K32" s="145"/>
      <c r="L32" s="140"/>
    </row>
    <row r="33" spans="2:12" ht="41.25" customHeight="1" x14ac:dyDescent="0.2">
      <c r="B33" s="374"/>
      <c r="C33" s="25" t="s">
        <v>87</v>
      </c>
      <c r="D33" s="86">
        <v>2015</v>
      </c>
      <c r="E33" s="86">
        <v>2008</v>
      </c>
      <c r="F33" s="86">
        <v>2016</v>
      </c>
      <c r="G33" s="86">
        <v>2001</v>
      </c>
      <c r="H33" s="86">
        <v>2020</v>
      </c>
      <c r="I33" s="86">
        <v>2023</v>
      </c>
      <c r="J33" s="86"/>
      <c r="K33" s="145"/>
      <c r="L33" s="140"/>
    </row>
    <row r="34" spans="2:12" ht="63" customHeight="1" x14ac:dyDescent="0.2">
      <c r="B34" s="374"/>
      <c r="C34" s="25" t="s">
        <v>88</v>
      </c>
      <c r="D34" s="85" t="s">
        <v>698</v>
      </c>
      <c r="E34" s="85" t="s">
        <v>698</v>
      </c>
      <c r="F34" s="85" t="s">
        <v>558</v>
      </c>
      <c r="G34" s="85" t="s">
        <v>1200</v>
      </c>
      <c r="H34" s="85" t="s">
        <v>1201</v>
      </c>
      <c r="I34" s="85" t="s">
        <v>1201</v>
      </c>
      <c r="J34" s="85"/>
      <c r="K34" s="145"/>
      <c r="L34" s="140"/>
    </row>
    <row r="35" spans="2:12" ht="46.5" customHeight="1" x14ac:dyDescent="0.2">
      <c r="B35" s="374"/>
      <c r="C35" s="25" t="s">
        <v>89</v>
      </c>
      <c r="D35" s="85" t="s">
        <v>1202</v>
      </c>
      <c r="E35" s="85" t="s">
        <v>1203</v>
      </c>
      <c r="F35" s="85" t="s">
        <v>1204</v>
      </c>
      <c r="G35" s="85" t="s">
        <v>1205</v>
      </c>
      <c r="H35" s="85" t="s">
        <v>1206</v>
      </c>
      <c r="I35" s="85" t="s">
        <v>1207</v>
      </c>
      <c r="J35" s="85"/>
      <c r="K35" s="145"/>
      <c r="L35" s="140"/>
    </row>
    <row r="36" spans="2:12" ht="27.75" customHeight="1" x14ac:dyDescent="0.2">
      <c r="B36" s="374"/>
      <c r="C36" s="26" t="s">
        <v>90</v>
      </c>
      <c r="D36" s="90">
        <v>26</v>
      </c>
      <c r="E36" s="90">
        <v>12</v>
      </c>
      <c r="F36" s="90">
        <v>27</v>
      </c>
      <c r="G36" s="91">
        <v>14</v>
      </c>
      <c r="H36" s="91">
        <v>71</v>
      </c>
      <c r="I36" s="91">
        <v>82</v>
      </c>
      <c r="J36" s="91"/>
      <c r="K36" s="145"/>
      <c r="L36" s="140"/>
    </row>
    <row r="37" spans="2:12" ht="102.75" customHeight="1" x14ac:dyDescent="0.2">
      <c r="B37" s="374"/>
      <c r="C37" s="25" t="s">
        <v>91</v>
      </c>
      <c r="D37" s="87">
        <v>2040.08</v>
      </c>
      <c r="E37" s="158">
        <v>991.22</v>
      </c>
      <c r="F37" s="87">
        <v>1187.81</v>
      </c>
      <c r="G37" s="87">
        <v>2626.48</v>
      </c>
      <c r="H37" s="87">
        <v>5981.05</v>
      </c>
      <c r="I37" s="87">
        <v>5269.85</v>
      </c>
      <c r="J37" s="87"/>
      <c r="K37" s="242"/>
      <c r="L37" s="243"/>
    </row>
    <row r="38" spans="2:12" ht="48" customHeight="1" x14ac:dyDescent="0.2">
      <c r="B38" s="374"/>
      <c r="C38" s="25" t="s">
        <v>92</v>
      </c>
      <c r="D38" s="97">
        <f>IFERROR(D37*VLOOKUP(D33,'DATOS INICIALES'!$A$12:$B$50,2,0),"0")</f>
        <v>1314525548</v>
      </c>
      <c r="E38" s="97">
        <f>IFERROR(E37*VLOOKUP(E33,'DATOS INICIALES'!$A$12:$B$50,2,0),"0")</f>
        <v>457448030</v>
      </c>
      <c r="F38" s="97">
        <f>IFERROR(F37*VLOOKUP(F33,'DATOS INICIALES'!$A$12:$B$50,2,0),"0")</f>
        <v>818941543.54999995</v>
      </c>
      <c r="G38" s="97">
        <f>IFERROR(G37*VLOOKUP(G33,'DATOS INICIALES'!$A$12:$B$50,2,0),"0")</f>
        <v>751173280</v>
      </c>
      <c r="H38" s="97">
        <f>IFERROR(H37*VLOOKUP(H33,'DATOS INICIALES'!$A$12:$B$50,2,0),"0")</f>
        <v>5250183633.1500006</v>
      </c>
      <c r="I38" s="97">
        <f>IFERROR(I37*VLOOKUP(I33,'DATOS INICIALES'!$A$12:$B$50,2,0),"0")</f>
        <v>6113026000</v>
      </c>
      <c r="J38" s="97" t="str">
        <f>IFERROR(J37*VLOOKUP(J33,'DATOS INICIALES'!$A$12:$B$50,2,0),"0")</f>
        <v>0</v>
      </c>
      <c r="K38" s="145"/>
      <c r="L38" s="140"/>
    </row>
    <row r="39" spans="2:12" ht="33.75" customHeight="1" x14ac:dyDescent="0.2">
      <c r="B39" s="374"/>
      <c r="C39" s="25" t="s">
        <v>93</v>
      </c>
      <c r="D39" s="88">
        <v>1</v>
      </c>
      <c r="E39" s="88">
        <v>1</v>
      </c>
      <c r="F39" s="88">
        <v>0.5</v>
      </c>
      <c r="G39" s="88">
        <v>1</v>
      </c>
      <c r="H39" s="88">
        <v>0.6</v>
      </c>
      <c r="I39" s="88">
        <v>0.55000000000000004</v>
      </c>
      <c r="J39" s="88"/>
      <c r="K39" s="145"/>
      <c r="L39" s="140"/>
    </row>
    <row r="40" spans="2:12" ht="48.75" customHeight="1" x14ac:dyDescent="0.2">
      <c r="B40" s="374"/>
      <c r="C40" s="25" t="s">
        <v>94</v>
      </c>
      <c r="D40" s="97">
        <f t="shared" ref="D40:J40" si="0">IF(D26="","0",D39*D38)</f>
        <v>1314525548</v>
      </c>
      <c r="E40" s="97">
        <f t="shared" si="0"/>
        <v>457448030</v>
      </c>
      <c r="F40" s="97">
        <f t="shared" si="0"/>
        <v>409470771.77499998</v>
      </c>
      <c r="G40" s="97">
        <f t="shared" si="0"/>
        <v>751173280</v>
      </c>
      <c r="H40" s="97">
        <f t="shared" si="0"/>
        <v>3150110179.8900003</v>
      </c>
      <c r="I40" s="97">
        <f t="shared" si="0"/>
        <v>3362164300.0000005</v>
      </c>
      <c r="J40" s="97" t="str">
        <f t="shared" si="0"/>
        <v>0</v>
      </c>
      <c r="K40" s="145"/>
      <c r="L40" s="140"/>
    </row>
    <row r="41" spans="2:12" ht="65.25" customHeight="1" x14ac:dyDescent="0.2">
      <c r="B41" s="374"/>
      <c r="C41" s="25" t="s">
        <v>95</v>
      </c>
      <c r="D41" s="98">
        <f t="shared" ref="D41:J41" si="1">IFERROR(D37*D39,"0")</f>
        <v>2040.08</v>
      </c>
      <c r="E41" s="98">
        <f t="shared" si="1"/>
        <v>991.22</v>
      </c>
      <c r="F41" s="98">
        <f t="shared" si="1"/>
        <v>593.90499999999997</v>
      </c>
      <c r="G41" s="98">
        <f t="shared" si="1"/>
        <v>2626.48</v>
      </c>
      <c r="H41" s="98">
        <f t="shared" si="1"/>
        <v>3588.63</v>
      </c>
      <c r="I41" s="98">
        <f t="shared" si="1"/>
        <v>2898.4175000000005</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2040.08</v>
      </c>
      <c r="E48" s="98">
        <f t="shared" ref="E48:G48" si="6">+E41+E44+E47</f>
        <v>991.22</v>
      </c>
      <c r="F48" s="98">
        <f t="shared" si="6"/>
        <v>593.90499999999997</v>
      </c>
      <c r="G48" s="98">
        <f t="shared" si="6"/>
        <v>2626.48</v>
      </c>
      <c r="H48" s="98">
        <f>+H41+H44+H47</f>
        <v>3588.63</v>
      </c>
      <c r="I48" s="98">
        <f t="shared" ref="I48:J48" si="7">+I41+I44+I47</f>
        <v>2898.4175000000005</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CUMPLE</v>
      </c>
      <c r="H55" s="18" t="str">
        <f t="shared" si="8"/>
        <v>CUMPLE</v>
      </c>
      <c r="I55" s="18" t="str">
        <f t="shared" si="8"/>
        <v>CUMPLE</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CUMPLE</v>
      </c>
      <c r="H67" s="18" t="str">
        <f t="shared" ref="H67:J67" si="9">IF(H26="","N/A",IF(AND(H49="CUMPLE",H55="CUMPLE",OR(H56="CUMPLE",H56="N/A"),OR(H59="CUMPLE",H59="N/A"),H62="CUMPLE",H63="CUMPLE",OR(H64="CUMPLE",H64="N/A"),H65="CUMPLE",OR(H66="CUMPLE",H66="N/A")),"CUMPLE","NO CUMPLE"))</f>
        <v>CUMPLE</v>
      </c>
      <c r="I67" s="18" t="str">
        <f t="shared" si="9"/>
        <v>CUMPLE</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0:C70"/>
    <mergeCell ref="B71:C71"/>
    <mergeCell ref="B72:C72"/>
    <mergeCell ref="B65:C65"/>
    <mergeCell ref="B66:C66"/>
    <mergeCell ref="B67:C67"/>
    <mergeCell ref="B69:E69"/>
    <mergeCell ref="B62:C62"/>
    <mergeCell ref="B63:C63"/>
    <mergeCell ref="B64:C64"/>
    <mergeCell ref="B59:C59"/>
    <mergeCell ref="B60:C60"/>
    <mergeCell ref="B61:C61"/>
    <mergeCell ref="B56:C56"/>
    <mergeCell ref="B57:C57"/>
    <mergeCell ref="B58:C58"/>
    <mergeCell ref="B50:B55"/>
    <mergeCell ref="B28:C28"/>
    <mergeCell ref="B29:B47"/>
    <mergeCell ref="I22:L22"/>
    <mergeCell ref="B12:L12"/>
    <mergeCell ref="B13:H13"/>
    <mergeCell ref="B14:B21"/>
    <mergeCell ref="K17:L17"/>
    <mergeCell ref="K18:L21"/>
    <mergeCell ref="B24:L24"/>
    <mergeCell ref="K25:L25"/>
    <mergeCell ref="B26:C26"/>
    <mergeCell ref="B27:C27"/>
    <mergeCell ref="B23:L23"/>
    <mergeCell ref="C8:I8"/>
    <mergeCell ref="C9:I9"/>
    <mergeCell ref="C10:I10"/>
    <mergeCell ref="C11:G11"/>
    <mergeCell ref="B2:L2"/>
    <mergeCell ref="B3:L3"/>
    <mergeCell ref="B4:L4"/>
    <mergeCell ref="B5:L5"/>
    <mergeCell ref="B7:I7"/>
    <mergeCell ref="J7:L7"/>
    <mergeCell ref="I11:L11"/>
  </mergeCells>
  <conditionalFormatting sqref="D71">
    <cfRule type="cellIs" dxfId="948" priority="75" operator="equal">
      <formula>"CUMPLE"</formula>
    </cfRule>
    <cfRule type="containsBlanks" dxfId="947" priority="72">
      <formula>LEN(TRIM(D71))=0</formula>
    </cfRule>
    <cfRule type="notContainsErrors" dxfId="946" priority="73">
      <formula>NOT(ISERROR(D71))</formula>
    </cfRule>
    <cfRule type="cellIs" dxfId="945" priority="74" operator="equal">
      <formula>"NO CUMPLE"</formula>
    </cfRule>
  </conditionalFormatting>
  <conditionalFormatting sqref="D72">
    <cfRule type="cellIs" dxfId="944" priority="77" operator="equal">
      <formula>"CUMPLE"</formula>
    </cfRule>
    <cfRule type="cellIs" dxfId="943" priority="76" operator="equal">
      <formula>"N/A"</formula>
    </cfRule>
    <cfRule type="cellIs" dxfId="942" priority="79" operator="equal">
      <formula>"""CUMPLE"""</formula>
    </cfRule>
    <cfRule type="cellIs" dxfId="941" priority="78" operator="equal">
      <formula>"NO CUMPLE"</formula>
    </cfRule>
  </conditionalFormatting>
  <conditionalFormatting sqref="D26:J37">
    <cfRule type="notContainsErrors" dxfId="940" priority="4">
      <formula>NOT(ISERROR(D26))</formula>
    </cfRule>
    <cfRule type="containsBlanks" dxfId="939" priority="3">
      <formula>LEN(TRIM(D26))=0</formula>
    </cfRule>
  </conditionalFormatting>
  <conditionalFormatting sqref="D36:J36">
    <cfRule type="notContainsErrors" dxfId="938" priority="6">
      <formula>NOT(ISERROR(D36))</formula>
    </cfRule>
    <cfRule type="containsBlanks" dxfId="937" priority="5">
      <formula>LEN(TRIM(D36))=0</formula>
    </cfRule>
  </conditionalFormatting>
  <conditionalFormatting sqref="D39:J39">
    <cfRule type="containsBlanks" dxfId="936" priority="1">
      <formula>LEN(TRIM(D39))=0</formula>
    </cfRule>
    <cfRule type="notContainsErrors" dxfId="935" priority="2">
      <formula>NOT(ISERROR(D39))</formula>
    </cfRule>
  </conditionalFormatting>
  <conditionalFormatting sqref="D42:J42 D45:J45">
    <cfRule type="notContainsErrors" dxfId="934" priority="38">
      <formula>NOT(ISERROR(D42))</formula>
    </cfRule>
    <cfRule type="containsBlanks" dxfId="933" priority="37">
      <formula>LEN(TRIM(D42))=0</formula>
    </cfRule>
  </conditionalFormatting>
  <conditionalFormatting sqref="D49:J54">
    <cfRule type="cellIs" dxfId="932" priority="17" operator="equal">
      <formula>"NO CUMPLE"</formula>
    </cfRule>
    <cfRule type="cellIs" dxfId="931" priority="18" operator="equal">
      <formula>"CUMPLE"</formula>
    </cfRule>
    <cfRule type="containsBlanks" dxfId="930" priority="19">
      <formula>LEN(TRIM(D49))=0</formula>
    </cfRule>
    <cfRule type="notContainsErrors" dxfId="929" priority="20">
      <formula>NOT(ISERROR(D49))</formula>
    </cfRule>
  </conditionalFormatting>
  <conditionalFormatting sqref="D55:J55">
    <cfRule type="cellIs" dxfId="928" priority="28" operator="equal">
      <formula>"CUMPLE"</formula>
    </cfRule>
    <cfRule type="cellIs" dxfId="927" priority="30" operator="equal">
      <formula>"""CUMPLE"""</formula>
    </cfRule>
    <cfRule type="cellIs" dxfId="926" priority="29" operator="equal">
      <formula>"NO CUMPLE"</formula>
    </cfRule>
    <cfRule type="cellIs" dxfId="925" priority="27" operator="equal">
      <formula>"N/A"</formula>
    </cfRule>
  </conditionalFormatting>
  <conditionalFormatting sqref="D56:J66">
    <cfRule type="cellIs" dxfId="924" priority="11" operator="equal">
      <formula>"NO CUMPLE"</formula>
    </cfRule>
    <cfRule type="notContainsErrors" dxfId="923" priority="14">
      <formula>NOT(ISERROR(D56))</formula>
    </cfRule>
    <cfRule type="containsBlanks" dxfId="922" priority="13">
      <formula>LEN(TRIM(D56))=0</formula>
    </cfRule>
    <cfRule type="cellIs" dxfId="921" priority="12" operator="equal">
      <formula>"CUMPLE"</formula>
    </cfRule>
  </conditionalFormatting>
  <conditionalFormatting sqref="D67:J67">
    <cfRule type="cellIs" dxfId="920" priority="23" operator="equal">
      <formula>"N/A"</formula>
    </cfRule>
    <cfRule type="cellIs" dxfId="919" priority="24" operator="equal">
      <formula>"CUMPLE"</formula>
    </cfRule>
    <cfRule type="cellIs" dxfId="918" priority="26" operator="equal">
      <formula>"""CUMPLE"""</formula>
    </cfRule>
    <cfRule type="cellIs" dxfId="917" priority="25" operator="equal">
      <formula>"NO CUMPLE"</formula>
    </cfRule>
  </conditionalFormatting>
  <conditionalFormatting sqref="D62:K66">
    <cfRule type="containsBlanks" dxfId="916" priority="15">
      <formula>LEN(TRIM(D62))=0</formula>
    </cfRule>
    <cfRule type="notContainsErrors" dxfId="915" priority="16">
      <formula>NOT(ISERROR(D62))</formula>
    </cfRule>
  </conditionalFormatting>
  <conditionalFormatting sqref="E71:E72">
    <cfRule type="notContainsErrors" dxfId="914" priority="71">
      <formula>NOT(ISERROR(E71))</formula>
    </cfRule>
    <cfRule type="containsBlanks" dxfId="913" priority="70">
      <formula>LEN(TRIM(E71))=0</formula>
    </cfRule>
  </conditionalFormatting>
  <conditionalFormatting sqref="F22:H22">
    <cfRule type="cellIs" dxfId="912" priority="94" operator="equal">
      <formula>"NO CUMPLE"</formula>
    </cfRule>
    <cfRule type="cellIs" dxfId="911" priority="95" operator="equal">
      <formula>"""CUMPLE"""</formula>
    </cfRule>
    <cfRule type="cellIs" dxfId="910" priority="93" operator="equal">
      <formula>"CUMPLE"</formula>
    </cfRule>
  </conditionalFormatting>
  <conditionalFormatting sqref="G63:J63">
    <cfRule type="containsBlanks" dxfId="909" priority="7">
      <formula>LEN(TRIM(G63))=0</formula>
    </cfRule>
    <cfRule type="notContainsErrors" dxfId="908" priority="8">
      <formula>NOT(ISERROR(G63))</formula>
    </cfRule>
  </conditionalFormatting>
  <conditionalFormatting sqref="I11">
    <cfRule type="containsText" dxfId="907" priority="99" operator="containsText" text="NO CUMPLE">
      <formula>NOT(ISERROR(SEARCH("NO CUMPLE",I11)))</formula>
    </cfRule>
    <cfRule type="containsText" dxfId="906" priority="98" operator="containsText" text="HABILITADO">
      <formula>NOT(ISERROR(SEARCH("HABILITADO",I11)))</formula>
    </cfRule>
    <cfRule type="containsText" dxfId="905" priority="97" operator="containsText" text="HABILITADO">
      <formula>NOT(ISERROR(SEARCH("HABILITADO",I11)))</formula>
    </cfRule>
    <cfRule type="containsText" dxfId="904" priority="96" operator="containsText" text="INHABILITADO">
      <formula>NOT(ISERROR(SEARCH("INHABILITADO",I11)))</formula>
    </cfRule>
  </conditionalFormatting>
  <conditionalFormatting sqref="K18:K20">
    <cfRule type="cellIs" dxfId="903" priority="68" operator="equal">
      <formula>"NO CUMPLE"</formula>
    </cfRule>
    <cfRule type="cellIs" dxfId="902" priority="69" operator="equal">
      <formula>"""CUMPLE"""</formula>
    </cfRule>
    <cfRule type="cellIs" dxfId="901" priority="67" operator="equal">
      <formula>"CUMPLE"</formula>
    </cfRule>
  </conditionalFormatting>
  <conditionalFormatting sqref="K26:K61 D62:J62">
    <cfRule type="containsBlanks" dxfId="900" priority="9">
      <formula>LEN(TRIM(D26))=0</formula>
    </cfRule>
    <cfRule type="notContainsErrors" dxfId="899" priority="10">
      <formula>NOT(ISERROR(D26))</formula>
    </cfRule>
  </conditionalFormatting>
  <conditionalFormatting sqref="K67:L67">
    <cfRule type="containsBlanks" dxfId="898" priority="21">
      <formula>LEN(TRIM(K67))=0</formula>
    </cfRule>
    <cfRule type="notContainsErrors" dxfId="897" priority="22">
      <formula>NOT(ISERROR(K67))</formula>
    </cfRule>
  </conditionalFormatting>
  <conditionalFormatting sqref="L14">
    <cfRule type="cellIs" dxfId="896" priority="92" operator="equal">
      <formula>"""CUMPLE"""</formula>
    </cfRule>
    <cfRule type="cellIs" dxfId="895" priority="91" operator="equal">
      <formula>"NO CUMPLE"</formula>
    </cfRule>
    <cfRule type="cellIs" dxfId="894" priority="90" operator="equal">
      <formula>"CUMPLE"</formula>
    </cfRule>
  </conditionalFormatting>
  <dataValidations count="2">
    <dataValidation type="list" allowBlank="1" showInputMessage="1" showErrorMessage="1" sqref="L62:L67" xr:uid="{00000000-0002-0000-5300-000000000000}">
      <formula1>"0,1,2,3,4,5,6"</formula1>
    </dataValidation>
    <dataValidation type="list" allowBlank="1" showInputMessage="1" showErrorMessage="1" sqref="D26:J28" xr:uid="{00000000-0002-0000-53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5300-000002000000}">
          <x14:formula1>
            <xm:f>'DATOS INICIALES'!$D$27:$D$29</xm:f>
          </x14:formula1>
          <xm:sqref>M50:M55</xm:sqref>
        </x14:dataValidation>
        <x14:dataValidation type="list" allowBlank="1" showInputMessage="1" showErrorMessage="1" xr:uid="{00000000-0002-0000-5300-000003000000}">
          <x14:formula1>
            <xm:f>'DATOS INICIALES'!$A$57:$A$58</xm:f>
          </x14:formula1>
          <xm:sqref>D49:J49</xm:sqref>
        </x14:dataValidation>
        <x14:dataValidation type="list" allowBlank="1" showInputMessage="1" showErrorMessage="1" xr:uid="{00000000-0002-0000-5300-000004000000}">
          <x14:formula1>
            <xm:f>'DATOS INICIALES'!$A$61:$A$67</xm:f>
          </x14:formula1>
          <xm:sqref>J25</xm:sqref>
        </x14:dataValidation>
        <x14:dataValidation type="list" allowBlank="1" showInputMessage="1" showErrorMessage="1" xr:uid="{00000000-0002-0000-5300-000005000000}">
          <x14:formula1>
            <xm:f>'DATOS INICIALES'!$C$52:$C$53</xm:f>
          </x14:formula1>
          <xm:sqref>D53:J54</xm:sqref>
        </x14:dataValidation>
        <x14:dataValidation type="list" allowBlank="1" showInputMessage="1" showErrorMessage="1" xr:uid="{00000000-0002-0000-5300-000006000000}">
          <x14:formula1>
            <xm:f>'DATOS INICIALES'!$A$57:$A$59</xm:f>
          </x14:formula1>
          <xm:sqref>D71 D56:J66</xm:sqref>
        </x14:dataValidation>
        <x14:dataValidation type="list" allowBlank="1" showInputMessage="1" showErrorMessage="1" xr:uid="{00000000-0002-0000-5300-000007000000}">
          <x14:formula1>
            <xm:f>'DATOS INICIALES'!$A$61:$A$66</xm:f>
          </x14:formula1>
          <xm:sqref>D25:I25</xm:sqref>
        </x14:dataValidation>
        <x14:dataValidation type="list" allowBlank="1" showInputMessage="1" showErrorMessage="1" xr:uid="{00000000-0002-0000-5300-000008000000}">
          <x14:formula1>
            <xm:f>'DATOS INICIALES'!$C$52:$C$54</xm:f>
          </x14:formula1>
          <xm:sqref>D50:J52</xm:sqref>
        </x14:dataValidation>
        <x14:dataValidation type="list" allowBlank="1" showInputMessage="1" showErrorMessage="1" xr:uid="{00000000-0002-0000-5300-000009000000}">
          <x14:formula1>
            <xm:f>'/Users/ldrr/Desktop/SDDE/REVISION DE CARPETAS/C:\Users\ASUS\OneDrive\Escritorio\alcaldia local de usaquen\2025\16. EVALUACION DE PROCESOS\INTERVENTORIA DE VIAS\consolidado equipo\[ALBERT_ Evaluación_Tecnica_Albert Bahamon.xlsx]DATOS INICIALES'!#REF!</xm:f>
          </x14:formula1>
          <xm:sqref>G33:I33</xm:sqref>
        </x14:dataValidation>
      </x14:dataValidations>
    </ext>
  </extLst>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sheetPr>
    <tabColor rgb="FF92D050"/>
  </sheetPr>
  <dimension ref="A1:N72"/>
  <sheetViews>
    <sheetView view="pageBreakPreview" topLeftCell="A37" zoomScale="55" zoomScaleNormal="25" zoomScaleSheetLayoutView="55" workbookViewId="0">
      <selection activeCell="F40" sqref="F40"/>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79</v>
      </c>
      <c r="B11" s="2" t="s">
        <v>58</v>
      </c>
      <c r="C11" s="413" t="str">
        <f>VLOOKUP(A11,PROPONENTES!A10:B94,2,FALSE)</f>
        <v>CONSORCIO MALLA VIAL USA</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4</v>
      </c>
      <c r="J14" s="147">
        <f>+L8</f>
        <v>986.3076290832455</v>
      </c>
      <c r="K14" s="147">
        <f>+E22</f>
        <v>7129.5519999999997</v>
      </c>
      <c r="L14" s="18" t="str">
        <f>IF(K14&gt;=J14,"CUMPLE","NO CUMPLE")</f>
        <v>CUMPLE</v>
      </c>
    </row>
    <row r="15" spans="1:12" ht="33.75" customHeight="1" x14ac:dyDescent="0.2">
      <c r="B15" s="382"/>
      <c r="C15" s="92" t="str">
        <f>IF(VLOOKUP(C11,PROPONENTES!B10:N94,2,FALSE)=0,"",VLOOKUP(C11,PROPONENTES!B10:N94,2,FALSE))</f>
        <v>ECOVIAS S.A.S</v>
      </c>
      <c r="D15" s="93">
        <f>IF(VLOOKUP(C11,PROPONENTES!B10:N94,3,FALSE)=0,"",VLOOKUP(C11,PROPONENTES!B10:N94,3,FALSE))</f>
        <v>0.5</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3527.7519999999995</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ECOING PROYECTOS S.A.S</v>
      </c>
      <c r="D16" s="93">
        <f>IF(VLOOKUP(C11,PROPONENTES!B10:N94,5,FALSE)=0,"",VLOOKUP(C11,PROPONENTES!B10:N94,5,FALSE))</f>
        <v>0.5</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3601.8</v>
      </c>
      <c r="F16" s="95" t="str">
        <f>IF(C16="","",IF(E16&gt;=$J$14*0.5,"SI","NO"))</f>
        <v>SI</v>
      </c>
      <c r="G16" s="96" t="str">
        <f>IF(C16="","",IF(E16&gt;=$J$14*0.05,"SI",IF(E16=0,"NO APORTA EXPERIENCIA",)))</f>
        <v>SI</v>
      </c>
      <c r="H16" s="96" t="str">
        <f>IF(C16="","",IF(AND(G16="NO APORTA EXPERIENCIA",D16&lt;=10%),"SI",IF(G16="SI","NO APLICA","NO - PORCENTAJE MAYOR AL 10%")))</f>
        <v>NO APLICA</v>
      </c>
      <c r="I16" s="162"/>
      <c r="J16" s="162"/>
      <c r="K16" s="162"/>
      <c r="L16" s="161">
        <f>AVERAGEIF(D67:J67,"CUMPLE",D48:J48)</f>
        <v>1782.3879999999999</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4</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4</v>
      </c>
      <c r="J19" s="128">
        <v>1</v>
      </c>
      <c r="K19" s="387"/>
      <c r="L19" s="388"/>
    </row>
    <row r="20" spans="2:14" ht="50.25" customHeight="1" x14ac:dyDescent="0.2">
      <c r="B20" s="382"/>
      <c r="C20" s="92"/>
      <c r="D20" s="93"/>
      <c r="E20" s="94"/>
      <c r="F20" s="95"/>
      <c r="G20" s="96"/>
      <c r="H20" s="96"/>
      <c r="I20" s="128">
        <f>COUNTIFS(D60:J60,"CUMPLE",D67:J67,"CUMPLE")</f>
        <v>4</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4</v>
      </c>
      <c r="J21" s="128">
        <v>1</v>
      </c>
      <c r="K21" s="389"/>
      <c r="L21" s="390"/>
    </row>
    <row r="22" spans="2:14" ht="84.75" customHeight="1" x14ac:dyDescent="0.2">
      <c r="B22" s="29" t="s">
        <v>75</v>
      </c>
      <c r="C22" s="24">
        <f>+VLOOKUP(C11,PROPONENTES!B10:N94,12,FALSE)</f>
        <v>2</v>
      </c>
      <c r="D22" s="93">
        <f>+VLOOKUP(C11,PROPONENTES!B10:N94,13,FALSE)</f>
        <v>1</v>
      </c>
      <c r="E22" s="32">
        <f>SUM(E15:E21)</f>
        <v>7129.5519999999997</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1149</v>
      </c>
      <c r="E26" s="84" t="s">
        <v>1149</v>
      </c>
      <c r="F26" s="84" t="s">
        <v>1150</v>
      </c>
      <c r="G26" s="84" t="s">
        <v>1149</v>
      </c>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1208</v>
      </c>
      <c r="E29" s="85" t="s">
        <v>1209</v>
      </c>
      <c r="F29" s="85" t="s">
        <v>1210</v>
      </c>
      <c r="G29" s="85" t="s">
        <v>1211</v>
      </c>
      <c r="H29" s="85"/>
      <c r="I29" s="85"/>
      <c r="J29" s="85"/>
      <c r="K29" s="145"/>
      <c r="L29" s="140"/>
    </row>
    <row r="30" spans="2:14" ht="156.75" customHeight="1" x14ac:dyDescent="0.2">
      <c r="B30" s="374"/>
      <c r="C30" s="25" t="s">
        <v>84</v>
      </c>
      <c r="D30" s="85" t="s">
        <v>1212</v>
      </c>
      <c r="E30" s="85" t="s">
        <v>1213</v>
      </c>
      <c r="F30" s="85" t="s">
        <v>1214</v>
      </c>
      <c r="G30" s="85" t="s">
        <v>1215</v>
      </c>
      <c r="H30" s="85"/>
      <c r="I30" s="85"/>
      <c r="J30" s="85"/>
      <c r="K30" s="145"/>
      <c r="L30" s="140"/>
    </row>
    <row r="31" spans="2:14" ht="52.5" customHeight="1" x14ac:dyDescent="0.2">
      <c r="B31" s="374"/>
      <c r="C31" s="25" t="s">
        <v>85</v>
      </c>
      <c r="D31" s="89">
        <v>37669</v>
      </c>
      <c r="E31" s="89">
        <v>36644</v>
      </c>
      <c r="F31" s="89">
        <v>42996</v>
      </c>
      <c r="G31" s="89">
        <v>43962</v>
      </c>
      <c r="H31" s="89"/>
      <c r="I31" s="89"/>
      <c r="J31" s="89"/>
      <c r="K31" s="145"/>
      <c r="L31" s="140"/>
    </row>
    <row r="32" spans="2:14" ht="54.75" customHeight="1" x14ac:dyDescent="0.2">
      <c r="B32" s="374"/>
      <c r="C32" s="25" t="s">
        <v>86</v>
      </c>
      <c r="D32" s="89">
        <v>38005</v>
      </c>
      <c r="E32" s="89">
        <v>37181</v>
      </c>
      <c r="F32" s="89">
        <v>44028</v>
      </c>
      <c r="G32" s="89">
        <v>44796</v>
      </c>
      <c r="H32" s="89"/>
      <c r="I32" s="89"/>
      <c r="J32" s="89"/>
      <c r="K32" s="145"/>
      <c r="L32" s="140"/>
    </row>
    <row r="33" spans="2:12" ht="41.25" customHeight="1" x14ac:dyDescent="0.2">
      <c r="B33" s="374"/>
      <c r="C33" s="25" t="s">
        <v>87</v>
      </c>
      <c r="D33" s="86">
        <v>2004</v>
      </c>
      <c r="E33" s="86">
        <v>2001</v>
      </c>
      <c r="F33" s="86">
        <v>2020</v>
      </c>
      <c r="G33" s="86">
        <v>2022</v>
      </c>
      <c r="H33" s="86"/>
      <c r="I33" s="86"/>
      <c r="J33" s="86"/>
      <c r="K33" s="145"/>
      <c r="L33" s="140"/>
    </row>
    <row r="34" spans="2:12" ht="63" customHeight="1" x14ac:dyDescent="0.2">
      <c r="B34" s="374"/>
      <c r="C34" s="25" t="s">
        <v>88</v>
      </c>
      <c r="D34" s="85" t="s">
        <v>793</v>
      </c>
      <c r="E34" s="85" t="s">
        <v>793</v>
      </c>
      <c r="F34" s="85" t="s">
        <v>1216</v>
      </c>
      <c r="G34" s="85" t="s">
        <v>1217</v>
      </c>
      <c r="H34" s="85"/>
      <c r="I34" s="85"/>
      <c r="J34" s="85"/>
      <c r="K34" s="145"/>
      <c r="L34" s="140"/>
    </row>
    <row r="35" spans="2:12" ht="46.5" customHeight="1" x14ac:dyDescent="0.2">
      <c r="B35" s="374"/>
      <c r="C35" s="25" t="s">
        <v>89</v>
      </c>
      <c r="D35" s="85" t="s">
        <v>1218</v>
      </c>
      <c r="E35" s="85" t="s">
        <v>1219</v>
      </c>
      <c r="F35" s="85" t="s">
        <v>1220</v>
      </c>
      <c r="G35" s="85" t="s">
        <v>1221</v>
      </c>
      <c r="H35" s="85"/>
      <c r="I35" s="85"/>
      <c r="J35" s="85"/>
      <c r="K35" s="145"/>
      <c r="L35" s="140"/>
    </row>
    <row r="36" spans="2:12" ht="27.75" customHeight="1" x14ac:dyDescent="0.2">
      <c r="B36" s="374"/>
      <c r="C36" s="26" t="s">
        <v>90</v>
      </c>
      <c r="D36" s="90">
        <v>69</v>
      </c>
      <c r="E36" s="90">
        <v>72</v>
      </c>
      <c r="F36" s="90">
        <v>236</v>
      </c>
      <c r="G36" s="91">
        <v>333</v>
      </c>
      <c r="H36" s="91"/>
      <c r="I36" s="91"/>
      <c r="J36" s="91"/>
      <c r="K36" s="145"/>
      <c r="L36" s="140"/>
    </row>
    <row r="37" spans="2:12" ht="102.75" customHeight="1" x14ac:dyDescent="0.2">
      <c r="B37" s="374"/>
      <c r="C37" s="25" t="s">
        <v>91</v>
      </c>
      <c r="D37" s="87">
        <v>356.84</v>
      </c>
      <c r="E37" s="158">
        <v>5791.92</v>
      </c>
      <c r="F37" s="87">
        <v>3601.8</v>
      </c>
      <c r="G37" s="87">
        <v>2644.32</v>
      </c>
      <c r="H37" s="87"/>
      <c r="I37" s="87"/>
      <c r="J37" s="87"/>
      <c r="K37" s="242"/>
      <c r="L37" s="243"/>
    </row>
    <row r="38" spans="2:12" ht="48" customHeight="1" x14ac:dyDescent="0.2">
      <c r="B38" s="374"/>
      <c r="C38" s="25" t="s">
        <v>92</v>
      </c>
      <c r="D38" s="97">
        <f>IFERROR(D37*VLOOKUP(D33,'DATOS INICIALES'!$A$12:$B$50,2,0),"0")</f>
        <v>127748719.99999999</v>
      </c>
      <c r="E38" s="97">
        <f>IFERROR(E37*VLOOKUP(E33,'DATOS INICIALES'!$A$12:$B$50,2,0),"0")</f>
        <v>1656489120</v>
      </c>
      <c r="F38" s="97">
        <f>IFERROR(F37*VLOOKUP(F33,'DATOS INICIALES'!$A$12:$B$50,2,0),"0")</f>
        <v>3161670845.4000001</v>
      </c>
      <c r="G38" s="97">
        <f>IFERROR(G37*VLOOKUP(G33,'DATOS INICIALES'!$A$12:$B$50,2,0),"0")</f>
        <v>2644320000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0.5</v>
      </c>
      <c r="E39" s="88">
        <v>0.35</v>
      </c>
      <c r="F39" s="88">
        <v>1</v>
      </c>
      <c r="G39" s="88">
        <v>0.5</v>
      </c>
      <c r="H39" s="88"/>
      <c r="I39" s="88"/>
      <c r="J39" s="88"/>
      <c r="K39" s="145"/>
      <c r="L39" s="140"/>
    </row>
    <row r="40" spans="2:12" ht="48.75" customHeight="1" x14ac:dyDescent="0.2">
      <c r="B40" s="374"/>
      <c r="C40" s="25" t="s">
        <v>94</v>
      </c>
      <c r="D40" s="97">
        <f t="shared" ref="D40:J40" si="0">IF(D26="","0",D39*D38)</f>
        <v>63874359.999999993</v>
      </c>
      <c r="E40" s="97">
        <f t="shared" si="0"/>
        <v>579771192</v>
      </c>
      <c r="F40" s="97">
        <f t="shared" si="0"/>
        <v>3161670845.4000001</v>
      </c>
      <c r="G40" s="97">
        <f t="shared" si="0"/>
        <v>1322160000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178.42</v>
      </c>
      <c r="E41" s="98">
        <f t="shared" si="1"/>
        <v>2027.1719999999998</v>
      </c>
      <c r="F41" s="98">
        <f t="shared" si="1"/>
        <v>3601.8</v>
      </c>
      <c r="G41" s="98">
        <f t="shared" si="1"/>
        <v>1322.16</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178.42</v>
      </c>
      <c r="E48" s="98">
        <f t="shared" ref="E48:G48" si="6">+E41+E44+E47</f>
        <v>2027.1719999999998</v>
      </c>
      <c r="F48" s="98">
        <f t="shared" si="6"/>
        <v>3601.8</v>
      </c>
      <c r="G48" s="98">
        <f t="shared" si="6"/>
        <v>1322.16</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CUMPLE</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CUMPLE</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0:C70"/>
    <mergeCell ref="B71:C71"/>
    <mergeCell ref="B72:C72"/>
    <mergeCell ref="B65:C65"/>
    <mergeCell ref="B66:C66"/>
    <mergeCell ref="B67:C67"/>
    <mergeCell ref="B69:E69"/>
    <mergeCell ref="B62:C62"/>
    <mergeCell ref="B63:C63"/>
    <mergeCell ref="B64:C64"/>
    <mergeCell ref="B59:C59"/>
    <mergeCell ref="B60:C60"/>
    <mergeCell ref="B61:C61"/>
    <mergeCell ref="B56:C56"/>
    <mergeCell ref="B57:C57"/>
    <mergeCell ref="B58:C58"/>
    <mergeCell ref="B50:B55"/>
    <mergeCell ref="B28:C28"/>
    <mergeCell ref="B29:B47"/>
    <mergeCell ref="I22:L22"/>
    <mergeCell ref="B12:L12"/>
    <mergeCell ref="B13:H13"/>
    <mergeCell ref="B14:B21"/>
    <mergeCell ref="K17:L17"/>
    <mergeCell ref="K18:L21"/>
    <mergeCell ref="B24:L24"/>
    <mergeCell ref="K25:L25"/>
    <mergeCell ref="B26:C26"/>
    <mergeCell ref="B27:C27"/>
    <mergeCell ref="B23:L23"/>
    <mergeCell ref="C8:I8"/>
    <mergeCell ref="C9:I9"/>
    <mergeCell ref="C10:I10"/>
    <mergeCell ref="C11:G11"/>
    <mergeCell ref="B2:L2"/>
    <mergeCell ref="B3:L3"/>
    <mergeCell ref="B4:L4"/>
    <mergeCell ref="B5:L5"/>
    <mergeCell ref="B7:I7"/>
    <mergeCell ref="J7:L7"/>
    <mergeCell ref="I11:L11"/>
  </mergeCells>
  <conditionalFormatting sqref="D71">
    <cfRule type="cellIs" dxfId="893" priority="73" operator="equal">
      <formula>"CUMPLE"</formula>
    </cfRule>
    <cfRule type="containsBlanks" dxfId="892" priority="70">
      <formula>LEN(TRIM(D71))=0</formula>
    </cfRule>
    <cfRule type="notContainsErrors" dxfId="891" priority="71">
      <formula>NOT(ISERROR(D71))</formula>
    </cfRule>
    <cfRule type="cellIs" dxfId="890" priority="72" operator="equal">
      <formula>"NO CUMPLE"</formula>
    </cfRule>
  </conditionalFormatting>
  <conditionalFormatting sqref="D72">
    <cfRule type="cellIs" dxfId="889" priority="75" operator="equal">
      <formula>"CUMPLE"</formula>
    </cfRule>
    <cfRule type="cellIs" dxfId="888" priority="74" operator="equal">
      <formula>"N/A"</formula>
    </cfRule>
    <cfRule type="cellIs" dxfId="887" priority="77" operator="equal">
      <formula>"""CUMPLE"""</formula>
    </cfRule>
    <cfRule type="cellIs" dxfId="886" priority="76" operator="equal">
      <formula>"NO CUMPLE"</formula>
    </cfRule>
  </conditionalFormatting>
  <conditionalFormatting sqref="D26:J37">
    <cfRule type="notContainsErrors" dxfId="885" priority="4">
      <formula>NOT(ISERROR(D26))</formula>
    </cfRule>
    <cfRule type="containsBlanks" dxfId="884" priority="3">
      <formula>LEN(TRIM(D26))=0</formula>
    </cfRule>
  </conditionalFormatting>
  <conditionalFormatting sqref="D36:J36">
    <cfRule type="notContainsErrors" dxfId="883" priority="6">
      <formula>NOT(ISERROR(D36))</formula>
    </cfRule>
    <cfRule type="containsBlanks" dxfId="882" priority="5">
      <formula>LEN(TRIM(D36))=0</formula>
    </cfRule>
  </conditionalFormatting>
  <conditionalFormatting sqref="D39:J39">
    <cfRule type="containsBlanks" dxfId="881" priority="1">
      <formula>LEN(TRIM(D39))=0</formula>
    </cfRule>
    <cfRule type="notContainsErrors" dxfId="880" priority="2">
      <formula>NOT(ISERROR(D39))</formula>
    </cfRule>
  </conditionalFormatting>
  <conditionalFormatting sqref="D42:J42 D45:J45">
    <cfRule type="notContainsErrors" dxfId="879" priority="38">
      <formula>NOT(ISERROR(D42))</formula>
    </cfRule>
    <cfRule type="containsBlanks" dxfId="878" priority="37">
      <formula>LEN(TRIM(D42))=0</formula>
    </cfRule>
  </conditionalFormatting>
  <conditionalFormatting sqref="D49:J54">
    <cfRule type="cellIs" dxfId="877" priority="17" operator="equal">
      <formula>"NO CUMPLE"</formula>
    </cfRule>
    <cfRule type="cellIs" dxfId="876" priority="18" operator="equal">
      <formula>"CUMPLE"</formula>
    </cfRule>
    <cfRule type="containsBlanks" dxfId="875" priority="19">
      <formula>LEN(TRIM(D49))=0</formula>
    </cfRule>
    <cfRule type="notContainsErrors" dxfId="874" priority="20">
      <formula>NOT(ISERROR(D49))</formula>
    </cfRule>
  </conditionalFormatting>
  <conditionalFormatting sqref="D55:J55">
    <cfRule type="cellIs" dxfId="873" priority="28" operator="equal">
      <formula>"CUMPLE"</formula>
    </cfRule>
    <cfRule type="cellIs" dxfId="872" priority="30" operator="equal">
      <formula>"""CUMPLE"""</formula>
    </cfRule>
    <cfRule type="cellIs" dxfId="871" priority="29" operator="equal">
      <formula>"NO CUMPLE"</formula>
    </cfRule>
    <cfRule type="cellIs" dxfId="870" priority="27" operator="equal">
      <formula>"N/A"</formula>
    </cfRule>
  </conditionalFormatting>
  <conditionalFormatting sqref="D56:J66">
    <cfRule type="cellIs" dxfId="869" priority="11" operator="equal">
      <formula>"NO CUMPLE"</formula>
    </cfRule>
    <cfRule type="notContainsErrors" dxfId="868" priority="14">
      <formula>NOT(ISERROR(D56))</formula>
    </cfRule>
    <cfRule type="containsBlanks" dxfId="867" priority="13">
      <formula>LEN(TRIM(D56))=0</formula>
    </cfRule>
    <cfRule type="cellIs" dxfId="866" priority="12" operator="equal">
      <formula>"CUMPLE"</formula>
    </cfRule>
  </conditionalFormatting>
  <conditionalFormatting sqref="D67:J67">
    <cfRule type="cellIs" dxfId="865" priority="23" operator="equal">
      <formula>"N/A"</formula>
    </cfRule>
    <cfRule type="cellIs" dxfId="864" priority="24" operator="equal">
      <formula>"CUMPLE"</formula>
    </cfRule>
    <cfRule type="cellIs" dxfId="863" priority="26" operator="equal">
      <formula>"""CUMPLE"""</formula>
    </cfRule>
    <cfRule type="cellIs" dxfId="862" priority="25" operator="equal">
      <formula>"NO CUMPLE"</formula>
    </cfRule>
  </conditionalFormatting>
  <conditionalFormatting sqref="D62:K66">
    <cfRule type="containsBlanks" dxfId="861" priority="15">
      <formula>LEN(TRIM(D62))=0</formula>
    </cfRule>
    <cfRule type="notContainsErrors" dxfId="860" priority="16">
      <formula>NOT(ISERROR(D62))</formula>
    </cfRule>
  </conditionalFormatting>
  <conditionalFormatting sqref="E71:E72">
    <cfRule type="notContainsErrors" dxfId="859" priority="69">
      <formula>NOT(ISERROR(E71))</formula>
    </cfRule>
    <cfRule type="containsBlanks" dxfId="858" priority="68">
      <formula>LEN(TRIM(E71))=0</formula>
    </cfRule>
  </conditionalFormatting>
  <conditionalFormatting sqref="F22:H22">
    <cfRule type="cellIs" dxfId="857" priority="92" operator="equal">
      <formula>"NO CUMPLE"</formula>
    </cfRule>
    <cfRule type="cellIs" dxfId="856" priority="93" operator="equal">
      <formula>"""CUMPLE"""</formula>
    </cfRule>
    <cfRule type="cellIs" dxfId="855" priority="91" operator="equal">
      <formula>"CUMPLE"</formula>
    </cfRule>
  </conditionalFormatting>
  <conditionalFormatting sqref="G63:J63">
    <cfRule type="containsBlanks" dxfId="854" priority="7">
      <formula>LEN(TRIM(G63))=0</formula>
    </cfRule>
    <cfRule type="notContainsErrors" dxfId="853" priority="8">
      <formula>NOT(ISERROR(G63))</formula>
    </cfRule>
  </conditionalFormatting>
  <conditionalFormatting sqref="I11">
    <cfRule type="containsText" dxfId="852" priority="97" operator="containsText" text="NO CUMPLE">
      <formula>NOT(ISERROR(SEARCH("NO CUMPLE",I11)))</formula>
    </cfRule>
    <cfRule type="containsText" dxfId="851" priority="96" operator="containsText" text="HABILITADO">
      <formula>NOT(ISERROR(SEARCH("HABILITADO",I11)))</formula>
    </cfRule>
    <cfRule type="containsText" dxfId="850" priority="95" operator="containsText" text="HABILITADO">
      <formula>NOT(ISERROR(SEARCH("HABILITADO",I11)))</formula>
    </cfRule>
    <cfRule type="containsText" dxfId="849" priority="94" operator="containsText" text="INHABILITADO">
      <formula>NOT(ISERROR(SEARCH("INHABILITADO",I11)))</formula>
    </cfRule>
  </conditionalFormatting>
  <conditionalFormatting sqref="K18:K20">
    <cfRule type="cellIs" dxfId="848" priority="66" operator="equal">
      <formula>"NO CUMPLE"</formula>
    </cfRule>
    <cfRule type="cellIs" dxfId="847" priority="67" operator="equal">
      <formula>"""CUMPLE"""</formula>
    </cfRule>
    <cfRule type="cellIs" dxfId="846" priority="65" operator="equal">
      <formula>"CUMPLE"</formula>
    </cfRule>
  </conditionalFormatting>
  <conditionalFormatting sqref="K26:K61 D62:J62">
    <cfRule type="containsBlanks" dxfId="845" priority="9">
      <formula>LEN(TRIM(D26))=0</formula>
    </cfRule>
    <cfRule type="notContainsErrors" dxfId="844" priority="10">
      <formula>NOT(ISERROR(D26))</formula>
    </cfRule>
  </conditionalFormatting>
  <conditionalFormatting sqref="K67:L67">
    <cfRule type="containsBlanks" dxfId="843" priority="21">
      <formula>LEN(TRIM(K67))=0</formula>
    </cfRule>
    <cfRule type="notContainsErrors" dxfId="842" priority="22">
      <formula>NOT(ISERROR(K67))</formula>
    </cfRule>
  </conditionalFormatting>
  <conditionalFormatting sqref="L14">
    <cfRule type="cellIs" dxfId="841" priority="90" operator="equal">
      <formula>"""CUMPLE"""</formula>
    </cfRule>
    <cfRule type="cellIs" dxfId="840" priority="89" operator="equal">
      <formula>"NO CUMPLE"</formula>
    </cfRule>
    <cfRule type="cellIs" dxfId="839" priority="88" operator="equal">
      <formula>"CUMPLE"</formula>
    </cfRule>
  </conditionalFormatting>
  <dataValidations count="2">
    <dataValidation type="list" allowBlank="1" showInputMessage="1" showErrorMessage="1" sqref="L62:L67" xr:uid="{00000000-0002-0000-5400-000000000000}">
      <formula1>"0,1,2,3,4,5,6"</formula1>
    </dataValidation>
    <dataValidation type="list" allowBlank="1" showInputMessage="1" showErrorMessage="1" sqref="D26:J28" xr:uid="{00000000-0002-0000-54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5400-000002000000}">
          <x14:formula1>
            <xm:f>'DATOS INICIALES'!$D$27:$D$29</xm:f>
          </x14:formula1>
          <xm:sqref>M50:M55</xm:sqref>
        </x14:dataValidation>
        <x14:dataValidation type="list" allowBlank="1" showInputMessage="1" showErrorMessage="1" xr:uid="{00000000-0002-0000-5400-000003000000}">
          <x14:formula1>
            <xm:f>'DATOS INICIALES'!$A$57:$A$58</xm:f>
          </x14:formula1>
          <xm:sqref>D49:J49</xm:sqref>
        </x14:dataValidation>
        <x14:dataValidation type="list" allowBlank="1" showInputMessage="1" showErrorMessage="1" xr:uid="{00000000-0002-0000-5400-000004000000}">
          <x14:formula1>
            <xm:f>'DATOS INICIALES'!$A$61:$A$67</xm:f>
          </x14:formula1>
          <xm:sqref>J25</xm:sqref>
        </x14:dataValidation>
        <x14:dataValidation type="list" allowBlank="1" showInputMessage="1" showErrorMessage="1" xr:uid="{00000000-0002-0000-5400-000005000000}">
          <x14:formula1>
            <xm:f>'DATOS INICIALES'!$C$52:$C$53</xm:f>
          </x14:formula1>
          <xm:sqref>D53:J54</xm:sqref>
        </x14:dataValidation>
        <x14:dataValidation type="list" allowBlank="1" showInputMessage="1" showErrorMessage="1" xr:uid="{00000000-0002-0000-5400-000006000000}">
          <x14:formula1>
            <xm:f>'DATOS INICIALES'!$A$57:$A$59</xm:f>
          </x14:formula1>
          <xm:sqref>D71 D56:J66</xm:sqref>
        </x14:dataValidation>
        <x14:dataValidation type="list" allowBlank="1" showInputMessage="1" showErrorMessage="1" xr:uid="{00000000-0002-0000-5400-000007000000}">
          <x14:formula1>
            <xm:f>'DATOS INICIALES'!$A$61:$A$66</xm:f>
          </x14:formula1>
          <xm:sqref>D25:I25</xm:sqref>
        </x14:dataValidation>
        <x14:dataValidation type="list" allowBlank="1" showInputMessage="1" showErrorMessage="1" xr:uid="{00000000-0002-0000-5400-000008000000}">
          <x14:formula1>
            <xm:f>'DATOS INICIALES'!$A$13:$A$50</xm:f>
          </x14:formula1>
          <xm:sqref>H33:I33</xm:sqref>
        </x14:dataValidation>
        <x14:dataValidation type="list" allowBlank="1" showInputMessage="1" showErrorMessage="1" xr:uid="{00000000-0002-0000-5400-000009000000}">
          <x14:formula1>
            <xm:f>'DATOS INICIALES'!$C$52:$C$54</xm:f>
          </x14:formula1>
          <xm:sqref>D50:J52</xm:sqref>
        </x14:dataValidation>
        <x14:dataValidation type="list" allowBlank="1" showInputMessage="1" showErrorMessage="1" xr:uid="{00000000-0002-0000-5400-00000A000000}">
          <x14:formula1>
            <xm:f>'/Users/ldrr/Desktop/SDDE/REVISION DE CARPETAS/C:\Users\ASUS\OneDrive\Escritorio\alcaldia local de usaquen\2025\16. EVALUACION DE PROCESOS\INTERVENTORIA DE VIAS\consolidado equipo\[ALBERT_ Evaluación_Tecnica_Albert Bahamon.xlsx]DATOS INICIALES'!#REF!</xm:f>
          </x14:formula1>
          <xm:sqref>G33</xm:sqref>
        </x14:dataValidation>
      </x14:dataValidations>
    </ext>
  </extLst>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sheetPr>
    <tabColor rgb="FF92D050"/>
  </sheetPr>
  <dimension ref="A1:N72"/>
  <sheetViews>
    <sheetView view="pageBreakPreview" zoomScale="55" zoomScaleNormal="25" zoomScaleSheetLayoutView="55" workbookViewId="0">
      <selection activeCell="I14" sqref="I14"/>
    </sheetView>
  </sheetViews>
  <sheetFormatPr baseColWidth="10" defaultColWidth="11.5" defaultRowHeight="15" x14ac:dyDescent="0.2"/>
  <cols>
    <col min="1" max="1" width="5.5" customWidth="1"/>
    <col min="2" max="2" width="30.83203125" customWidth="1"/>
    <col min="3" max="3" width="63.1640625" customWidth="1"/>
    <col min="4" max="4" width="46.33203125" customWidth="1"/>
    <col min="5" max="5" width="49.33203125" customWidth="1"/>
    <col min="6" max="6" width="43.33203125" customWidth="1"/>
    <col min="7"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80</v>
      </c>
      <c r="B11" s="2" t="s">
        <v>58</v>
      </c>
      <c r="C11" s="413" t="str">
        <f>VLOOKUP(A11,PROPONENTES!A10:B94,2,FALSE)</f>
        <v>PROBINTEC SAS</v>
      </c>
      <c r="D11" s="413"/>
      <c r="E11" s="413"/>
      <c r="F11" s="413"/>
      <c r="G11" s="413"/>
      <c r="H11" s="131" t="s">
        <v>59</v>
      </c>
      <c r="I11" s="417" t="str">
        <f>IF(AND(F22="CUMPLE",G22="CUMPLE",H22="CUMPLE",L14="CUMPLE",D72="CUMPLE",K18="CUMPLE"),"CUMPLE","NO CUMPLE")</f>
        <v>NO 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0</v>
      </c>
      <c r="J14" s="147">
        <f>+L8</f>
        <v>986.3076290832455</v>
      </c>
      <c r="K14" s="147">
        <f>+E22</f>
        <v>0</v>
      </c>
      <c r="L14" s="18" t="str">
        <f>IF(K14&gt;=J14,"CUMPLE","NO CUMPLE")</f>
        <v>NO CUMPLE</v>
      </c>
    </row>
    <row r="15" spans="1:12" ht="33.75" customHeight="1" x14ac:dyDescent="0.2">
      <c r="B15" s="382"/>
      <c r="C15" s="92" t="str">
        <f>IF(VLOOKUP(C11,PROPONENTES!B10:N94,2,FALSE)=0,"",VLOOKUP(C11,PROPONENTES!B10:N94,2,FALSE))</f>
        <v>PROBINTEC SAS</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0</v>
      </c>
      <c r="F15" s="95" t="str">
        <f>IF(C15="","",IF(E15&gt;=$J$14*0.5,"SI","NO"))</f>
        <v>NO</v>
      </c>
      <c r="G15" s="96" t="str">
        <f>IF(C15="","",IF(E15&gt;=$J$14*0.05,"SI",IF(E15=0,"NO APORTA EXPERIENCIA",)))</f>
        <v>NO APORTA EXPERIENCIA</v>
      </c>
      <c r="H15" s="96" t="str">
        <f>IF(C15="","",IF(AND(G15="NO APORTA EXPERIENCIA",D15&lt;=10%),"SI",IF(G15="SI","NO APLICA","NO - PORCENTAJE MAYOR AL 10%")))</f>
        <v>NO - PORCENTAJE MAYOR AL 10%</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v>0</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0</v>
      </c>
      <c r="J18" s="128">
        <v>1</v>
      </c>
      <c r="K18" s="385" t="str">
        <f>IF(AND(I18&gt;=J18,I19&gt;=J19,I20&gt;=J20,I21&gt;=J21),"CUMPLE","NO CUMPLE")</f>
        <v>NO CUMPLE</v>
      </c>
      <c r="L18" s="386"/>
    </row>
    <row r="19" spans="2:14" ht="50.25" customHeight="1" x14ac:dyDescent="0.2">
      <c r="B19" s="382"/>
      <c r="C19" s="92"/>
      <c r="D19" s="93"/>
      <c r="E19" s="94"/>
      <c r="F19" s="95"/>
      <c r="G19" s="96"/>
      <c r="H19" s="96"/>
      <c r="I19" s="128">
        <f>COUNTIFS(D58:J58,"CUMPLE",D67:J67,"CUMPLE")</f>
        <v>0</v>
      </c>
      <c r="J19" s="128">
        <v>1</v>
      </c>
      <c r="K19" s="387"/>
      <c r="L19" s="388"/>
    </row>
    <row r="20" spans="2:14" ht="50.25" customHeight="1" x14ac:dyDescent="0.2">
      <c r="B20" s="382"/>
      <c r="C20" s="92"/>
      <c r="D20" s="93"/>
      <c r="E20" s="94"/>
      <c r="F20" s="95"/>
      <c r="G20" s="96"/>
      <c r="H20" s="96"/>
      <c r="I20" s="128">
        <f>COUNTIFS(D60:J60,"CUMPLE",D67:J67,"CUMPLE")</f>
        <v>0</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0</v>
      </c>
      <c r="J21" s="128">
        <v>1</v>
      </c>
      <c r="K21" s="389"/>
      <c r="L21" s="390"/>
    </row>
    <row r="22" spans="2:14" ht="84.75" customHeight="1" x14ac:dyDescent="0.2">
      <c r="B22" s="29" t="s">
        <v>75</v>
      </c>
      <c r="C22" s="24">
        <f>+VLOOKUP(C11,PROPONENTES!B10:N94,12,FALSE)</f>
        <v>1</v>
      </c>
      <c r="D22" s="93">
        <f>+VLOOKUP(C11,PROPONENTES!B10:N94,13,FALSE)</f>
        <v>1</v>
      </c>
      <c r="E22" s="32">
        <f>SUM(E15:E21)</f>
        <v>0</v>
      </c>
      <c r="F22" s="18" t="str">
        <f>IF(F15="SI","CUMPLE",IF(F16="SI","CUMPLE",IF(F17="SI","CUMPLE",IF(F18="SI","CUMPLE",IF(F21="SI","CUMPLE","NO CUMPLE")))))</f>
        <v>NO 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NO 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199</v>
      </c>
      <c r="E26" s="84"/>
      <c r="F26" s="84"/>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1222</v>
      </c>
      <c r="E29" s="85"/>
      <c r="F29" s="85"/>
      <c r="G29" s="85"/>
      <c r="H29" s="85"/>
      <c r="I29" s="85"/>
      <c r="J29" s="85"/>
      <c r="K29" s="145"/>
      <c r="L29" s="140"/>
    </row>
    <row r="30" spans="2:14" ht="156.75" customHeight="1" x14ac:dyDescent="0.2">
      <c r="B30" s="374"/>
      <c r="C30" s="25" t="s">
        <v>84</v>
      </c>
      <c r="D30" s="304" t="s">
        <v>1223</v>
      </c>
      <c r="E30" s="85"/>
      <c r="F30" s="85"/>
      <c r="G30" s="85"/>
      <c r="H30" s="85"/>
      <c r="I30" s="85"/>
      <c r="J30" s="85"/>
      <c r="K30" s="145"/>
      <c r="L30" s="140"/>
    </row>
    <row r="31" spans="2:14" ht="52.5" customHeight="1" x14ac:dyDescent="0.2">
      <c r="B31" s="374"/>
      <c r="C31" s="25" t="s">
        <v>85</v>
      </c>
      <c r="D31" s="305">
        <v>41429</v>
      </c>
      <c r="E31" s="89"/>
      <c r="F31" s="89"/>
      <c r="G31" s="89"/>
      <c r="H31" s="89"/>
      <c r="I31" s="89"/>
      <c r="J31" s="89"/>
      <c r="K31" s="145"/>
      <c r="L31" s="140"/>
    </row>
    <row r="32" spans="2:14" ht="54.75" customHeight="1" x14ac:dyDescent="0.2">
      <c r="B32" s="374"/>
      <c r="C32" s="25" t="s">
        <v>86</v>
      </c>
      <c r="D32" s="306">
        <v>42368</v>
      </c>
      <c r="E32" s="89"/>
      <c r="F32" s="89"/>
      <c r="G32" s="89"/>
      <c r="H32" s="89"/>
      <c r="I32" s="89"/>
      <c r="J32" s="89"/>
      <c r="K32" s="145"/>
      <c r="L32" s="140"/>
    </row>
    <row r="33" spans="2:12" ht="41.25" customHeight="1" x14ac:dyDescent="0.2">
      <c r="B33" s="374"/>
      <c r="C33" s="25" t="s">
        <v>87</v>
      </c>
      <c r="D33" s="86">
        <v>2015</v>
      </c>
      <c r="E33" s="86"/>
      <c r="F33" s="86"/>
      <c r="G33" s="86"/>
      <c r="H33" s="86"/>
      <c r="I33" s="86"/>
      <c r="J33" s="86"/>
      <c r="K33" s="145"/>
      <c r="L33" s="140"/>
    </row>
    <row r="34" spans="2:12" ht="63" customHeight="1" x14ac:dyDescent="0.2">
      <c r="B34" s="374"/>
      <c r="C34" s="25" t="s">
        <v>88</v>
      </c>
      <c r="D34" s="85" t="s">
        <v>1224</v>
      </c>
      <c r="E34" s="85"/>
      <c r="F34" s="85"/>
      <c r="G34" s="85"/>
      <c r="H34" s="85"/>
      <c r="I34" s="85"/>
      <c r="J34" s="85"/>
      <c r="K34" s="145"/>
      <c r="L34" s="140"/>
    </row>
    <row r="35" spans="2:12" ht="46.5" customHeight="1" x14ac:dyDescent="0.2">
      <c r="B35" s="374"/>
      <c r="C35" s="25" t="s">
        <v>89</v>
      </c>
      <c r="D35" s="85" t="s">
        <v>1225</v>
      </c>
      <c r="E35" s="85"/>
      <c r="F35" s="85"/>
      <c r="G35" s="85"/>
      <c r="H35" s="85"/>
      <c r="I35" s="85"/>
      <c r="J35" s="85"/>
      <c r="K35" s="145"/>
      <c r="L35" s="140"/>
    </row>
    <row r="36" spans="2:12" ht="27.75" customHeight="1" x14ac:dyDescent="0.2">
      <c r="B36" s="374"/>
      <c r="C36" s="26" t="s">
        <v>90</v>
      </c>
      <c r="D36" s="90">
        <v>423</v>
      </c>
      <c r="E36" s="90"/>
      <c r="F36" s="90"/>
      <c r="G36" s="91"/>
      <c r="H36" s="91"/>
      <c r="I36" s="91"/>
      <c r="J36" s="91"/>
      <c r="K36" s="145"/>
      <c r="L36" s="140"/>
    </row>
    <row r="37" spans="2:12" ht="102.75" customHeight="1" x14ac:dyDescent="0.2">
      <c r="B37" s="374"/>
      <c r="C37" s="25" t="s">
        <v>91</v>
      </c>
      <c r="D37" s="87">
        <v>14045.16</v>
      </c>
      <c r="E37" s="158"/>
      <c r="F37" s="87"/>
      <c r="G37" s="87"/>
      <c r="H37" s="87"/>
      <c r="I37" s="87"/>
      <c r="J37" s="87"/>
      <c r="K37" s="242"/>
      <c r="L37" s="243"/>
    </row>
    <row r="38" spans="2:12" ht="48" customHeight="1" x14ac:dyDescent="0.2">
      <c r="B38" s="374"/>
      <c r="C38" s="25" t="s">
        <v>92</v>
      </c>
      <c r="D38" s="97">
        <f>IFERROR(D37*VLOOKUP(D33,'DATOS INICIALES'!$A$12:$B$50,2,0),"0")</f>
        <v>9049998846</v>
      </c>
      <c r="E38" s="97" t="str">
        <f>IFERROR(E37*VLOOKUP(E33,'DATOS INICIALES'!$A$12:$B$50,2,0),"0")</f>
        <v>0</v>
      </c>
      <c r="F38" s="97" t="str">
        <f>IFERROR(F37*VLOOKUP(F33,'DATOS INICIALES'!$A$12:$B$50,2,0),"0")</f>
        <v>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1</v>
      </c>
      <c r="E39" s="88"/>
      <c r="F39" s="88"/>
      <c r="G39" s="88"/>
      <c r="H39" s="88"/>
      <c r="I39" s="88"/>
      <c r="J39" s="88"/>
      <c r="K39" s="145"/>
      <c r="L39" s="140"/>
    </row>
    <row r="40" spans="2:12" ht="48.75" customHeight="1" x14ac:dyDescent="0.2">
      <c r="B40" s="374"/>
      <c r="C40" s="25" t="s">
        <v>94</v>
      </c>
      <c r="D40" s="97">
        <f t="shared" ref="D40:J40" si="0">IF(D26="","0",D39*D38)</f>
        <v>9049998846</v>
      </c>
      <c r="E40" s="97" t="str">
        <f t="shared" si="0"/>
        <v>0</v>
      </c>
      <c r="F40" s="97" t="str">
        <f t="shared" si="0"/>
        <v>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14045.16</v>
      </c>
      <c r="E41" s="98">
        <f t="shared" si="1"/>
        <v>0</v>
      </c>
      <c r="F41" s="98">
        <f t="shared" si="1"/>
        <v>0</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14045.16</v>
      </c>
      <c r="E48" s="98">
        <f t="shared" ref="E48:G48" si="6">+E41+E44+E47</f>
        <v>0</v>
      </c>
      <c r="F48" s="98">
        <f t="shared" si="6"/>
        <v>0</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N/A</v>
      </c>
      <c r="F55" s="18" t="str">
        <f t="shared" si="8"/>
        <v>N/A</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26</v>
      </c>
      <c r="E65" s="84" t="s">
        <v>26</v>
      </c>
      <c r="F65" s="84" t="s">
        <v>24</v>
      </c>
      <c r="G65" s="84" t="s">
        <v>24</v>
      </c>
      <c r="H65" s="84" t="s">
        <v>24</v>
      </c>
      <c r="I65" s="84" t="s">
        <v>24</v>
      </c>
      <c r="J65" s="84" t="s">
        <v>24</v>
      </c>
      <c r="K65" s="527" t="s">
        <v>1432</v>
      </c>
      <c r="L65" s="528"/>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NO CUMPLE</v>
      </c>
      <c r="E67" s="18" t="str">
        <f>IF(E26="","N/A",IF(AND(E49="CUMPLE",E55="CUMPLE",OR(E56="CUMPLE",E56="N/A"),OR(E59="CUMPLE",E59="N/A"),E62="CUMPLE",E63="CUMPLE",OR(E64="CUMPLE",E64="N/A"),E65="CUMPLE",OR(E66="CUMPLE",E66="N/A")),"CUMPLE","NO CUMPLE"))</f>
        <v>N/A</v>
      </c>
      <c r="F67" s="18" t="str">
        <f>IF(F26="","N/A",IF(AND(F49="CUMPLE",F55="CUMPLE",OR(F56="CUMPLE",F56="N/A"),OR(F59="CUMPLE",F59="N/A"),F62="CUMPLE",F63="CUMPLE",OR(F64="CUMPLE",F64="N/A"),F65="CUMPLE",OR(F66="CUMPLE",F66="N/A")),"CUMPLE","NO CUMPLE"))</f>
        <v>N/A</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2">
    <mergeCell ref="K65:L65"/>
    <mergeCell ref="B70:C70"/>
    <mergeCell ref="B71:C71"/>
    <mergeCell ref="B72:C72"/>
    <mergeCell ref="B65:C65"/>
    <mergeCell ref="B66:C66"/>
    <mergeCell ref="B67:C67"/>
    <mergeCell ref="B69:E69"/>
    <mergeCell ref="B62:C62"/>
    <mergeCell ref="B63:C63"/>
    <mergeCell ref="B64:C64"/>
    <mergeCell ref="B59:C59"/>
    <mergeCell ref="B60:C60"/>
    <mergeCell ref="B61:C61"/>
    <mergeCell ref="B56:C56"/>
    <mergeCell ref="B57:C57"/>
    <mergeCell ref="B58:C58"/>
    <mergeCell ref="B50:B55"/>
    <mergeCell ref="B28:C28"/>
    <mergeCell ref="B29:B47"/>
    <mergeCell ref="I22:L22"/>
    <mergeCell ref="B12:L12"/>
    <mergeCell ref="B13:H13"/>
    <mergeCell ref="B14:B21"/>
    <mergeCell ref="K17:L17"/>
    <mergeCell ref="K18:L21"/>
    <mergeCell ref="B24:L24"/>
    <mergeCell ref="K25:L25"/>
    <mergeCell ref="B26:C26"/>
    <mergeCell ref="B27:C27"/>
    <mergeCell ref="B23:L23"/>
    <mergeCell ref="C8:I8"/>
    <mergeCell ref="C9:I9"/>
    <mergeCell ref="C10:I10"/>
    <mergeCell ref="C11:G11"/>
    <mergeCell ref="B2:L2"/>
    <mergeCell ref="B3:L3"/>
    <mergeCell ref="B4:L4"/>
    <mergeCell ref="B5:L5"/>
    <mergeCell ref="B7:I7"/>
    <mergeCell ref="J7:L7"/>
    <mergeCell ref="I11:L11"/>
  </mergeCells>
  <conditionalFormatting sqref="D71">
    <cfRule type="cellIs" dxfId="838" priority="99" operator="equal">
      <formula>"CUMPLE"</formula>
    </cfRule>
    <cfRule type="containsBlanks" dxfId="837" priority="96">
      <formula>LEN(TRIM(D71))=0</formula>
    </cfRule>
    <cfRule type="notContainsErrors" dxfId="836" priority="97">
      <formula>NOT(ISERROR(D71))</formula>
    </cfRule>
    <cfRule type="cellIs" dxfId="835" priority="98" operator="equal">
      <formula>"NO CUMPLE"</formula>
    </cfRule>
  </conditionalFormatting>
  <conditionalFormatting sqref="D72">
    <cfRule type="cellIs" dxfId="834" priority="101" operator="equal">
      <formula>"CUMPLE"</formula>
    </cfRule>
    <cfRule type="cellIs" dxfId="833" priority="100" operator="equal">
      <formula>"N/A"</formula>
    </cfRule>
    <cfRule type="cellIs" dxfId="832" priority="103" operator="equal">
      <formula>"""CUMPLE"""</formula>
    </cfRule>
    <cfRule type="cellIs" dxfId="831" priority="102" operator="equal">
      <formula>"NO CUMPLE"</formula>
    </cfRule>
  </conditionalFormatting>
  <conditionalFormatting sqref="D26:J37">
    <cfRule type="notContainsErrors" dxfId="830" priority="4">
      <formula>NOT(ISERROR(D26))</formula>
    </cfRule>
    <cfRule type="containsBlanks" dxfId="829" priority="3">
      <formula>LEN(TRIM(D26))=0</formula>
    </cfRule>
  </conditionalFormatting>
  <conditionalFormatting sqref="D36:J36">
    <cfRule type="notContainsErrors" dxfId="828" priority="6">
      <formula>NOT(ISERROR(D36))</formula>
    </cfRule>
    <cfRule type="containsBlanks" dxfId="827" priority="5">
      <formula>LEN(TRIM(D36))=0</formula>
    </cfRule>
  </conditionalFormatting>
  <conditionalFormatting sqref="D39:J39">
    <cfRule type="containsBlanks" dxfId="826" priority="1">
      <formula>LEN(TRIM(D39))=0</formula>
    </cfRule>
    <cfRule type="notContainsErrors" dxfId="825" priority="2">
      <formula>NOT(ISERROR(D39))</formula>
    </cfRule>
  </conditionalFormatting>
  <conditionalFormatting sqref="D42:J42 D45:J45">
    <cfRule type="notContainsErrors" dxfId="824" priority="62">
      <formula>NOT(ISERROR(D42))</formula>
    </cfRule>
    <cfRule type="containsBlanks" dxfId="823" priority="61">
      <formula>LEN(TRIM(D42))=0</formula>
    </cfRule>
  </conditionalFormatting>
  <conditionalFormatting sqref="D49:J54">
    <cfRule type="cellIs" dxfId="822" priority="17" operator="equal">
      <formula>"NO CUMPLE"</formula>
    </cfRule>
    <cfRule type="cellIs" dxfId="821" priority="18" operator="equal">
      <formula>"CUMPLE"</formula>
    </cfRule>
    <cfRule type="containsBlanks" dxfId="820" priority="19">
      <formula>LEN(TRIM(D49))=0</formula>
    </cfRule>
    <cfRule type="notContainsErrors" dxfId="819" priority="20">
      <formula>NOT(ISERROR(D49))</formula>
    </cfRule>
  </conditionalFormatting>
  <conditionalFormatting sqref="D55:J55">
    <cfRule type="cellIs" dxfId="818" priority="28" operator="equal">
      <formula>"CUMPLE"</formula>
    </cfRule>
    <cfRule type="cellIs" dxfId="817" priority="30" operator="equal">
      <formula>"""CUMPLE"""</formula>
    </cfRule>
    <cfRule type="cellIs" dxfId="816" priority="29" operator="equal">
      <formula>"NO CUMPLE"</formula>
    </cfRule>
    <cfRule type="cellIs" dxfId="815" priority="27" operator="equal">
      <formula>"N/A"</formula>
    </cfRule>
  </conditionalFormatting>
  <conditionalFormatting sqref="D56:J66">
    <cfRule type="cellIs" dxfId="814" priority="11" operator="equal">
      <formula>"NO CUMPLE"</formula>
    </cfRule>
    <cfRule type="notContainsErrors" dxfId="813" priority="14">
      <formula>NOT(ISERROR(D56))</formula>
    </cfRule>
    <cfRule type="containsBlanks" dxfId="812" priority="13">
      <formula>LEN(TRIM(D56))=0</formula>
    </cfRule>
    <cfRule type="cellIs" dxfId="811" priority="12" operator="equal">
      <formula>"CUMPLE"</formula>
    </cfRule>
  </conditionalFormatting>
  <conditionalFormatting sqref="D67:J67">
    <cfRule type="cellIs" dxfId="810" priority="23" operator="equal">
      <formula>"N/A"</formula>
    </cfRule>
    <cfRule type="cellIs" dxfId="809" priority="24" operator="equal">
      <formula>"CUMPLE"</formula>
    </cfRule>
    <cfRule type="cellIs" dxfId="808" priority="26" operator="equal">
      <formula>"""CUMPLE"""</formula>
    </cfRule>
    <cfRule type="cellIs" dxfId="807" priority="25" operator="equal">
      <formula>"NO CUMPLE"</formula>
    </cfRule>
  </conditionalFormatting>
  <conditionalFormatting sqref="D62:K64 D65:J65 D66:K66">
    <cfRule type="containsBlanks" dxfId="806" priority="15">
      <formula>LEN(TRIM(D62))=0</formula>
    </cfRule>
    <cfRule type="notContainsErrors" dxfId="805" priority="16">
      <formula>NOT(ISERROR(D62))</formula>
    </cfRule>
  </conditionalFormatting>
  <conditionalFormatting sqref="E71:E72">
    <cfRule type="notContainsErrors" dxfId="804" priority="95">
      <formula>NOT(ISERROR(E71))</formula>
    </cfRule>
    <cfRule type="containsBlanks" dxfId="803" priority="94">
      <formula>LEN(TRIM(E71))=0</formula>
    </cfRule>
  </conditionalFormatting>
  <conditionalFormatting sqref="F22:H22">
    <cfRule type="cellIs" dxfId="802" priority="118" operator="equal">
      <formula>"NO CUMPLE"</formula>
    </cfRule>
    <cfRule type="cellIs" dxfId="801" priority="119" operator="equal">
      <formula>"""CUMPLE"""</formula>
    </cfRule>
    <cfRule type="cellIs" dxfId="800" priority="117" operator="equal">
      <formula>"CUMPLE"</formula>
    </cfRule>
  </conditionalFormatting>
  <conditionalFormatting sqref="G63:J63">
    <cfRule type="containsBlanks" dxfId="799" priority="7">
      <formula>LEN(TRIM(G63))=0</formula>
    </cfRule>
    <cfRule type="notContainsErrors" dxfId="798" priority="8">
      <formula>NOT(ISERROR(G63))</formula>
    </cfRule>
  </conditionalFormatting>
  <conditionalFormatting sqref="I11">
    <cfRule type="containsText" dxfId="797" priority="123" operator="containsText" text="NO CUMPLE">
      <formula>NOT(ISERROR(SEARCH("NO CUMPLE",I11)))</formula>
    </cfRule>
    <cfRule type="containsText" dxfId="796" priority="122" operator="containsText" text="HABILITADO">
      <formula>NOT(ISERROR(SEARCH("HABILITADO",I11)))</formula>
    </cfRule>
    <cfRule type="containsText" dxfId="795" priority="121" operator="containsText" text="HABILITADO">
      <formula>NOT(ISERROR(SEARCH("HABILITADO",I11)))</formula>
    </cfRule>
    <cfRule type="containsText" dxfId="794" priority="120" operator="containsText" text="INHABILITADO">
      <formula>NOT(ISERROR(SEARCH("INHABILITADO",I11)))</formula>
    </cfRule>
  </conditionalFormatting>
  <conditionalFormatting sqref="K18:K20">
    <cfRule type="cellIs" dxfId="793" priority="92" operator="equal">
      <formula>"NO CUMPLE"</formula>
    </cfRule>
    <cfRule type="cellIs" dxfId="792" priority="93" operator="equal">
      <formula>"""CUMPLE"""</formula>
    </cfRule>
    <cfRule type="cellIs" dxfId="791" priority="91" operator="equal">
      <formula>"CUMPLE"</formula>
    </cfRule>
  </conditionalFormatting>
  <conditionalFormatting sqref="K26:K61 D62:J62">
    <cfRule type="containsBlanks" dxfId="790" priority="9">
      <formula>LEN(TRIM(D26))=0</formula>
    </cfRule>
    <cfRule type="notContainsErrors" dxfId="789" priority="10">
      <formula>NOT(ISERROR(D26))</formula>
    </cfRule>
  </conditionalFormatting>
  <conditionalFormatting sqref="K67:L67">
    <cfRule type="containsBlanks" dxfId="788" priority="21">
      <formula>LEN(TRIM(K67))=0</formula>
    </cfRule>
    <cfRule type="notContainsErrors" dxfId="787" priority="22">
      <formula>NOT(ISERROR(K67))</formula>
    </cfRule>
  </conditionalFormatting>
  <conditionalFormatting sqref="L14">
    <cfRule type="cellIs" dxfId="786" priority="116" operator="equal">
      <formula>"""CUMPLE"""</formula>
    </cfRule>
    <cfRule type="cellIs" dxfId="785" priority="115" operator="equal">
      <formula>"NO CUMPLE"</formula>
    </cfRule>
    <cfRule type="cellIs" dxfId="784" priority="114" operator="equal">
      <formula>"CUMPLE"</formula>
    </cfRule>
  </conditionalFormatting>
  <dataValidations count="2">
    <dataValidation type="list" allowBlank="1" showInputMessage="1" showErrorMessage="1" sqref="D26:J28" xr:uid="{00000000-0002-0000-5500-000000000000}">
      <formula1>$C$15:$C$21</formula1>
    </dataValidation>
    <dataValidation type="list" allowBlank="1" showInputMessage="1" showErrorMessage="1" sqref="L62:L64 L66:L67" xr:uid="{00000000-0002-0000-55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5500-000002000000}">
          <x14:formula1>
            <xm:f>'DATOS INICIALES'!$D$27:$D$29</xm:f>
          </x14:formula1>
          <xm:sqref>M50:M55</xm:sqref>
        </x14:dataValidation>
        <x14:dataValidation type="list" allowBlank="1" showInputMessage="1" showErrorMessage="1" xr:uid="{00000000-0002-0000-5500-000003000000}">
          <x14:formula1>
            <xm:f>'DATOS INICIALES'!$A$13:$A$50</xm:f>
          </x14:formula1>
          <xm:sqref>G33:I33</xm:sqref>
        </x14:dataValidation>
        <x14:dataValidation type="list" allowBlank="1" showInputMessage="1" showErrorMessage="1" xr:uid="{00000000-0002-0000-5500-000004000000}">
          <x14:formula1>
            <xm:f>'DATOS INICIALES'!$A$61:$A$66</xm:f>
          </x14:formula1>
          <xm:sqref>D25:I25</xm:sqref>
        </x14:dataValidation>
        <x14:dataValidation type="list" allowBlank="1" showInputMessage="1" showErrorMessage="1" xr:uid="{00000000-0002-0000-5500-000005000000}">
          <x14:formula1>
            <xm:f>'DATOS INICIALES'!$A$57:$A$59</xm:f>
          </x14:formula1>
          <xm:sqref>D71 D56:J66</xm:sqref>
        </x14:dataValidation>
        <x14:dataValidation type="list" allowBlank="1" showInputMessage="1" showErrorMessage="1" xr:uid="{00000000-0002-0000-5500-000006000000}">
          <x14:formula1>
            <xm:f>'DATOS INICIALES'!$C$52:$C$53</xm:f>
          </x14:formula1>
          <xm:sqref>D53:J54</xm:sqref>
        </x14:dataValidation>
        <x14:dataValidation type="list" allowBlank="1" showInputMessage="1" showErrorMessage="1" xr:uid="{00000000-0002-0000-5500-000007000000}">
          <x14:formula1>
            <xm:f>'DATOS INICIALES'!$A$61:$A$67</xm:f>
          </x14:formula1>
          <xm:sqref>J25</xm:sqref>
        </x14:dataValidation>
        <x14:dataValidation type="list" allowBlank="1" showInputMessage="1" showErrorMessage="1" xr:uid="{00000000-0002-0000-5500-000008000000}">
          <x14:formula1>
            <xm:f>'DATOS INICIALES'!$A$57:$A$58</xm:f>
          </x14:formula1>
          <xm:sqref>D49:J49</xm:sqref>
        </x14:dataValidation>
        <x14:dataValidation type="list" allowBlank="1" showInputMessage="1" showErrorMessage="1" xr:uid="{00000000-0002-0000-5500-000009000000}">
          <x14:formula1>
            <xm:f>'DATOS INICIALES'!$C$52:$C$54</xm:f>
          </x14:formula1>
          <xm:sqref>D50:J52</xm:sqref>
        </x14:dataValidation>
      </x14:dataValidations>
    </ext>
  </extLst>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sheetPr>
    <tabColor rgb="FF92D050"/>
  </sheetPr>
  <dimension ref="A1:R72"/>
  <sheetViews>
    <sheetView view="pageBreakPreview" topLeftCell="C5" zoomScale="55" zoomScaleNormal="25" zoomScaleSheetLayoutView="55" workbookViewId="0">
      <selection activeCell="E41" sqref="E41"/>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50.6640625" customWidth="1"/>
    <col min="6" max="6" width="26.1640625" customWidth="1"/>
    <col min="7" max="7" width="47.6640625" customWidth="1"/>
    <col min="8" max="9" width="26.1640625" customWidth="1"/>
    <col min="10" max="10" width="27.83203125" customWidth="1"/>
    <col min="11" max="11" width="27.5" customWidth="1"/>
    <col min="12" max="12" width="48.6640625" customWidth="1"/>
    <col min="14" max="14" width="34.1640625" customWidth="1"/>
    <col min="15" max="15" width="27.1640625" customWidth="1"/>
    <col min="16" max="16" width="28.832031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81</v>
      </c>
      <c r="B11" s="2" t="s">
        <v>58</v>
      </c>
      <c r="C11" s="413" t="str">
        <f>VLOOKUP(A11,PROPONENTES!A10:B94,2,FALSE)</f>
        <v>ESCALA CCI SAS</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3</v>
      </c>
      <c r="J14" s="147">
        <f>+L8</f>
        <v>986.3076290832455</v>
      </c>
      <c r="K14" s="147">
        <f>+E22</f>
        <v>7413.7199999999993</v>
      </c>
      <c r="L14" s="18" t="str">
        <f>IF(K14&gt;=J14,"CUMPLE","NO CUMPLE")</f>
        <v>CUMPLE</v>
      </c>
    </row>
    <row r="15" spans="1:12" ht="33.75" customHeight="1" x14ac:dyDescent="0.2">
      <c r="B15" s="382"/>
      <c r="C15" s="92" t="str">
        <f>IF(VLOOKUP(C11,PROPONENTES!B10:N94,2,FALSE)=0,"",VLOOKUP(C11,PROPONENTES!B10:N94,2,FALSE))</f>
        <v>ESCALA CCI SAS</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7413.7199999999993</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2471.2399999999998</v>
      </c>
    </row>
    <row r="17" spans="2:18"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8"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3</v>
      </c>
      <c r="J18" s="128">
        <v>1</v>
      </c>
      <c r="K18" s="385" t="str">
        <f>IF(AND(I18&gt;=J18,I19&gt;=J19,I20&gt;=J20,I21&gt;=J21),"CUMPLE","NO CUMPLE")</f>
        <v>CUMPLE</v>
      </c>
      <c r="L18" s="386"/>
    </row>
    <row r="19" spans="2:18" ht="50.25" customHeight="1" x14ac:dyDescent="0.2">
      <c r="B19" s="382"/>
      <c r="C19" s="92"/>
      <c r="D19" s="93"/>
      <c r="E19" s="94"/>
      <c r="F19" s="95"/>
      <c r="G19" s="96"/>
      <c r="H19" s="96"/>
      <c r="I19" s="128">
        <f>COUNTIFS(D58:J58,"CUMPLE",D67:J67,"CUMPLE")</f>
        <v>3</v>
      </c>
      <c r="J19" s="128">
        <v>1</v>
      </c>
      <c r="K19" s="387"/>
      <c r="L19" s="388"/>
    </row>
    <row r="20" spans="2:18" ht="50.25" customHeight="1" x14ac:dyDescent="0.2">
      <c r="B20" s="382"/>
      <c r="C20" s="92"/>
      <c r="D20" s="93"/>
      <c r="E20" s="94"/>
      <c r="F20" s="95"/>
      <c r="G20" s="96"/>
      <c r="H20" s="96"/>
      <c r="I20" s="128">
        <f>COUNTIFS(D60:J60,"CUMPLE",D67:J67,"CUMPLE")</f>
        <v>3</v>
      </c>
      <c r="J20" s="128">
        <v>1</v>
      </c>
      <c r="K20" s="387"/>
      <c r="L20" s="388"/>
    </row>
    <row r="21" spans="2:18"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3</v>
      </c>
      <c r="J21" s="128">
        <v>1</v>
      </c>
      <c r="K21" s="389"/>
      <c r="L21" s="390"/>
    </row>
    <row r="22" spans="2:18" ht="84.75" customHeight="1" x14ac:dyDescent="0.2">
      <c r="B22" s="29" t="s">
        <v>75</v>
      </c>
      <c r="C22" s="24">
        <f>+VLOOKUP(C11,PROPONENTES!B10:N94,12,FALSE)</f>
        <v>1</v>
      </c>
      <c r="D22" s="93">
        <f>+VLOOKUP(C11,PROPONENTES!B10:N94,13,FALSE)</f>
        <v>1</v>
      </c>
      <c r="E22" s="32">
        <f>SUM(E15:E21)</f>
        <v>7413.7199999999993</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8" ht="10.5" customHeight="1" thickBot="1" x14ac:dyDescent="0.25">
      <c r="B23" s="376"/>
      <c r="C23" s="377"/>
      <c r="D23" s="377"/>
      <c r="E23" s="377"/>
      <c r="F23" s="377"/>
      <c r="G23" s="377"/>
      <c r="H23" s="377"/>
      <c r="I23" s="377"/>
      <c r="J23" s="377"/>
      <c r="K23" s="377"/>
      <c r="L23" s="378"/>
    </row>
    <row r="24" spans="2:18"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8"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8" ht="39.75" customHeight="1" x14ac:dyDescent="0.25">
      <c r="B26" s="371" t="s">
        <v>79</v>
      </c>
      <c r="C26" s="372"/>
      <c r="D26" s="84" t="s">
        <v>279</v>
      </c>
      <c r="E26" s="84" t="s">
        <v>279</v>
      </c>
      <c r="F26" s="84" t="s">
        <v>279</v>
      </c>
      <c r="G26" s="84"/>
      <c r="H26" s="84"/>
      <c r="I26" s="84"/>
      <c r="J26" s="84"/>
      <c r="K26" s="145"/>
      <c r="L26" s="140"/>
      <c r="N26" s="229"/>
      <c r="O26" s="228"/>
      <c r="P26" s="228"/>
      <c r="Q26" s="228"/>
      <c r="R26" s="228"/>
    </row>
    <row r="27" spans="2:18" ht="39.75" customHeight="1" x14ac:dyDescent="0.25">
      <c r="B27" s="371" t="s">
        <v>80</v>
      </c>
      <c r="C27" s="372"/>
      <c r="D27" s="84"/>
      <c r="E27" s="84"/>
      <c r="F27" s="84"/>
      <c r="G27" s="84"/>
      <c r="H27" s="84"/>
      <c r="I27" s="84"/>
      <c r="J27" s="84"/>
      <c r="K27" s="145"/>
      <c r="L27" s="140"/>
      <c r="N27" s="229"/>
      <c r="O27" s="228"/>
      <c r="P27" s="228"/>
      <c r="Q27" s="228"/>
      <c r="R27" s="228"/>
    </row>
    <row r="28" spans="2:18" ht="39.75" customHeight="1" x14ac:dyDescent="0.25">
      <c r="B28" s="371" t="s">
        <v>81</v>
      </c>
      <c r="C28" s="372"/>
      <c r="D28" s="84"/>
      <c r="E28" s="84"/>
      <c r="F28" s="84"/>
      <c r="G28" s="84"/>
      <c r="H28" s="84"/>
      <c r="I28" s="84"/>
      <c r="J28" s="84"/>
      <c r="K28" s="145"/>
      <c r="L28" s="140"/>
      <c r="N28" s="229"/>
      <c r="O28" s="228"/>
      <c r="P28" s="228"/>
      <c r="Q28" s="228"/>
      <c r="R28" s="228"/>
    </row>
    <row r="29" spans="2:18" ht="45.75" customHeight="1" x14ac:dyDescent="0.25">
      <c r="B29" s="373" t="s">
        <v>82</v>
      </c>
      <c r="C29" s="25" t="s">
        <v>83</v>
      </c>
      <c r="D29" s="85" t="s">
        <v>1226</v>
      </c>
      <c r="E29" s="85" t="s">
        <v>1227</v>
      </c>
      <c r="F29" s="85" t="s">
        <v>1228</v>
      </c>
      <c r="G29" s="85"/>
      <c r="H29" s="85"/>
      <c r="I29" s="85"/>
      <c r="J29" s="85"/>
      <c r="K29" s="145"/>
      <c r="L29" s="140"/>
      <c r="N29" s="229"/>
      <c r="O29" s="228"/>
      <c r="P29" s="228"/>
      <c r="Q29" s="228"/>
      <c r="R29" s="228"/>
    </row>
    <row r="30" spans="2:18" ht="156.75" customHeight="1" x14ac:dyDescent="0.25">
      <c r="B30" s="374"/>
      <c r="C30" s="25" t="s">
        <v>84</v>
      </c>
      <c r="D30" s="307" t="s">
        <v>1229</v>
      </c>
      <c r="E30" s="307" t="s">
        <v>1230</v>
      </c>
      <c r="F30" s="270" t="s">
        <v>1231</v>
      </c>
      <c r="G30" s="85"/>
      <c r="H30" s="85"/>
      <c r="I30" s="85"/>
      <c r="J30" s="85"/>
      <c r="K30" s="145"/>
      <c r="L30" s="140"/>
      <c r="N30" s="229"/>
      <c r="O30" s="228"/>
      <c r="P30" s="229"/>
      <c r="Q30" s="228"/>
      <c r="R30" s="228"/>
    </row>
    <row r="31" spans="2:18" ht="52.5" customHeight="1" x14ac:dyDescent="0.25">
      <c r="B31" s="374"/>
      <c r="C31" s="25" t="s">
        <v>85</v>
      </c>
      <c r="D31" s="308">
        <v>44298</v>
      </c>
      <c r="E31" s="308">
        <v>45309</v>
      </c>
      <c r="F31" s="309">
        <v>40344</v>
      </c>
      <c r="G31" s="89"/>
      <c r="H31" s="89"/>
      <c r="I31" s="89"/>
      <c r="J31" s="89"/>
      <c r="K31" s="145"/>
      <c r="L31" s="140"/>
      <c r="N31" s="229"/>
      <c r="O31" s="228"/>
      <c r="P31" s="228"/>
      <c r="Q31" s="228"/>
      <c r="R31" s="228"/>
    </row>
    <row r="32" spans="2:18" ht="54.75" customHeight="1" x14ac:dyDescent="0.25">
      <c r="B32" s="374"/>
      <c r="C32" s="25" t="s">
        <v>86</v>
      </c>
      <c r="D32" s="308">
        <v>45149</v>
      </c>
      <c r="E32" s="308">
        <v>45616</v>
      </c>
      <c r="F32" s="309">
        <v>40662</v>
      </c>
      <c r="G32" s="89"/>
      <c r="H32" s="89"/>
      <c r="I32" s="89"/>
      <c r="J32" s="89"/>
      <c r="K32" s="145"/>
      <c r="L32" s="140"/>
      <c r="N32" s="229"/>
      <c r="O32" s="228"/>
      <c r="P32" s="228"/>
      <c r="Q32" s="228"/>
      <c r="R32" s="228"/>
    </row>
    <row r="33" spans="2:18" ht="41.25" customHeight="1" x14ac:dyDescent="0.25">
      <c r="B33" s="374"/>
      <c r="C33" s="25" t="s">
        <v>87</v>
      </c>
      <c r="D33" s="86">
        <v>2023</v>
      </c>
      <c r="E33" s="86">
        <v>2024</v>
      </c>
      <c r="F33" s="86">
        <v>2011</v>
      </c>
      <c r="G33" s="86"/>
      <c r="H33" s="86"/>
      <c r="I33" s="86"/>
      <c r="J33" s="86"/>
      <c r="K33" s="145"/>
      <c r="L33" s="140"/>
      <c r="N33" s="229"/>
      <c r="O33" s="228"/>
      <c r="P33" s="228"/>
      <c r="Q33" s="228"/>
      <c r="R33" s="228"/>
    </row>
    <row r="34" spans="2:18" ht="63" customHeight="1" x14ac:dyDescent="0.25">
      <c r="B34" s="374"/>
      <c r="C34" s="25" t="s">
        <v>88</v>
      </c>
      <c r="D34" s="85" t="s">
        <v>557</v>
      </c>
      <c r="E34" s="85" t="s">
        <v>557</v>
      </c>
      <c r="F34" s="85" t="s">
        <v>698</v>
      </c>
      <c r="G34" s="85"/>
      <c r="H34" s="85"/>
      <c r="I34" s="85"/>
      <c r="J34" s="85"/>
      <c r="K34" s="145"/>
      <c r="L34" s="140"/>
      <c r="N34" s="229"/>
      <c r="O34" s="228"/>
      <c r="P34" s="228"/>
      <c r="Q34" s="228"/>
      <c r="R34" s="228"/>
    </row>
    <row r="35" spans="2:18" ht="124.75" customHeight="1" x14ac:dyDescent="0.25">
      <c r="B35" s="374"/>
      <c r="C35" s="25" t="s">
        <v>89</v>
      </c>
      <c r="D35" s="85" t="s">
        <v>1232</v>
      </c>
      <c r="E35" s="85" t="s">
        <v>1232</v>
      </c>
      <c r="F35" s="85" t="s">
        <v>1233</v>
      </c>
      <c r="G35" s="85"/>
      <c r="H35" s="85"/>
      <c r="I35" s="85"/>
      <c r="J35" s="85"/>
      <c r="K35" s="145"/>
      <c r="L35" s="140"/>
      <c r="N35" s="229"/>
    </row>
    <row r="36" spans="2:18" ht="27.75" customHeight="1" x14ac:dyDescent="0.25">
      <c r="B36" s="374"/>
      <c r="C36" s="26" t="s">
        <v>90</v>
      </c>
      <c r="D36" s="90">
        <v>131</v>
      </c>
      <c r="E36" s="90">
        <v>136</v>
      </c>
      <c r="F36" s="90">
        <v>7</v>
      </c>
      <c r="G36" s="91"/>
      <c r="H36" s="91"/>
      <c r="I36" s="91"/>
      <c r="J36" s="91"/>
      <c r="K36" s="145"/>
      <c r="L36" s="140"/>
      <c r="N36" s="229"/>
    </row>
    <row r="37" spans="2:18" ht="102.75" customHeight="1" x14ac:dyDescent="0.25">
      <c r="B37" s="374"/>
      <c r="C37" s="25" t="s">
        <v>91</v>
      </c>
      <c r="D37" s="87">
        <v>5673.07</v>
      </c>
      <c r="E37" s="158">
        <v>1583.71</v>
      </c>
      <c r="F37" s="87">
        <v>156.94</v>
      </c>
      <c r="G37" s="87"/>
      <c r="H37" s="87"/>
      <c r="I37" s="87"/>
      <c r="J37" s="87"/>
      <c r="K37" s="242"/>
      <c r="L37" s="243"/>
      <c r="N37" s="229"/>
    </row>
    <row r="38" spans="2:18" ht="48" customHeight="1" x14ac:dyDescent="0.25">
      <c r="B38" s="374"/>
      <c r="C38" s="25" t="s">
        <v>92</v>
      </c>
      <c r="D38" s="97">
        <f>IFERROR(D37*VLOOKUP(D33,'DATOS INICIALES'!$A$12:$B$50,2,0),"0")</f>
        <v>6580761200</v>
      </c>
      <c r="E38" s="97">
        <f>IFERROR(E37*VLOOKUP(E33,'DATOS INICIALES'!$A$12:$B$50,2,0),"0")</f>
        <v>2058823000</v>
      </c>
      <c r="F38" s="97">
        <f>IFERROR(F37*VLOOKUP(F33,'DATOS INICIALES'!$A$12:$B$50,2,0),"0")</f>
        <v>84057064</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c r="N38" s="229"/>
    </row>
    <row r="39" spans="2:18" ht="33.75" customHeight="1" x14ac:dyDescent="0.25">
      <c r="B39" s="374"/>
      <c r="C39" s="25" t="s">
        <v>93</v>
      </c>
      <c r="D39" s="88">
        <v>1</v>
      </c>
      <c r="E39" s="88">
        <v>1</v>
      </c>
      <c r="F39" s="88">
        <v>1</v>
      </c>
      <c r="G39" s="88"/>
      <c r="H39" s="88"/>
      <c r="I39" s="88"/>
      <c r="J39" s="88"/>
      <c r="K39" s="145"/>
      <c r="L39" s="140"/>
      <c r="N39" s="229"/>
    </row>
    <row r="40" spans="2:18" ht="48.75" customHeight="1" x14ac:dyDescent="0.25">
      <c r="B40" s="374"/>
      <c r="C40" s="25" t="s">
        <v>94</v>
      </c>
      <c r="D40" s="97">
        <f t="shared" ref="D40:J40" si="0">IF(D26="","0",D39*D38)</f>
        <v>6580761200</v>
      </c>
      <c r="E40" s="97">
        <f t="shared" si="0"/>
        <v>2058823000</v>
      </c>
      <c r="F40" s="97">
        <f t="shared" si="0"/>
        <v>84057064</v>
      </c>
      <c r="G40" s="97" t="str">
        <f t="shared" si="0"/>
        <v>0</v>
      </c>
      <c r="H40" s="97" t="str">
        <f t="shared" si="0"/>
        <v>0</v>
      </c>
      <c r="I40" s="97" t="str">
        <f t="shared" si="0"/>
        <v>0</v>
      </c>
      <c r="J40" s="97" t="str">
        <f t="shared" si="0"/>
        <v>0</v>
      </c>
      <c r="K40" s="145"/>
      <c r="L40" s="140"/>
      <c r="N40" s="229"/>
    </row>
    <row r="41" spans="2:18" ht="65.25" customHeight="1" x14ac:dyDescent="0.25">
      <c r="B41" s="374"/>
      <c r="C41" s="25" t="s">
        <v>95</v>
      </c>
      <c r="D41" s="98">
        <f t="shared" ref="D41:J41" si="1">IFERROR(D37*D39,"0")</f>
        <v>5673.07</v>
      </c>
      <c r="E41" s="98">
        <f t="shared" si="1"/>
        <v>1583.71</v>
      </c>
      <c r="F41" s="98">
        <f t="shared" si="1"/>
        <v>156.94</v>
      </c>
      <c r="G41" s="98">
        <f t="shared" si="1"/>
        <v>0</v>
      </c>
      <c r="H41" s="98">
        <f t="shared" si="1"/>
        <v>0</v>
      </c>
      <c r="I41" s="98">
        <f t="shared" si="1"/>
        <v>0</v>
      </c>
      <c r="J41" s="98">
        <f t="shared" si="1"/>
        <v>0</v>
      </c>
      <c r="K41" s="145"/>
      <c r="L41" s="140"/>
      <c r="N41" s="231"/>
    </row>
    <row r="42" spans="2:18" ht="65.25" customHeight="1" x14ac:dyDescent="0.25">
      <c r="B42" s="374"/>
      <c r="C42" s="25" t="s">
        <v>96</v>
      </c>
      <c r="D42" s="88"/>
      <c r="E42" s="88"/>
      <c r="F42" s="88"/>
      <c r="G42" s="88"/>
      <c r="H42" s="88"/>
      <c r="I42" s="88"/>
      <c r="J42" s="88"/>
      <c r="K42" s="145"/>
      <c r="L42" s="140"/>
      <c r="N42" s="229"/>
    </row>
    <row r="43" spans="2:18" ht="65.25" customHeight="1" x14ac:dyDescent="0.25">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c r="N43" s="229"/>
    </row>
    <row r="44" spans="2:18" ht="65.25" customHeight="1" x14ac:dyDescent="0.25">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c r="N44" s="229"/>
    </row>
    <row r="45" spans="2:18" ht="65.25" customHeight="1" x14ac:dyDescent="0.25">
      <c r="B45" s="374"/>
      <c r="C45" s="25" t="s">
        <v>99</v>
      </c>
      <c r="D45" s="88"/>
      <c r="E45" s="88"/>
      <c r="F45" s="88"/>
      <c r="G45" s="88"/>
      <c r="H45" s="88"/>
      <c r="I45" s="88"/>
      <c r="J45" s="88"/>
      <c r="K45" s="145"/>
      <c r="L45" s="140"/>
      <c r="N45" s="229"/>
    </row>
    <row r="46" spans="2:18" ht="65.25" customHeight="1" x14ac:dyDescent="0.25">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c r="N46" s="229"/>
    </row>
    <row r="47" spans="2:18" ht="65.25" customHeight="1" x14ac:dyDescent="0.25">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c r="N47" s="229"/>
    </row>
    <row r="48" spans="2:18" ht="65.25" customHeight="1" x14ac:dyDescent="0.25">
      <c r="B48" s="177"/>
      <c r="C48" s="26" t="s">
        <v>102</v>
      </c>
      <c r="D48" s="98">
        <f>+D41+D44+D47</f>
        <v>5673.07</v>
      </c>
      <c r="E48" s="98">
        <f t="shared" ref="E48:G48" si="6">+E41+E44+E47</f>
        <v>1583.71</v>
      </c>
      <c r="F48" s="98">
        <f t="shared" si="6"/>
        <v>156.94</v>
      </c>
      <c r="G48" s="98">
        <f t="shared" si="6"/>
        <v>0</v>
      </c>
      <c r="H48" s="98">
        <f>+H41+H44+H47</f>
        <v>0</v>
      </c>
      <c r="I48" s="98">
        <f t="shared" ref="I48:J48" si="7">+I41+I44+I47</f>
        <v>0</v>
      </c>
      <c r="J48" s="98">
        <f t="shared" si="7"/>
        <v>0</v>
      </c>
      <c r="K48" s="145"/>
      <c r="L48" s="140"/>
      <c r="N48" s="229"/>
    </row>
    <row r="49" spans="2:15" ht="39.75" customHeight="1" x14ac:dyDescent="0.25">
      <c r="B49" s="176" t="s">
        <v>103</v>
      </c>
      <c r="C49" s="28" t="s">
        <v>104</v>
      </c>
      <c r="D49" s="84" t="s">
        <v>24</v>
      </c>
      <c r="E49" s="84" t="s">
        <v>24</v>
      </c>
      <c r="F49" s="84" t="s">
        <v>24</v>
      </c>
      <c r="G49" s="84" t="s">
        <v>24</v>
      </c>
      <c r="H49" s="84" t="s">
        <v>24</v>
      </c>
      <c r="I49" s="84" t="s">
        <v>24</v>
      </c>
      <c r="J49" s="84" t="s">
        <v>24</v>
      </c>
      <c r="K49" s="145"/>
      <c r="L49" s="140"/>
      <c r="N49" s="229"/>
    </row>
    <row r="50" spans="2:15" ht="24.75" customHeight="1" x14ac:dyDescent="0.25">
      <c r="B50" s="429"/>
      <c r="C50" s="27">
        <f>+'DATOS INICIALES'!D27</f>
        <v>80101600</v>
      </c>
      <c r="D50" s="90" t="s">
        <v>20</v>
      </c>
      <c r="E50" s="90" t="s">
        <v>20</v>
      </c>
      <c r="F50" s="90" t="s">
        <v>20</v>
      </c>
      <c r="G50" s="90" t="s">
        <v>20</v>
      </c>
      <c r="H50" s="90" t="s">
        <v>20</v>
      </c>
      <c r="I50" s="90" t="s">
        <v>20</v>
      </c>
      <c r="J50" s="90" t="s">
        <v>20</v>
      </c>
      <c r="K50" s="145"/>
      <c r="L50" s="140"/>
      <c r="N50" s="229"/>
    </row>
    <row r="51" spans="2:15" ht="24.75" customHeight="1" x14ac:dyDescent="0.25">
      <c r="B51" s="429"/>
      <c r="C51" s="27">
        <f>+'DATOS INICIALES'!D28</f>
        <v>81101500</v>
      </c>
      <c r="D51" s="90" t="s">
        <v>20</v>
      </c>
      <c r="E51" s="90" t="s">
        <v>20</v>
      </c>
      <c r="F51" s="90" t="s">
        <v>20</v>
      </c>
      <c r="G51" s="90" t="s">
        <v>20</v>
      </c>
      <c r="H51" s="90" t="s">
        <v>20</v>
      </c>
      <c r="I51" s="90" t="s">
        <v>20</v>
      </c>
      <c r="J51" s="90" t="s">
        <v>20</v>
      </c>
      <c r="K51" s="145"/>
      <c r="L51" s="140"/>
      <c r="N51" s="229"/>
    </row>
    <row r="52" spans="2:15" ht="24.75" customHeight="1" x14ac:dyDescent="0.25">
      <c r="B52" s="429"/>
      <c r="C52" s="27">
        <f>+'DATOS INICIALES'!D29</f>
        <v>81102200</v>
      </c>
      <c r="D52" s="90" t="s">
        <v>20</v>
      </c>
      <c r="E52" s="90" t="s">
        <v>20</v>
      </c>
      <c r="F52" s="90" t="s">
        <v>20</v>
      </c>
      <c r="G52" s="90" t="s">
        <v>20</v>
      </c>
      <c r="H52" s="90" t="s">
        <v>20</v>
      </c>
      <c r="I52" s="90" t="s">
        <v>20</v>
      </c>
      <c r="J52" s="90" t="s">
        <v>20</v>
      </c>
      <c r="K52" s="145"/>
      <c r="L52" s="140"/>
      <c r="N52" s="229"/>
    </row>
    <row r="53" spans="2:15" ht="24.75" hidden="1" customHeight="1" x14ac:dyDescent="0.25">
      <c r="B53" s="429"/>
      <c r="C53" s="27">
        <f>+'DATOS INICIALES'!D32</f>
        <v>0</v>
      </c>
      <c r="D53" s="90"/>
      <c r="E53" s="90"/>
      <c r="F53" s="90"/>
      <c r="G53" s="90"/>
      <c r="H53" s="90"/>
      <c r="I53" s="90"/>
      <c r="J53" s="90"/>
      <c r="K53" s="145"/>
      <c r="L53" s="140"/>
      <c r="N53" s="229"/>
    </row>
    <row r="54" spans="2:15" ht="24.75" hidden="1" customHeight="1" x14ac:dyDescent="0.25">
      <c r="B54" s="429"/>
      <c r="C54" s="27"/>
      <c r="D54" s="90"/>
      <c r="E54" s="90"/>
      <c r="F54" s="90"/>
      <c r="G54" s="90"/>
      <c r="H54" s="90"/>
      <c r="I54" s="90"/>
      <c r="J54" s="90"/>
      <c r="K54" s="145"/>
      <c r="L54" s="140"/>
      <c r="N54" s="229"/>
    </row>
    <row r="55" spans="2:15" ht="60.75" customHeight="1" x14ac:dyDescent="0.25">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N/A</v>
      </c>
      <c r="H55" s="18" t="str">
        <f t="shared" si="8"/>
        <v>N/A</v>
      </c>
      <c r="I55" s="18" t="str">
        <f t="shared" si="8"/>
        <v>N/A</v>
      </c>
      <c r="J55" s="18" t="str">
        <f t="shared" si="8"/>
        <v>N/A</v>
      </c>
      <c r="K55" s="145"/>
      <c r="L55" s="140"/>
      <c r="N55" s="229"/>
    </row>
    <row r="56" spans="2:15" ht="183" customHeight="1" x14ac:dyDescent="0.3">
      <c r="B56" s="431" t="s">
        <v>176</v>
      </c>
      <c r="C56" s="432"/>
      <c r="D56" s="84" t="s">
        <v>24</v>
      </c>
      <c r="E56" s="84" t="s">
        <v>24</v>
      </c>
      <c r="F56" s="84" t="s">
        <v>24</v>
      </c>
      <c r="G56" s="84" t="s">
        <v>24</v>
      </c>
      <c r="H56" s="84" t="s">
        <v>24</v>
      </c>
      <c r="I56" s="84" t="s">
        <v>24</v>
      </c>
      <c r="J56" s="84" t="s">
        <v>24</v>
      </c>
      <c r="K56" s="240"/>
      <c r="L56" s="241"/>
      <c r="N56" s="232"/>
    </row>
    <row r="57" spans="2:15" ht="50.25" customHeight="1" x14ac:dyDescent="0.25">
      <c r="B57" s="431" t="s">
        <v>177</v>
      </c>
      <c r="C57" s="432"/>
      <c r="D57" s="84" t="s">
        <v>24</v>
      </c>
      <c r="E57" s="84" t="s">
        <v>24</v>
      </c>
      <c r="F57" s="84" t="s">
        <v>24</v>
      </c>
      <c r="G57" s="84" t="s">
        <v>24</v>
      </c>
      <c r="H57" s="84" t="s">
        <v>24</v>
      </c>
      <c r="I57" s="84" t="s">
        <v>24</v>
      </c>
      <c r="J57" s="84" t="s">
        <v>24</v>
      </c>
      <c r="K57" s="240"/>
      <c r="L57" s="241"/>
      <c r="N57" s="228"/>
    </row>
    <row r="58" spans="2:15" ht="89.5" customHeight="1" x14ac:dyDescent="0.25">
      <c r="B58" s="431" t="s">
        <v>178</v>
      </c>
      <c r="C58" s="432"/>
      <c r="D58" s="84" t="s">
        <v>24</v>
      </c>
      <c r="E58" s="84" t="s">
        <v>24</v>
      </c>
      <c r="F58" s="84" t="s">
        <v>24</v>
      </c>
      <c r="G58" s="84" t="s">
        <v>24</v>
      </c>
      <c r="H58" s="84" t="s">
        <v>24</v>
      </c>
      <c r="I58" s="84" t="s">
        <v>24</v>
      </c>
      <c r="J58" s="84" t="s">
        <v>24</v>
      </c>
      <c r="K58" s="240"/>
      <c r="L58" s="241"/>
      <c r="N58" s="229"/>
      <c r="O58" s="230"/>
    </row>
    <row r="59" spans="2:15" ht="136.25" customHeight="1" x14ac:dyDescent="0.2">
      <c r="B59" s="431" t="s">
        <v>179</v>
      </c>
      <c r="C59" s="432"/>
      <c r="D59" s="84" t="s">
        <v>24</v>
      </c>
      <c r="E59" s="84" t="s">
        <v>24</v>
      </c>
      <c r="F59" s="84" t="s">
        <v>24</v>
      </c>
      <c r="G59" s="84" t="s">
        <v>24</v>
      </c>
      <c r="H59" s="84" t="s">
        <v>24</v>
      </c>
      <c r="I59" s="84" t="s">
        <v>24</v>
      </c>
      <c r="J59" s="84" t="s">
        <v>24</v>
      </c>
      <c r="K59" s="240"/>
      <c r="L59" s="241"/>
    </row>
    <row r="60" spans="2:15" ht="88.25" customHeight="1" x14ac:dyDescent="0.2">
      <c r="B60" s="423" t="s">
        <v>106</v>
      </c>
      <c r="C60" s="424"/>
      <c r="D60" s="84" t="s">
        <v>24</v>
      </c>
      <c r="E60" s="84" t="s">
        <v>24</v>
      </c>
      <c r="F60" s="84" t="s">
        <v>24</v>
      </c>
      <c r="G60" s="84" t="s">
        <v>24</v>
      </c>
      <c r="H60" s="84" t="s">
        <v>24</v>
      </c>
      <c r="I60" s="84" t="s">
        <v>24</v>
      </c>
      <c r="J60" s="84" t="s">
        <v>24</v>
      </c>
      <c r="K60" s="240"/>
      <c r="L60" s="241"/>
    </row>
    <row r="61" spans="2:15" ht="165" customHeight="1" x14ac:dyDescent="0.2">
      <c r="B61" s="431" t="s">
        <v>180</v>
      </c>
      <c r="C61" s="432"/>
      <c r="D61" s="84" t="s">
        <v>24</v>
      </c>
      <c r="E61" s="84" t="s">
        <v>24</v>
      </c>
      <c r="F61" s="84" t="s">
        <v>24</v>
      </c>
      <c r="G61" s="84" t="s">
        <v>24</v>
      </c>
      <c r="H61" s="84" t="s">
        <v>24</v>
      </c>
      <c r="I61" s="84" t="s">
        <v>24</v>
      </c>
      <c r="J61" s="84" t="s">
        <v>24</v>
      </c>
      <c r="K61" s="240"/>
      <c r="L61" s="241"/>
    </row>
    <row r="62" spans="2:15" ht="45.5" customHeight="1" x14ac:dyDescent="0.2">
      <c r="B62" s="423" t="s">
        <v>107</v>
      </c>
      <c r="C62" s="424"/>
      <c r="D62" s="84" t="s">
        <v>24</v>
      </c>
      <c r="E62" s="84" t="s">
        <v>24</v>
      </c>
      <c r="F62" s="84" t="s">
        <v>24</v>
      </c>
      <c r="G62" s="84" t="s">
        <v>24</v>
      </c>
      <c r="H62" s="84" t="s">
        <v>24</v>
      </c>
      <c r="I62" s="84" t="s">
        <v>24</v>
      </c>
      <c r="J62" s="84" t="s">
        <v>24</v>
      </c>
      <c r="K62" s="242"/>
      <c r="L62" s="243"/>
    </row>
    <row r="63" spans="2:15" ht="189" customHeight="1" x14ac:dyDescent="0.2">
      <c r="B63" s="423" t="s">
        <v>181</v>
      </c>
      <c r="C63" s="424"/>
      <c r="D63" s="84" t="s">
        <v>24</v>
      </c>
      <c r="E63" s="84" t="s">
        <v>24</v>
      </c>
      <c r="F63" s="84" t="s">
        <v>24</v>
      </c>
      <c r="G63" s="84" t="s">
        <v>24</v>
      </c>
      <c r="H63" s="84" t="s">
        <v>24</v>
      </c>
      <c r="I63" s="84" t="s">
        <v>24</v>
      </c>
      <c r="J63" s="84" t="s">
        <v>24</v>
      </c>
      <c r="K63" s="145"/>
      <c r="L63" s="140"/>
    </row>
    <row r="64" spans="2:15"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0:C70"/>
    <mergeCell ref="B71:C71"/>
    <mergeCell ref="B72:C72"/>
    <mergeCell ref="B65:C65"/>
    <mergeCell ref="B66:C66"/>
    <mergeCell ref="B67:C67"/>
    <mergeCell ref="B69:E69"/>
    <mergeCell ref="B62:C62"/>
    <mergeCell ref="B63:C63"/>
    <mergeCell ref="B64:C64"/>
    <mergeCell ref="B59:C59"/>
    <mergeCell ref="B60:C60"/>
    <mergeCell ref="B61:C61"/>
    <mergeCell ref="B56:C56"/>
    <mergeCell ref="B57:C57"/>
    <mergeCell ref="B58:C58"/>
    <mergeCell ref="B50:B55"/>
    <mergeCell ref="B28:C28"/>
    <mergeCell ref="B29:B47"/>
    <mergeCell ref="I22:L22"/>
    <mergeCell ref="B12:L12"/>
    <mergeCell ref="B13:H13"/>
    <mergeCell ref="B14:B21"/>
    <mergeCell ref="K17:L17"/>
    <mergeCell ref="K18:L21"/>
    <mergeCell ref="B24:L24"/>
    <mergeCell ref="K25:L25"/>
    <mergeCell ref="B26:C26"/>
    <mergeCell ref="B27:C27"/>
    <mergeCell ref="B23:L23"/>
    <mergeCell ref="C8:I8"/>
    <mergeCell ref="C9:I9"/>
    <mergeCell ref="C10:I10"/>
    <mergeCell ref="C11:G11"/>
    <mergeCell ref="B2:L2"/>
    <mergeCell ref="B3:L3"/>
    <mergeCell ref="B4:L4"/>
    <mergeCell ref="B5:L5"/>
    <mergeCell ref="B7:I7"/>
    <mergeCell ref="J7:L7"/>
    <mergeCell ref="I11:L11"/>
  </mergeCells>
  <conditionalFormatting sqref="D71">
    <cfRule type="cellIs" dxfId="783" priority="97" operator="equal">
      <formula>"CUMPLE"</formula>
    </cfRule>
    <cfRule type="containsBlanks" dxfId="782" priority="94">
      <formula>LEN(TRIM(D71))=0</formula>
    </cfRule>
    <cfRule type="notContainsErrors" dxfId="781" priority="95">
      <formula>NOT(ISERROR(D71))</formula>
    </cfRule>
    <cfRule type="cellIs" dxfId="780" priority="96" operator="equal">
      <formula>"NO CUMPLE"</formula>
    </cfRule>
  </conditionalFormatting>
  <conditionalFormatting sqref="D72">
    <cfRule type="cellIs" dxfId="779" priority="99" operator="equal">
      <formula>"CUMPLE"</formula>
    </cfRule>
    <cfRule type="cellIs" dxfId="778" priority="98" operator="equal">
      <formula>"N/A"</formula>
    </cfRule>
    <cfRule type="cellIs" dxfId="777" priority="101" operator="equal">
      <formula>"""CUMPLE"""</formula>
    </cfRule>
    <cfRule type="cellIs" dxfId="776" priority="100" operator="equal">
      <formula>"NO CUMPLE"</formula>
    </cfRule>
  </conditionalFormatting>
  <conditionalFormatting sqref="D26:J37">
    <cfRule type="notContainsErrors" dxfId="775" priority="4">
      <formula>NOT(ISERROR(D26))</formula>
    </cfRule>
    <cfRule type="containsBlanks" dxfId="774" priority="3">
      <formula>LEN(TRIM(D26))=0</formula>
    </cfRule>
  </conditionalFormatting>
  <conditionalFormatting sqref="D36:J36">
    <cfRule type="notContainsErrors" dxfId="773" priority="6">
      <formula>NOT(ISERROR(D36))</formula>
    </cfRule>
    <cfRule type="containsBlanks" dxfId="772" priority="5">
      <formula>LEN(TRIM(D36))=0</formula>
    </cfRule>
  </conditionalFormatting>
  <conditionalFormatting sqref="D39:J39">
    <cfRule type="containsBlanks" dxfId="771" priority="1">
      <formula>LEN(TRIM(D39))=0</formula>
    </cfRule>
    <cfRule type="notContainsErrors" dxfId="770" priority="2">
      <formula>NOT(ISERROR(D39))</formula>
    </cfRule>
  </conditionalFormatting>
  <conditionalFormatting sqref="D42:J42 D45:J45">
    <cfRule type="notContainsErrors" dxfId="769" priority="62">
      <formula>NOT(ISERROR(D42))</formula>
    </cfRule>
    <cfRule type="containsBlanks" dxfId="768" priority="61">
      <formula>LEN(TRIM(D42))=0</formula>
    </cfRule>
  </conditionalFormatting>
  <conditionalFormatting sqref="D49:J54">
    <cfRule type="cellIs" dxfId="767" priority="17" operator="equal">
      <formula>"NO CUMPLE"</formula>
    </cfRule>
    <cfRule type="cellIs" dxfId="766" priority="18" operator="equal">
      <formula>"CUMPLE"</formula>
    </cfRule>
    <cfRule type="containsBlanks" dxfId="765" priority="19">
      <formula>LEN(TRIM(D49))=0</formula>
    </cfRule>
    <cfRule type="notContainsErrors" dxfId="764" priority="20">
      <formula>NOT(ISERROR(D49))</formula>
    </cfRule>
  </conditionalFormatting>
  <conditionalFormatting sqref="D55:J55">
    <cfRule type="cellIs" dxfId="763" priority="28" operator="equal">
      <formula>"CUMPLE"</formula>
    </cfRule>
    <cfRule type="cellIs" dxfId="762" priority="30" operator="equal">
      <formula>"""CUMPLE"""</formula>
    </cfRule>
    <cfRule type="cellIs" dxfId="761" priority="29" operator="equal">
      <formula>"NO CUMPLE"</formula>
    </cfRule>
    <cfRule type="cellIs" dxfId="760" priority="27" operator="equal">
      <formula>"N/A"</formula>
    </cfRule>
  </conditionalFormatting>
  <conditionalFormatting sqref="D56:J66">
    <cfRule type="cellIs" dxfId="759" priority="11" operator="equal">
      <formula>"NO CUMPLE"</formula>
    </cfRule>
    <cfRule type="notContainsErrors" dxfId="758" priority="14">
      <formula>NOT(ISERROR(D56))</formula>
    </cfRule>
    <cfRule type="containsBlanks" dxfId="757" priority="13">
      <formula>LEN(TRIM(D56))=0</formula>
    </cfRule>
    <cfRule type="cellIs" dxfId="756" priority="12" operator="equal">
      <formula>"CUMPLE"</formula>
    </cfRule>
  </conditionalFormatting>
  <conditionalFormatting sqref="D67:J67">
    <cfRule type="cellIs" dxfId="755" priority="23" operator="equal">
      <formula>"N/A"</formula>
    </cfRule>
    <cfRule type="cellIs" dxfId="754" priority="24" operator="equal">
      <formula>"CUMPLE"</formula>
    </cfRule>
    <cfRule type="cellIs" dxfId="753" priority="26" operator="equal">
      <formula>"""CUMPLE"""</formula>
    </cfRule>
    <cfRule type="cellIs" dxfId="752" priority="25" operator="equal">
      <formula>"NO CUMPLE"</formula>
    </cfRule>
  </conditionalFormatting>
  <conditionalFormatting sqref="D62:K66">
    <cfRule type="containsBlanks" dxfId="751" priority="15">
      <formula>LEN(TRIM(D62))=0</formula>
    </cfRule>
    <cfRule type="notContainsErrors" dxfId="750" priority="16">
      <formula>NOT(ISERROR(D62))</formula>
    </cfRule>
  </conditionalFormatting>
  <conditionalFormatting sqref="E71:E72">
    <cfRule type="notContainsErrors" dxfId="749" priority="93">
      <formula>NOT(ISERROR(E71))</formula>
    </cfRule>
    <cfRule type="containsBlanks" dxfId="748" priority="92">
      <formula>LEN(TRIM(E71))=0</formula>
    </cfRule>
  </conditionalFormatting>
  <conditionalFormatting sqref="F22:H22">
    <cfRule type="cellIs" dxfId="747" priority="116" operator="equal">
      <formula>"NO CUMPLE"</formula>
    </cfRule>
    <cfRule type="cellIs" dxfId="746" priority="117" operator="equal">
      <formula>"""CUMPLE"""</formula>
    </cfRule>
    <cfRule type="cellIs" dxfId="745" priority="115" operator="equal">
      <formula>"CUMPLE"</formula>
    </cfRule>
  </conditionalFormatting>
  <conditionalFormatting sqref="G63:J63">
    <cfRule type="containsBlanks" dxfId="744" priority="7">
      <formula>LEN(TRIM(G63))=0</formula>
    </cfRule>
    <cfRule type="notContainsErrors" dxfId="743" priority="8">
      <formula>NOT(ISERROR(G63))</formula>
    </cfRule>
  </conditionalFormatting>
  <conditionalFormatting sqref="I11">
    <cfRule type="containsText" dxfId="742" priority="121" operator="containsText" text="NO CUMPLE">
      <formula>NOT(ISERROR(SEARCH("NO CUMPLE",I11)))</formula>
    </cfRule>
    <cfRule type="containsText" dxfId="741" priority="120" operator="containsText" text="HABILITADO">
      <formula>NOT(ISERROR(SEARCH("HABILITADO",I11)))</formula>
    </cfRule>
    <cfRule type="containsText" dxfId="740" priority="119" operator="containsText" text="HABILITADO">
      <formula>NOT(ISERROR(SEARCH("HABILITADO",I11)))</formula>
    </cfRule>
    <cfRule type="containsText" dxfId="739" priority="118" operator="containsText" text="INHABILITADO">
      <formula>NOT(ISERROR(SEARCH("INHABILITADO",I11)))</formula>
    </cfRule>
  </conditionalFormatting>
  <conditionalFormatting sqref="K18:K20">
    <cfRule type="cellIs" dxfId="738" priority="90" operator="equal">
      <formula>"NO CUMPLE"</formula>
    </cfRule>
    <cfRule type="cellIs" dxfId="737" priority="91" operator="equal">
      <formula>"""CUMPLE"""</formula>
    </cfRule>
    <cfRule type="cellIs" dxfId="736" priority="89" operator="equal">
      <formula>"CUMPLE"</formula>
    </cfRule>
  </conditionalFormatting>
  <conditionalFormatting sqref="K26:K61 D62:J62">
    <cfRule type="containsBlanks" dxfId="735" priority="9">
      <formula>LEN(TRIM(D26))=0</formula>
    </cfRule>
    <cfRule type="notContainsErrors" dxfId="734" priority="10">
      <formula>NOT(ISERROR(D26))</formula>
    </cfRule>
  </conditionalFormatting>
  <conditionalFormatting sqref="K67:L67">
    <cfRule type="containsBlanks" dxfId="733" priority="21">
      <formula>LEN(TRIM(K67))=0</formula>
    </cfRule>
    <cfRule type="notContainsErrors" dxfId="732" priority="22">
      <formula>NOT(ISERROR(K67))</formula>
    </cfRule>
  </conditionalFormatting>
  <conditionalFormatting sqref="L14">
    <cfRule type="cellIs" dxfId="731" priority="114" operator="equal">
      <formula>"""CUMPLE"""</formula>
    </cfRule>
    <cfRule type="cellIs" dxfId="730" priority="113" operator="equal">
      <formula>"NO CUMPLE"</formula>
    </cfRule>
    <cfRule type="cellIs" dxfId="729" priority="112" operator="equal">
      <formula>"CUMPLE"</formula>
    </cfRule>
  </conditionalFormatting>
  <dataValidations count="2">
    <dataValidation type="list" allowBlank="1" showInputMessage="1" showErrorMessage="1" sqref="L62:L67" xr:uid="{00000000-0002-0000-5600-000000000000}">
      <formula1>"0,1,2,3,4,5,6"</formula1>
    </dataValidation>
    <dataValidation type="list" allowBlank="1" showInputMessage="1" showErrorMessage="1" sqref="D26:J28" xr:uid="{00000000-0002-0000-56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5600-000002000000}">
          <x14:formula1>
            <xm:f>'DATOS INICIALES'!$D$27:$D$29</xm:f>
          </x14:formula1>
          <xm:sqref>M50:M55</xm:sqref>
        </x14:dataValidation>
        <x14:dataValidation type="list" allowBlank="1" showInputMessage="1" showErrorMessage="1" xr:uid="{00000000-0002-0000-5600-000003000000}">
          <x14:formula1>
            <xm:f>'DATOS INICIALES'!$A$57:$A$58</xm:f>
          </x14:formula1>
          <xm:sqref>D49:J49</xm:sqref>
        </x14:dataValidation>
        <x14:dataValidation type="list" allowBlank="1" showInputMessage="1" showErrorMessage="1" xr:uid="{00000000-0002-0000-5600-000004000000}">
          <x14:formula1>
            <xm:f>'DATOS INICIALES'!$A$61:$A$67</xm:f>
          </x14:formula1>
          <xm:sqref>J25</xm:sqref>
        </x14:dataValidation>
        <x14:dataValidation type="list" allowBlank="1" showInputMessage="1" showErrorMessage="1" xr:uid="{00000000-0002-0000-5600-000005000000}">
          <x14:formula1>
            <xm:f>'DATOS INICIALES'!$C$52:$C$53</xm:f>
          </x14:formula1>
          <xm:sqref>D53:J54</xm:sqref>
        </x14:dataValidation>
        <x14:dataValidation type="list" allowBlank="1" showInputMessage="1" showErrorMessage="1" xr:uid="{00000000-0002-0000-5600-000006000000}">
          <x14:formula1>
            <xm:f>'DATOS INICIALES'!$A$57:$A$59</xm:f>
          </x14:formula1>
          <xm:sqref>D71 D56:J66</xm:sqref>
        </x14:dataValidation>
        <x14:dataValidation type="list" allowBlank="1" showInputMessage="1" showErrorMessage="1" xr:uid="{00000000-0002-0000-5600-000007000000}">
          <x14:formula1>
            <xm:f>'DATOS INICIALES'!$A$61:$A$66</xm:f>
          </x14:formula1>
          <xm:sqref>D25:I25</xm:sqref>
        </x14:dataValidation>
        <x14:dataValidation type="list" allowBlank="1" showInputMessage="1" showErrorMessage="1" xr:uid="{00000000-0002-0000-5600-000008000000}">
          <x14:formula1>
            <xm:f>'DATOS INICIALES'!$A$13:$A$50</xm:f>
          </x14:formula1>
          <xm:sqref>G33:I33</xm:sqref>
        </x14:dataValidation>
        <x14:dataValidation type="list" allowBlank="1" showInputMessage="1" showErrorMessage="1" xr:uid="{00000000-0002-0000-5600-000009000000}">
          <x14:formula1>
            <xm:f>'DATOS INICIALES'!$C$52:$C$54</xm:f>
          </x14:formula1>
          <xm:sqref>D50:J52</xm:sqref>
        </x14:dataValidation>
      </x14:dataValidations>
    </ext>
  </extLst>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sheetPr>
    <tabColor rgb="FF92D050"/>
  </sheetPr>
  <dimension ref="A1:N72"/>
  <sheetViews>
    <sheetView view="pageBreakPreview" topLeftCell="A25" zoomScale="40" zoomScaleNormal="25" zoomScaleSheetLayoutView="40" workbookViewId="0">
      <selection activeCell="E41" sqref="E41"/>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82</v>
      </c>
      <c r="B11" s="2" t="s">
        <v>58</v>
      </c>
      <c r="C11" s="413" t="str">
        <f>VLOOKUP(A11,PROPONENTES!A10:B94,2,FALSE)</f>
        <v>C. SAN MARTIN 003</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4</v>
      </c>
      <c r="J14" s="147">
        <f>+L8</f>
        <v>986.3076290832455</v>
      </c>
      <c r="K14" s="147">
        <f>+E22</f>
        <v>10289.387900000002</v>
      </c>
      <c r="L14" s="18" t="str">
        <f>IF(K14&gt;=J14,"CUMPLE","NO CUMPLE")</f>
        <v>CUMPLE</v>
      </c>
    </row>
    <row r="15" spans="1:12" ht="33.75" customHeight="1" x14ac:dyDescent="0.2">
      <c r="B15" s="382"/>
      <c r="C15" s="92" t="str">
        <f>IF(VLOOKUP(C11,PROPONENTES!B10:N94,2,FALSE)=0,"",VLOOKUP(C11,PROPONENTES!B10:N94,2,FALSE))</f>
        <v>INCOPLAN SA</v>
      </c>
      <c r="D15" s="93">
        <f>IF(VLOOKUP(C11,PROPONENTES!B10:N94,3,FALSE)=0,"",VLOOKUP(C11,PROPONENTES!B10:N94,3,FALSE))</f>
        <v>0.9</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10289.387900000002</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SOLIUN SAS</v>
      </c>
      <c r="D16" s="93">
        <f>IF(VLOOKUP(C11,PROPONENTES!B10:N94,5,FALSE)=0,"",VLOOKUP(C11,PROPONENTES!B10:N94,5,FALSE))</f>
        <v>0.1</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0</v>
      </c>
      <c r="F16" s="95" t="str">
        <f>IF(C16="","",IF(E16&gt;=$J$14*0.5,"SI","NO"))</f>
        <v>NO</v>
      </c>
      <c r="G16" s="96" t="str">
        <f>IF(C16="","",IF(E16&gt;=$J$14*0.05,"SI",IF(E16=0,"NO APORTA EXPERIENCIA",)))</f>
        <v>NO APORTA EXPERIENCIA</v>
      </c>
      <c r="H16" s="96" t="str">
        <f>IF(C16="","",IF(AND(G16="NO APORTA EXPERIENCIA",D16&lt;=10%),"SI",IF(G16="SI","NO APLICA","NO - PORCENTAJE MAYOR AL 10%")))</f>
        <v>SI</v>
      </c>
      <c r="I16" s="162"/>
      <c r="J16" s="162"/>
      <c r="K16" s="162"/>
      <c r="L16" s="161">
        <f>AVERAGEIF(D67:J67,"CUMPLE",D48:J48)</f>
        <v>2572.3469750000004</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4</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4</v>
      </c>
      <c r="J19" s="128">
        <v>1</v>
      </c>
      <c r="K19" s="387"/>
      <c r="L19" s="388"/>
    </row>
    <row r="20" spans="2:14" ht="50.25" customHeight="1" x14ac:dyDescent="0.2">
      <c r="B20" s="382"/>
      <c r="C20" s="92"/>
      <c r="D20" s="93"/>
      <c r="E20" s="94"/>
      <c r="F20" s="95"/>
      <c r="G20" s="96"/>
      <c r="H20" s="96"/>
      <c r="I20" s="128">
        <f>COUNTIFS(D60:J60,"CUMPLE",D67:J67,"CUMPLE")</f>
        <v>4</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4</v>
      </c>
      <c r="J21" s="128">
        <v>1</v>
      </c>
      <c r="K21" s="389"/>
      <c r="L21" s="390"/>
    </row>
    <row r="22" spans="2:14" ht="84.75" customHeight="1" x14ac:dyDescent="0.2">
      <c r="B22" s="29" t="s">
        <v>75</v>
      </c>
      <c r="C22" s="24">
        <f>+VLOOKUP(C11,PROPONENTES!B10:N94,12,FALSE)</f>
        <v>2</v>
      </c>
      <c r="D22" s="93">
        <f>+VLOOKUP(C11,PROPONENTES!B10:N94,13,FALSE)</f>
        <v>1</v>
      </c>
      <c r="E22" s="32">
        <f>SUM(E15:E21)</f>
        <v>10289.387900000002</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1151</v>
      </c>
      <c r="E26" s="84" t="s">
        <v>1151</v>
      </c>
      <c r="F26" s="84" t="s">
        <v>1151</v>
      </c>
      <c r="G26" s="84" t="s">
        <v>1151</v>
      </c>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1234</v>
      </c>
      <c r="E29" s="85" t="s">
        <v>1235</v>
      </c>
      <c r="F29" s="85" t="s">
        <v>1236</v>
      </c>
      <c r="G29" s="85" t="s">
        <v>1237</v>
      </c>
      <c r="H29" s="85"/>
      <c r="I29" s="85"/>
      <c r="J29" s="85"/>
      <c r="K29" s="145"/>
      <c r="L29" s="140"/>
    </row>
    <row r="30" spans="2:14" ht="156.75" customHeight="1" x14ac:dyDescent="0.2">
      <c r="B30" s="374"/>
      <c r="C30" s="25" t="s">
        <v>84</v>
      </c>
      <c r="D30" s="85" t="s">
        <v>1238</v>
      </c>
      <c r="E30" s="85" t="s">
        <v>1239</v>
      </c>
      <c r="F30" s="85" t="s">
        <v>1240</v>
      </c>
      <c r="G30" s="85" t="s">
        <v>1241</v>
      </c>
      <c r="H30" s="85"/>
      <c r="I30" s="85"/>
      <c r="J30" s="85"/>
      <c r="K30" s="145"/>
      <c r="L30" s="140"/>
    </row>
    <row r="31" spans="2:14" ht="52.5" customHeight="1" x14ac:dyDescent="0.2">
      <c r="B31" s="374"/>
      <c r="C31" s="25" t="s">
        <v>85</v>
      </c>
      <c r="D31" s="89">
        <v>38929</v>
      </c>
      <c r="E31" s="89">
        <v>43321</v>
      </c>
      <c r="F31" s="89">
        <v>44713</v>
      </c>
      <c r="G31" s="89">
        <v>44195</v>
      </c>
      <c r="H31" s="89"/>
      <c r="I31" s="89"/>
      <c r="J31" s="89"/>
      <c r="K31" s="145"/>
      <c r="L31" s="140"/>
    </row>
    <row r="32" spans="2:14" ht="54.75" customHeight="1" x14ac:dyDescent="0.2">
      <c r="B32" s="374"/>
      <c r="C32" s="25" t="s">
        <v>86</v>
      </c>
      <c r="D32" s="89">
        <v>39310</v>
      </c>
      <c r="E32" s="89">
        <v>43716</v>
      </c>
      <c r="F32" s="89">
        <v>45463</v>
      </c>
      <c r="G32" s="89">
        <v>45291</v>
      </c>
      <c r="H32" s="89"/>
      <c r="I32" s="89"/>
      <c r="J32" s="89"/>
      <c r="K32" s="145"/>
      <c r="L32" s="140"/>
    </row>
    <row r="33" spans="2:12" ht="41.25" customHeight="1" x14ac:dyDescent="0.2">
      <c r="B33" s="374"/>
      <c r="C33" s="25" t="s">
        <v>87</v>
      </c>
      <c r="D33" s="86">
        <v>2007</v>
      </c>
      <c r="E33" s="86">
        <v>2019</v>
      </c>
      <c r="F33" s="86">
        <v>2024</v>
      </c>
      <c r="G33" s="86">
        <v>2023</v>
      </c>
      <c r="H33" s="86"/>
      <c r="I33" s="86"/>
      <c r="J33" s="86"/>
      <c r="K33" s="145"/>
      <c r="L33" s="140"/>
    </row>
    <row r="34" spans="2:12" ht="63" customHeight="1" x14ac:dyDescent="0.2">
      <c r="B34" s="374"/>
      <c r="C34" s="25" t="s">
        <v>88</v>
      </c>
      <c r="D34" s="85" t="s">
        <v>298</v>
      </c>
      <c r="E34" s="85" t="s">
        <v>1113</v>
      </c>
      <c r="F34" s="85" t="s">
        <v>1242</v>
      </c>
      <c r="G34" s="85" t="s">
        <v>1113</v>
      </c>
      <c r="H34" s="85"/>
      <c r="I34" s="85"/>
      <c r="J34" s="85"/>
      <c r="K34" s="145"/>
      <c r="L34" s="140"/>
    </row>
    <row r="35" spans="2:12" ht="46.5" customHeight="1" x14ac:dyDescent="0.2">
      <c r="B35" s="374"/>
      <c r="C35" s="25" t="s">
        <v>89</v>
      </c>
      <c r="D35" s="85" t="s">
        <v>1243</v>
      </c>
      <c r="E35" s="85" t="s">
        <v>1244</v>
      </c>
      <c r="F35" s="85" t="s">
        <v>1245</v>
      </c>
      <c r="G35" s="85" t="s">
        <v>1246</v>
      </c>
      <c r="H35" s="85"/>
      <c r="I35" s="85"/>
      <c r="J35" s="85"/>
      <c r="K35" s="145"/>
      <c r="L35" s="140"/>
    </row>
    <row r="36" spans="2:12" ht="27.75" customHeight="1" x14ac:dyDescent="0.2">
      <c r="B36" s="374"/>
      <c r="C36" s="26" t="s">
        <v>90</v>
      </c>
      <c r="D36" s="90">
        <v>23</v>
      </c>
      <c r="E36" s="90">
        <v>281</v>
      </c>
      <c r="F36" s="90">
        <v>375</v>
      </c>
      <c r="G36" s="91">
        <v>368</v>
      </c>
      <c r="H36" s="91"/>
      <c r="I36" s="91"/>
      <c r="J36" s="91"/>
      <c r="K36" s="145"/>
      <c r="L36" s="140"/>
    </row>
    <row r="37" spans="2:12" ht="102.75" customHeight="1" x14ac:dyDescent="0.2">
      <c r="B37" s="374"/>
      <c r="C37" s="25" t="s">
        <v>91</v>
      </c>
      <c r="D37" s="87">
        <v>1801.97</v>
      </c>
      <c r="E37" s="158">
        <v>868.6</v>
      </c>
      <c r="F37" s="87">
        <v>11243.28</v>
      </c>
      <c r="G37" s="87">
        <v>5007.03</v>
      </c>
      <c r="H37" s="87"/>
      <c r="I37" s="87"/>
      <c r="J37" s="87"/>
      <c r="K37" s="242"/>
      <c r="L37" s="243"/>
    </row>
    <row r="38" spans="2:12" ht="48" customHeight="1" x14ac:dyDescent="0.2">
      <c r="B38" s="374"/>
      <c r="C38" s="25" t="s">
        <v>92</v>
      </c>
      <c r="D38" s="97">
        <f>IFERROR(D37*VLOOKUP(D33,'DATOS INICIALES'!$A$12:$B$50,2,0),"0")</f>
        <v>781514389</v>
      </c>
      <c r="E38" s="97">
        <f>IFERROR(E37*VLOOKUP(E33,'DATOS INICIALES'!$A$12:$B$50,2,0),"0")</f>
        <v>719301557.60000002</v>
      </c>
      <c r="F38" s="97">
        <f>IFERROR(F37*VLOOKUP(F33,'DATOS INICIALES'!$A$12:$B$50,2,0),"0")</f>
        <v>14616264000</v>
      </c>
      <c r="G38" s="97">
        <f>IFERROR(G37*VLOOKUP(G33,'DATOS INICIALES'!$A$12:$B$50,2,0),"0")</f>
        <v>5808154800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1</v>
      </c>
      <c r="E39" s="88">
        <v>0.6</v>
      </c>
      <c r="F39" s="88">
        <v>0.33</v>
      </c>
      <c r="G39" s="88">
        <v>0.85</v>
      </c>
      <c r="H39" s="88"/>
      <c r="I39" s="88"/>
      <c r="J39" s="88"/>
      <c r="K39" s="145"/>
      <c r="L39" s="140"/>
    </row>
    <row r="40" spans="2:12" ht="48.75" customHeight="1" x14ac:dyDescent="0.2">
      <c r="B40" s="374"/>
      <c r="C40" s="25" t="s">
        <v>94</v>
      </c>
      <c r="D40" s="97">
        <f t="shared" ref="D40:J40" si="0">IF(D26="","0",D39*D38)</f>
        <v>781514389</v>
      </c>
      <c r="E40" s="97">
        <f t="shared" si="0"/>
        <v>431580934.56</v>
      </c>
      <c r="F40" s="97">
        <f t="shared" si="0"/>
        <v>4823367120</v>
      </c>
      <c r="G40" s="97">
        <f t="shared" si="0"/>
        <v>4936931580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1801.97</v>
      </c>
      <c r="E41" s="98">
        <f t="shared" si="1"/>
        <v>521.16</v>
      </c>
      <c r="F41" s="98">
        <f t="shared" si="1"/>
        <v>3710.2824000000005</v>
      </c>
      <c r="G41" s="98">
        <f t="shared" si="1"/>
        <v>4255.9754999999996</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1801.97</v>
      </c>
      <c r="E48" s="98">
        <f t="shared" ref="E48:G48" si="6">+E41+E44+E47</f>
        <v>521.16</v>
      </c>
      <c r="F48" s="98">
        <f t="shared" si="6"/>
        <v>3710.2824000000005</v>
      </c>
      <c r="G48" s="98">
        <f t="shared" si="6"/>
        <v>4255.9754999999996</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CUMPLE</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CUMPLE</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0:C70"/>
    <mergeCell ref="B71:C71"/>
    <mergeCell ref="B72:C72"/>
    <mergeCell ref="B65:C65"/>
    <mergeCell ref="B66:C66"/>
    <mergeCell ref="B67:C67"/>
    <mergeCell ref="B69:E69"/>
    <mergeCell ref="B62:C62"/>
    <mergeCell ref="B63:C63"/>
    <mergeCell ref="B64:C64"/>
    <mergeCell ref="B59:C59"/>
    <mergeCell ref="B60:C60"/>
    <mergeCell ref="B61:C61"/>
    <mergeCell ref="B56:C56"/>
    <mergeCell ref="B57:C57"/>
    <mergeCell ref="B58:C58"/>
    <mergeCell ref="B50:B55"/>
    <mergeCell ref="B28:C28"/>
    <mergeCell ref="B29:B47"/>
    <mergeCell ref="I22:L22"/>
    <mergeCell ref="B12:L12"/>
    <mergeCell ref="B13:H13"/>
    <mergeCell ref="B14:B21"/>
    <mergeCell ref="K17:L17"/>
    <mergeCell ref="K18:L21"/>
    <mergeCell ref="B24:L24"/>
    <mergeCell ref="K25:L25"/>
    <mergeCell ref="B26:C26"/>
    <mergeCell ref="B27:C27"/>
    <mergeCell ref="B23:L23"/>
    <mergeCell ref="C8:I8"/>
    <mergeCell ref="C9:I9"/>
    <mergeCell ref="C10:I10"/>
    <mergeCell ref="C11:G11"/>
    <mergeCell ref="B2:L2"/>
    <mergeCell ref="B3:L3"/>
    <mergeCell ref="B4:L4"/>
    <mergeCell ref="B5:L5"/>
    <mergeCell ref="B7:I7"/>
    <mergeCell ref="J7:L7"/>
    <mergeCell ref="I11:L11"/>
  </mergeCells>
  <conditionalFormatting sqref="D71">
    <cfRule type="cellIs" dxfId="728" priority="97" operator="equal">
      <formula>"CUMPLE"</formula>
    </cfRule>
    <cfRule type="containsBlanks" dxfId="727" priority="94">
      <formula>LEN(TRIM(D71))=0</formula>
    </cfRule>
    <cfRule type="notContainsErrors" dxfId="726" priority="95">
      <formula>NOT(ISERROR(D71))</formula>
    </cfRule>
    <cfRule type="cellIs" dxfId="725" priority="96" operator="equal">
      <formula>"NO CUMPLE"</formula>
    </cfRule>
  </conditionalFormatting>
  <conditionalFormatting sqref="D72">
    <cfRule type="cellIs" dxfId="724" priority="99" operator="equal">
      <formula>"CUMPLE"</formula>
    </cfRule>
    <cfRule type="cellIs" dxfId="723" priority="98" operator="equal">
      <formula>"N/A"</formula>
    </cfRule>
    <cfRule type="cellIs" dxfId="722" priority="101" operator="equal">
      <formula>"""CUMPLE"""</formula>
    </cfRule>
    <cfRule type="cellIs" dxfId="721" priority="100" operator="equal">
      <formula>"NO CUMPLE"</formula>
    </cfRule>
  </conditionalFormatting>
  <conditionalFormatting sqref="D26:J37">
    <cfRule type="notContainsErrors" dxfId="720" priority="4">
      <formula>NOT(ISERROR(D26))</formula>
    </cfRule>
    <cfRule type="containsBlanks" dxfId="719" priority="3">
      <formula>LEN(TRIM(D26))=0</formula>
    </cfRule>
  </conditionalFormatting>
  <conditionalFormatting sqref="D36:J36">
    <cfRule type="notContainsErrors" dxfId="718" priority="6">
      <formula>NOT(ISERROR(D36))</formula>
    </cfRule>
    <cfRule type="containsBlanks" dxfId="717" priority="5">
      <formula>LEN(TRIM(D36))=0</formula>
    </cfRule>
  </conditionalFormatting>
  <conditionalFormatting sqref="D39:J39">
    <cfRule type="containsBlanks" dxfId="716" priority="1">
      <formula>LEN(TRIM(D39))=0</formula>
    </cfRule>
    <cfRule type="notContainsErrors" dxfId="715" priority="2">
      <formula>NOT(ISERROR(D39))</formula>
    </cfRule>
  </conditionalFormatting>
  <conditionalFormatting sqref="D42:J42 D45:J45">
    <cfRule type="notContainsErrors" dxfId="714" priority="62">
      <formula>NOT(ISERROR(D42))</formula>
    </cfRule>
    <cfRule type="containsBlanks" dxfId="713" priority="61">
      <formula>LEN(TRIM(D42))=0</formula>
    </cfRule>
  </conditionalFormatting>
  <conditionalFormatting sqref="D49:J54">
    <cfRule type="cellIs" dxfId="712" priority="17" operator="equal">
      <formula>"NO CUMPLE"</formula>
    </cfRule>
    <cfRule type="cellIs" dxfId="711" priority="18" operator="equal">
      <formula>"CUMPLE"</formula>
    </cfRule>
    <cfRule type="containsBlanks" dxfId="710" priority="19">
      <formula>LEN(TRIM(D49))=0</formula>
    </cfRule>
    <cfRule type="notContainsErrors" dxfId="709" priority="20">
      <formula>NOT(ISERROR(D49))</formula>
    </cfRule>
  </conditionalFormatting>
  <conditionalFormatting sqref="D55:J55">
    <cfRule type="cellIs" dxfId="708" priority="28" operator="equal">
      <formula>"CUMPLE"</formula>
    </cfRule>
    <cfRule type="cellIs" dxfId="707" priority="30" operator="equal">
      <formula>"""CUMPLE"""</formula>
    </cfRule>
    <cfRule type="cellIs" dxfId="706" priority="29" operator="equal">
      <formula>"NO CUMPLE"</formula>
    </cfRule>
    <cfRule type="cellIs" dxfId="705" priority="27" operator="equal">
      <formula>"N/A"</formula>
    </cfRule>
  </conditionalFormatting>
  <conditionalFormatting sqref="D56:J66">
    <cfRule type="cellIs" dxfId="704" priority="11" operator="equal">
      <formula>"NO CUMPLE"</formula>
    </cfRule>
    <cfRule type="notContainsErrors" dxfId="703" priority="14">
      <formula>NOT(ISERROR(D56))</formula>
    </cfRule>
    <cfRule type="containsBlanks" dxfId="702" priority="13">
      <formula>LEN(TRIM(D56))=0</formula>
    </cfRule>
    <cfRule type="cellIs" dxfId="701" priority="12" operator="equal">
      <formula>"CUMPLE"</formula>
    </cfRule>
  </conditionalFormatting>
  <conditionalFormatting sqref="D67:J67">
    <cfRule type="cellIs" dxfId="700" priority="23" operator="equal">
      <formula>"N/A"</formula>
    </cfRule>
    <cfRule type="cellIs" dxfId="699" priority="24" operator="equal">
      <formula>"CUMPLE"</formula>
    </cfRule>
    <cfRule type="cellIs" dxfId="698" priority="26" operator="equal">
      <formula>"""CUMPLE"""</formula>
    </cfRule>
    <cfRule type="cellIs" dxfId="697" priority="25" operator="equal">
      <formula>"NO CUMPLE"</formula>
    </cfRule>
  </conditionalFormatting>
  <conditionalFormatting sqref="D62:K66">
    <cfRule type="containsBlanks" dxfId="696" priority="15">
      <formula>LEN(TRIM(D62))=0</formula>
    </cfRule>
    <cfRule type="notContainsErrors" dxfId="695" priority="16">
      <formula>NOT(ISERROR(D62))</formula>
    </cfRule>
  </conditionalFormatting>
  <conditionalFormatting sqref="E71:E72">
    <cfRule type="notContainsErrors" dxfId="694" priority="93">
      <formula>NOT(ISERROR(E71))</formula>
    </cfRule>
    <cfRule type="containsBlanks" dxfId="693" priority="92">
      <formula>LEN(TRIM(E71))=0</formula>
    </cfRule>
  </conditionalFormatting>
  <conditionalFormatting sqref="F22:H22">
    <cfRule type="cellIs" dxfId="692" priority="116" operator="equal">
      <formula>"NO CUMPLE"</formula>
    </cfRule>
    <cfRule type="cellIs" dxfId="691" priority="117" operator="equal">
      <formula>"""CUMPLE"""</formula>
    </cfRule>
    <cfRule type="cellIs" dxfId="690" priority="115" operator="equal">
      <formula>"CUMPLE"</formula>
    </cfRule>
  </conditionalFormatting>
  <conditionalFormatting sqref="G63:J63">
    <cfRule type="containsBlanks" dxfId="689" priority="7">
      <formula>LEN(TRIM(G63))=0</formula>
    </cfRule>
    <cfRule type="notContainsErrors" dxfId="688" priority="8">
      <formula>NOT(ISERROR(G63))</formula>
    </cfRule>
  </conditionalFormatting>
  <conditionalFormatting sqref="I11">
    <cfRule type="containsText" dxfId="687" priority="121" operator="containsText" text="NO CUMPLE">
      <formula>NOT(ISERROR(SEARCH("NO CUMPLE",I11)))</formula>
    </cfRule>
    <cfRule type="containsText" dxfId="686" priority="120" operator="containsText" text="HABILITADO">
      <formula>NOT(ISERROR(SEARCH("HABILITADO",I11)))</formula>
    </cfRule>
    <cfRule type="containsText" dxfId="685" priority="119" operator="containsText" text="HABILITADO">
      <formula>NOT(ISERROR(SEARCH("HABILITADO",I11)))</formula>
    </cfRule>
    <cfRule type="containsText" dxfId="684" priority="118" operator="containsText" text="INHABILITADO">
      <formula>NOT(ISERROR(SEARCH("INHABILITADO",I11)))</formula>
    </cfRule>
  </conditionalFormatting>
  <conditionalFormatting sqref="K18:K20">
    <cfRule type="cellIs" dxfId="683" priority="90" operator="equal">
      <formula>"NO CUMPLE"</formula>
    </cfRule>
    <cfRule type="cellIs" dxfId="682" priority="91" operator="equal">
      <formula>"""CUMPLE"""</formula>
    </cfRule>
    <cfRule type="cellIs" dxfId="681" priority="89" operator="equal">
      <formula>"CUMPLE"</formula>
    </cfRule>
  </conditionalFormatting>
  <conditionalFormatting sqref="K26:K61 D62:J62">
    <cfRule type="containsBlanks" dxfId="680" priority="9">
      <formula>LEN(TRIM(D26))=0</formula>
    </cfRule>
    <cfRule type="notContainsErrors" dxfId="679" priority="10">
      <formula>NOT(ISERROR(D26))</formula>
    </cfRule>
  </conditionalFormatting>
  <conditionalFormatting sqref="K67:L67">
    <cfRule type="containsBlanks" dxfId="678" priority="21">
      <formula>LEN(TRIM(K67))=0</formula>
    </cfRule>
    <cfRule type="notContainsErrors" dxfId="677" priority="22">
      <formula>NOT(ISERROR(K67))</formula>
    </cfRule>
  </conditionalFormatting>
  <conditionalFormatting sqref="L14">
    <cfRule type="cellIs" dxfId="676" priority="114" operator="equal">
      <formula>"""CUMPLE"""</formula>
    </cfRule>
    <cfRule type="cellIs" dxfId="675" priority="113" operator="equal">
      <formula>"NO CUMPLE"</formula>
    </cfRule>
    <cfRule type="cellIs" dxfId="674" priority="112" operator="equal">
      <formula>"CUMPLE"</formula>
    </cfRule>
  </conditionalFormatting>
  <dataValidations count="2">
    <dataValidation type="list" allowBlank="1" showInputMessage="1" showErrorMessage="1" sqref="D26:J28" xr:uid="{00000000-0002-0000-5700-000000000000}">
      <formula1>$C$15:$C$21</formula1>
    </dataValidation>
    <dataValidation type="list" allowBlank="1" showInputMessage="1" showErrorMessage="1" sqref="L62:L67" xr:uid="{00000000-0002-0000-57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5700-000002000000}">
          <x14:formula1>
            <xm:f>'DATOS INICIALES'!$D$27:$D$29</xm:f>
          </x14:formula1>
          <xm:sqref>M50:M55</xm:sqref>
        </x14:dataValidation>
        <x14:dataValidation type="list" allowBlank="1" showInputMessage="1" showErrorMessage="1" xr:uid="{00000000-0002-0000-5700-000003000000}">
          <x14:formula1>
            <xm:f>'DATOS INICIALES'!$A$13:$A$50</xm:f>
          </x14:formula1>
          <xm:sqref>H33:I33</xm:sqref>
        </x14:dataValidation>
        <x14:dataValidation type="list" allowBlank="1" showInputMessage="1" showErrorMessage="1" xr:uid="{00000000-0002-0000-5700-000004000000}">
          <x14:formula1>
            <xm:f>'DATOS INICIALES'!$A$61:$A$66</xm:f>
          </x14:formula1>
          <xm:sqref>D25:I25</xm:sqref>
        </x14:dataValidation>
        <x14:dataValidation type="list" allowBlank="1" showInputMessage="1" showErrorMessage="1" xr:uid="{00000000-0002-0000-5700-000005000000}">
          <x14:formula1>
            <xm:f>'DATOS INICIALES'!$A$57:$A$59</xm:f>
          </x14:formula1>
          <xm:sqref>D71 D56:J66</xm:sqref>
        </x14:dataValidation>
        <x14:dataValidation type="list" allowBlank="1" showInputMessage="1" showErrorMessage="1" xr:uid="{00000000-0002-0000-5700-000006000000}">
          <x14:formula1>
            <xm:f>'DATOS INICIALES'!$C$52:$C$53</xm:f>
          </x14:formula1>
          <xm:sqref>D53:J54</xm:sqref>
        </x14:dataValidation>
        <x14:dataValidation type="list" allowBlank="1" showInputMessage="1" showErrorMessage="1" xr:uid="{00000000-0002-0000-5700-000007000000}">
          <x14:formula1>
            <xm:f>'DATOS INICIALES'!$A$61:$A$67</xm:f>
          </x14:formula1>
          <xm:sqref>J25</xm:sqref>
        </x14:dataValidation>
        <x14:dataValidation type="list" allowBlank="1" showInputMessage="1" showErrorMessage="1" xr:uid="{00000000-0002-0000-5700-000008000000}">
          <x14:formula1>
            <xm:f>'DATOS INICIALES'!$A$57:$A$58</xm:f>
          </x14:formula1>
          <xm:sqref>D49:J49</xm:sqref>
        </x14:dataValidation>
        <x14:dataValidation type="list" allowBlank="1" showInputMessage="1" showErrorMessage="1" xr:uid="{00000000-0002-0000-5700-000009000000}">
          <x14:formula1>
            <xm:f>'DATOS INICIALES'!$C$52:$C$54</xm:f>
          </x14:formula1>
          <xm:sqref>D50:J52</xm:sqref>
        </x14:dataValidation>
        <x14:dataValidation type="list" allowBlank="1" showInputMessage="1" showErrorMessage="1" xr:uid="{00000000-0002-0000-5700-00000A000000}">
          <x14:formula1>
            <xm:f>'/Users/ldrr/Desktop/SDDE/REVISION DE CARPETAS/C:\Users\ASUS\OneDrive\Escritorio\alcaldia local de usaquen\2025\16. EVALUACION DE PROCESOS\INTERVENTORIA DE VIAS\consolidado equipo\[ALBERT_ Evaluación_Tecnica_Albert Bahamon.xlsx]DATOS INICIALES'!#REF!</xm:f>
          </x14:formula1>
          <xm:sqref>G33</xm:sqref>
        </x14:dataValidation>
      </x14:dataValidations>
    </ext>
  </extLst>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sheetPr>
    <tabColor rgb="FF92D050"/>
  </sheetPr>
  <dimension ref="A1:N72"/>
  <sheetViews>
    <sheetView view="pageBreakPreview" topLeftCell="A36" zoomScale="40" zoomScaleNormal="25" zoomScaleSheetLayoutView="40" workbookViewId="0">
      <selection activeCell="E45" sqref="E45"/>
    </sheetView>
  </sheetViews>
  <sheetFormatPr baseColWidth="10" defaultColWidth="11.5" defaultRowHeight="15" x14ac:dyDescent="0.2"/>
  <cols>
    <col min="1" max="1" width="5.5" customWidth="1"/>
    <col min="2" max="2" width="30.83203125" customWidth="1"/>
    <col min="3" max="3" width="63.1640625" customWidth="1"/>
    <col min="4" max="4" width="46.5" customWidth="1"/>
    <col min="5" max="5" width="50.5" customWidth="1"/>
    <col min="6" max="7" width="26.1640625" customWidth="1"/>
    <col min="8" max="8" width="48.33203125" customWidth="1"/>
    <col min="9" max="9" width="26.1640625" customWidth="1"/>
    <col min="10" max="10" width="27.83203125" customWidth="1"/>
    <col min="11" max="11" width="27.5" customWidth="1"/>
    <col min="12" max="12" width="48.6640625" customWidth="1"/>
    <col min="14" max="14" width="18.832031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83</v>
      </c>
      <c r="B11" s="2" t="s">
        <v>58</v>
      </c>
      <c r="C11" s="413" t="str">
        <f>VLOOKUP(A11,PROPONENTES!A10:B94,2,FALSE)</f>
        <v>CONSORCIO INTERVENTORES GTI 003</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3</v>
      </c>
      <c r="J14" s="147">
        <f>+L8</f>
        <v>986.3076290832455</v>
      </c>
      <c r="K14" s="147">
        <f>+E22</f>
        <v>13052.199999999999</v>
      </c>
      <c r="L14" s="18" t="str">
        <f>IF(K14&gt;=J14,"CUMPLE","NO CUMPLE")</f>
        <v>CUMPLE</v>
      </c>
    </row>
    <row r="15" spans="1:12" ht="33.75" customHeight="1" x14ac:dyDescent="0.2">
      <c r="B15" s="382"/>
      <c r="C15" s="92" t="str">
        <f>IF(VLOOKUP(C11,PROPONENTES!B10:N94,2,FALSE)=0,"",VLOOKUP(C11,PROPONENTES!B10:N94,2,FALSE))</f>
        <v>GITAI GROUP S.A.S. BIC</v>
      </c>
      <c r="D15" s="93">
        <f>IF(VLOOKUP(C11,PROPONENTES!B10:N94,3,FALSE)=0,"",VLOOKUP(C11,PROPONENTES!B10:N94,3,FALSE))</f>
        <v>0.1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0</v>
      </c>
      <c r="F15" s="95" t="str">
        <f>IF(C15="","",IF(E15&gt;=$J$14*0.5,"SI","NO"))</f>
        <v>NO</v>
      </c>
      <c r="G15" s="96" t="str">
        <f>IF(C15="","",IF(E15&gt;=$J$14*0.05,"SI",IF(E15=0,"NO APORTA EXPERIENCIA",)))</f>
        <v>NO APORTA EXPERIENCIA</v>
      </c>
      <c r="H15" s="96" t="str">
        <f>IF(C15="","",IF(AND(G15="NO APORTA EXPERIENCIA",D15&lt;=10%),"SI",IF(G15="SI","NO APLICA","NO - PORCENTAJE MAYOR AL 10%")))</f>
        <v>SI</v>
      </c>
      <c r="I15" s="162"/>
      <c r="J15" s="162"/>
      <c r="K15" s="162"/>
      <c r="L15" s="173" t="s">
        <v>72</v>
      </c>
    </row>
    <row r="16" spans="1:12" ht="33.75" customHeight="1" x14ac:dyDescent="0.2">
      <c r="B16" s="382"/>
      <c r="C16" s="92" t="str">
        <f>IF(VLOOKUP(C11,PROPONENTES!B10:N94,4,FALSE)=0,"",VLOOKUP(C11,PROPONENTES!B10:N94,4,FALSE))</f>
        <v>INFRAESTRUCTURAS E INGENIERIA GLOBAL S.A.S</v>
      </c>
      <c r="D16" s="93">
        <f>IF(VLOOKUP(C11,PROPONENTES!B10:N94,5,FALSE)=0,"",VLOOKUP(C11,PROPONENTES!B10:N94,5,FALSE))</f>
        <v>0.45</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1877.5440000000001</v>
      </c>
      <c r="F16" s="95" t="str">
        <f>IF(C16="","",IF(E16&gt;=$J$14*0.5,"SI","NO"))</f>
        <v>SI</v>
      </c>
      <c r="G16" s="96" t="str">
        <f>IF(C16="","",IF(E16&gt;=$J$14*0.05,"SI",IF(E16=0,"NO APORTA EXPERIENCIA",)))</f>
        <v>SI</v>
      </c>
      <c r="H16" s="96" t="str">
        <f>IF(C16="","",IF(AND(G16="NO APORTA EXPERIENCIA",D16&lt;=10%),"SI",IF(G16="SI","NO APLICA","NO - PORCENTAJE MAYOR AL 10%")))</f>
        <v>NO APLICA</v>
      </c>
      <c r="I16" s="162"/>
      <c r="J16" s="162"/>
      <c r="K16" s="162"/>
      <c r="L16" s="161">
        <f>AVERAGEIF(D67:J67,"CUMPLE",D48:J48)</f>
        <v>4350.7333333333336</v>
      </c>
    </row>
    <row r="17" spans="2:14" ht="33.75" customHeight="1" x14ac:dyDescent="0.2">
      <c r="B17" s="382"/>
      <c r="C17" s="92" t="str">
        <f>IF(VLOOKUP(C11,PROPONENTES!B10:N94,6,FALSE)=0,"",VLOOKUP(C11,PROPONENTES!B10:N94,6,FALSE))</f>
        <v>TLL ARQUITECTOS E INGENIEROS S.A.S.</v>
      </c>
      <c r="D17" s="93">
        <f>IF(VLOOKUP(C11,PROPONENTES!B10:N94,7,FALSE)=0,"",VLOOKUP(C11,PROPONENTES!B10:N94,7,FALSE))</f>
        <v>0.45</v>
      </c>
      <c r="E17" s="94">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11174.655999999999</v>
      </c>
      <c r="F17" s="95" t="str">
        <f>IF(C17="","",IF(E17&gt;=$J$14*0.5,"SI","NO"))</f>
        <v>SI</v>
      </c>
      <c r="G17" s="96" t="str">
        <f>IF(C17="","",IF(E17&gt;=$J$14*0.05,"SI",IF(E17=0,"NO APORTA EXPERIENCIA",)))</f>
        <v>SI</v>
      </c>
      <c r="H17" s="96" t="str">
        <f>IF(C17="","",IF(AND(G17="NO APORTA EXPERIENCIA",D17&lt;=10%),"SI",IF(G17="SI","NO APLICA","NO - PORCENTAJE MAYOR AL 10%")))</f>
        <v>NO APLICA</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3</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3</v>
      </c>
      <c r="J19" s="128">
        <v>1</v>
      </c>
      <c r="K19" s="387"/>
      <c r="L19" s="388"/>
    </row>
    <row r="20" spans="2:14" ht="50.25" customHeight="1" x14ac:dyDescent="0.2">
      <c r="B20" s="382"/>
      <c r="C20" s="92"/>
      <c r="D20" s="93"/>
      <c r="E20" s="94"/>
      <c r="F20" s="95"/>
      <c r="G20" s="96"/>
      <c r="H20" s="96"/>
      <c r="I20" s="128">
        <f>COUNTIFS(D60:J60,"CUMPLE",D67:J67,"CUMPLE")</f>
        <v>3</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3</v>
      </c>
      <c r="J21" s="128">
        <v>1</v>
      </c>
      <c r="K21" s="389"/>
      <c r="L21" s="390"/>
    </row>
    <row r="22" spans="2:14" ht="84.75" customHeight="1" x14ac:dyDescent="0.2">
      <c r="B22" s="29" t="s">
        <v>75</v>
      </c>
      <c r="C22" s="24">
        <f>+VLOOKUP(C11,PROPONENTES!B10:N94,12,FALSE)</f>
        <v>3</v>
      </c>
      <c r="D22" s="93">
        <f>+VLOOKUP(C11,PROPONENTES!B10:N94,13,FALSE)</f>
        <v>1</v>
      </c>
      <c r="E22" s="32">
        <f>SUM(E15:E21)</f>
        <v>13052.199999999999</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3">
      <c r="B24" s="379" t="str">
        <f>CONCATENATE("ACREDITACION EXPERIENCIA ",'DATOS INICIALES'!G4)</f>
        <v>ACREDITACION EXPERIENCIA  FDLUSA-CMA-003-2025</v>
      </c>
      <c r="C24" s="380"/>
      <c r="D24" s="380"/>
      <c r="E24" s="380"/>
      <c r="F24" s="380"/>
      <c r="G24" s="380"/>
      <c r="H24" s="380"/>
      <c r="I24" s="380"/>
      <c r="J24" s="380"/>
      <c r="K24" s="380"/>
      <c r="L24" s="381"/>
      <c r="N24" s="227"/>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1155</v>
      </c>
      <c r="E26" s="84" t="s">
        <v>1155</v>
      </c>
      <c r="F26" s="84" t="s">
        <v>1155</v>
      </c>
      <c r="G26" s="84"/>
      <c r="H26" s="84"/>
      <c r="I26" s="84"/>
      <c r="J26" s="84"/>
      <c r="K26" s="145"/>
      <c r="L26" s="140"/>
    </row>
    <row r="27" spans="2:14" ht="39.75" customHeight="1" x14ac:dyDescent="0.2">
      <c r="B27" s="371" t="s">
        <v>80</v>
      </c>
      <c r="C27" s="372"/>
      <c r="D27" s="84" t="s">
        <v>1154</v>
      </c>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1247</v>
      </c>
      <c r="E29" s="85"/>
      <c r="F29" s="85" t="s">
        <v>1248</v>
      </c>
      <c r="G29" s="85"/>
      <c r="H29" s="85"/>
      <c r="I29" s="85"/>
      <c r="J29" s="85"/>
      <c r="K29" s="145"/>
      <c r="L29" s="140"/>
    </row>
    <row r="30" spans="2:14" ht="264.5" customHeight="1" x14ac:dyDescent="0.2">
      <c r="B30" s="374"/>
      <c r="C30" s="25" t="s">
        <v>84</v>
      </c>
      <c r="D30" s="85" t="s">
        <v>1249</v>
      </c>
      <c r="E30" s="85" t="s">
        <v>1250</v>
      </c>
      <c r="F30" s="85" t="s">
        <v>1251</v>
      </c>
      <c r="G30" s="85"/>
      <c r="H30" s="85"/>
      <c r="I30" s="85"/>
      <c r="J30" s="85"/>
      <c r="K30" s="145"/>
      <c r="L30" s="140"/>
    </row>
    <row r="31" spans="2:14" ht="52.5" customHeight="1" x14ac:dyDescent="0.2">
      <c r="B31" s="374"/>
      <c r="C31" s="25" t="s">
        <v>85</v>
      </c>
      <c r="D31" s="89">
        <v>42081</v>
      </c>
      <c r="E31" s="89">
        <v>37210</v>
      </c>
      <c r="F31" s="89">
        <v>43514</v>
      </c>
      <c r="G31" s="89"/>
      <c r="H31" s="89"/>
      <c r="I31" s="89"/>
      <c r="J31" s="89"/>
      <c r="K31" s="145"/>
      <c r="L31" s="140"/>
    </row>
    <row r="32" spans="2:14" ht="54.75" customHeight="1" x14ac:dyDescent="0.2">
      <c r="B32" s="374"/>
      <c r="C32" s="25" t="s">
        <v>86</v>
      </c>
      <c r="D32" s="89">
        <v>43011</v>
      </c>
      <c r="E32" s="89">
        <v>39699</v>
      </c>
      <c r="F32" s="89">
        <v>43938</v>
      </c>
      <c r="G32" s="89"/>
      <c r="H32" s="89"/>
      <c r="I32" s="89"/>
      <c r="J32" s="89"/>
      <c r="K32" s="145"/>
      <c r="L32" s="140"/>
    </row>
    <row r="33" spans="2:12" ht="41.25" customHeight="1" x14ac:dyDescent="0.2">
      <c r="B33" s="374"/>
      <c r="C33" s="25" t="s">
        <v>87</v>
      </c>
      <c r="D33" s="86">
        <v>2017</v>
      </c>
      <c r="E33" s="86">
        <v>2008</v>
      </c>
      <c r="F33" s="86">
        <v>2020</v>
      </c>
      <c r="G33" s="86"/>
      <c r="H33" s="86"/>
      <c r="I33" s="86"/>
      <c r="J33" s="86"/>
      <c r="K33" s="145"/>
      <c r="L33" s="140"/>
    </row>
    <row r="34" spans="2:12" ht="63" customHeight="1" x14ac:dyDescent="0.2">
      <c r="B34" s="374"/>
      <c r="C34" s="25" t="s">
        <v>88</v>
      </c>
      <c r="D34" s="85" t="s">
        <v>1252</v>
      </c>
      <c r="E34" s="85" t="s">
        <v>1253</v>
      </c>
      <c r="F34" s="85" t="s">
        <v>1254</v>
      </c>
      <c r="G34" s="85"/>
      <c r="H34" s="85"/>
      <c r="I34" s="85"/>
      <c r="J34" s="85"/>
      <c r="K34" s="145"/>
      <c r="L34" s="140"/>
    </row>
    <row r="35" spans="2:12" ht="46.5" customHeight="1" x14ac:dyDescent="0.2">
      <c r="B35" s="374"/>
      <c r="C35" s="25" t="s">
        <v>89</v>
      </c>
      <c r="D35" s="85" t="s">
        <v>1255</v>
      </c>
      <c r="E35" s="85" t="s">
        <v>1256</v>
      </c>
      <c r="F35" s="85" t="s">
        <v>1257</v>
      </c>
      <c r="G35" s="85"/>
      <c r="H35" s="85"/>
      <c r="I35" s="85"/>
      <c r="J35" s="85"/>
      <c r="K35" s="145"/>
      <c r="L35" s="140"/>
    </row>
    <row r="36" spans="2:12" ht="27.75" customHeight="1" x14ac:dyDescent="0.2">
      <c r="B36" s="374"/>
      <c r="C36" s="26" t="s">
        <v>90</v>
      </c>
      <c r="D36" s="90" t="s">
        <v>1258</v>
      </c>
      <c r="E36" s="90">
        <v>41</v>
      </c>
      <c r="F36" s="90">
        <v>49</v>
      </c>
      <c r="G36" s="91"/>
      <c r="H36" s="91"/>
      <c r="I36" s="91"/>
      <c r="J36" s="91"/>
      <c r="K36" s="145"/>
      <c r="L36" s="140"/>
    </row>
    <row r="37" spans="2:12" ht="102.75" customHeight="1" x14ac:dyDescent="0.2">
      <c r="B37" s="374"/>
      <c r="C37" s="25" t="s">
        <v>91</v>
      </c>
      <c r="D37" s="87">
        <v>7823.1</v>
      </c>
      <c r="E37" s="87">
        <v>5453.11</v>
      </c>
      <c r="F37" s="87">
        <v>3463.53</v>
      </c>
      <c r="G37" s="87"/>
      <c r="H37" s="87"/>
      <c r="I37" s="87"/>
      <c r="J37" s="87"/>
      <c r="K37" s="242"/>
      <c r="L37" s="243"/>
    </row>
    <row r="38" spans="2:12" ht="48" customHeight="1" x14ac:dyDescent="0.2">
      <c r="B38" s="374"/>
      <c r="C38" s="25" t="s">
        <v>92</v>
      </c>
      <c r="D38" s="97">
        <f>IFERROR(D37*VLOOKUP(D33,'DATOS INICIALES'!$A$12:$B$50,2,0),"0")</f>
        <v>5771233862.6999998</v>
      </c>
      <c r="E38" s="97">
        <f>IFERROR(E37*VLOOKUP(E33,'DATOS INICIALES'!$A$12:$B$50,2,0),"0")</f>
        <v>2516610265</v>
      </c>
      <c r="F38" s="97">
        <f>IFERROR(F37*VLOOKUP(F33,'DATOS INICIALES'!$A$12:$B$50,2,0),"0")</f>
        <v>3040297024.5900002</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0.51</v>
      </c>
      <c r="E39" s="88">
        <v>1</v>
      </c>
      <c r="F39" s="88">
        <v>0.5</v>
      </c>
      <c r="G39" s="88"/>
      <c r="H39" s="88"/>
      <c r="I39" s="88"/>
      <c r="J39" s="88"/>
      <c r="K39" s="145"/>
      <c r="L39" s="140"/>
    </row>
    <row r="40" spans="2:12" ht="48.75" customHeight="1" x14ac:dyDescent="0.2">
      <c r="B40" s="374"/>
      <c r="C40" s="25" t="s">
        <v>94</v>
      </c>
      <c r="D40" s="97">
        <f t="shared" ref="D40:J40" si="0">IF(D26="","0",D39*D38)</f>
        <v>2943329269.9769998</v>
      </c>
      <c r="E40" s="97">
        <f t="shared" si="0"/>
        <v>2516610265</v>
      </c>
      <c r="F40" s="97">
        <f t="shared" si="0"/>
        <v>1520148512.2950001</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3989.7810000000004</v>
      </c>
      <c r="E41" s="98">
        <f t="shared" si="1"/>
        <v>5453.11</v>
      </c>
      <c r="F41" s="98">
        <f t="shared" si="1"/>
        <v>1731.7650000000001</v>
      </c>
      <c r="G41" s="98">
        <f t="shared" si="1"/>
        <v>0</v>
      </c>
      <c r="H41" s="98">
        <f t="shared" si="1"/>
        <v>0</v>
      </c>
      <c r="I41" s="98">
        <f t="shared" si="1"/>
        <v>0</v>
      </c>
      <c r="J41" s="98">
        <f t="shared" si="1"/>
        <v>0</v>
      </c>
      <c r="K41" s="145"/>
      <c r="L41" s="140"/>
    </row>
    <row r="42" spans="2:12" ht="65.25" customHeight="1" x14ac:dyDescent="0.2">
      <c r="B42" s="374"/>
      <c r="C42" s="25" t="s">
        <v>96</v>
      </c>
      <c r="D42" s="88">
        <v>0.24</v>
      </c>
      <c r="E42" s="88"/>
      <c r="F42" s="88"/>
      <c r="G42" s="88"/>
      <c r="H42" s="88"/>
      <c r="I42" s="88"/>
      <c r="J42" s="88"/>
      <c r="K42" s="145"/>
      <c r="L42" s="140"/>
    </row>
    <row r="43" spans="2:12" ht="65.25" customHeight="1" x14ac:dyDescent="0.2">
      <c r="B43" s="374"/>
      <c r="C43" s="25" t="s">
        <v>97</v>
      </c>
      <c r="D43" s="99">
        <f t="shared" ref="D43:J43" si="2">IF(D27="","0",D42*D38)</f>
        <v>1385096127.0479999</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1877.5440000000001</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5867.3250000000007</v>
      </c>
      <c r="E48" s="98">
        <f t="shared" ref="E48:G48" si="6">+E41+E44+E47</f>
        <v>5453.11</v>
      </c>
      <c r="F48" s="98">
        <f t="shared" si="6"/>
        <v>1731.7650000000001</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0:C70"/>
    <mergeCell ref="B71:C71"/>
    <mergeCell ref="B72:C72"/>
    <mergeCell ref="B65:C65"/>
    <mergeCell ref="B66:C66"/>
    <mergeCell ref="B67:C67"/>
    <mergeCell ref="B69:E69"/>
    <mergeCell ref="B62:C62"/>
    <mergeCell ref="B63:C63"/>
    <mergeCell ref="B64:C64"/>
    <mergeCell ref="B59:C59"/>
    <mergeCell ref="B60:C60"/>
    <mergeCell ref="B61:C61"/>
    <mergeCell ref="B56:C56"/>
    <mergeCell ref="B57:C57"/>
    <mergeCell ref="B58:C58"/>
    <mergeCell ref="B50:B55"/>
    <mergeCell ref="B28:C28"/>
    <mergeCell ref="B29:B47"/>
    <mergeCell ref="I22:L22"/>
    <mergeCell ref="B12:L12"/>
    <mergeCell ref="B13:H13"/>
    <mergeCell ref="B14:B21"/>
    <mergeCell ref="K17:L17"/>
    <mergeCell ref="K18:L21"/>
    <mergeCell ref="B24:L24"/>
    <mergeCell ref="K25:L25"/>
    <mergeCell ref="B26:C26"/>
    <mergeCell ref="B27:C27"/>
    <mergeCell ref="B23:L23"/>
    <mergeCell ref="C8:I8"/>
    <mergeCell ref="C9:I9"/>
    <mergeCell ref="C10:I10"/>
    <mergeCell ref="C11:G11"/>
    <mergeCell ref="B2:L2"/>
    <mergeCell ref="B3:L3"/>
    <mergeCell ref="B4:L4"/>
    <mergeCell ref="B5:L5"/>
    <mergeCell ref="B7:I7"/>
    <mergeCell ref="J7:L7"/>
    <mergeCell ref="I11:L11"/>
  </mergeCells>
  <conditionalFormatting sqref="D71">
    <cfRule type="cellIs" dxfId="673" priority="98" operator="equal">
      <formula>"NO CUMPLE"</formula>
    </cfRule>
    <cfRule type="containsBlanks" dxfId="672" priority="96">
      <formula>LEN(TRIM(D71))=0</formula>
    </cfRule>
    <cfRule type="cellIs" dxfId="671" priority="99" operator="equal">
      <formula>"CUMPLE"</formula>
    </cfRule>
    <cfRule type="notContainsErrors" dxfId="670" priority="97">
      <formula>NOT(ISERROR(D71))</formula>
    </cfRule>
  </conditionalFormatting>
  <conditionalFormatting sqref="D72">
    <cfRule type="cellIs" dxfId="669" priority="100" operator="equal">
      <formula>"N/A"</formula>
    </cfRule>
    <cfRule type="cellIs" dxfId="668" priority="102" operator="equal">
      <formula>"NO CUMPLE"</formula>
    </cfRule>
    <cfRule type="cellIs" dxfId="667" priority="101" operator="equal">
      <formula>"CUMPLE"</formula>
    </cfRule>
    <cfRule type="cellIs" dxfId="666" priority="103" operator="equal">
      <formula>"""CUMPLE"""</formula>
    </cfRule>
  </conditionalFormatting>
  <conditionalFormatting sqref="D26:J37">
    <cfRule type="containsBlanks" dxfId="665" priority="5">
      <formula>LEN(TRIM(D26))=0</formula>
    </cfRule>
    <cfRule type="notContainsErrors" dxfId="664" priority="6">
      <formula>NOT(ISERROR(D26))</formula>
    </cfRule>
  </conditionalFormatting>
  <conditionalFormatting sqref="D36:J36">
    <cfRule type="containsBlanks" dxfId="663" priority="7">
      <formula>LEN(TRIM(D36))=0</formula>
    </cfRule>
    <cfRule type="notContainsErrors" dxfId="662" priority="8">
      <formula>NOT(ISERROR(D36))</formula>
    </cfRule>
  </conditionalFormatting>
  <conditionalFormatting sqref="D39:J39">
    <cfRule type="notContainsErrors" dxfId="661" priority="4">
      <formula>NOT(ISERROR(D39))</formula>
    </cfRule>
    <cfRule type="containsBlanks" dxfId="660" priority="3">
      <formula>LEN(TRIM(D39))=0</formula>
    </cfRule>
  </conditionalFormatting>
  <conditionalFormatting sqref="D42:J42">
    <cfRule type="containsBlanks" dxfId="659" priority="1">
      <formula>LEN(TRIM(D42))=0</formula>
    </cfRule>
    <cfRule type="notContainsErrors" dxfId="658" priority="2">
      <formula>NOT(ISERROR(D42))</formula>
    </cfRule>
  </conditionalFormatting>
  <conditionalFormatting sqref="D45:J45">
    <cfRule type="notContainsErrors" dxfId="657" priority="64">
      <formula>NOT(ISERROR(D45))</formula>
    </cfRule>
    <cfRule type="containsBlanks" dxfId="656" priority="63">
      <formula>LEN(TRIM(D45))=0</formula>
    </cfRule>
  </conditionalFormatting>
  <conditionalFormatting sqref="D49:J54">
    <cfRule type="cellIs" dxfId="655" priority="19" operator="equal">
      <formula>"NO CUMPLE"</formula>
    </cfRule>
    <cfRule type="cellIs" dxfId="654" priority="20" operator="equal">
      <formula>"CUMPLE"</formula>
    </cfRule>
    <cfRule type="containsBlanks" dxfId="653" priority="21">
      <formula>LEN(TRIM(D49))=0</formula>
    </cfRule>
    <cfRule type="notContainsErrors" dxfId="652" priority="22">
      <formula>NOT(ISERROR(D49))</formula>
    </cfRule>
  </conditionalFormatting>
  <conditionalFormatting sqref="D55:J55">
    <cfRule type="cellIs" dxfId="651" priority="29" operator="equal">
      <formula>"N/A"</formula>
    </cfRule>
    <cfRule type="cellIs" dxfId="650" priority="32" operator="equal">
      <formula>"""CUMPLE"""</formula>
    </cfRule>
    <cfRule type="cellIs" dxfId="649" priority="31" operator="equal">
      <formula>"NO CUMPLE"</formula>
    </cfRule>
    <cfRule type="cellIs" dxfId="648" priority="30" operator="equal">
      <formula>"CUMPLE"</formula>
    </cfRule>
  </conditionalFormatting>
  <conditionalFormatting sqref="D56:J66">
    <cfRule type="cellIs" dxfId="647" priority="13" operator="equal">
      <formula>"NO CUMPLE"</formula>
    </cfRule>
    <cfRule type="notContainsErrors" dxfId="646" priority="16">
      <formula>NOT(ISERROR(D56))</formula>
    </cfRule>
    <cfRule type="cellIs" dxfId="645" priority="14" operator="equal">
      <formula>"CUMPLE"</formula>
    </cfRule>
    <cfRule type="containsBlanks" dxfId="644" priority="15">
      <formula>LEN(TRIM(D56))=0</formula>
    </cfRule>
  </conditionalFormatting>
  <conditionalFormatting sqref="D67:J67">
    <cfRule type="cellIs" dxfId="643" priority="25" operator="equal">
      <formula>"N/A"</formula>
    </cfRule>
    <cfRule type="cellIs" dxfId="642" priority="26" operator="equal">
      <formula>"CUMPLE"</formula>
    </cfRule>
    <cfRule type="cellIs" dxfId="641" priority="28" operator="equal">
      <formula>"""CUMPLE"""</formula>
    </cfRule>
    <cfRule type="cellIs" dxfId="640" priority="27" operator="equal">
      <formula>"NO CUMPLE"</formula>
    </cfRule>
  </conditionalFormatting>
  <conditionalFormatting sqref="D62:K66">
    <cfRule type="containsBlanks" dxfId="639" priority="17">
      <formula>LEN(TRIM(D62))=0</formula>
    </cfRule>
    <cfRule type="notContainsErrors" dxfId="638" priority="18">
      <formula>NOT(ISERROR(D62))</formula>
    </cfRule>
  </conditionalFormatting>
  <conditionalFormatting sqref="E71:E72">
    <cfRule type="notContainsErrors" dxfId="637" priority="95">
      <formula>NOT(ISERROR(E71))</formula>
    </cfRule>
    <cfRule type="containsBlanks" dxfId="636" priority="94">
      <formula>LEN(TRIM(E71))=0</formula>
    </cfRule>
  </conditionalFormatting>
  <conditionalFormatting sqref="F22:H22">
    <cfRule type="cellIs" dxfId="635" priority="118" operator="equal">
      <formula>"NO CUMPLE"</formula>
    </cfRule>
    <cfRule type="cellIs" dxfId="634" priority="119" operator="equal">
      <formula>"""CUMPLE"""</formula>
    </cfRule>
    <cfRule type="cellIs" dxfId="633" priority="117" operator="equal">
      <formula>"CUMPLE"</formula>
    </cfRule>
  </conditionalFormatting>
  <conditionalFormatting sqref="G63:J63">
    <cfRule type="containsBlanks" dxfId="632" priority="9">
      <formula>LEN(TRIM(G63))=0</formula>
    </cfRule>
    <cfRule type="notContainsErrors" dxfId="631" priority="10">
      <formula>NOT(ISERROR(G63))</formula>
    </cfRule>
  </conditionalFormatting>
  <conditionalFormatting sqref="I11">
    <cfRule type="containsText" dxfId="630" priority="123" operator="containsText" text="NO CUMPLE">
      <formula>NOT(ISERROR(SEARCH("NO CUMPLE",I11)))</formula>
    </cfRule>
    <cfRule type="containsText" dxfId="629" priority="122" operator="containsText" text="HABILITADO">
      <formula>NOT(ISERROR(SEARCH("HABILITADO",I11)))</formula>
    </cfRule>
    <cfRule type="containsText" dxfId="628" priority="121" operator="containsText" text="HABILITADO">
      <formula>NOT(ISERROR(SEARCH("HABILITADO",I11)))</formula>
    </cfRule>
    <cfRule type="containsText" dxfId="627" priority="120" operator="containsText" text="INHABILITADO">
      <formula>NOT(ISERROR(SEARCH("INHABILITADO",I11)))</formula>
    </cfRule>
  </conditionalFormatting>
  <conditionalFormatting sqref="K18:K20">
    <cfRule type="cellIs" dxfId="626" priority="92" operator="equal">
      <formula>"NO CUMPLE"</formula>
    </cfRule>
    <cfRule type="cellIs" dxfId="625" priority="93" operator="equal">
      <formula>"""CUMPLE"""</formula>
    </cfRule>
    <cfRule type="cellIs" dxfId="624" priority="91" operator="equal">
      <formula>"CUMPLE"</formula>
    </cfRule>
  </conditionalFormatting>
  <conditionalFormatting sqref="K26:K61 D62:J62">
    <cfRule type="containsBlanks" dxfId="623" priority="11">
      <formula>LEN(TRIM(D26))=0</formula>
    </cfRule>
    <cfRule type="notContainsErrors" dxfId="622" priority="12">
      <formula>NOT(ISERROR(D26))</formula>
    </cfRule>
  </conditionalFormatting>
  <conditionalFormatting sqref="K67:L67">
    <cfRule type="containsBlanks" dxfId="621" priority="23">
      <formula>LEN(TRIM(K67))=0</formula>
    </cfRule>
    <cfRule type="notContainsErrors" dxfId="620" priority="24">
      <formula>NOT(ISERROR(K67))</formula>
    </cfRule>
  </conditionalFormatting>
  <conditionalFormatting sqref="L14">
    <cfRule type="cellIs" dxfId="619" priority="116" operator="equal">
      <formula>"""CUMPLE"""</formula>
    </cfRule>
    <cfRule type="cellIs" dxfId="618" priority="115" operator="equal">
      <formula>"NO CUMPLE"</formula>
    </cfRule>
    <cfRule type="cellIs" dxfId="617" priority="114" operator="equal">
      <formula>"CUMPLE"</formula>
    </cfRule>
  </conditionalFormatting>
  <dataValidations count="2">
    <dataValidation type="list" allowBlank="1" showInputMessage="1" showErrorMessage="1" sqref="L62:L67" xr:uid="{00000000-0002-0000-5800-000000000000}">
      <formula1>"0,1,2,3,4,5,6"</formula1>
    </dataValidation>
    <dataValidation type="list" allowBlank="1" showInputMessage="1" showErrorMessage="1" sqref="D26:J28" xr:uid="{00000000-0002-0000-58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5800-000002000000}">
          <x14:formula1>
            <xm:f>'DATOS INICIALES'!$D$27:$D$29</xm:f>
          </x14:formula1>
          <xm:sqref>M50:M55</xm:sqref>
        </x14:dataValidation>
        <x14:dataValidation type="list" allowBlank="1" showInputMessage="1" showErrorMessage="1" xr:uid="{00000000-0002-0000-5800-000003000000}">
          <x14:formula1>
            <xm:f>'DATOS INICIALES'!$A$57:$A$58</xm:f>
          </x14:formula1>
          <xm:sqref>D49:J49</xm:sqref>
        </x14:dataValidation>
        <x14:dataValidation type="list" allowBlank="1" showInputMessage="1" showErrorMessage="1" xr:uid="{00000000-0002-0000-5800-000004000000}">
          <x14:formula1>
            <xm:f>'DATOS INICIALES'!$A$61:$A$67</xm:f>
          </x14:formula1>
          <xm:sqref>J25</xm:sqref>
        </x14:dataValidation>
        <x14:dataValidation type="list" allowBlank="1" showInputMessage="1" showErrorMessage="1" xr:uid="{00000000-0002-0000-5800-000005000000}">
          <x14:formula1>
            <xm:f>'DATOS INICIALES'!$C$52:$C$53</xm:f>
          </x14:formula1>
          <xm:sqref>D53:J54</xm:sqref>
        </x14:dataValidation>
        <x14:dataValidation type="list" allowBlank="1" showInputMessage="1" showErrorMessage="1" xr:uid="{00000000-0002-0000-5800-000006000000}">
          <x14:formula1>
            <xm:f>'DATOS INICIALES'!$A$57:$A$59</xm:f>
          </x14:formula1>
          <xm:sqref>D71 D56:J66</xm:sqref>
        </x14:dataValidation>
        <x14:dataValidation type="list" allowBlank="1" showInputMessage="1" showErrorMessage="1" xr:uid="{00000000-0002-0000-5800-000007000000}">
          <x14:formula1>
            <xm:f>'DATOS INICIALES'!$A$61:$A$66</xm:f>
          </x14:formula1>
          <xm:sqref>D25:I25</xm:sqref>
        </x14:dataValidation>
        <x14:dataValidation type="list" allowBlank="1" showInputMessage="1" showErrorMessage="1" xr:uid="{00000000-0002-0000-5800-000008000000}">
          <x14:formula1>
            <xm:f>'DATOS INICIALES'!$A$13:$A$50</xm:f>
          </x14:formula1>
          <xm:sqref>G33:I33</xm:sqref>
        </x14:dataValidation>
        <x14:dataValidation type="list" allowBlank="1" showInputMessage="1" showErrorMessage="1" xr:uid="{00000000-0002-0000-5800-000009000000}">
          <x14:formula1>
            <xm:f>'DATOS INICIALES'!$C$52:$C$54</xm:f>
          </x14:formula1>
          <xm:sqref>D50:J52</xm:sqref>
        </x14:dataValidation>
      </x14:dataValidations>
    </ext>
  </extLst>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900-000000000000}">
  <sheetPr>
    <tabColor rgb="FF92D050"/>
  </sheetPr>
  <dimension ref="A1:N72"/>
  <sheetViews>
    <sheetView view="pageBreakPreview" topLeftCell="A22" zoomScale="40" zoomScaleNormal="25" zoomScaleSheetLayoutView="40" workbookViewId="0">
      <selection activeCell="F42" sqref="F42"/>
    </sheetView>
  </sheetViews>
  <sheetFormatPr baseColWidth="10" defaultColWidth="11.5" defaultRowHeight="15" x14ac:dyDescent="0.2"/>
  <cols>
    <col min="1" max="1" width="5.5" customWidth="1"/>
    <col min="2" max="2" width="30.83203125" customWidth="1"/>
    <col min="3" max="3" width="63.1640625" customWidth="1"/>
    <col min="4" max="4" width="69.6640625" customWidth="1"/>
    <col min="5" max="5" width="49.83203125" customWidth="1"/>
    <col min="6" max="6" width="53.83203125" customWidth="1"/>
    <col min="7"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84</v>
      </c>
      <c r="B11" s="2" t="s">
        <v>58</v>
      </c>
      <c r="C11" s="413" t="str">
        <f>VLOOKUP(A11,PROPONENTES!A10:B94,2,FALSE)</f>
        <v>INGCONSASAS</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4</v>
      </c>
      <c r="J14" s="147">
        <f>+L8</f>
        <v>986.3076290832455</v>
      </c>
      <c r="K14" s="147">
        <f>+E22</f>
        <v>7796.48</v>
      </c>
      <c r="L14" s="18" t="str">
        <f>IF(K14&gt;=J14,"CUMPLE","NO CUMPLE")</f>
        <v>CUMPLE</v>
      </c>
    </row>
    <row r="15" spans="1:12" ht="33.75" customHeight="1" x14ac:dyDescent="0.2">
      <c r="B15" s="382"/>
      <c r="C15" s="92" t="str">
        <f>IF(VLOOKUP(C11,PROPONENTES!B10:N94,2,FALSE)=0,"",VLOOKUP(C11,PROPONENTES!B10:N94,2,FALSE))</f>
        <v>INGCONSASAS</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7796.48</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1949.12</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4</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4</v>
      </c>
      <c r="J19" s="128">
        <v>1</v>
      </c>
      <c r="K19" s="387"/>
      <c r="L19" s="388"/>
    </row>
    <row r="20" spans="2:14" ht="50.25" customHeight="1" x14ac:dyDescent="0.2">
      <c r="B20" s="382"/>
      <c r="C20" s="92"/>
      <c r="D20" s="93"/>
      <c r="E20" s="94"/>
      <c r="F20" s="95"/>
      <c r="G20" s="96"/>
      <c r="H20" s="96"/>
      <c r="I20" s="128">
        <f>COUNTIFS(D60:J60,"CUMPLE",D67:J67,"CUMPLE")</f>
        <v>4</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4</v>
      </c>
      <c r="J21" s="128">
        <v>1</v>
      </c>
      <c r="K21" s="389"/>
      <c r="L21" s="390"/>
    </row>
    <row r="22" spans="2:14" ht="84.75" customHeight="1" x14ac:dyDescent="0.2">
      <c r="B22" s="29" t="s">
        <v>75</v>
      </c>
      <c r="C22" s="24">
        <f>+VLOOKUP(C11,PROPONENTES!B10:N94,12,FALSE)</f>
        <v>1</v>
      </c>
      <c r="D22" s="93">
        <f>+VLOOKUP(C11,PROPONENTES!B10:N94,13,FALSE)</f>
        <v>1</v>
      </c>
      <c r="E22" s="32">
        <f>SUM(E15:E21)</f>
        <v>7796.48</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282</v>
      </c>
      <c r="E26" s="84" t="s">
        <v>282</v>
      </c>
      <c r="F26" s="84" t="s">
        <v>282</v>
      </c>
      <c r="G26" s="84" t="s">
        <v>282</v>
      </c>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1259</v>
      </c>
      <c r="E29" s="85" t="s">
        <v>1260</v>
      </c>
      <c r="F29" s="85" t="s">
        <v>1261</v>
      </c>
      <c r="G29" s="85" t="s">
        <v>1262</v>
      </c>
      <c r="H29" s="85"/>
      <c r="I29" s="85"/>
      <c r="J29" s="85"/>
      <c r="K29" s="145"/>
      <c r="L29" s="140"/>
    </row>
    <row r="30" spans="2:14" ht="156.75" customHeight="1" x14ac:dyDescent="0.2">
      <c r="B30" s="374"/>
      <c r="C30" s="25" t="s">
        <v>84</v>
      </c>
      <c r="D30" s="85" t="s">
        <v>1263</v>
      </c>
      <c r="E30" s="85" t="s">
        <v>1264</v>
      </c>
      <c r="F30" s="85" t="s">
        <v>1265</v>
      </c>
      <c r="G30" s="85" t="s">
        <v>1266</v>
      </c>
      <c r="H30" s="85"/>
      <c r="I30" s="85"/>
      <c r="J30" s="85"/>
      <c r="K30" s="145"/>
      <c r="L30" s="140"/>
    </row>
    <row r="31" spans="2:14" ht="52.5" customHeight="1" x14ac:dyDescent="0.2">
      <c r="B31" s="374"/>
      <c r="C31" s="25" t="s">
        <v>85</v>
      </c>
      <c r="D31" s="89">
        <v>44172</v>
      </c>
      <c r="E31" s="89">
        <v>44033</v>
      </c>
      <c r="F31" s="89">
        <v>44183</v>
      </c>
      <c r="G31" s="89">
        <v>44453</v>
      </c>
      <c r="H31" s="89"/>
      <c r="I31" s="89"/>
      <c r="J31" s="89"/>
      <c r="K31" s="145"/>
      <c r="L31" s="140"/>
    </row>
    <row r="32" spans="2:14" ht="54.75" customHeight="1" x14ac:dyDescent="0.2">
      <c r="B32" s="374"/>
      <c r="C32" s="25" t="s">
        <v>86</v>
      </c>
      <c r="D32" s="89">
        <v>44393</v>
      </c>
      <c r="E32" s="89">
        <v>44427</v>
      </c>
      <c r="F32" s="89">
        <v>45160</v>
      </c>
      <c r="G32" s="89">
        <v>45036</v>
      </c>
      <c r="H32" s="89"/>
      <c r="I32" s="89"/>
      <c r="J32" s="89"/>
      <c r="K32" s="145"/>
      <c r="L32" s="140"/>
    </row>
    <row r="33" spans="2:12" ht="41.25" customHeight="1" x14ac:dyDescent="0.2">
      <c r="B33" s="374"/>
      <c r="C33" s="25" t="s">
        <v>87</v>
      </c>
      <c r="D33" s="86">
        <v>2021</v>
      </c>
      <c r="E33" s="86">
        <v>2021</v>
      </c>
      <c r="F33" s="86">
        <v>2023</v>
      </c>
      <c r="G33" s="86">
        <v>2023</v>
      </c>
      <c r="H33" s="86"/>
      <c r="I33" s="86"/>
      <c r="J33" s="86"/>
      <c r="K33" s="145"/>
      <c r="L33" s="140"/>
    </row>
    <row r="34" spans="2:12" ht="63" customHeight="1" x14ac:dyDescent="0.2">
      <c r="B34" s="374"/>
      <c r="C34" s="25" t="s">
        <v>88</v>
      </c>
      <c r="D34" s="85" t="s">
        <v>1267</v>
      </c>
      <c r="E34" s="85" t="s">
        <v>1268</v>
      </c>
      <c r="F34" s="85" t="s">
        <v>298</v>
      </c>
      <c r="G34" s="85" t="s">
        <v>1269</v>
      </c>
      <c r="H34" s="85"/>
      <c r="I34" s="85"/>
      <c r="J34" s="85"/>
      <c r="K34" s="145"/>
      <c r="L34" s="140"/>
    </row>
    <row r="35" spans="2:12" ht="46.5" customHeight="1" x14ac:dyDescent="0.2">
      <c r="B35" s="374"/>
      <c r="C35" s="25" t="s">
        <v>89</v>
      </c>
      <c r="D35" s="85" t="s">
        <v>1270</v>
      </c>
      <c r="E35" s="85" t="s">
        <v>1270</v>
      </c>
      <c r="F35" s="85" t="s">
        <v>1270</v>
      </c>
      <c r="G35" s="85" t="s">
        <v>1270</v>
      </c>
      <c r="H35" s="85"/>
      <c r="I35" s="85"/>
      <c r="J35" s="85"/>
      <c r="K35" s="145"/>
      <c r="L35" s="140"/>
    </row>
    <row r="36" spans="2:12" ht="27.75" customHeight="1" x14ac:dyDescent="0.2">
      <c r="B36" s="374"/>
      <c r="C36" s="26" t="s">
        <v>90</v>
      </c>
      <c r="D36" s="90">
        <v>64</v>
      </c>
      <c r="E36" s="90">
        <v>70</v>
      </c>
      <c r="F36" s="90">
        <v>87</v>
      </c>
      <c r="G36" s="91">
        <v>90</v>
      </c>
      <c r="H36" s="91"/>
      <c r="I36" s="91"/>
      <c r="J36" s="91"/>
      <c r="K36" s="145"/>
      <c r="L36" s="140"/>
    </row>
    <row r="37" spans="2:12" ht="102.75" customHeight="1" x14ac:dyDescent="0.2">
      <c r="B37" s="374"/>
      <c r="C37" s="25" t="s">
        <v>91</v>
      </c>
      <c r="D37" s="87">
        <v>932.5</v>
      </c>
      <c r="E37" s="158">
        <v>555.35</v>
      </c>
      <c r="F37" s="87">
        <v>5060.79</v>
      </c>
      <c r="G37" s="87">
        <v>1247.8399999999999</v>
      </c>
      <c r="H37" s="87"/>
      <c r="I37" s="87"/>
      <c r="J37" s="87"/>
      <c r="K37" s="242"/>
      <c r="L37" s="243"/>
    </row>
    <row r="38" spans="2:12" ht="48" customHeight="1" x14ac:dyDescent="0.2">
      <c r="B38" s="374"/>
      <c r="C38" s="25" t="s">
        <v>92</v>
      </c>
      <c r="D38" s="97">
        <f>IFERROR(D37*VLOOKUP(D33,'DATOS INICIALES'!$A$12:$B$50,2,0),"0")</f>
        <v>847200495</v>
      </c>
      <c r="E38" s="97">
        <f>IFERROR(E37*VLOOKUP(E33,'DATOS INICIALES'!$A$12:$B$50,2,0),"0")</f>
        <v>504549914.10000002</v>
      </c>
      <c r="F38" s="97">
        <f>IFERROR(F37*VLOOKUP(F33,'DATOS INICIALES'!$A$12:$B$50,2,0),"0")</f>
        <v>5870516400</v>
      </c>
      <c r="G38" s="97">
        <f>IFERROR(G37*VLOOKUP(G33,'DATOS INICIALES'!$A$12:$B$50,2,0),"0")</f>
        <v>1447494400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1</v>
      </c>
      <c r="E39" s="88">
        <v>1</v>
      </c>
      <c r="F39" s="88">
        <v>1</v>
      </c>
      <c r="G39" s="88">
        <v>1</v>
      </c>
      <c r="H39" s="88"/>
      <c r="I39" s="88"/>
      <c r="J39" s="88"/>
      <c r="K39" s="145"/>
      <c r="L39" s="140"/>
    </row>
    <row r="40" spans="2:12" ht="48.75" customHeight="1" x14ac:dyDescent="0.2">
      <c r="B40" s="374"/>
      <c r="C40" s="25" t="s">
        <v>94</v>
      </c>
      <c r="D40" s="97">
        <f t="shared" ref="D40:J40" si="0">IF(D26="","0",D39*D38)</f>
        <v>847200495</v>
      </c>
      <c r="E40" s="97">
        <f t="shared" si="0"/>
        <v>504549914.10000002</v>
      </c>
      <c r="F40" s="97">
        <f t="shared" si="0"/>
        <v>5870516400</v>
      </c>
      <c r="G40" s="97">
        <f t="shared" si="0"/>
        <v>1447494400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932.5</v>
      </c>
      <c r="E41" s="98">
        <f t="shared" si="1"/>
        <v>555.35</v>
      </c>
      <c r="F41" s="98">
        <f t="shared" si="1"/>
        <v>5060.79</v>
      </c>
      <c r="G41" s="98">
        <f t="shared" si="1"/>
        <v>1247.8399999999999</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932.5</v>
      </c>
      <c r="E48" s="98">
        <f t="shared" ref="E48:G48" si="6">+E41+E44+E47</f>
        <v>555.35</v>
      </c>
      <c r="F48" s="98">
        <f t="shared" si="6"/>
        <v>5060.79</v>
      </c>
      <c r="G48" s="98">
        <f t="shared" si="6"/>
        <v>1247.8399999999999</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CUMPLE</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CUMPLE</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0:C70"/>
    <mergeCell ref="B71:C71"/>
    <mergeCell ref="B72:C72"/>
    <mergeCell ref="B65:C65"/>
    <mergeCell ref="B66:C66"/>
    <mergeCell ref="B67:C67"/>
    <mergeCell ref="B69:E69"/>
    <mergeCell ref="B62:C62"/>
    <mergeCell ref="B63:C63"/>
    <mergeCell ref="B64:C64"/>
    <mergeCell ref="B59:C59"/>
    <mergeCell ref="B60:C60"/>
    <mergeCell ref="B61:C61"/>
    <mergeCell ref="B56:C56"/>
    <mergeCell ref="B57:C57"/>
    <mergeCell ref="B58:C58"/>
    <mergeCell ref="B50:B55"/>
    <mergeCell ref="B28:C28"/>
    <mergeCell ref="B29:B47"/>
    <mergeCell ref="I22:L22"/>
    <mergeCell ref="B12:L12"/>
    <mergeCell ref="B13:H13"/>
    <mergeCell ref="B14:B21"/>
    <mergeCell ref="K17:L17"/>
    <mergeCell ref="K18:L21"/>
    <mergeCell ref="B24:L24"/>
    <mergeCell ref="K25:L25"/>
    <mergeCell ref="B26:C26"/>
    <mergeCell ref="B27:C27"/>
    <mergeCell ref="B23:L23"/>
    <mergeCell ref="C8:I8"/>
    <mergeCell ref="C9:I9"/>
    <mergeCell ref="C10:I10"/>
    <mergeCell ref="C11:G11"/>
    <mergeCell ref="B2:L2"/>
    <mergeCell ref="B3:L3"/>
    <mergeCell ref="B4:L4"/>
    <mergeCell ref="B5:L5"/>
    <mergeCell ref="B7:I7"/>
    <mergeCell ref="J7:L7"/>
    <mergeCell ref="I11:L11"/>
  </mergeCells>
  <conditionalFormatting sqref="D71">
    <cfRule type="cellIs" dxfId="616" priority="97" operator="equal">
      <formula>"CUMPLE"</formula>
    </cfRule>
    <cfRule type="containsBlanks" dxfId="615" priority="94">
      <formula>LEN(TRIM(D71))=0</formula>
    </cfRule>
    <cfRule type="notContainsErrors" dxfId="614" priority="95">
      <formula>NOT(ISERROR(D71))</formula>
    </cfRule>
    <cfRule type="cellIs" dxfId="613" priority="96" operator="equal">
      <formula>"NO CUMPLE"</formula>
    </cfRule>
  </conditionalFormatting>
  <conditionalFormatting sqref="D72">
    <cfRule type="cellIs" dxfId="612" priority="99" operator="equal">
      <formula>"CUMPLE"</formula>
    </cfRule>
    <cfRule type="cellIs" dxfId="611" priority="98" operator="equal">
      <formula>"N/A"</formula>
    </cfRule>
    <cfRule type="cellIs" dxfId="610" priority="101" operator="equal">
      <formula>"""CUMPLE"""</formula>
    </cfRule>
    <cfRule type="cellIs" dxfId="609" priority="100" operator="equal">
      <formula>"NO CUMPLE"</formula>
    </cfRule>
  </conditionalFormatting>
  <conditionalFormatting sqref="D26:J37">
    <cfRule type="notContainsErrors" dxfId="608" priority="4">
      <formula>NOT(ISERROR(D26))</formula>
    </cfRule>
    <cfRule type="containsBlanks" dxfId="607" priority="3">
      <formula>LEN(TRIM(D26))=0</formula>
    </cfRule>
  </conditionalFormatting>
  <conditionalFormatting sqref="D36:J36">
    <cfRule type="notContainsErrors" dxfId="606" priority="6">
      <formula>NOT(ISERROR(D36))</formula>
    </cfRule>
    <cfRule type="containsBlanks" dxfId="605" priority="5">
      <formula>LEN(TRIM(D36))=0</formula>
    </cfRule>
  </conditionalFormatting>
  <conditionalFormatting sqref="D39:J39">
    <cfRule type="containsBlanks" dxfId="604" priority="1">
      <formula>LEN(TRIM(D39))=0</formula>
    </cfRule>
    <cfRule type="notContainsErrors" dxfId="603" priority="2">
      <formula>NOT(ISERROR(D39))</formula>
    </cfRule>
  </conditionalFormatting>
  <conditionalFormatting sqref="D42:J42 D45:J45">
    <cfRule type="notContainsErrors" dxfId="602" priority="62">
      <formula>NOT(ISERROR(D42))</formula>
    </cfRule>
    <cfRule type="containsBlanks" dxfId="601" priority="61">
      <formula>LEN(TRIM(D42))=0</formula>
    </cfRule>
  </conditionalFormatting>
  <conditionalFormatting sqref="D49:J54">
    <cfRule type="cellIs" dxfId="600" priority="17" operator="equal">
      <formula>"NO CUMPLE"</formula>
    </cfRule>
    <cfRule type="cellIs" dxfId="599" priority="18" operator="equal">
      <formula>"CUMPLE"</formula>
    </cfRule>
    <cfRule type="containsBlanks" dxfId="598" priority="19">
      <formula>LEN(TRIM(D49))=0</formula>
    </cfRule>
    <cfRule type="notContainsErrors" dxfId="597" priority="20">
      <formula>NOT(ISERROR(D49))</formula>
    </cfRule>
  </conditionalFormatting>
  <conditionalFormatting sqref="D55:J55">
    <cfRule type="cellIs" dxfId="596" priority="28" operator="equal">
      <formula>"CUMPLE"</formula>
    </cfRule>
    <cfRule type="cellIs" dxfId="595" priority="30" operator="equal">
      <formula>"""CUMPLE"""</formula>
    </cfRule>
    <cfRule type="cellIs" dxfId="594" priority="29" operator="equal">
      <formula>"NO CUMPLE"</formula>
    </cfRule>
    <cfRule type="cellIs" dxfId="593" priority="27" operator="equal">
      <formula>"N/A"</formula>
    </cfRule>
  </conditionalFormatting>
  <conditionalFormatting sqref="D56:J66">
    <cfRule type="cellIs" dxfId="592" priority="11" operator="equal">
      <formula>"NO CUMPLE"</formula>
    </cfRule>
    <cfRule type="notContainsErrors" dxfId="591" priority="14">
      <formula>NOT(ISERROR(D56))</formula>
    </cfRule>
    <cfRule type="containsBlanks" dxfId="590" priority="13">
      <formula>LEN(TRIM(D56))=0</formula>
    </cfRule>
    <cfRule type="cellIs" dxfId="589" priority="12" operator="equal">
      <formula>"CUMPLE"</formula>
    </cfRule>
  </conditionalFormatting>
  <conditionalFormatting sqref="D67:J67">
    <cfRule type="cellIs" dxfId="588" priority="23" operator="equal">
      <formula>"N/A"</formula>
    </cfRule>
    <cfRule type="cellIs" dxfId="587" priority="24" operator="equal">
      <formula>"CUMPLE"</formula>
    </cfRule>
    <cfRule type="cellIs" dxfId="586" priority="26" operator="equal">
      <formula>"""CUMPLE"""</formula>
    </cfRule>
    <cfRule type="cellIs" dxfId="585" priority="25" operator="equal">
      <formula>"NO CUMPLE"</formula>
    </cfRule>
  </conditionalFormatting>
  <conditionalFormatting sqref="D62:K66">
    <cfRule type="containsBlanks" dxfId="584" priority="15">
      <formula>LEN(TRIM(D62))=0</formula>
    </cfRule>
    <cfRule type="notContainsErrors" dxfId="583" priority="16">
      <formula>NOT(ISERROR(D62))</formula>
    </cfRule>
  </conditionalFormatting>
  <conditionalFormatting sqref="E71:E72">
    <cfRule type="notContainsErrors" dxfId="582" priority="93">
      <formula>NOT(ISERROR(E71))</formula>
    </cfRule>
    <cfRule type="containsBlanks" dxfId="581" priority="92">
      <formula>LEN(TRIM(E71))=0</formula>
    </cfRule>
  </conditionalFormatting>
  <conditionalFormatting sqref="F22:H22">
    <cfRule type="cellIs" dxfId="580" priority="116" operator="equal">
      <formula>"NO CUMPLE"</formula>
    </cfRule>
    <cfRule type="cellIs" dxfId="579" priority="117" operator="equal">
      <formula>"""CUMPLE"""</formula>
    </cfRule>
    <cfRule type="cellIs" dxfId="578" priority="115" operator="equal">
      <formula>"CUMPLE"</formula>
    </cfRule>
  </conditionalFormatting>
  <conditionalFormatting sqref="G63:J63">
    <cfRule type="containsBlanks" dxfId="577" priority="7">
      <formula>LEN(TRIM(G63))=0</formula>
    </cfRule>
    <cfRule type="notContainsErrors" dxfId="576" priority="8">
      <formula>NOT(ISERROR(G63))</formula>
    </cfRule>
  </conditionalFormatting>
  <conditionalFormatting sqref="I11">
    <cfRule type="containsText" dxfId="575" priority="121" operator="containsText" text="NO CUMPLE">
      <formula>NOT(ISERROR(SEARCH("NO CUMPLE",I11)))</formula>
    </cfRule>
    <cfRule type="containsText" dxfId="574" priority="120" operator="containsText" text="HABILITADO">
      <formula>NOT(ISERROR(SEARCH("HABILITADO",I11)))</formula>
    </cfRule>
    <cfRule type="containsText" dxfId="573" priority="119" operator="containsText" text="HABILITADO">
      <formula>NOT(ISERROR(SEARCH("HABILITADO",I11)))</formula>
    </cfRule>
    <cfRule type="containsText" dxfId="572" priority="118" operator="containsText" text="INHABILITADO">
      <formula>NOT(ISERROR(SEARCH("INHABILITADO",I11)))</formula>
    </cfRule>
  </conditionalFormatting>
  <conditionalFormatting sqref="K18:K20">
    <cfRule type="cellIs" dxfId="571" priority="90" operator="equal">
      <formula>"NO CUMPLE"</formula>
    </cfRule>
    <cfRule type="cellIs" dxfId="570" priority="91" operator="equal">
      <formula>"""CUMPLE"""</formula>
    </cfRule>
    <cfRule type="cellIs" dxfId="569" priority="89" operator="equal">
      <formula>"CUMPLE"</formula>
    </cfRule>
  </conditionalFormatting>
  <conditionalFormatting sqref="K26:K61 D62:J62">
    <cfRule type="containsBlanks" dxfId="568" priority="9">
      <formula>LEN(TRIM(D26))=0</formula>
    </cfRule>
    <cfRule type="notContainsErrors" dxfId="567" priority="10">
      <formula>NOT(ISERROR(D26))</formula>
    </cfRule>
  </conditionalFormatting>
  <conditionalFormatting sqref="K67:L67">
    <cfRule type="containsBlanks" dxfId="566" priority="21">
      <formula>LEN(TRIM(K67))=0</formula>
    </cfRule>
    <cfRule type="notContainsErrors" dxfId="565" priority="22">
      <formula>NOT(ISERROR(K67))</formula>
    </cfRule>
  </conditionalFormatting>
  <conditionalFormatting sqref="L14">
    <cfRule type="cellIs" dxfId="564" priority="114" operator="equal">
      <formula>"""CUMPLE"""</formula>
    </cfRule>
    <cfRule type="cellIs" dxfId="563" priority="113" operator="equal">
      <formula>"NO CUMPLE"</formula>
    </cfRule>
    <cfRule type="cellIs" dxfId="562" priority="112" operator="equal">
      <formula>"CUMPLE"</formula>
    </cfRule>
  </conditionalFormatting>
  <dataValidations count="2">
    <dataValidation type="list" allowBlank="1" showInputMessage="1" showErrorMessage="1" sqref="D26:J28" xr:uid="{00000000-0002-0000-5900-000000000000}">
      <formula1>$C$15:$C$21</formula1>
    </dataValidation>
    <dataValidation type="list" allowBlank="1" showInputMessage="1" showErrorMessage="1" sqref="L62:L67" xr:uid="{00000000-0002-0000-59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5900-000002000000}">
          <x14:formula1>
            <xm:f>'DATOS INICIALES'!$D$27:$D$29</xm:f>
          </x14:formula1>
          <xm:sqref>M50:M55</xm:sqref>
        </x14:dataValidation>
        <x14:dataValidation type="list" allowBlank="1" showInputMessage="1" showErrorMessage="1" xr:uid="{00000000-0002-0000-5900-000003000000}">
          <x14:formula1>
            <xm:f>'DATOS INICIALES'!$A$13:$A$50</xm:f>
          </x14:formula1>
          <xm:sqref>H33:I33</xm:sqref>
        </x14:dataValidation>
        <x14:dataValidation type="list" allowBlank="1" showInputMessage="1" showErrorMessage="1" xr:uid="{00000000-0002-0000-5900-000004000000}">
          <x14:formula1>
            <xm:f>'DATOS INICIALES'!$A$61:$A$66</xm:f>
          </x14:formula1>
          <xm:sqref>D25:I25</xm:sqref>
        </x14:dataValidation>
        <x14:dataValidation type="list" allowBlank="1" showInputMessage="1" showErrorMessage="1" xr:uid="{00000000-0002-0000-5900-000005000000}">
          <x14:formula1>
            <xm:f>'DATOS INICIALES'!$A$57:$A$59</xm:f>
          </x14:formula1>
          <xm:sqref>D71 D56:J66</xm:sqref>
        </x14:dataValidation>
        <x14:dataValidation type="list" allowBlank="1" showInputMessage="1" showErrorMessage="1" xr:uid="{00000000-0002-0000-5900-000006000000}">
          <x14:formula1>
            <xm:f>'DATOS INICIALES'!$C$52:$C$53</xm:f>
          </x14:formula1>
          <xm:sqref>D53:J54</xm:sqref>
        </x14:dataValidation>
        <x14:dataValidation type="list" allowBlank="1" showInputMessage="1" showErrorMessage="1" xr:uid="{00000000-0002-0000-5900-000007000000}">
          <x14:formula1>
            <xm:f>'DATOS INICIALES'!$A$61:$A$67</xm:f>
          </x14:formula1>
          <xm:sqref>J25</xm:sqref>
        </x14:dataValidation>
        <x14:dataValidation type="list" allowBlank="1" showInputMessage="1" showErrorMessage="1" xr:uid="{00000000-0002-0000-5900-000008000000}">
          <x14:formula1>
            <xm:f>'DATOS INICIALES'!$A$57:$A$58</xm:f>
          </x14:formula1>
          <xm:sqref>D49:J49</xm:sqref>
        </x14:dataValidation>
        <x14:dataValidation type="list" allowBlank="1" showInputMessage="1" showErrorMessage="1" xr:uid="{00000000-0002-0000-5900-000009000000}">
          <x14:formula1>
            <xm:f>'DATOS INICIALES'!$C$52:$C$54</xm:f>
          </x14:formula1>
          <xm:sqref>D50:J52</xm:sqref>
        </x14:dataValidation>
        <x14:dataValidation type="list" allowBlank="1" showInputMessage="1" showErrorMessage="1" xr:uid="{00000000-0002-0000-5900-00000A000000}">
          <x14:formula1>
            <xm:f>'/Users/ldrr/Desktop/SDDE/REVISION DE CARPETAS/C:\Users\ASUS\OneDrive\Escritorio\alcaldia local de usaquen\2025\16. EVALUACION DE PROCESOS\INTERVENTORIA DE VIAS\consolidado equipo\[ALBERT_ Evaluación_Tecnica_Albert Bahamon.xlsx]DATOS INICIALES'!#REF!</xm:f>
          </x14:formula1>
          <xm:sqref>G33</xm:sqref>
        </x14:dataValidation>
      </x14:dataValidations>
    </ext>
  </extLst>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sheetPr>
    <tabColor rgb="FF92D050"/>
  </sheetPr>
  <dimension ref="A1:N72"/>
  <sheetViews>
    <sheetView view="pageBreakPreview" topLeftCell="A7" zoomScale="40" zoomScaleNormal="25" zoomScaleSheetLayoutView="40" workbookViewId="0">
      <selection activeCell="L16" sqref="L16"/>
    </sheetView>
  </sheetViews>
  <sheetFormatPr baseColWidth="10" defaultColWidth="11.5" defaultRowHeight="15" x14ac:dyDescent="0.2"/>
  <cols>
    <col min="1" max="1" width="5.5" customWidth="1"/>
    <col min="2" max="2" width="30.83203125" customWidth="1"/>
    <col min="3" max="3" width="63.1640625" customWidth="1"/>
    <col min="4" max="4" width="61.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85</v>
      </c>
      <c r="B11" s="2" t="s">
        <v>58</v>
      </c>
      <c r="C11" s="413" t="str">
        <f>VLOOKUP(A11,PROPONENTES!A10:B94,2,FALSE)</f>
        <v>AESA PROYECTOS SAS</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3</v>
      </c>
      <c r="J14" s="147">
        <f>+L8</f>
        <v>986.3076290832455</v>
      </c>
      <c r="K14" s="147">
        <f>+E22</f>
        <v>6102.4917999999998</v>
      </c>
      <c r="L14" s="18" t="str">
        <f>IF(K14&gt;=J14,"CUMPLE","NO CUMPLE")</f>
        <v>CUMPLE</v>
      </c>
    </row>
    <row r="15" spans="1:12" ht="33.75" customHeight="1" x14ac:dyDescent="0.2">
      <c r="B15" s="382"/>
      <c r="C15" s="92" t="str">
        <f>IF(VLOOKUP(C11,PROPONENTES!B10:N94,2,FALSE)=0,"",VLOOKUP(C11,PROPONENTES!B10:N94,2,FALSE))</f>
        <v xml:space="preserve">AESA PROYECTOS SAS </v>
      </c>
      <c r="D15" s="93">
        <f>IF(VLOOKUP(C11,PROPONENTES!B10:N94,3,FALSE)=0,"",VLOOKUP(C11,PROPONENTES!B10:N94,3,FALSE))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6102.4917999999998</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IF(VLOOKUP(C11,PROPONENTES!B10:N94,4,FALSE)=0,"",VLOOKUP(C11,PROPONENTES!B10:N94,4,FALSE))</f>
        <v/>
      </c>
      <c r="D16" s="93" t="str">
        <f>IF(VLOOKUP(C11,PROPONENTES!B10:N94,5,FALSE)=0,"",VLOOKUP(C11,PROPONENTES!B10:N94,5,FALSE))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2034.1639333333333</v>
      </c>
    </row>
    <row r="17" spans="2:14" ht="33.75" customHeight="1" x14ac:dyDescent="0.2">
      <c r="B17" s="382"/>
      <c r="C17" s="92" t="str">
        <f>IF(VLOOKUP(C11,PROPONENTES!B10:N94,6,FALSE)=0,"",VLOOKUP(C11,PROPONENTES!B10:N94,6,FALSE))</f>
        <v/>
      </c>
      <c r="D17" s="93" t="str">
        <f>IF(VLOOKUP(C11,PROPONENTES!B10:N94,7,FALSE)=0,"",VLOOKUP(C11,PROPONENTES!B10:N94,7,FALSE))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IF(VLOOKUP(C11,PROPONENTES!B10:N94,8,FALSE)=0,"",VLOOKUP(C11,PROPONENTES!B10:N94,8,FALSE))</f>
        <v/>
      </c>
      <c r="D18" s="93" t="str">
        <f>IF(VLOOKUP(C11,PROPONENTES!B10:N94,9,FALSE)=0,"",VLOOKUP(C11,PROPONENTES!B10:N94,9,FALSE))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3</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3</v>
      </c>
      <c r="J19" s="128">
        <v>1</v>
      </c>
      <c r="K19" s="387"/>
      <c r="L19" s="388"/>
    </row>
    <row r="20" spans="2:14" ht="50.25" customHeight="1" x14ac:dyDescent="0.2">
      <c r="B20" s="382"/>
      <c r="C20" s="92"/>
      <c r="D20" s="93"/>
      <c r="E20" s="94"/>
      <c r="F20" s="95"/>
      <c r="G20" s="96"/>
      <c r="H20" s="96"/>
      <c r="I20" s="128">
        <f>COUNTIFS(D60:J60,"CUMPLE",D67:J67,"CUMPLE")</f>
        <v>3</v>
      </c>
      <c r="J20" s="128">
        <v>1</v>
      </c>
      <c r="K20" s="387"/>
      <c r="L20" s="388"/>
    </row>
    <row r="21" spans="2:14" ht="33.75" customHeight="1" x14ac:dyDescent="0.2">
      <c r="B21" s="382"/>
      <c r="C21" s="92" t="str">
        <f>IF(VLOOKUP(C11,PROPONENTES!B10:N94,10,FALSE)=0,"",VLOOKUP(C11,PROPONENTES!B10:N94,10,FALSE))</f>
        <v/>
      </c>
      <c r="D21" s="93" t="str">
        <f>IF(VLOOKUP(C11,PROPONENTES!B10:N94,11,FALSE)=0,"",VLOOKUP(C11,PROPONENTES!B10:N94,11,FALSE))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3</v>
      </c>
      <c r="J21" s="128">
        <v>1</v>
      </c>
      <c r="K21" s="389"/>
      <c r="L21" s="390"/>
    </row>
    <row r="22" spans="2:14" ht="84.75" customHeight="1" x14ac:dyDescent="0.2">
      <c r="B22" s="29" t="s">
        <v>75</v>
      </c>
      <c r="C22" s="24">
        <f>+VLOOKUP(C11,PROPONENTES!B10:N94,12,FALSE)</f>
        <v>1</v>
      </c>
      <c r="D22" s="93">
        <f>+VLOOKUP(C11,PROPONENTES!B10:N94,13,FALSE)</f>
        <v>1</v>
      </c>
      <c r="E22" s="32">
        <f>SUM(E15:E21)</f>
        <v>6102.4917999999998</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1274</v>
      </c>
      <c r="E26" s="84" t="s">
        <v>1274</v>
      </c>
      <c r="F26" s="84" t="s">
        <v>1274</v>
      </c>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1288</v>
      </c>
      <c r="E29" s="85" t="s">
        <v>1289</v>
      </c>
      <c r="F29" s="85" t="s">
        <v>1290</v>
      </c>
      <c r="G29" s="85"/>
      <c r="H29" s="85"/>
      <c r="I29" s="85"/>
      <c r="J29" s="85"/>
      <c r="K29" s="145"/>
      <c r="L29" s="140"/>
    </row>
    <row r="30" spans="2:14" ht="156.75" customHeight="1" x14ac:dyDescent="0.2">
      <c r="B30" s="374"/>
      <c r="C30" s="25" t="s">
        <v>84</v>
      </c>
      <c r="D30" s="85" t="s">
        <v>1291</v>
      </c>
      <c r="E30" s="85" t="s">
        <v>1292</v>
      </c>
      <c r="F30" s="85" t="s">
        <v>1293</v>
      </c>
      <c r="G30" s="85"/>
      <c r="H30" s="85"/>
      <c r="I30" s="85"/>
      <c r="J30" s="85"/>
      <c r="K30" s="145"/>
      <c r="L30" s="140"/>
    </row>
    <row r="31" spans="2:14" ht="52.5" customHeight="1" x14ac:dyDescent="0.2">
      <c r="B31" s="374"/>
      <c r="C31" s="25" t="s">
        <v>85</v>
      </c>
      <c r="D31" s="89">
        <v>39156</v>
      </c>
      <c r="E31" s="89">
        <v>41564</v>
      </c>
      <c r="F31" s="89">
        <v>44196</v>
      </c>
      <c r="G31" s="89"/>
      <c r="H31" s="89"/>
      <c r="I31" s="89"/>
      <c r="J31" s="89"/>
      <c r="K31" s="145"/>
      <c r="L31" s="140"/>
    </row>
    <row r="32" spans="2:14" ht="54.75" customHeight="1" x14ac:dyDescent="0.2">
      <c r="B32" s="374"/>
      <c r="C32" s="25" t="s">
        <v>86</v>
      </c>
      <c r="D32" s="89">
        <v>40008</v>
      </c>
      <c r="E32" s="89">
        <v>42582</v>
      </c>
      <c r="F32" s="89">
        <v>45446</v>
      </c>
      <c r="G32" s="89"/>
      <c r="H32" s="89"/>
      <c r="I32" s="89"/>
      <c r="J32" s="89"/>
      <c r="K32" s="145"/>
      <c r="L32" s="140"/>
    </row>
    <row r="33" spans="2:12" ht="41.25" customHeight="1" x14ac:dyDescent="0.2">
      <c r="B33" s="374"/>
      <c r="C33" s="25" t="s">
        <v>87</v>
      </c>
      <c r="D33" s="86">
        <v>2009</v>
      </c>
      <c r="E33" s="86">
        <v>2016</v>
      </c>
      <c r="F33" s="86">
        <v>2024</v>
      </c>
      <c r="G33" s="86"/>
      <c r="H33" s="86"/>
      <c r="I33" s="86"/>
      <c r="J33" s="86"/>
      <c r="K33" s="145"/>
      <c r="L33" s="140"/>
    </row>
    <row r="34" spans="2:12" ht="63" customHeight="1" x14ac:dyDescent="0.2">
      <c r="B34" s="374"/>
      <c r="C34" s="25" t="s">
        <v>88</v>
      </c>
      <c r="D34" s="85" t="s">
        <v>793</v>
      </c>
      <c r="E34" s="85" t="s">
        <v>322</v>
      </c>
      <c r="F34" s="85" t="s">
        <v>322</v>
      </c>
      <c r="G34" s="85"/>
      <c r="H34" s="85"/>
      <c r="I34" s="85"/>
      <c r="J34" s="85"/>
      <c r="K34" s="145"/>
      <c r="L34" s="140"/>
    </row>
    <row r="35" spans="2:12" ht="46.5" customHeight="1" x14ac:dyDescent="0.2">
      <c r="B35" s="374"/>
      <c r="C35" s="25" t="s">
        <v>89</v>
      </c>
      <c r="D35" s="85" t="s">
        <v>1294</v>
      </c>
      <c r="E35" s="85" t="s">
        <v>1295</v>
      </c>
      <c r="F35" s="85" t="s">
        <v>1296</v>
      </c>
      <c r="G35" s="85"/>
      <c r="H35" s="85"/>
      <c r="I35" s="85"/>
      <c r="J35" s="85"/>
      <c r="K35" s="145"/>
      <c r="L35" s="140"/>
    </row>
    <row r="36" spans="2:12" ht="27.75" customHeight="1" x14ac:dyDescent="0.2">
      <c r="B36" s="374"/>
      <c r="C36" s="26" t="s">
        <v>90</v>
      </c>
      <c r="D36" s="90">
        <v>27</v>
      </c>
      <c r="E36" s="90">
        <v>78</v>
      </c>
      <c r="F36" s="90">
        <v>113</v>
      </c>
      <c r="G36" s="91"/>
      <c r="H36" s="91"/>
      <c r="I36" s="91"/>
      <c r="J36" s="91"/>
      <c r="K36" s="145"/>
      <c r="L36" s="140"/>
    </row>
    <row r="37" spans="2:12" ht="102.75" customHeight="1" x14ac:dyDescent="0.2">
      <c r="B37" s="374"/>
      <c r="C37" s="25" t="s">
        <v>91</v>
      </c>
      <c r="D37" s="87">
        <v>6567.37</v>
      </c>
      <c r="E37" s="158">
        <v>6919.92</v>
      </c>
      <c r="F37" s="87">
        <v>3147.48</v>
      </c>
      <c r="G37" s="87"/>
      <c r="H37" s="87"/>
      <c r="I37" s="87"/>
      <c r="J37" s="87"/>
      <c r="K37" s="242"/>
      <c r="L37" s="243"/>
    </row>
    <row r="38" spans="2:12" ht="48" customHeight="1" x14ac:dyDescent="0.2">
      <c r="B38" s="374"/>
      <c r="C38" s="25" t="s">
        <v>92</v>
      </c>
      <c r="D38" s="97">
        <f>IFERROR(D37*VLOOKUP(D33,'DATOS INICIALES'!$A$12:$B$50,2,0),"0")</f>
        <v>3263326153</v>
      </c>
      <c r="E38" s="97">
        <f>IFERROR(E37*VLOOKUP(E33,'DATOS INICIALES'!$A$12:$B$50,2,0),"0")</f>
        <v>4770973443.6000004</v>
      </c>
      <c r="F38" s="97">
        <f>IFERROR(F37*VLOOKUP(F33,'DATOS INICIALES'!$A$12:$B$50,2,0),"0")</f>
        <v>4091724000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0.34</v>
      </c>
      <c r="E39" s="88">
        <v>0.4</v>
      </c>
      <c r="F39" s="88">
        <v>0.35</v>
      </c>
      <c r="G39" s="88"/>
      <c r="H39" s="88"/>
      <c r="I39" s="88"/>
      <c r="J39" s="88"/>
      <c r="K39" s="145"/>
      <c r="L39" s="140"/>
    </row>
    <row r="40" spans="2:12" ht="48.75" customHeight="1" x14ac:dyDescent="0.2">
      <c r="B40" s="374"/>
      <c r="C40" s="25" t="s">
        <v>94</v>
      </c>
      <c r="D40" s="97">
        <f t="shared" ref="D40:J40" si="0">IF(D26="","0",D39*D38)</f>
        <v>1109530892.02</v>
      </c>
      <c r="E40" s="97">
        <f t="shared" si="0"/>
        <v>1908389377.4400003</v>
      </c>
      <c r="F40" s="97">
        <f t="shared" si="0"/>
        <v>1432103400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2232.9058</v>
      </c>
      <c r="E41" s="98">
        <f t="shared" si="1"/>
        <v>2767.9680000000003</v>
      </c>
      <c r="F41" s="98">
        <f t="shared" si="1"/>
        <v>1101.6179999999999</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2232.9058</v>
      </c>
      <c r="E48" s="98">
        <f t="shared" ref="E48:G48" si="6">+E41+E44+E47</f>
        <v>2767.9680000000003</v>
      </c>
      <c r="F48" s="98">
        <f t="shared" si="6"/>
        <v>1101.6179999999999</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0:C70"/>
    <mergeCell ref="B71:C71"/>
    <mergeCell ref="B72:C72"/>
    <mergeCell ref="B65:C65"/>
    <mergeCell ref="B66:C66"/>
    <mergeCell ref="B67:C67"/>
    <mergeCell ref="B69:E69"/>
    <mergeCell ref="B62:C62"/>
    <mergeCell ref="B63:C63"/>
    <mergeCell ref="B64:C64"/>
    <mergeCell ref="B59:C59"/>
    <mergeCell ref="B60:C60"/>
    <mergeCell ref="B61:C61"/>
    <mergeCell ref="B56:C56"/>
    <mergeCell ref="B57:C57"/>
    <mergeCell ref="B58:C58"/>
    <mergeCell ref="B50:B55"/>
    <mergeCell ref="B28:C28"/>
    <mergeCell ref="B29:B47"/>
    <mergeCell ref="I22:L22"/>
    <mergeCell ref="B12:L12"/>
    <mergeCell ref="B13:H13"/>
    <mergeCell ref="B14:B21"/>
    <mergeCell ref="K17:L17"/>
    <mergeCell ref="K18:L21"/>
    <mergeCell ref="B24:L24"/>
    <mergeCell ref="K25:L25"/>
    <mergeCell ref="B26:C26"/>
    <mergeCell ref="B27:C27"/>
    <mergeCell ref="B23:L23"/>
    <mergeCell ref="C8:I8"/>
    <mergeCell ref="C9:I9"/>
    <mergeCell ref="C10:I10"/>
    <mergeCell ref="C11:G11"/>
    <mergeCell ref="B2:L2"/>
    <mergeCell ref="B3:L3"/>
    <mergeCell ref="B4:L4"/>
    <mergeCell ref="B5:L5"/>
    <mergeCell ref="B7:I7"/>
    <mergeCell ref="J7:L7"/>
    <mergeCell ref="I11:L11"/>
  </mergeCells>
  <conditionalFormatting sqref="D71">
    <cfRule type="cellIs" dxfId="561" priority="97" operator="equal">
      <formula>"CUMPLE"</formula>
    </cfRule>
    <cfRule type="containsBlanks" dxfId="560" priority="94">
      <formula>LEN(TRIM(D71))=0</formula>
    </cfRule>
    <cfRule type="notContainsErrors" dxfId="559" priority="95">
      <formula>NOT(ISERROR(D71))</formula>
    </cfRule>
    <cfRule type="cellIs" dxfId="558" priority="96" operator="equal">
      <formula>"NO CUMPLE"</formula>
    </cfRule>
  </conditionalFormatting>
  <conditionalFormatting sqref="D72">
    <cfRule type="cellIs" dxfId="557" priority="99" operator="equal">
      <formula>"CUMPLE"</formula>
    </cfRule>
    <cfRule type="cellIs" dxfId="556" priority="98" operator="equal">
      <formula>"N/A"</formula>
    </cfRule>
    <cfRule type="cellIs" dxfId="555" priority="101" operator="equal">
      <formula>"""CUMPLE"""</formula>
    </cfRule>
    <cfRule type="cellIs" dxfId="554" priority="100" operator="equal">
      <formula>"NO CUMPLE"</formula>
    </cfRule>
  </conditionalFormatting>
  <conditionalFormatting sqref="D26:J37">
    <cfRule type="notContainsErrors" dxfId="553" priority="4">
      <formula>NOT(ISERROR(D26))</formula>
    </cfRule>
    <cfRule type="containsBlanks" dxfId="552" priority="3">
      <formula>LEN(TRIM(D26))=0</formula>
    </cfRule>
  </conditionalFormatting>
  <conditionalFormatting sqref="D36:J36">
    <cfRule type="notContainsErrors" dxfId="551" priority="6">
      <formula>NOT(ISERROR(D36))</formula>
    </cfRule>
    <cfRule type="containsBlanks" dxfId="550" priority="5">
      <formula>LEN(TRIM(D36))=0</formula>
    </cfRule>
  </conditionalFormatting>
  <conditionalFormatting sqref="D39:J39">
    <cfRule type="containsBlanks" dxfId="549" priority="1">
      <formula>LEN(TRIM(D39))=0</formula>
    </cfRule>
    <cfRule type="notContainsErrors" dxfId="548" priority="2">
      <formula>NOT(ISERROR(D39))</formula>
    </cfRule>
  </conditionalFormatting>
  <conditionalFormatting sqref="D42:J42 D45:J45">
    <cfRule type="notContainsErrors" dxfId="547" priority="62">
      <formula>NOT(ISERROR(D42))</formula>
    </cfRule>
    <cfRule type="containsBlanks" dxfId="546" priority="61">
      <formula>LEN(TRIM(D42))=0</formula>
    </cfRule>
  </conditionalFormatting>
  <conditionalFormatting sqref="D49:J54">
    <cfRule type="cellIs" dxfId="545" priority="17" operator="equal">
      <formula>"NO CUMPLE"</formula>
    </cfRule>
    <cfRule type="cellIs" dxfId="544" priority="18" operator="equal">
      <formula>"CUMPLE"</formula>
    </cfRule>
    <cfRule type="containsBlanks" dxfId="543" priority="19">
      <formula>LEN(TRIM(D49))=0</formula>
    </cfRule>
    <cfRule type="notContainsErrors" dxfId="542" priority="20">
      <formula>NOT(ISERROR(D49))</formula>
    </cfRule>
  </conditionalFormatting>
  <conditionalFormatting sqref="D55:J55">
    <cfRule type="cellIs" dxfId="541" priority="28" operator="equal">
      <formula>"CUMPLE"</formula>
    </cfRule>
    <cfRule type="cellIs" dxfId="540" priority="30" operator="equal">
      <formula>"""CUMPLE"""</formula>
    </cfRule>
    <cfRule type="cellIs" dxfId="539" priority="29" operator="equal">
      <formula>"NO CUMPLE"</formula>
    </cfRule>
    <cfRule type="cellIs" dxfId="538" priority="27" operator="equal">
      <formula>"N/A"</formula>
    </cfRule>
  </conditionalFormatting>
  <conditionalFormatting sqref="D56:J66">
    <cfRule type="cellIs" dxfId="537" priority="11" operator="equal">
      <formula>"NO CUMPLE"</formula>
    </cfRule>
    <cfRule type="notContainsErrors" dxfId="536" priority="14">
      <formula>NOT(ISERROR(D56))</formula>
    </cfRule>
    <cfRule type="containsBlanks" dxfId="535" priority="13">
      <formula>LEN(TRIM(D56))=0</formula>
    </cfRule>
    <cfRule type="cellIs" dxfId="534" priority="12" operator="equal">
      <formula>"CUMPLE"</formula>
    </cfRule>
  </conditionalFormatting>
  <conditionalFormatting sqref="D67:J67">
    <cfRule type="cellIs" dxfId="533" priority="23" operator="equal">
      <formula>"N/A"</formula>
    </cfRule>
    <cfRule type="cellIs" dxfId="532" priority="24" operator="equal">
      <formula>"CUMPLE"</formula>
    </cfRule>
    <cfRule type="cellIs" dxfId="531" priority="26" operator="equal">
      <formula>"""CUMPLE"""</formula>
    </cfRule>
    <cfRule type="cellIs" dxfId="530" priority="25" operator="equal">
      <formula>"NO CUMPLE"</formula>
    </cfRule>
  </conditionalFormatting>
  <conditionalFormatting sqref="D62:K66">
    <cfRule type="containsBlanks" dxfId="529" priority="15">
      <formula>LEN(TRIM(D62))=0</formula>
    </cfRule>
    <cfRule type="notContainsErrors" dxfId="528" priority="16">
      <formula>NOT(ISERROR(D62))</formula>
    </cfRule>
  </conditionalFormatting>
  <conditionalFormatting sqref="E71:E72">
    <cfRule type="notContainsErrors" dxfId="527" priority="93">
      <formula>NOT(ISERROR(E71))</formula>
    </cfRule>
    <cfRule type="containsBlanks" dxfId="526" priority="92">
      <formula>LEN(TRIM(E71))=0</formula>
    </cfRule>
  </conditionalFormatting>
  <conditionalFormatting sqref="F22:H22">
    <cfRule type="cellIs" dxfId="525" priority="116" operator="equal">
      <formula>"NO CUMPLE"</formula>
    </cfRule>
    <cfRule type="cellIs" dxfId="524" priority="117" operator="equal">
      <formula>"""CUMPLE"""</formula>
    </cfRule>
    <cfRule type="cellIs" dxfId="523" priority="115" operator="equal">
      <formula>"CUMPLE"</formula>
    </cfRule>
  </conditionalFormatting>
  <conditionalFormatting sqref="G63:J63">
    <cfRule type="containsBlanks" dxfId="522" priority="7">
      <formula>LEN(TRIM(G63))=0</formula>
    </cfRule>
    <cfRule type="notContainsErrors" dxfId="521" priority="8">
      <formula>NOT(ISERROR(G63))</formula>
    </cfRule>
  </conditionalFormatting>
  <conditionalFormatting sqref="I11">
    <cfRule type="containsText" dxfId="520" priority="121" operator="containsText" text="NO CUMPLE">
      <formula>NOT(ISERROR(SEARCH("NO CUMPLE",I11)))</formula>
    </cfRule>
    <cfRule type="containsText" dxfId="519" priority="120" operator="containsText" text="HABILITADO">
      <formula>NOT(ISERROR(SEARCH("HABILITADO",I11)))</formula>
    </cfRule>
    <cfRule type="containsText" dxfId="518" priority="119" operator="containsText" text="HABILITADO">
      <formula>NOT(ISERROR(SEARCH("HABILITADO",I11)))</formula>
    </cfRule>
    <cfRule type="containsText" dxfId="517" priority="118" operator="containsText" text="INHABILITADO">
      <formula>NOT(ISERROR(SEARCH("INHABILITADO",I11)))</formula>
    </cfRule>
  </conditionalFormatting>
  <conditionalFormatting sqref="K18:K20">
    <cfRule type="cellIs" dxfId="516" priority="90" operator="equal">
      <formula>"NO CUMPLE"</formula>
    </cfRule>
    <cfRule type="cellIs" dxfId="515" priority="91" operator="equal">
      <formula>"""CUMPLE"""</formula>
    </cfRule>
    <cfRule type="cellIs" dxfId="514" priority="89" operator="equal">
      <formula>"CUMPLE"</formula>
    </cfRule>
  </conditionalFormatting>
  <conditionalFormatting sqref="K26:K61 D62:J62">
    <cfRule type="containsBlanks" dxfId="513" priority="9">
      <formula>LEN(TRIM(D26))=0</formula>
    </cfRule>
    <cfRule type="notContainsErrors" dxfId="512" priority="10">
      <formula>NOT(ISERROR(D26))</formula>
    </cfRule>
  </conditionalFormatting>
  <conditionalFormatting sqref="K67:L67">
    <cfRule type="containsBlanks" dxfId="511" priority="21">
      <formula>LEN(TRIM(K67))=0</formula>
    </cfRule>
    <cfRule type="notContainsErrors" dxfId="510" priority="22">
      <formula>NOT(ISERROR(K67))</formula>
    </cfRule>
  </conditionalFormatting>
  <conditionalFormatting sqref="L14">
    <cfRule type="cellIs" dxfId="509" priority="114" operator="equal">
      <formula>"""CUMPLE"""</formula>
    </cfRule>
    <cfRule type="cellIs" dxfId="508" priority="113" operator="equal">
      <formula>"NO CUMPLE"</formula>
    </cfRule>
    <cfRule type="cellIs" dxfId="507" priority="112" operator="equal">
      <formula>"CUMPLE"</formula>
    </cfRule>
  </conditionalFormatting>
  <dataValidations count="2">
    <dataValidation type="list" allowBlank="1" showInputMessage="1" showErrorMessage="1" sqref="L62:L67" xr:uid="{00000000-0002-0000-5A00-000000000000}">
      <formula1>"0,1,2,3,4,5,6"</formula1>
    </dataValidation>
    <dataValidation type="list" allowBlank="1" showInputMessage="1" showErrorMessage="1" sqref="D26:J28" xr:uid="{00000000-0002-0000-5A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5A00-000002000000}">
          <x14:formula1>
            <xm:f>'DATOS INICIALES'!$D$27:$D$29</xm:f>
          </x14:formula1>
          <xm:sqref>M50:M55</xm:sqref>
        </x14:dataValidation>
        <x14:dataValidation type="list" allowBlank="1" showInputMessage="1" showErrorMessage="1" xr:uid="{00000000-0002-0000-5A00-000003000000}">
          <x14:formula1>
            <xm:f>'DATOS INICIALES'!$A$57:$A$58</xm:f>
          </x14:formula1>
          <xm:sqref>D49:J49</xm:sqref>
        </x14:dataValidation>
        <x14:dataValidation type="list" allowBlank="1" showInputMessage="1" showErrorMessage="1" xr:uid="{00000000-0002-0000-5A00-000004000000}">
          <x14:formula1>
            <xm:f>'DATOS INICIALES'!$A$61:$A$67</xm:f>
          </x14:formula1>
          <xm:sqref>J25</xm:sqref>
        </x14:dataValidation>
        <x14:dataValidation type="list" allowBlank="1" showInputMessage="1" showErrorMessage="1" xr:uid="{00000000-0002-0000-5A00-000005000000}">
          <x14:formula1>
            <xm:f>'DATOS INICIALES'!$C$52:$C$53</xm:f>
          </x14:formula1>
          <xm:sqref>D53:J54</xm:sqref>
        </x14:dataValidation>
        <x14:dataValidation type="list" allowBlank="1" showInputMessage="1" showErrorMessage="1" xr:uid="{00000000-0002-0000-5A00-000006000000}">
          <x14:formula1>
            <xm:f>'DATOS INICIALES'!$A$57:$A$59</xm:f>
          </x14:formula1>
          <xm:sqref>D71 D56:J66</xm:sqref>
        </x14:dataValidation>
        <x14:dataValidation type="list" allowBlank="1" showInputMessage="1" showErrorMessage="1" xr:uid="{00000000-0002-0000-5A00-000007000000}">
          <x14:formula1>
            <xm:f>'DATOS INICIALES'!$A$61:$A$66</xm:f>
          </x14:formula1>
          <xm:sqref>D25:I25</xm:sqref>
        </x14:dataValidation>
        <x14:dataValidation type="list" allowBlank="1" showInputMessage="1" showErrorMessage="1" xr:uid="{00000000-0002-0000-5A00-000008000000}">
          <x14:formula1>
            <xm:f>'DATOS INICIALES'!$A$13:$A$50</xm:f>
          </x14:formula1>
          <xm:sqref>G33:I33</xm:sqref>
        </x14:dataValidation>
        <x14:dataValidation type="list" allowBlank="1" showInputMessage="1" showErrorMessage="1" xr:uid="{00000000-0002-0000-5A00-000009000000}">
          <x14:formula1>
            <xm:f>'DATOS INICIALES'!$C$52:$C$54</xm:f>
          </x14:formula1>
          <xm:sqref>D50:J52</xm:sqref>
        </x14:dataValidation>
      </x14:dataValidations>
    </ext>
  </extLst>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sheetPr>
    <tabColor rgb="FF92D050"/>
  </sheetPr>
  <dimension ref="A1:N72"/>
  <sheetViews>
    <sheetView view="pageBreakPreview" topLeftCell="A10" zoomScale="55" zoomScaleNormal="25" zoomScaleSheetLayoutView="55" workbookViewId="0">
      <selection activeCell="I27" sqref="I27"/>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86</v>
      </c>
      <c r="B11" s="2" t="s">
        <v>58</v>
      </c>
      <c r="C11" s="413" t="str">
        <f>VLOOKUP(A11,PROPONENTES!A10:B111,2,FALSE)</f>
        <v>C INTERUSAQUEN EI</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7</v>
      </c>
      <c r="J14" s="147">
        <f>+L8</f>
        <v>986.3076290832455</v>
      </c>
      <c r="K14" s="147">
        <f>+E22</f>
        <v>15003.668</v>
      </c>
      <c r="L14" s="18" t="str">
        <f>IF(K14&gt;=J14,"CUMPLE","NO CUMPLE")</f>
        <v>CUMPLE</v>
      </c>
    </row>
    <row r="15" spans="1:12" ht="33.75" customHeight="1" x14ac:dyDescent="0.2">
      <c r="B15" s="382"/>
      <c r="C15" s="92" t="str">
        <f>IF(VLOOKUP(C11,PROPONENTES!B10:N111,2,FALSE)=0,"",VLOOKUP(C11,PROPONENTES!B10:N111,2,FALSE))</f>
        <v>ECG INGENIERÍA SAS</v>
      </c>
      <c r="D15" s="93">
        <f>IF(VLOOKUP(C11,PROPONENTES!B10:N111,3,FALSE)=0,"",VLOOKUP(C11,PROPONENTES!B10:N111,3,FALSE))</f>
        <v>0.5</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8307.32</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IF(VLOOKUP(C11,PROPONENTES!B10:N111,4,FALSE)=0,"",VLOOKUP(C11,PROPONENTES!B10:N111,4,FALSE))</f>
        <v>INGENIERIA Y CONSULTORIA INGECON SAS</v>
      </c>
      <c r="D16" s="93">
        <f>IF(VLOOKUP(C11,PROPONENTES!B10:N111,5,FALSE)=0,"",VLOOKUP(C11,PROPONENTES!B10:N111,5,FALSE))</f>
        <v>0.5</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6696.348</v>
      </c>
      <c r="F16" s="95" t="str">
        <f>IF(C16="","",IF(E16&gt;=$J$14*0.5,"SI","NO"))</f>
        <v>SI</v>
      </c>
      <c r="G16" s="96" t="str">
        <f>IF(C16="","",IF(E16&gt;=$J$14*0.05,"SI",IF(E16=0,"NO APORTA EXPERIENCIA",)))</f>
        <v>SI</v>
      </c>
      <c r="H16" s="96" t="str">
        <f>IF(C16="","",IF(AND(G16="NO APORTA EXPERIENCIA",D16&lt;=10%),"SI",IF(G16="SI","NO APLICA","NO - PORCENTAJE MAYOR AL 10%")))</f>
        <v>NO APLICA</v>
      </c>
      <c r="I16" s="162"/>
      <c r="J16" s="162"/>
      <c r="K16" s="162"/>
      <c r="L16" s="161">
        <f>AVERAGEIF(D67:J67,"CUMPLE",D48:J48)</f>
        <v>2143.381142857143</v>
      </c>
    </row>
    <row r="17" spans="2:14" ht="33.75" customHeight="1" x14ac:dyDescent="0.2">
      <c r="B17" s="382"/>
      <c r="C17" s="92" t="str">
        <f>IF(VLOOKUP(C11,PROPONENTES!B10:N111,6,FALSE)=0,"",VLOOKUP(C11,PROPONENTES!B10:N111,6,FALSE))</f>
        <v/>
      </c>
      <c r="D17" s="93" t="str">
        <f>IF(VLOOKUP(C11,PROPONENTES!B10:N111,7,FALSE)=0,"",VLOOKUP(C11,PROPONENTES!B10:N111,7,FALSE))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IF(VLOOKUP(C11,PROPONENTES!B10:N111,8,FALSE)=0,"",VLOOKUP(C11,PROPONENTES!B10:N111,8,FALSE))</f>
        <v/>
      </c>
      <c r="D18" s="93" t="str">
        <f>IF(VLOOKUP(C11,PROPONENTES!B10:N111,9,FALSE)=0,"",VLOOKUP(C11,PROPONENTES!B10:N111,9,FALSE))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7</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7</v>
      </c>
      <c r="J19" s="128">
        <v>1</v>
      </c>
      <c r="K19" s="387"/>
      <c r="L19" s="388"/>
    </row>
    <row r="20" spans="2:14" ht="50.25" customHeight="1" x14ac:dyDescent="0.2">
      <c r="B20" s="382"/>
      <c r="C20" s="92"/>
      <c r="D20" s="93"/>
      <c r="E20" s="94"/>
      <c r="F20" s="95"/>
      <c r="G20" s="96"/>
      <c r="H20" s="96"/>
      <c r="I20" s="128">
        <f>COUNTIFS(D60:J60,"CUMPLE",D67:J67,"CUMPLE")</f>
        <v>7</v>
      </c>
      <c r="J20" s="128">
        <v>1</v>
      </c>
      <c r="K20" s="387"/>
      <c r="L20" s="388"/>
    </row>
    <row r="21" spans="2:14" ht="33.75" customHeight="1" x14ac:dyDescent="0.2">
      <c r="B21" s="382"/>
      <c r="C21" s="92" t="str">
        <f>IF(VLOOKUP(C11,PROPONENTES!B10:N111,10,FALSE)=0,"",VLOOKUP(C11,PROPONENTES!B10:N111,10,FALSE))</f>
        <v/>
      </c>
      <c r="D21" s="93" t="str">
        <f>IF(VLOOKUP(C11,PROPONENTES!B10:N111,11,FALSE)=0,"",VLOOKUP(C11,PROPONENTES!B10:N111,11,FALSE))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7</v>
      </c>
      <c r="J21" s="128">
        <v>1</v>
      </c>
      <c r="K21" s="389"/>
      <c r="L21" s="390"/>
    </row>
    <row r="22" spans="2:14" ht="84.75" customHeight="1" x14ac:dyDescent="0.2">
      <c r="B22" s="29" t="s">
        <v>75</v>
      </c>
      <c r="C22" s="24">
        <f>+VLOOKUP(C11,PROPONENTES!B10:N111,12,FALSE)</f>
        <v>2</v>
      </c>
      <c r="D22" s="93">
        <f>+VLOOKUP(C11,PROPONENTES!B10:N111,13,FALSE)</f>
        <v>1</v>
      </c>
      <c r="E22" s="32">
        <f>SUM(E15:E21)</f>
        <v>15003.668</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1273</v>
      </c>
      <c r="E26" s="84" t="s">
        <v>1275</v>
      </c>
      <c r="F26" s="84" t="s">
        <v>1275</v>
      </c>
      <c r="G26" s="84" t="s">
        <v>1275</v>
      </c>
      <c r="H26" s="84" t="s">
        <v>1275</v>
      </c>
      <c r="I26" s="84" t="s">
        <v>1275</v>
      </c>
      <c r="J26" s="84" t="s">
        <v>1275</v>
      </c>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1297</v>
      </c>
      <c r="E29" s="85" t="s">
        <v>1298</v>
      </c>
      <c r="F29" s="85" t="s">
        <v>1299</v>
      </c>
      <c r="G29" s="85" t="s">
        <v>1300</v>
      </c>
      <c r="H29" s="85" t="s">
        <v>1301</v>
      </c>
      <c r="I29" s="85" t="s">
        <v>1302</v>
      </c>
      <c r="J29" s="85" t="s">
        <v>1303</v>
      </c>
      <c r="K29" s="145"/>
      <c r="L29" s="140"/>
    </row>
    <row r="30" spans="2:14" ht="198.5" customHeight="1" x14ac:dyDescent="0.2">
      <c r="B30" s="374"/>
      <c r="C30" s="25" t="s">
        <v>84</v>
      </c>
      <c r="D30" s="85" t="s">
        <v>1304</v>
      </c>
      <c r="E30" s="85" t="s">
        <v>1305</v>
      </c>
      <c r="F30" s="85" t="s">
        <v>1306</v>
      </c>
      <c r="G30" s="85" t="s">
        <v>1307</v>
      </c>
      <c r="H30" s="85" t="s">
        <v>1308</v>
      </c>
      <c r="I30" s="85" t="s">
        <v>1309</v>
      </c>
      <c r="J30" s="85" t="s">
        <v>1310</v>
      </c>
      <c r="K30" s="145"/>
      <c r="L30" s="140"/>
    </row>
    <row r="31" spans="2:14" ht="52.5" customHeight="1" x14ac:dyDescent="0.2">
      <c r="B31" s="374"/>
      <c r="C31" s="25" t="s">
        <v>85</v>
      </c>
      <c r="D31" s="89">
        <v>38671</v>
      </c>
      <c r="E31" s="89">
        <v>38254</v>
      </c>
      <c r="F31" s="89">
        <v>43563</v>
      </c>
      <c r="G31" s="89">
        <v>36775</v>
      </c>
      <c r="H31" s="89">
        <v>38272</v>
      </c>
      <c r="I31" s="89">
        <v>42361</v>
      </c>
      <c r="J31" s="89">
        <v>39083</v>
      </c>
      <c r="K31" s="145"/>
      <c r="L31" s="140"/>
    </row>
    <row r="32" spans="2:14" ht="54.75" customHeight="1" x14ac:dyDescent="0.2">
      <c r="B32" s="374"/>
      <c r="C32" s="25" t="s">
        <v>86</v>
      </c>
      <c r="D32" s="89">
        <v>40144</v>
      </c>
      <c r="E32" s="89">
        <v>39472</v>
      </c>
      <c r="F32" s="89">
        <v>43715</v>
      </c>
      <c r="G32" s="89">
        <v>37124</v>
      </c>
      <c r="H32" s="89">
        <v>38475</v>
      </c>
      <c r="I32" s="89">
        <v>42696</v>
      </c>
      <c r="J32" s="89">
        <v>40147</v>
      </c>
      <c r="K32" s="145"/>
      <c r="L32" s="140"/>
    </row>
    <row r="33" spans="2:12" ht="41.25" customHeight="1" x14ac:dyDescent="0.2">
      <c r="B33" s="374"/>
      <c r="C33" s="25" t="s">
        <v>87</v>
      </c>
      <c r="D33" s="86">
        <v>2009</v>
      </c>
      <c r="E33" s="86">
        <v>2008</v>
      </c>
      <c r="F33" s="86">
        <v>2019</v>
      </c>
      <c r="G33" s="86">
        <v>2001</v>
      </c>
      <c r="H33" s="86">
        <v>2005</v>
      </c>
      <c r="I33" s="86">
        <v>2016</v>
      </c>
      <c r="J33" s="86">
        <v>2009</v>
      </c>
      <c r="K33" s="145"/>
      <c r="L33" s="140"/>
    </row>
    <row r="34" spans="2:12" ht="63" customHeight="1" x14ac:dyDescent="0.2">
      <c r="B34" s="374"/>
      <c r="C34" s="25" t="s">
        <v>88</v>
      </c>
      <c r="D34" s="85" t="s">
        <v>1311</v>
      </c>
      <c r="E34" s="85" t="s">
        <v>1312</v>
      </c>
      <c r="F34" s="85" t="s">
        <v>1313</v>
      </c>
      <c r="G34" s="85" t="s">
        <v>1312</v>
      </c>
      <c r="H34" s="85" t="s">
        <v>1312</v>
      </c>
      <c r="I34" s="85" t="s">
        <v>1314</v>
      </c>
      <c r="J34" s="85" t="s">
        <v>1313</v>
      </c>
      <c r="K34" s="145"/>
      <c r="L34" s="140"/>
    </row>
    <row r="35" spans="2:12" ht="46.5" customHeight="1" x14ac:dyDescent="0.2">
      <c r="B35" s="374"/>
      <c r="C35" s="25" t="s">
        <v>89</v>
      </c>
      <c r="D35" s="85" t="s">
        <v>1315</v>
      </c>
      <c r="E35" s="85" t="s">
        <v>1316</v>
      </c>
      <c r="F35" s="85" t="s">
        <v>1317</v>
      </c>
      <c r="G35" s="85" t="s">
        <v>1318</v>
      </c>
      <c r="H35" s="85" t="s">
        <v>1319</v>
      </c>
      <c r="I35" s="85" t="s">
        <v>1320</v>
      </c>
      <c r="J35" s="85" t="s">
        <v>1275</v>
      </c>
      <c r="K35" s="145"/>
      <c r="L35" s="140"/>
    </row>
    <row r="36" spans="2:12" ht="27.75" customHeight="1" x14ac:dyDescent="0.2">
      <c r="B36" s="374"/>
      <c r="C36" s="26" t="s">
        <v>90</v>
      </c>
      <c r="D36" s="90">
        <v>4</v>
      </c>
      <c r="E36" s="90">
        <v>1</v>
      </c>
      <c r="F36" s="90">
        <v>54</v>
      </c>
      <c r="G36" s="91">
        <v>19</v>
      </c>
      <c r="H36" s="91">
        <v>2</v>
      </c>
      <c r="I36" s="91">
        <v>42</v>
      </c>
      <c r="J36" s="91">
        <v>11</v>
      </c>
      <c r="K36" s="145"/>
      <c r="L36" s="140"/>
    </row>
    <row r="37" spans="2:12" ht="102.75" customHeight="1" x14ac:dyDescent="0.2">
      <c r="B37" s="374"/>
      <c r="C37" s="25" t="s">
        <v>91</v>
      </c>
      <c r="D37" s="87">
        <v>8307.32</v>
      </c>
      <c r="E37" s="158">
        <v>1446.2</v>
      </c>
      <c r="F37" s="87">
        <v>709.77</v>
      </c>
      <c r="G37" s="87">
        <v>703.51</v>
      </c>
      <c r="H37" s="87">
        <v>825.41</v>
      </c>
      <c r="I37" s="87">
        <v>731.27</v>
      </c>
      <c r="J37" s="87">
        <v>4130.01</v>
      </c>
      <c r="K37" s="242"/>
      <c r="L37" s="243"/>
    </row>
    <row r="38" spans="2:12" ht="48" customHeight="1" x14ac:dyDescent="0.2">
      <c r="B38" s="374"/>
      <c r="C38" s="25" t="s">
        <v>92</v>
      </c>
      <c r="D38" s="97">
        <f>IFERROR(D37*VLOOKUP(D33,'DATOS INICIALES'!$A$12:$B$50,2,0),"0")</f>
        <v>4127907308</v>
      </c>
      <c r="E38" s="97">
        <f>IFERROR(E37*VLOOKUP(E33,'DATOS INICIALES'!$A$12:$B$50,2,0),"0")</f>
        <v>667421300</v>
      </c>
      <c r="F38" s="97">
        <f>IFERROR(F37*VLOOKUP(F33,'DATOS INICIALES'!$A$12:$B$50,2,0),"0")</f>
        <v>587771893.31999993</v>
      </c>
      <c r="G38" s="97">
        <f>IFERROR(G37*VLOOKUP(G33,'DATOS INICIALES'!$A$12:$B$50,2,0),"0")</f>
        <v>201203860</v>
      </c>
      <c r="H38" s="97">
        <f>IFERROR(H37*VLOOKUP(H33,'DATOS INICIALES'!$A$12:$B$50,2,0),"0")</f>
        <v>314893915</v>
      </c>
      <c r="I38" s="97">
        <f>IFERROR(I37*VLOOKUP(I33,'DATOS INICIALES'!$A$12:$B$50,2,0),"0")</f>
        <v>504177757.84999996</v>
      </c>
      <c r="J38" s="97">
        <f>IFERROR(J37*VLOOKUP(J33,'DATOS INICIALES'!$A$12:$B$50,2,0),"0")</f>
        <v>2052201969</v>
      </c>
      <c r="K38" s="145"/>
      <c r="L38" s="140"/>
    </row>
    <row r="39" spans="2:12" ht="33.75" customHeight="1" x14ac:dyDescent="0.2">
      <c r="B39" s="374"/>
      <c r="C39" s="25" t="s">
        <v>93</v>
      </c>
      <c r="D39" s="88">
        <v>1</v>
      </c>
      <c r="E39" s="88">
        <v>0.65</v>
      </c>
      <c r="F39" s="88">
        <v>0.6</v>
      </c>
      <c r="G39" s="88">
        <v>0.6</v>
      </c>
      <c r="H39" s="88">
        <v>0.5</v>
      </c>
      <c r="I39" s="88">
        <v>0.5</v>
      </c>
      <c r="J39" s="88">
        <v>1</v>
      </c>
      <c r="K39" s="145"/>
      <c r="L39" s="140"/>
    </row>
    <row r="40" spans="2:12" ht="48.75" customHeight="1" x14ac:dyDescent="0.2">
      <c r="B40" s="374"/>
      <c r="C40" s="25" t="s">
        <v>94</v>
      </c>
      <c r="D40" s="97">
        <f t="shared" ref="D40:J40" si="0">IF(D26="","0",D39*D38)</f>
        <v>4127907308</v>
      </c>
      <c r="E40" s="97">
        <f t="shared" si="0"/>
        <v>433823845</v>
      </c>
      <c r="F40" s="97">
        <f t="shared" si="0"/>
        <v>352663135.99199992</v>
      </c>
      <c r="G40" s="97">
        <f t="shared" si="0"/>
        <v>120722316</v>
      </c>
      <c r="H40" s="97">
        <f t="shared" si="0"/>
        <v>157446957.5</v>
      </c>
      <c r="I40" s="97">
        <f t="shared" si="0"/>
        <v>252088878.92499998</v>
      </c>
      <c r="J40" s="97">
        <f t="shared" si="0"/>
        <v>2052201969</v>
      </c>
      <c r="K40" s="145"/>
      <c r="L40" s="140"/>
    </row>
    <row r="41" spans="2:12" ht="65.25" customHeight="1" x14ac:dyDescent="0.2">
      <c r="B41" s="374"/>
      <c r="C41" s="25" t="s">
        <v>95</v>
      </c>
      <c r="D41" s="98">
        <f t="shared" ref="D41:J41" si="1">IFERROR(D37*D39,"0")</f>
        <v>8307.32</v>
      </c>
      <c r="E41" s="98">
        <f t="shared" si="1"/>
        <v>940.03000000000009</v>
      </c>
      <c r="F41" s="98">
        <f t="shared" si="1"/>
        <v>425.86199999999997</v>
      </c>
      <c r="G41" s="98">
        <f t="shared" si="1"/>
        <v>422.10599999999999</v>
      </c>
      <c r="H41" s="98">
        <f t="shared" si="1"/>
        <v>412.70499999999998</v>
      </c>
      <c r="I41" s="98">
        <f t="shared" si="1"/>
        <v>365.63499999999999</v>
      </c>
      <c r="J41" s="98">
        <f t="shared" si="1"/>
        <v>4130.01</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8307.32</v>
      </c>
      <c r="E48" s="98">
        <f t="shared" ref="E48:G48" si="6">+E41+E44+E47</f>
        <v>940.03000000000009</v>
      </c>
      <c r="F48" s="98">
        <f t="shared" si="6"/>
        <v>425.86199999999997</v>
      </c>
      <c r="G48" s="98">
        <f t="shared" si="6"/>
        <v>422.10599999999999</v>
      </c>
      <c r="H48" s="98">
        <f>+H41+H44+H47</f>
        <v>412.70499999999998</v>
      </c>
      <c r="I48" s="98">
        <f t="shared" ref="I48:J48" si="7">+I41+I44+I47</f>
        <v>365.63499999999999</v>
      </c>
      <c r="J48" s="98">
        <f t="shared" si="7"/>
        <v>4130.01</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CUMPLE</v>
      </c>
      <c r="H55" s="18" t="str">
        <f t="shared" si="8"/>
        <v>CUMPLE</v>
      </c>
      <c r="I55" s="18" t="str">
        <f t="shared" si="8"/>
        <v>CUMPLE</v>
      </c>
      <c r="J55" s="18" t="str">
        <f t="shared" si="8"/>
        <v>CUMPLE</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CUMPLE</v>
      </c>
      <c r="H67" s="18" t="str">
        <f t="shared" ref="H67:J67" si="9">IF(H26="","N/A",IF(AND(H49="CUMPLE",H55="CUMPLE",OR(H56="CUMPLE",H56="N/A"),OR(H59="CUMPLE",H59="N/A"),H62="CUMPLE",H63="CUMPLE",OR(H64="CUMPLE",H64="N/A"),H65="CUMPLE",OR(H66="CUMPLE",H66="N/A")),"CUMPLE","NO CUMPLE"))</f>
        <v>CUMPLE</v>
      </c>
      <c r="I67" s="18" t="str">
        <f t="shared" si="9"/>
        <v>CUMPLE</v>
      </c>
      <c r="J67" s="18" t="str">
        <f t="shared" si="9"/>
        <v>CUMPLE</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0:C70"/>
    <mergeCell ref="B71:C71"/>
    <mergeCell ref="B72:C72"/>
    <mergeCell ref="B65:C65"/>
    <mergeCell ref="B66:C66"/>
    <mergeCell ref="B67:C67"/>
    <mergeCell ref="B69:E69"/>
    <mergeCell ref="B62:C62"/>
    <mergeCell ref="B63:C63"/>
    <mergeCell ref="B64:C64"/>
    <mergeCell ref="B59:C59"/>
    <mergeCell ref="B60:C60"/>
    <mergeCell ref="B61:C61"/>
    <mergeCell ref="B56:C56"/>
    <mergeCell ref="B57:C57"/>
    <mergeCell ref="B58:C58"/>
    <mergeCell ref="B50:B55"/>
    <mergeCell ref="B28:C28"/>
    <mergeCell ref="B29:B47"/>
    <mergeCell ref="I22:L22"/>
    <mergeCell ref="B12:L12"/>
    <mergeCell ref="B13:H13"/>
    <mergeCell ref="B14:B21"/>
    <mergeCell ref="K17:L17"/>
    <mergeCell ref="K18:L21"/>
    <mergeCell ref="B24:L24"/>
    <mergeCell ref="K25:L25"/>
    <mergeCell ref="B26:C26"/>
    <mergeCell ref="B27:C27"/>
    <mergeCell ref="B23:L23"/>
    <mergeCell ref="C8:I8"/>
    <mergeCell ref="C9:I9"/>
    <mergeCell ref="C10:I10"/>
    <mergeCell ref="C11:G11"/>
    <mergeCell ref="B2:L2"/>
    <mergeCell ref="B3:L3"/>
    <mergeCell ref="B4:L4"/>
    <mergeCell ref="B5:L5"/>
    <mergeCell ref="B7:I7"/>
    <mergeCell ref="J7:L7"/>
    <mergeCell ref="I11:L11"/>
  </mergeCells>
  <conditionalFormatting sqref="D71">
    <cfRule type="cellIs" dxfId="506" priority="97" operator="equal">
      <formula>"CUMPLE"</formula>
    </cfRule>
    <cfRule type="containsBlanks" dxfId="505" priority="94">
      <formula>LEN(TRIM(D71))=0</formula>
    </cfRule>
    <cfRule type="notContainsErrors" dxfId="504" priority="95">
      <formula>NOT(ISERROR(D71))</formula>
    </cfRule>
    <cfRule type="cellIs" dxfId="503" priority="96" operator="equal">
      <formula>"NO CUMPLE"</formula>
    </cfRule>
  </conditionalFormatting>
  <conditionalFormatting sqref="D72">
    <cfRule type="cellIs" dxfId="502" priority="99" operator="equal">
      <formula>"CUMPLE"</formula>
    </cfRule>
    <cfRule type="cellIs" dxfId="501" priority="98" operator="equal">
      <formula>"N/A"</formula>
    </cfRule>
    <cfRule type="cellIs" dxfId="500" priority="101" operator="equal">
      <formula>"""CUMPLE"""</formula>
    </cfRule>
    <cfRule type="cellIs" dxfId="499" priority="100" operator="equal">
      <formula>"NO CUMPLE"</formula>
    </cfRule>
  </conditionalFormatting>
  <conditionalFormatting sqref="D26:J37">
    <cfRule type="notContainsErrors" dxfId="498" priority="4">
      <formula>NOT(ISERROR(D26))</formula>
    </cfRule>
    <cfRule type="containsBlanks" dxfId="497" priority="3">
      <formula>LEN(TRIM(D26))=0</formula>
    </cfRule>
  </conditionalFormatting>
  <conditionalFormatting sqref="D36:J36">
    <cfRule type="notContainsErrors" dxfId="496" priority="6">
      <formula>NOT(ISERROR(D36))</formula>
    </cfRule>
    <cfRule type="containsBlanks" dxfId="495" priority="5">
      <formula>LEN(TRIM(D36))=0</formula>
    </cfRule>
  </conditionalFormatting>
  <conditionalFormatting sqref="D39:J39">
    <cfRule type="containsBlanks" dxfId="494" priority="1">
      <formula>LEN(TRIM(D39))=0</formula>
    </cfRule>
    <cfRule type="notContainsErrors" dxfId="493" priority="2">
      <formula>NOT(ISERROR(D39))</formula>
    </cfRule>
  </conditionalFormatting>
  <conditionalFormatting sqref="D42:J42 D45:J45">
    <cfRule type="notContainsErrors" dxfId="492" priority="62">
      <formula>NOT(ISERROR(D42))</formula>
    </cfRule>
    <cfRule type="containsBlanks" dxfId="491" priority="61">
      <formula>LEN(TRIM(D42))=0</formula>
    </cfRule>
  </conditionalFormatting>
  <conditionalFormatting sqref="D49:J54">
    <cfRule type="cellIs" dxfId="490" priority="17" operator="equal">
      <formula>"NO CUMPLE"</formula>
    </cfRule>
    <cfRule type="cellIs" dxfId="489" priority="18" operator="equal">
      <formula>"CUMPLE"</formula>
    </cfRule>
    <cfRule type="containsBlanks" dxfId="488" priority="19">
      <formula>LEN(TRIM(D49))=0</formula>
    </cfRule>
    <cfRule type="notContainsErrors" dxfId="487" priority="20">
      <formula>NOT(ISERROR(D49))</formula>
    </cfRule>
  </conditionalFormatting>
  <conditionalFormatting sqref="D55:J55">
    <cfRule type="cellIs" dxfId="486" priority="28" operator="equal">
      <formula>"CUMPLE"</formula>
    </cfRule>
    <cfRule type="cellIs" dxfId="485" priority="30" operator="equal">
      <formula>"""CUMPLE"""</formula>
    </cfRule>
    <cfRule type="cellIs" dxfId="484" priority="29" operator="equal">
      <formula>"NO CUMPLE"</formula>
    </cfRule>
    <cfRule type="cellIs" dxfId="483" priority="27" operator="equal">
      <formula>"N/A"</formula>
    </cfRule>
  </conditionalFormatting>
  <conditionalFormatting sqref="D56:J66">
    <cfRule type="cellIs" dxfId="482" priority="11" operator="equal">
      <formula>"NO CUMPLE"</formula>
    </cfRule>
    <cfRule type="notContainsErrors" dxfId="481" priority="14">
      <formula>NOT(ISERROR(D56))</formula>
    </cfRule>
    <cfRule type="containsBlanks" dxfId="480" priority="13">
      <formula>LEN(TRIM(D56))=0</formula>
    </cfRule>
    <cfRule type="cellIs" dxfId="479" priority="12" operator="equal">
      <formula>"CUMPLE"</formula>
    </cfRule>
  </conditionalFormatting>
  <conditionalFormatting sqref="D67:J67">
    <cfRule type="cellIs" dxfId="478" priority="23" operator="equal">
      <formula>"N/A"</formula>
    </cfRule>
    <cfRule type="cellIs" dxfId="477" priority="24" operator="equal">
      <formula>"CUMPLE"</formula>
    </cfRule>
    <cfRule type="cellIs" dxfId="476" priority="26" operator="equal">
      <formula>"""CUMPLE"""</formula>
    </cfRule>
    <cfRule type="cellIs" dxfId="475" priority="25" operator="equal">
      <formula>"NO CUMPLE"</formula>
    </cfRule>
  </conditionalFormatting>
  <conditionalFormatting sqref="D62:K66">
    <cfRule type="containsBlanks" dxfId="474" priority="15">
      <formula>LEN(TRIM(D62))=0</formula>
    </cfRule>
    <cfRule type="notContainsErrors" dxfId="473" priority="16">
      <formula>NOT(ISERROR(D62))</formula>
    </cfRule>
  </conditionalFormatting>
  <conditionalFormatting sqref="E71:E72">
    <cfRule type="notContainsErrors" dxfId="472" priority="93">
      <formula>NOT(ISERROR(E71))</formula>
    </cfRule>
    <cfRule type="containsBlanks" dxfId="471" priority="92">
      <formula>LEN(TRIM(E71))=0</formula>
    </cfRule>
  </conditionalFormatting>
  <conditionalFormatting sqref="F22:H22">
    <cfRule type="cellIs" dxfId="470" priority="116" operator="equal">
      <formula>"NO CUMPLE"</formula>
    </cfRule>
    <cfRule type="cellIs" dxfId="469" priority="117" operator="equal">
      <formula>"""CUMPLE"""</formula>
    </cfRule>
    <cfRule type="cellIs" dxfId="468" priority="115" operator="equal">
      <formula>"CUMPLE"</formula>
    </cfRule>
  </conditionalFormatting>
  <conditionalFormatting sqref="G63:J63">
    <cfRule type="containsBlanks" dxfId="467" priority="7">
      <formula>LEN(TRIM(G63))=0</formula>
    </cfRule>
    <cfRule type="notContainsErrors" dxfId="466" priority="8">
      <formula>NOT(ISERROR(G63))</formula>
    </cfRule>
  </conditionalFormatting>
  <conditionalFormatting sqref="I11">
    <cfRule type="containsText" dxfId="465" priority="121" operator="containsText" text="NO CUMPLE">
      <formula>NOT(ISERROR(SEARCH("NO CUMPLE",I11)))</formula>
    </cfRule>
    <cfRule type="containsText" dxfId="464" priority="120" operator="containsText" text="HABILITADO">
      <formula>NOT(ISERROR(SEARCH("HABILITADO",I11)))</formula>
    </cfRule>
    <cfRule type="containsText" dxfId="463" priority="119" operator="containsText" text="HABILITADO">
      <formula>NOT(ISERROR(SEARCH("HABILITADO",I11)))</formula>
    </cfRule>
    <cfRule type="containsText" dxfId="462" priority="118" operator="containsText" text="INHABILITADO">
      <formula>NOT(ISERROR(SEARCH("INHABILITADO",I11)))</formula>
    </cfRule>
  </conditionalFormatting>
  <conditionalFormatting sqref="K18:K20">
    <cfRule type="cellIs" dxfId="461" priority="90" operator="equal">
      <formula>"NO CUMPLE"</formula>
    </cfRule>
    <cfRule type="cellIs" dxfId="460" priority="91" operator="equal">
      <formula>"""CUMPLE"""</formula>
    </cfRule>
    <cfRule type="cellIs" dxfId="459" priority="89" operator="equal">
      <formula>"CUMPLE"</formula>
    </cfRule>
  </conditionalFormatting>
  <conditionalFormatting sqref="K26:K61 D62:J62">
    <cfRule type="containsBlanks" dxfId="458" priority="9">
      <formula>LEN(TRIM(D26))=0</formula>
    </cfRule>
    <cfRule type="notContainsErrors" dxfId="457" priority="10">
      <formula>NOT(ISERROR(D26))</formula>
    </cfRule>
  </conditionalFormatting>
  <conditionalFormatting sqref="K67:L67">
    <cfRule type="containsBlanks" dxfId="456" priority="21">
      <formula>LEN(TRIM(K67))=0</formula>
    </cfRule>
    <cfRule type="notContainsErrors" dxfId="455" priority="22">
      <formula>NOT(ISERROR(K67))</formula>
    </cfRule>
  </conditionalFormatting>
  <conditionalFormatting sqref="L14">
    <cfRule type="cellIs" dxfId="454" priority="114" operator="equal">
      <formula>"""CUMPLE"""</formula>
    </cfRule>
    <cfRule type="cellIs" dxfId="453" priority="113" operator="equal">
      <formula>"NO CUMPLE"</formula>
    </cfRule>
    <cfRule type="cellIs" dxfId="452" priority="112" operator="equal">
      <formula>"CUMPLE"</formula>
    </cfRule>
  </conditionalFormatting>
  <dataValidations count="2">
    <dataValidation type="list" allowBlank="1" showInputMessage="1" showErrorMessage="1" sqref="D26:J28" xr:uid="{00000000-0002-0000-5B00-000000000000}">
      <formula1>$C$15:$C$21</formula1>
    </dataValidation>
    <dataValidation type="list" allowBlank="1" showInputMessage="1" showErrorMessage="1" sqref="L62:L67" xr:uid="{00000000-0002-0000-5B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5B00-000002000000}">
          <x14:formula1>
            <xm:f>'DATOS INICIALES'!$D$27:$D$29</xm:f>
          </x14:formula1>
          <xm:sqref>M50:M55</xm:sqref>
        </x14:dataValidation>
        <x14:dataValidation type="list" allowBlank="1" showInputMessage="1" showErrorMessage="1" xr:uid="{00000000-0002-0000-5B00-000003000000}">
          <x14:formula1>
            <xm:f>'DATOS INICIALES'!$A$61:$A$66</xm:f>
          </x14:formula1>
          <xm:sqref>D25:I25</xm:sqref>
        </x14:dataValidation>
        <x14:dataValidation type="list" allowBlank="1" showInputMessage="1" showErrorMessage="1" xr:uid="{00000000-0002-0000-5B00-000004000000}">
          <x14:formula1>
            <xm:f>'DATOS INICIALES'!$A$57:$A$59</xm:f>
          </x14:formula1>
          <xm:sqref>D71 D56:J66</xm:sqref>
        </x14:dataValidation>
        <x14:dataValidation type="list" allowBlank="1" showInputMessage="1" showErrorMessage="1" xr:uid="{00000000-0002-0000-5B00-000005000000}">
          <x14:formula1>
            <xm:f>'DATOS INICIALES'!$C$52:$C$53</xm:f>
          </x14:formula1>
          <xm:sqref>D53:J54</xm:sqref>
        </x14:dataValidation>
        <x14:dataValidation type="list" allowBlank="1" showInputMessage="1" showErrorMessage="1" xr:uid="{00000000-0002-0000-5B00-000006000000}">
          <x14:formula1>
            <xm:f>'DATOS INICIALES'!$A$61:$A$67</xm:f>
          </x14:formula1>
          <xm:sqref>J25</xm:sqref>
        </x14:dataValidation>
        <x14:dataValidation type="list" allowBlank="1" showInputMessage="1" showErrorMessage="1" xr:uid="{00000000-0002-0000-5B00-000007000000}">
          <x14:formula1>
            <xm:f>'DATOS INICIALES'!$A$57:$A$58</xm:f>
          </x14:formula1>
          <xm:sqref>D49:J49</xm:sqref>
        </x14:dataValidation>
        <x14:dataValidation type="list" allowBlank="1" showInputMessage="1" showErrorMessage="1" xr:uid="{00000000-0002-0000-5B00-000008000000}">
          <x14:formula1>
            <xm:f>'DATOS INICIALES'!$C$52:$C$54</xm:f>
          </x14:formula1>
          <xm:sqref>D50:J52</xm:sqref>
        </x14:dataValidation>
        <x14:dataValidation type="list" allowBlank="1" showInputMessage="1" showErrorMessage="1" xr:uid="{00000000-0002-0000-5B00-000009000000}">
          <x14:formula1>
            <xm:f>'/Users/ldrr/Desktop/SDDE/REVISION DE CARPETAS/C:\Users\ASUS\OneDrive\Escritorio\alcaldia local de usaquen\2025\16. EVALUACION DE PROCESOS\INTERVENTORIA DE VIAS\consolidado equipo\[juan_manuel_Evaluación_Tecnica_fdlusa-CMA-003-2025 85 A 94.xlsx]DATOS INICIALES'!#REF!</xm:f>
          </x14:formula1>
          <xm:sqref>G33:I33</xm:sqref>
        </x14:dataValidation>
      </x14:dataValidations>
    </ext>
  </extLst>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sheetPr>
    <tabColor rgb="FF92D050"/>
  </sheetPr>
  <dimension ref="A1:N72"/>
  <sheetViews>
    <sheetView view="pageBreakPreview" topLeftCell="A13" zoomScale="40" zoomScaleNormal="25" zoomScaleSheetLayoutView="40" workbookViewId="0">
      <selection activeCell="F30" sqref="F30"/>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6" width="60" customWidth="1"/>
    <col min="7" max="7" width="37.83203125" customWidth="1"/>
    <col min="8"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87</v>
      </c>
      <c r="B11" s="2" t="s">
        <v>58</v>
      </c>
      <c r="C11" s="413" t="str">
        <f>VLOOKUP(A11,PROPONENTES!A10:B111,2,FALSE)</f>
        <v>ARCA ARQUITECTURA E INGENIERÍA S.A.</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3</v>
      </c>
      <c r="J14" s="147">
        <f>+L8</f>
        <v>986.3076290832455</v>
      </c>
      <c r="K14" s="147">
        <f>+E22</f>
        <v>6570.8610000000008</v>
      </c>
      <c r="L14" s="18" t="str">
        <f>IF(K14&gt;=J14,"CUMPLE","NO CUMPLE")</f>
        <v>CUMPLE</v>
      </c>
    </row>
    <row r="15" spans="1:12" ht="33.75" customHeight="1" x14ac:dyDescent="0.2">
      <c r="B15" s="382"/>
      <c r="C15" s="92" t="str">
        <f>IF(VLOOKUP(C11,PROPONENTES!B10:N111,2,FALSE)=0,"",VLOOKUP(C11,PROPONENTES!B10:N111,2,FALSE))</f>
        <v>ARCA ARQUITECTURA E INGENIERÍA S.A.</v>
      </c>
      <c r="D15" s="93">
        <f>IF(VLOOKUP(C11,PROPONENTES!B10:N111,3,FALSE)=0,"",VLOOKUP(C11,PROPONENTES!B10:N111,3,FALSE))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6570.8610000000008</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IF(VLOOKUP(C11,PROPONENTES!B10:N111,4,FALSE)=0,"",VLOOKUP(C11,PROPONENTES!B10:N111,4,FALSE))</f>
        <v/>
      </c>
      <c r="D16" s="93" t="str">
        <f>IF(VLOOKUP(C11,PROPONENTES!B10:N111,5,FALSE)=0,"",VLOOKUP(C11,PROPONENTES!B10:N111,5,FALSE))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2190.2870000000003</v>
      </c>
    </row>
    <row r="17" spans="2:14" ht="33.75" customHeight="1" x14ac:dyDescent="0.2">
      <c r="B17" s="382"/>
      <c r="C17" s="92" t="str">
        <f>IF(VLOOKUP(C11,PROPONENTES!B10:N111,6,FALSE)=0,"",VLOOKUP(C11,PROPONENTES!B10:N111,6,FALSE))</f>
        <v/>
      </c>
      <c r="D17" s="93" t="str">
        <f>IF(VLOOKUP(C11,PROPONENTES!B10:N111,7,FALSE)=0,"",VLOOKUP(C11,PROPONENTES!B10:N111,7,FALSE))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IF(VLOOKUP(C11,PROPONENTES!B10:N111,8,FALSE)=0,"",VLOOKUP(C11,PROPONENTES!B10:N111,8,FALSE))</f>
        <v/>
      </c>
      <c r="D18" s="93" t="str">
        <f>IF(VLOOKUP(C11,PROPONENTES!B10:N111,9,FALSE)=0,"",VLOOKUP(C11,PROPONENTES!B10:N111,9,FALSE))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1</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3</v>
      </c>
      <c r="J19" s="128">
        <v>1</v>
      </c>
      <c r="K19" s="387"/>
      <c r="L19" s="388"/>
    </row>
    <row r="20" spans="2:14" ht="50.25" customHeight="1" x14ac:dyDescent="0.2">
      <c r="B20" s="382"/>
      <c r="C20" s="92"/>
      <c r="D20" s="93"/>
      <c r="E20" s="94"/>
      <c r="F20" s="95"/>
      <c r="G20" s="96"/>
      <c r="H20" s="96"/>
      <c r="I20" s="128">
        <f>COUNTIFS(D60:J60,"CUMPLE",D67:J67,"CUMPLE")</f>
        <v>3</v>
      </c>
      <c r="J20" s="128">
        <v>1</v>
      </c>
      <c r="K20" s="387"/>
      <c r="L20" s="388"/>
    </row>
    <row r="21" spans="2:14" ht="33.75" customHeight="1" x14ac:dyDescent="0.2">
      <c r="B21" s="382"/>
      <c r="C21" s="92" t="str">
        <f>IF(VLOOKUP(C11,PROPONENTES!B10:N111,10,FALSE)=0,"",VLOOKUP(C11,PROPONENTES!B10:N111,10,FALSE))</f>
        <v/>
      </c>
      <c r="D21" s="93" t="str">
        <f>IF(VLOOKUP(C11,PROPONENTES!B10:N111,11,FALSE)=0,"",VLOOKUP(C11,PROPONENTES!B10:N111,11,FALSE))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3</v>
      </c>
      <c r="J21" s="128">
        <v>1</v>
      </c>
      <c r="K21" s="389"/>
      <c r="L21" s="390"/>
    </row>
    <row r="22" spans="2:14" ht="84.75" customHeight="1" x14ac:dyDescent="0.2">
      <c r="B22" s="29" t="s">
        <v>75</v>
      </c>
      <c r="C22" s="24">
        <f>+VLOOKUP(C11,PROPONENTES!B10:N111,12,FALSE)</f>
        <v>1</v>
      </c>
      <c r="D22" s="93">
        <f>+VLOOKUP(C11,PROPONENTES!B10:N111,13,FALSE)</f>
        <v>1</v>
      </c>
      <c r="E22" s="32">
        <f>SUM(E15:E21)</f>
        <v>6570.8610000000008</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285</v>
      </c>
      <c r="E26" s="84" t="s">
        <v>285</v>
      </c>
      <c r="F26" s="84" t="s">
        <v>285</v>
      </c>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1321</v>
      </c>
      <c r="E29" s="85" t="s">
        <v>1322</v>
      </c>
      <c r="F29" s="85" t="s">
        <v>1323</v>
      </c>
      <c r="G29" s="85"/>
      <c r="H29" s="85"/>
      <c r="I29" s="85"/>
      <c r="J29" s="85"/>
      <c r="K29" s="145"/>
      <c r="L29" s="140"/>
    </row>
    <row r="30" spans="2:14" ht="156.75" customHeight="1" x14ac:dyDescent="0.2">
      <c r="B30" s="374"/>
      <c r="C30" s="25" t="s">
        <v>84</v>
      </c>
      <c r="D30" s="85" t="s">
        <v>1324</v>
      </c>
      <c r="E30" s="85" t="s">
        <v>1325</v>
      </c>
      <c r="F30" s="85" t="s">
        <v>1326</v>
      </c>
      <c r="G30" s="85"/>
      <c r="H30" s="85"/>
      <c r="I30" s="85"/>
      <c r="J30" s="85"/>
      <c r="K30" s="521" t="s">
        <v>1332</v>
      </c>
      <c r="L30" s="522"/>
    </row>
    <row r="31" spans="2:14" ht="52.5" customHeight="1" x14ac:dyDescent="0.2">
      <c r="B31" s="374"/>
      <c r="C31" s="25" t="s">
        <v>85</v>
      </c>
      <c r="D31" s="89">
        <v>43441</v>
      </c>
      <c r="E31" s="89">
        <v>44809</v>
      </c>
      <c r="F31" s="89">
        <v>42185</v>
      </c>
      <c r="G31" s="89"/>
      <c r="H31" s="89"/>
      <c r="I31" s="89"/>
      <c r="J31" s="89"/>
      <c r="K31" s="145"/>
      <c r="L31" s="140"/>
    </row>
    <row r="32" spans="2:14" ht="54.75" customHeight="1" x14ac:dyDescent="0.2">
      <c r="B32" s="374"/>
      <c r="C32" s="25" t="s">
        <v>86</v>
      </c>
      <c r="D32" s="89">
        <v>45000</v>
      </c>
      <c r="E32" s="89">
        <v>45229</v>
      </c>
      <c r="F32" s="89">
        <v>43738</v>
      </c>
      <c r="G32" s="89"/>
      <c r="H32" s="89"/>
      <c r="I32" s="89"/>
      <c r="J32" s="89"/>
      <c r="K32" s="145"/>
      <c r="L32" s="140"/>
    </row>
    <row r="33" spans="2:12" ht="41.25" customHeight="1" x14ac:dyDescent="0.2">
      <c r="B33" s="374"/>
      <c r="C33" s="25" t="s">
        <v>87</v>
      </c>
      <c r="D33" s="86">
        <v>2023</v>
      </c>
      <c r="E33" s="86">
        <v>2023</v>
      </c>
      <c r="F33" s="86">
        <v>2019</v>
      </c>
      <c r="G33" s="86"/>
      <c r="H33" s="86"/>
      <c r="I33" s="86"/>
      <c r="J33" s="86"/>
      <c r="K33" s="145"/>
      <c r="L33" s="140"/>
    </row>
    <row r="34" spans="2:12" ht="63" customHeight="1" x14ac:dyDescent="0.2">
      <c r="B34" s="374"/>
      <c r="C34" s="25" t="s">
        <v>88</v>
      </c>
      <c r="D34" s="85" t="s">
        <v>1327</v>
      </c>
      <c r="E34" s="85" t="s">
        <v>1328</v>
      </c>
      <c r="F34" s="85" t="s">
        <v>1329</v>
      </c>
      <c r="G34" s="85"/>
      <c r="H34" s="85"/>
      <c r="I34" s="85"/>
      <c r="J34" s="85"/>
      <c r="K34" s="145"/>
      <c r="L34" s="140"/>
    </row>
    <row r="35" spans="2:12" ht="46.5" customHeight="1" x14ac:dyDescent="0.2">
      <c r="B35" s="374"/>
      <c r="C35" s="25" t="s">
        <v>89</v>
      </c>
      <c r="D35" s="85" t="s">
        <v>1330</v>
      </c>
      <c r="E35" s="85" t="s">
        <v>285</v>
      </c>
      <c r="F35" s="85" t="s">
        <v>1331</v>
      </c>
      <c r="G35" s="85"/>
      <c r="H35" s="85"/>
      <c r="I35" s="85"/>
      <c r="J35" s="85"/>
      <c r="K35" s="145"/>
      <c r="L35" s="140"/>
    </row>
    <row r="36" spans="2:12" ht="27.75" customHeight="1" x14ac:dyDescent="0.2">
      <c r="B36" s="374"/>
      <c r="C36" s="26" t="s">
        <v>90</v>
      </c>
      <c r="D36" s="90">
        <v>198</v>
      </c>
      <c r="E36" s="90">
        <v>202</v>
      </c>
      <c r="F36" s="90">
        <v>203</v>
      </c>
      <c r="G36" s="91"/>
      <c r="H36" s="91"/>
      <c r="I36" s="91"/>
      <c r="J36" s="91"/>
      <c r="K36" s="145"/>
      <c r="L36" s="140"/>
    </row>
    <row r="37" spans="2:12" ht="102.75" customHeight="1" x14ac:dyDescent="0.2">
      <c r="B37" s="374"/>
      <c r="C37" s="25" t="s">
        <v>91</v>
      </c>
      <c r="D37" s="87">
        <v>7219.02</v>
      </c>
      <c r="E37" s="158">
        <v>573.92999999999995</v>
      </c>
      <c r="F37" s="87">
        <v>5305.38</v>
      </c>
      <c r="G37" s="87"/>
      <c r="H37" s="87"/>
      <c r="I37" s="87"/>
      <c r="J37" s="87"/>
      <c r="K37" s="242"/>
      <c r="L37" s="243"/>
    </row>
    <row r="38" spans="2:12" ht="48" customHeight="1" x14ac:dyDescent="0.2">
      <c r="B38" s="374"/>
      <c r="C38" s="25" t="s">
        <v>92</v>
      </c>
      <c r="D38" s="97">
        <f>IFERROR(D37*VLOOKUP(D33,'DATOS INICIALES'!$A$12:$B$50,2,0),"0")</f>
        <v>8374063200.000001</v>
      </c>
      <c r="E38" s="97">
        <f>IFERROR(E37*VLOOKUP(E33,'DATOS INICIALES'!$A$12:$B$50,2,0),"0")</f>
        <v>665758800</v>
      </c>
      <c r="F38" s="97">
        <f>IFERROR(F37*VLOOKUP(F33,'DATOS INICIALES'!$A$12:$B$50,2,0),"0")</f>
        <v>4393470064.0799999</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0.5</v>
      </c>
      <c r="E39" s="88">
        <v>1</v>
      </c>
      <c r="F39" s="88">
        <v>0.45</v>
      </c>
      <c r="G39" s="88"/>
      <c r="H39" s="88"/>
      <c r="I39" s="88"/>
      <c r="J39" s="88"/>
      <c r="K39" s="145"/>
      <c r="L39" s="140"/>
    </row>
    <row r="40" spans="2:12" ht="48.75" customHeight="1" x14ac:dyDescent="0.2">
      <c r="B40" s="374"/>
      <c r="C40" s="25" t="s">
        <v>94</v>
      </c>
      <c r="D40" s="97">
        <f t="shared" ref="D40:J40" si="0">IF(D26="","0",D39*D38)</f>
        <v>4187031600.0000005</v>
      </c>
      <c r="E40" s="97">
        <f t="shared" si="0"/>
        <v>665758800</v>
      </c>
      <c r="F40" s="97">
        <f t="shared" si="0"/>
        <v>1977061528.836</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3609.51</v>
      </c>
      <c r="E41" s="98">
        <f t="shared" si="1"/>
        <v>573.92999999999995</v>
      </c>
      <c r="F41" s="98">
        <f t="shared" si="1"/>
        <v>2387.4210000000003</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3609.51</v>
      </c>
      <c r="E48" s="98">
        <f t="shared" ref="E48:G48" si="6">+E41+E44+E47</f>
        <v>573.92999999999995</v>
      </c>
      <c r="F48" s="98">
        <f t="shared" si="6"/>
        <v>2387.4210000000003</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26</v>
      </c>
      <c r="E57" s="84" t="s">
        <v>24</v>
      </c>
      <c r="F57" s="84" t="s">
        <v>26</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2">
    <mergeCell ref="B72:C72"/>
    <mergeCell ref="B65:C65"/>
    <mergeCell ref="B66:C66"/>
    <mergeCell ref="B67:C67"/>
    <mergeCell ref="B69:E69"/>
    <mergeCell ref="B56:C56"/>
    <mergeCell ref="B57:C57"/>
    <mergeCell ref="B58:C58"/>
    <mergeCell ref="B70:C70"/>
    <mergeCell ref="B71:C71"/>
    <mergeCell ref="B62:C62"/>
    <mergeCell ref="B63:C63"/>
    <mergeCell ref="B64:C64"/>
    <mergeCell ref="B59:C59"/>
    <mergeCell ref="B60:C60"/>
    <mergeCell ref="B61:C61"/>
    <mergeCell ref="C8:I8"/>
    <mergeCell ref="C9:I9"/>
    <mergeCell ref="C10:I10"/>
    <mergeCell ref="B23:L23"/>
    <mergeCell ref="I22:L22"/>
    <mergeCell ref="C11:G11"/>
    <mergeCell ref="I11:L11"/>
    <mergeCell ref="K18:L21"/>
    <mergeCell ref="B2:L2"/>
    <mergeCell ref="B3:L3"/>
    <mergeCell ref="B4:L4"/>
    <mergeCell ref="B5:L5"/>
    <mergeCell ref="B7:I7"/>
    <mergeCell ref="J7:L7"/>
    <mergeCell ref="B50:B55"/>
    <mergeCell ref="B28:C28"/>
    <mergeCell ref="B29:B47"/>
    <mergeCell ref="B12:L12"/>
    <mergeCell ref="B13:H13"/>
    <mergeCell ref="B14:B21"/>
    <mergeCell ref="K17:L17"/>
    <mergeCell ref="K30:L30"/>
    <mergeCell ref="B24:L24"/>
    <mergeCell ref="K25:L25"/>
    <mergeCell ref="B26:C26"/>
    <mergeCell ref="B27:C27"/>
  </mergeCells>
  <conditionalFormatting sqref="D71">
    <cfRule type="cellIs" dxfId="451" priority="99" operator="equal">
      <formula>"CUMPLE"</formula>
    </cfRule>
    <cfRule type="cellIs" dxfId="450" priority="98" operator="equal">
      <formula>"NO CUMPLE"</formula>
    </cfRule>
    <cfRule type="containsBlanks" dxfId="449" priority="96">
      <formula>LEN(TRIM(D71))=0</formula>
    </cfRule>
    <cfRule type="notContainsErrors" dxfId="448" priority="97">
      <formula>NOT(ISERROR(D71))</formula>
    </cfRule>
  </conditionalFormatting>
  <conditionalFormatting sqref="D72">
    <cfRule type="cellIs" dxfId="447" priority="100" operator="equal">
      <formula>"N/A"</formula>
    </cfRule>
    <cfRule type="cellIs" dxfId="446" priority="102" operator="equal">
      <formula>"NO CUMPLE"</formula>
    </cfRule>
    <cfRule type="cellIs" dxfId="445" priority="101" operator="equal">
      <formula>"CUMPLE"</formula>
    </cfRule>
    <cfRule type="cellIs" dxfId="444" priority="103" operator="equal">
      <formula>"""CUMPLE"""</formula>
    </cfRule>
  </conditionalFormatting>
  <conditionalFormatting sqref="D26:J37">
    <cfRule type="notContainsErrors" dxfId="443" priority="6">
      <formula>NOT(ISERROR(D26))</formula>
    </cfRule>
    <cfRule type="containsBlanks" dxfId="442" priority="5">
      <formula>LEN(TRIM(D26))=0</formula>
    </cfRule>
  </conditionalFormatting>
  <conditionalFormatting sqref="D36:J36">
    <cfRule type="notContainsErrors" dxfId="441" priority="8">
      <formula>NOT(ISERROR(D36))</formula>
    </cfRule>
    <cfRule type="containsBlanks" dxfId="440" priority="7">
      <formula>LEN(TRIM(D36))=0</formula>
    </cfRule>
  </conditionalFormatting>
  <conditionalFormatting sqref="D39:J39">
    <cfRule type="containsBlanks" dxfId="439" priority="3">
      <formula>LEN(TRIM(D39))=0</formula>
    </cfRule>
    <cfRule type="notContainsErrors" dxfId="438" priority="4">
      <formula>NOT(ISERROR(D39))</formula>
    </cfRule>
  </conditionalFormatting>
  <conditionalFormatting sqref="D42:J42 D45:J45">
    <cfRule type="notContainsErrors" dxfId="437" priority="64">
      <formula>NOT(ISERROR(D42))</formula>
    </cfRule>
    <cfRule type="containsBlanks" dxfId="436" priority="63">
      <formula>LEN(TRIM(D42))=0</formula>
    </cfRule>
  </conditionalFormatting>
  <conditionalFormatting sqref="D49:J54">
    <cfRule type="notContainsErrors" dxfId="435" priority="22">
      <formula>NOT(ISERROR(D49))</formula>
    </cfRule>
    <cfRule type="containsBlanks" dxfId="434" priority="21">
      <formula>LEN(TRIM(D49))=0</formula>
    </cfRule>
    <cfRule type="cellIs" dxfId="433" priority="19" operator="equal">
      <formula>"NO CUMPLE"</formula>
    </cfRule>
    <cfRule type="cellIs" dxfId="432" priority="20" operator="equal">
      <formula>"CUMPLE"</formula>
    </cfRule>
  </conditionalFormatting>
  <conditionalFormatting sqref="D55:J55">
    <cfRule type="cellIs" dxfId="431" priority="31" operator="equal">
      <formula>"NO CUMPLE"</formula>
    </cfRule>
    <cfRule type="cellIs" dxfId="430" priority="32" operator="equal">
      <formula>"""CUMPLE"""</formula>
    </cfRule>
    <cfRule type="cellIs" dxfId="429" priority="29" operator="equal">
      <formula>"N/A"</formula>
    </cfRule>
    <cfRule type="cellIs" dxfId="428" priority="30" operator="equal">
      <formula>"CUMPLE"</formula>
    </cfRule>
  </conditionalFormatting>
  <conditionalFormatting sqref="D56:J66">
    <cfRule type="cellIs" dxfId="427" priority="14" operator="equal">
      <formula>"CUMPLE"</formula>
    </cfRule>
    <cfRule type="cellIs" dxfId="426" priority="13" operator="equal">
      <formula>"NO CUMPLE"</formula>
    </cfRule>
    <cfRule type="containsBlanks" dxfId="425" priority="15">
      <formula>LEN(TRIM(D56))=0</formula>
    </cfRule>
    <cfRule type="notContainsErrors" dxfId="424" priority="16">
      <formula>NOT(ISERROR(D56))</formula>
    </cfRule>
  </conditionalFormatting>
  <conditionalFormatting sqref="D62:J62">
    <cfRule type="notContainsErrors" dxfId="423" priority="12">
      <formula>NOT(ISERROR(D62))</formula>
    </cfRule>
    <cfRule type="containsBlanks" dxfId="422" priority="11">
      <formula>LEN(TRIM(D62))=0</formula>
    </cfRule>
  </conditionalFormatting>
  <conditionalFormatting sqref="D67:J67">
    <cfRule type="cellIs" dxfId="421" priority="26" operator="equal">
      <formula>"CUMPLE"</formula>
    </cfRule>
    <cfRule type="cellIs" dxfId="420" priority="25" operator="equal">
      <formula>"N/A"</formula>
    </cfRule>
    <cfRule type="cellIs" dxfId="419" priority="27" operator="equal">
      <formula>"NO CUMPLE"</formula>
    </cfRule>
    <cfRule type="cellIs" dxfId="418" priority="28" operator="equal">
      <formula>"""CUMPLE"""</formula>
    </cfRule>
  </conditionalFormatting>
  <conditionalFormatting sqref="D62:K66">
    <cfRule type="containsBlanks" dxfId="417" priority="17">
      <formula>LEN(TRIM(D62))=0</formula>
    </cfRule>
    <cfRule type="notContainsErrors" dxfId="416" priority="18">
      <formula>NOT(ISERROR(D62))</formula>
    </cfRule>
  </conditionalFormatting>
  <conditionalFormatting sqref="E71:E72">
    <cfRule type="notContainsErrors" dxfId="415" priority="95">
      <formula>NOT(ISERROR(E71))</formula>
    </cfRule>
    <cfRule type="containsBlanks" dxfId="414" priority="94">
      <formula>LEN(TRIM(E71))=0</formula>
    </cfRule>
  </conditionalFormatting>
  <conditionalFormatting sqref="F22:H22">
    <cfRule type="cellIs" dxfId="413" priority="118" operator="equal">
      <formula>"NO CUMPLE"</formula>
    </cfRule>
    <cfRule type="cellIs" dxfId="412" priority="117" operator="equal">
      <formula>"CUMPLE"</formula>
    </cfRule>
    <cfRule type="cellIs" dxfId="411" priority="119" operator="equal">
      <formula>"""CUMPLE"""</formula>
    </cfRule>
  </conditionalFormatting>
  <conditionalFormatting sqref="G63:J63">
    <cfRule type="containsBlanks" dxfId="410" priority="9">
      <formula>LEN(TRIM(G63))=0</formula>
    </cfRule>
    <cfRule type="notContainsErrors" dxfId="409" priority="10">
      <formula>NOT(ISERROR(G63))</formula>
    </cfRule>
  </conditionalFormatting>
  <conditionalFormatting sqref="I11">
    <cfRule type="containsText" dxfId="408" priority="123" operator="containsText" text="NO CUMPLE">
      <formula>NOT(ISERROR(SEARCH("NO CUMPLE",I11)))</formula>
    </cfRule>
    <cfRule type="containsText" dxfId="407" priority="122" operator="containsText" text="HABILITADO">
      <formula>NOT(ISERROR(SEARCH("HABILITADO",I11)))</formula>
    </cfRule>
    <cfRule type="containsText" dxfId="406" priority="121" operator="containsText" text="HABILITADO">
      <formula>NOT(ISERROR(SEARCH("HABILITADO",I11)))</formula>
    </cfRule>
    <cfRule type="containsText" dxfId="405" priority="120" operator="containsText" text="INHABILITADO">
      <formula>NOT(ISERROR(SEARCH("INHABILITADO",I11)))</formula>
    </cfRule>
  </conditionalFormatting>
  <conditionalFormatting sqref="K18:K20">
    <cfRule type="cellIs" dxfId="404" priority="92" operator="equal">
      <formula>"NO CUMPLE"</formula>
    </cfRule>
    <cfRule type="cellIs" dxfId="403" priority="91" operator="equal">
      <formula>"CUMPLE"</formula>
    </cfRule>
    <cfRule type="cellIs" dxfId="402" priority="93" operator="equal">
      <formula>"""CUMPLE"""</formula>
    </cfRule>
  </conditionalFormatting>
  <conditionalFormatting sqref="K26:K61">
    <cfRule type="containsBlanks" dxfId="401" priority="1">
      <formula>LEN(TRIM(K26))=0</formula>
    </cfRule>
    <cfRule type="notContainsErrors" dxfId="400" priority="2">
      <formula>NOT(ISERROR(K26))</formula>
    </cfRule>
  </conditionalFormatting>
  <conditionalFormatting sqref="K67:L67">
    <cfRule type="containsBlanks" dxfId="399" priority="23">
      <formula>LEN(TRIM(K67))=0</formula>
    </cfRule>
    <cfRule type="notContainsErrors" dxfId="398" priority="24">
      <formula>NOT(ISERROR(K67))</formula>
    </cfRule>
  </conditionalFormatting>
  <conditionalFormatting sqref="L14">
    <cfRule type="cellIs" dxfId="397" priority="116" operator="equal">
      <formula>"""CUMPLE"""</formula>
    </cfRule>
    <cfRule type="cellIs" dxfId="396" priority="115" operator="equal">
      <formula>"NO CUMPLE"</formula>
    </cfRule>
    <cfRule type="cellIs" dxfId="395" priority="114" operator="equal">
      <formula>"CUMPLE"</formula>
    </cfRule>
  </conditionalFormatting>
  <dataValidations disablePrompts="1" count="2">
    <dataValidation type="list" allowBlank="1" showInputMessage="1" showErrorMessage="1" sqref="L62:L67" xr:uid="{00000000-0002-0000-5C00-000000000000}">
      <formula1>"0,1,2,3,4,5,6"</formula1>
    </dataValidation>
    <dataValidation type="list" allowBlank="1" showInputMessage="1" showErrorMessage="1" sqref="D26:J28" xr:uid="{00000000-0002-0000-5C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disablePrompts="1" count="8">
        <x14:dataValidation type="list" allowBlank="1" showInputMessage="1" showErrorMessage="1" xr:uid="{00000000-0002-0000-5C00-000002000000}">
          <x14:formula1>
            <xm:f>'DATOS INICIALES'!$D$27:$D$29</xm:f>
          </x14:formula1>
          <xm:sqref>M50:M55</xm:sqref>
        </x14:dataValidation>
        <x14:dataValidation type="list" allowBlank="1" showInputMessage="1" showErrorMessage="1" xr:uid="{00000000-0002-0000-5C00-000003000000}">
          <x14:formula1>
            <xm:f>'DATOS INICIALES'!$A$57:$A$58</xm:f>
          </x14:formula1>
          <xm:sqref>D49:J49</xm:sqref>
        </x14:dataValidation>
        <x14:dataValidation type="list" allowBlank="1" showInputMessage="1" showErrorMessage="1" xr:uid="{00000000-0002-0000-5C00-000004000000}">
          <x14:formula1>
            <xm:f>'DATOS INICIALES'!$A$61:$A$67</xm:f>
          </x14:formula1>
          <xm:sqref>J25</xm:sqref>
        </x14:dataValidation>
        <x14:dataValidation type="list" allowBlank="1" showInputMessage="1" showErrorMessage="1" xr:uid="{00000000-0002-0000-5C00-000005000000}">
          <x14:formula1>
            <xm:f>'DATOS INICIALES'!$C$52:$C$53</xm:f>
          </x14:formula1>
          <xm:sqref>D53:J54</xm:sqref>
        </x14:dataValidation>
        <x14:dataValidation type="list" allowBlank="1" showInputMessage="1" showErrorMessage="1" xr:uid="{00000000-0002-0000-5C00-000006000000}">
          <x14:formula1>
            <xm:f>'DATOS INICIALES'!$A$57:$A$59</xm:f>
          </x14:formula1>
          <xm:sqref>D71 D56:J66</xm:sqref>
        </x14:dataValidation>
        <x14:dataValidation type="list" allowBlank="1" showInputMessage="1" showErrorMessage="1" xr:uid="{00000000-0002-0000-5C00-000007000000}">
          <x14:formula1>
            <xm:f>'DATOS INICIALES'!$A$61:$A$66</xm:f>
          </x14:formula1>
          <xm:sqref>D25:I25</xm:sqref>
        </x14:dataValidation>
        <x14:dataValidation type="list" allowBlank="1" showInputMessage="1" showErrorMessage="1" xr:uid="{00000000-0002-0000-5C00-000008000000}">
          <x14:formula1>
            <xm:f>'DATOS INICIALES'!$A$13:$A$50</xm:f>
          </x14:formula1>
          <xm:sqref>G33:I33</xm:sqref>
        </x14:dataValidation>
        <x14:dataValidation type="list" allowBlank="1" showInputMessage="1" showErrorMessage="1" xr:uid="{00000000-0002-0000-5C00-000009000000}">
          <x14:formula1>
            <xm:f>'DATOS INICIALES'!$C$52:$C$54</xm:f>
          </x14:formula1>
          <xm:sqref>D50:J52</xm:sqref>
        </x14:dataValidation>
      </x14:dataValidations>
    </ext>
  </extLst>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D00-000000000000}">
  <sheetPr>
    <tabColor rgb="FF92D050"/>
  </sheetPr>
  <dimension ref="A1:N72"/>
  <sheetViews>
    <sheetView view="pageBreakPreview" topLeftCell="A40" zoomScale="40" zoomScaleNormal="25" zoomScaleSheetLayoutView="40" workbookViewId="0">
      <selection activeCell="I14" sqref="I14"/>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6" width="33.33203125" customWidth="1"/>
    <col min="7" max="7" width="52.6640625" customWidth="1"/>
    <col min="8" max="8" width="44.6640625" customWidth="1"/>
    <col min="9" max="9" width="34.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88</v>
      </c>
      <c r="B11" s="2" t="s">
        <v>58</v>
      </c>
      <c r="C11" s="413" t="str">
        <f>VLOOKUP(A11,PROPONENTES!A10:B111,2,FALSE)</f>
        <v>CONSORCIO VIAL USAQUEN 2026</v>
      </c>
      <c r="D11" s="413"/>
      <c r="E11" s="413"/>
      <c r="F11" s="413"/>
      <c r="G11" s="413"/>
      <c r="H11" s="131" t="s">
        <v>59</v>
      </c>
      <c r="I11" s="417" t="str">
        <f>IF(AND(F22="CUMPLE",G22="CUMPLE",H22="CUMPLE",L14="CUMPLE",D72="CUMPLE",K18="CUMPLE"),"CUMPLE","NO CUMPLE")</f>
        <v>NO 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4</v>
      </c>
      <c r="J14" s="147">
        <f>+L8</f>
        <v>986.3076290832455</v>
      </c>
      <c r="K14" s="147">
        <f>+E16</f>
        <v>5123.2456999999995</v>
      </c>
      <c r="L14" s="18" t="str">
        <f>IF(K14&gt;=J14,"CUMPLE","NO CUMPLE")</f>
        <v>CUMPLE</v>
      </c>
    </row>
    <row r="15" spans="1:12" ht="33.75" customHeight="1" x14ac:dyDescent="0.2">
      <c r="B15" s="382"/>
      <c r="C15" s="92" t="str">
        <f>IF(VLOOKUP(C11,PROPONENTES!B10:N111,2,FALSE)=0,"",VLOOKUP(C11,PROPONENTES!B10:N111,2,FALSE))</f>
        <v>FRONTERAS CONSTRUCTORA S.A.S.</v>
      </c>
      <c r="D15" s="93">
        <f>IF(VLOOKUP(C11,PROPONENTES!B10:N111,3,FALSE)=0,"",VLOOKUP(C11,PROPONENTES!B10:N111,3,FALSE))</f>
        <v>0.33</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0</v>
      </c>
      <c r="F15" s="95" t="str">
        <f>IF(C15="","",IF(E15&gt;=$J$14*0.5,"SI","NO"))</f>
        <v>NO</v>
      </c>
      <c r="G15" s="96" t="str">
        <f>IF(C15="","",IF(E15&gt;=$J$14*0.05,"SI",IF(E15=0,"NO APORTA EXPERIENCIA",)))</f>
        <v>NO APORTA EXPERIENCIA</v>
      </c>
      <c r="H15" s="96" t="str">
        <f>IF(C15="","",IF(AND(G15="NO APORTA EXPERIENCIA",D15&lt;=10%),"SI",IF(G15="SI","NO APLICA","NO - PORCENTAJE MAYOR AL 10%")))</f>
        <v>NO - PORCENTAJE MAYOR AL 10%</v>
      </c>
      <c r="I15" s="162"/>
      <c r="J15" s="162"/>
      <c r="K15" s="162"/>
      <c r="L15" s="173" t="s">
        <v>72</v>
      </c>
    </row>
    <row r="16" spans="1:12" ht="33.75" customHeight="1" x14ac:dyDescent="0.2">
      <c r="B16" s="382"/>
      <c r="C16" s="92" t="str">
        <f>IF(VLOOKUP(C11,PROPONENTES!B10:N111,4,FALSE)=0,"",VLOOKUP(C11,PROPONENTES!B10:N111,4,FALSE))</f>
        <v xml:space="preserve">PC INTERVENTORES S.A.S. </v>
      </c>
      <c r="D16" s="93">
        <f>IF(VLOOKUP(C11,PROPONENTES!B10:N111,5,FALSE)=0,"",VLOOKUP(C11,PROPONENTES!B10:N111,5,FALSE))</f>
        <v>0.34</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5123.2456999999995</v>
      </c>
      <c r="F16" s="95" t="str">
        <f>IF(C16="","",IF(E16&gt;=$J$14*0.5,"SI","NO"))</f>
        <v>SI</v>
      </c>
      <c r="G16" s="96" t="str">
        <f>IF(C16="","",IF(E16&gt;=$J$14*0.05,"SI",IF(E16=0,"NO APORTA EXPERIENCIA",)))</f>
        <v>SI</v>
      </c>
      <c r="H16" s="96" t="str">
        <f>IF(C16="","",IF(AND(G16="NO APORTA EXPERIENCIA",D16&lt;=10%),"SI",IF(G16="SI","NO APLICA","NO - PORCENTAJE MAYOR AL 10%")))</f>
        <v>NO APLICA</v>
      </c>
      <c r="I16" s="162"/>
      <c r="J16" s="162"/>
      <c r="K16" s="162"/>
      <c r="L16" s="161">
        <f>AVERAGEIF(D67:J67,"CUMPLE",D48:J48)</f>
        <v>2819.8644249999998</v>
      </c>
    </row>
    <row r="17" spans="2:14" ht="33.75" customHeight="1" x14ac:dyDescent="0.2">
      <c r="B17" s="382"/>
      <c r="C17" s="92" t="str">
        <f>IF(VLOOKUP(C11,PROPONENTES!B10:N111,6,FALSE)=0,"",VLOOKUP(C11,PROPONENTES!B10:N111,6,FALSE))</f>
        <v xml:space="preserve">YTMING S.A.S. </v>
      </c>
      <c r="D17" s="93">
        <f>IF(VLOOKUP(C11,PROPONENTES!B10:N111,7,FALSE)=0,"",VLOOKUP(C11,PROPONENTES!B10:N111,7,FALSE))</f>
        <v>0.33</v>
      </c>
      <c r="E17" s="94">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6156.2119999999995</v>
      </c>
      <c r="F17" s="95" t="str">
        <f>IF(C17="","",IF(E17&gt;=$J$14*0.5,"SI","NO"))</f>
        <v>SI</v>
      </c>
      <c r="G17" s="96" t="str">
        <f>IF(C17="","",IF(E17&gt;=$J$14*0.05,"SI",IF(E17=0,"NO APORTA EXPERIENCIA",)))</f>
        <v>SI</v>
      </c>
      <c r="H17" s="96" t="str">
        <f>IF(C17="","",IF(AND(G17="NO APORTA EXPERIENCIA",D17&lt;=10%),"SI",IF(G17="SI","NO APLICA","NO - PORCENTAJE MAYOR AL 10%")))</f>
        <v>NO APLICA</v>
      </c>
      <c r="I17" s="173" t="s">
        <v>73</v>
      </c>
      <c r="J17" s="173" t="s">
        <v>74</v>
      </c>
      <c r="K17" s="383" t="s">
        <v>64</v>
      </c>
      <c r="L17" s="384"/>
    </row>
    <row r="18" spans="2:14" ht="50.25" customHeight="1" x14ac:dyDescent="0.2">
      <c r="B18" s="382"/>
      <c r="C18" s="92" t="str">
        <f>IF(VLOOKUP(C11,PROPONENTES!B10:N111,8,FALSE)=0,"",VLOOKUP(C11,PROPONENTES!B10:N111,8,FALSE))</f>
        <v/>
      </c>
      <c r="D18" s="93" t="str">
        <f>IF(VLOOKUP(C11,PROPONENTES!B10:N111,9,FALSE)=0,"",VLOOKUP(C11,PROPONENTES!B10:N111,9,FALSE))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4</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4</v>
      </c>
      <c r="J19" s="128">
        <v>1</v>
      </c>
      <c r="K19" s="387"/>
      <c r="L19" s="388"/>
    </row>
    <row r="20" spans="2:14" ht="50.25" customHeight="1" x14ac:dyDescent="0.2">
      <c r="B20" s="382"/>
      <c r="C20" s="92"/>
      <c r="D20" s="93"/>
      <c r="E20" s="94"/>
      <c r="F20" s="95"/>
      <c r="G20" s="96"/>
      <c r="H20" s="96"/>
      <c r="I20" s="128">
        <f>COUNTIFS(D60:J60,"CUMPLE",D67:J67,"CUMPLE")</f>
        <v>4</v>
      </c>
      <c r="J20" s="128">
        <v>1</v>
      </c>
      <c r="K20" s="387"/>
      <c r="L20" s="388"/>
    </row>
    <row r="21" spans="2:14" ht="33.75" customHeight="1" x14ac:dyDescent="0.2">
      <c r="B21" s="382"/>
      <c r="C21" s="92" t="str">
        <f>IF(VLOOKUP(C11,PROPONENTES!B10:N111,10,FALSE)=0,"",VLOOKUP(C11,PROPONENTES!B10:N111,10,FALSE))</f>
        <v/>
      </c>
      <c r="D21" s="93" t="str">
        <f>IF(VLOOKUP(C11,PROPONENTES!B10:N111,11,FALSE)=0,"",VLOOKUP(C11,PROPONENTES!B10:N111,11,FALSE))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4</v>
      </c>
      <c r="J21" s="128">
        <v>1</v>
      </c>
      <c r="K21" s="389"/>
      <c r="L21" s="390"/>
    </row>
    <row r="22" spans="2:14" ht="84.75" customHeight="1" x14ac:dyDescent="0.2">
      <c r="B22" s="29" t="s">
        <v>75</v>
      </c>
      <c r="C22" s="24">
        <f>+VLOOKUP(C11,PROPONENTES!B10:N111,12,FALSE)</f>
        <v>3</v>
      </c>
      <c r="D22" s="93">
        <f>+VLOOKUP(C11,PROPONENTES!B10:N111,13,FALSE)</f>
        <v>1</v>
      </c>
      <c r="E22" s="32">
        <f>SUM(E15:E21)</f>
        <v>11279.457699999999</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NO 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1276</v>
      </c>
      <c r="E26" s="84" t="s">
        <v>1286</v>
      </c>
      <c r="F26" s="84" t="s">
        <v>1286</v>
      </c>
      <c r="G26" s="84" t="s">
        <v>1286</v>
      </c>
      <c r="H26" s="84" t="s">
        <v>1286</v>
      </c>
      <c r="I26" s="84" t="s">
        <v>1287</v>
      </c>
      <c r="J26" s="84"/>
      <c r="K26" s="145"/>
      <c r="L26" s="140"/>
    </row>
    <row r="27" spans="2:14" ht="39.75" customHeight="1" x14ac:dyDescent="0.2">
      <c r="B27" s="371" t="s">
        <v>80</v>
      </c>
      <c r="C27" s="372"/>
      <c r="D27" s="84"/>
      <c r="E27" s="84" t="s">
        <v>1287</v>
      </c>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1333</v>
      </c>
      <c r="E29" s="85" t="s">
        <v>1334</v>
      </c>
      <c r="F29" s="85" t="s">
        <v>1335</v>
      </c>
      <c r="G29" s="85" t="s">
        <v>1336</v>
      </c>
      <c r="H29" s="85" t="s">
        <v>1337</v>
      </c>
      <c r="I29" s="85" t="s">
        <v>1338</v>
      </c>
      <c r="J29" s="85"/>
      <c r="K29" s="145"/>
      <c r="L29" s="140"/>
    </row>
    <row r="30" spans="2:14" ht="202.25" customHeight="1" x14ac:dyDescent="0.2">
      <c r="B30" s="374"/>
      <c r="C30" s="25" t="s">
        <v>84</v>
      </c>
      <c r="D30" s="85" t="s">
        <v>1339</v>
      </c>
      <c r="E30" s="85" t="s">
        <v>1340</v>
      </c>
      <c r="F30" s="85" t="s">
        <v>1341</v>
      </c>
      <c r="G30" s="85" t="s">
        <v>1342</v>
      </c>
      <c r="H30" s="85" t="s">
        <v>1343</v>
      </c>
      <c r="I30" s="85" t="s">
        <v>1344</v>
      </c>
      <c r="J30" s="85"/>
      <c r="K30" s="246"/>
      <c r="L30" s="247"/>
    </row>
    <row r="31" spans="2:14" ht="52.5" customHeight="1" x14ac:dyDescent="0.2">
      <c r="B31" s="374"/>
      <c r="C31" s="25" t="s">
        <v>85</v>
      </c>
      <c r="D31" s="89">
        <v>44118</v>
      </c>
      <c r="E31" s="89">
        <v>41639</v>
      </c>
      <c r="F31" s="89">
        <v>42751</v>
      </c>
      <c r="G31" s="89">
        <v>43056</v>
      </c>
      <c r="H31" s="89">
        <v>42073</v>
      </c>
      <c r="I31" s="89">
        <v>38231</v>
      </c>
      <c r="J31" s="89"/>
      <c r="K31" s="145"/>
      <c r="L31" s="140"/>
    </row>
    <row r="32" spans="2:14" ht="54.75" customHeight="1" x14ac:dyDescent="0.2">
      <c r="B32" s="374"/>
      <c r="C32" s="25" t="s">
        <v>86</v>
      </c>
      <c r="D32" s="89">
        <v>44438</v>
      </c>
      <c r="E32" s="89">
        <v>42124</v>
      </c>
      <c r="F32" s="89">
        <v>43389</v>
      </c>
      <c r="G32" s="89">
        <v>43460</v>
      </c>
      <c r="H32" s="89">
        <v>43464</v>
      </c>
      <c r="I32" s="89">
        <v>38595</v>
      </c>
      <c r="J32" s="89"/>
      <c r="K32" s="145"/>
      <c r="L32" s="140"/>
    </row>
    <row r="33" spans="2:12" ht="41.25" customHeight="1" x14ac:dyDescent="0.2">
      <c r="B33" s="374"/>
      <c r="C33" s="25" t="s">
        <v>87</v>
      </c>
      <c r="D33" s="86">
        <v>2021</v>
      </c>
      <c r="E33" s="86">
        <v>2015</v>
      </c>
      <c r="F33" s="86">
        <v>2018</v>
      </c>
      <c r="G33" s="86">
        <v>2018</v>
      </c>
      <c r="H33" s="86">
        <v>2018</v>
      </c>
      <c r="I33" s="86">
        <v>2005</v>
      </c>
      <c r="J33" s="86"/>
      <c r="K33" s="145"/>
      <c r="L33" s="140"/>
    </row>
    <row r="34" spans="2:12" ht="63" customHeight="1" x14ac:dyDescent="0.2">
      <c r="B34" s="374"/>
      <c r="C34" s="25" t="s">
        <v>88</v>
      </c>
      <c r="D34" s="85" t="s">
        <v>1345</v>
      </c>
      <c r="E34" s="85" t="s">
        <v>1345</v>
      </c>
      <c r="F34" s="85" t="s">
        <v>1345</v>
      </c>
      <c r="G34" s="85" t="s">
        <v>1346</v>
      </c>
      <c r="H34" s="85" t="s">
        <v>1347</v>
      </c>
      <c r="I34" s="85" t="s">
        <v>1348</v>
      </c>
      <c r="J34" s="85"/>
      <c r="K34" s="145"/>
      <c r="L34" s="140"/>
    </row>
    <row r="35" spans="2:12" ht="46.5" customHeight="1" x14ac:dyDescent="0.2">
      <c r="B35" s="374"/>
      <c r="C35" s="25" t="s">
        <v>89</v>
      </c>
      <c r="D35" s="85" t="s">
        <v>1349</v>
      </c>
      <c r="E35" s="85" t="s">
        <v>1350</v>
      </c>
      <c r="F35" s="85" t="s">
        <v>1351</v>
      </c>
      <c r="G35" s="85" t="s">
        <v>1352</v>
      </c>
      <c r="H35" s="85" t="s">
        <v>1353</v>
      </c>
      <c r="I35" s="85" t="s">
        <v>1354</v>
      </c>
      <c r="J35" s="85"/>
      <c r="K35" s="145"/>
      <c r="L35" s="140"/>
    </row>
    <row r="36" spans="2:12" ht="27.75" customHeight="1" x14ac:dyDescent="0.2">
      <c r="B36" s="374"/>
      <c r="C36" s="26" t="s">
        <v>90</v>
      </c>
      <c r="D36" s="90">
        <v>30</v>
      </c>
      <c r="E36" s="311" t="s">
        <v>1355</v>
      </c>
      <c r="F36" s="90">
        <v>128</v>
      </c>
      <c r="G36" s="91">
        <v>142</v>
      </c>
      <c r="H36" s="91">
        <v>10</v>
      </c>
      <c r="I36" s="91">
        <v>25</v>
      </c>
      <c r="J36" s="91"/>
      <c r="K36" s="145"/>
      <c r="L36" s="140"/>
    </row>
    <row r="37" spans="2:12" ht="102.75" customHeight="1" x14ac:dyDescent="0.2">
      <c r="B37" s="374"/>
      <c r="C37" s="25" t="s">
        <v>91</v>
      </c>
      <c r="D37" s="87">
        <v>1223.52</v>
      </c>
      <c r="E37" s="158">
        <v>2247.2399999999998</v>
      </c>
      <c r="F37" s="87">
        <v>2661.19</v>
      </c>
      <c r="G37" s="87">
        <v>1190.6400000000001</v>
      </c>
      <c r="H37" s="87">
        <v>7680.07</v>
      </c>
      <c r="I37" s="87">
        <v>5482.04</v>
      </c>
      <c r="J37" s="87"/>
      <c r="K37" s="242"/>
      <c r="L37" s="243"/>
    </row>
    <row r="38" spans="2:12" ht="48" customHeight="1" x14ac:dyDescent="0.2">
      <c r="B38" s="374"/>
      <c r="C38" s="25" t="s">
        <v>92</v>
      </c>
      <c r="D38" s="97">
        <f>IFERROR(D37*VLOOKUP(D33,'DATOS INICIALES'!$A$12:$B$50,2,0),"0")</f>
        <v>1111599731.52</v>
      </c>
      <c r="E38" s="97">
        <f>IFERROR(E37*VLOOKUP(E33,'DATOS INICIALES'!$A$12:$B$50,2,0),"0")</f>
        <v>1448009093.9999998</v>
      </c>
      <c r="F38" s="97">
        <f>IFERROR(F37*VLOOKUP(F33,'DATOS INICIALES'!$A$12:$B$50,2,0),"0")</f>
        <v>2079033397.98</v>
      </c>
      <c r="G38" s="97">
        <f>IFERROR(G37*VLOOKUP(G33,'DATOS INICIALES'!$A$12:$B$50,2,0),"0")</f>
        <v>930177974.88000011</v>
      </c>
      <c r="H38" s="97">
        <f>IFERROR(H37*VLOOKUP(H33,'DATOS INICIALES'!$A$12:$B$50,2,0),"0")</f>
        <v>5999993246.9399996</v>
      </c>
      <c r="I38" s="97">
        <f>IFERROR(I37*VLOOKUP(I33,'DATOS INICIALES'!$A$12:$B$50,2,0),"0")</f>
        <v>2091398260</v>
      </c>
      <c r="J38" s="97" t="str">
        <f>IFERROR(J37*VLOOKUP(J33,'DATOS INICIALES'!$A$12:$B$50,2,0),"0")</f>
        <v>0</v>
      </c>
      <c r="K38" s="145"/>
      <c r="L38" s="140"/>
    </row>
    <row r="39" spans="2:12" ht="33.75" customHeight="1" x14ac:dyDescent="0.2">
      <c r="B39" s="374"/>
      <c r="C39" s="25" t="s">
        <v>93</v>
      </c>
      <c r="D39" s="88">
        <v>0.3</v>
      </c>
      <c r="E39" s="88">
        <v>0.3</v>
      </c>
      <c r="F39" s="88">
        <v>0.2</v>
      </c>
      <c r="G39" s="88">
        <v>0.25</v>
      </c>
      <c r="H39" s="88">
        <v>0.51</v>
      </c>
      <c r="I39" s="88">
        <v>1</v>
      </c>
      <c r="J39" s="88"/>
      <c r="K39" s="145"/>
      <c r="L39" s="140"/>
    </row>
    <row r="40" spans="2:12" ht="48.75" customHeight="1" x14ac:dyDescent="0.2">
      <c r="B40" s="374"/>
      <c r="C40" s="25" t="s">
        <v>94</v>
      </c>
      <c r="D40" s="97">
        <f t="shared" ref="D40:J40" si="0">IF(D26="","0",D39*D38)</f>
        <v>333479919.45599997</v>
      </c>
      <c r="E40" s="97">
        <f t="shared" si="0"/>
        <v>434402728.19999993</v>
      </c>
      <c r="F40" s="97">
        <f t="shared" si="0"/>
        <v>415806679.59600002</v>
      </c>
      <c r="G40" s="97">
        <f t="shared" si="0"/>
        <v>232544493.72000003</v>
      </c>
      <c r="H40" s="97">
        <f t="shared" si="0"/>
        <v>3059996555.9393997</v>
      </c>
      <c r="I40" s="97">
        <f t="shared" si="0"/>
        <v>2091398260</v>
      </c>
      <c r="J40" s="97" t="str">
        <f t="shared" si="0"/>
        <v>0</v>
      </c>
      <c r="K40" s="145"/>
      <c r="L40" s="140"/>
    </row>
    <row r="41" spans="2:12" ht="65.25" customHeight="1" x14ac:dyDescent="0.2">
      <c r="B41" s="374"/>
      <c r="C41" s="25" t="s">
        <v>95</v>
      </c>
      <c r="D41" s="98">
        <f t="shared" ref="D41:J41" si="1">IFERROR(D37*D39,"0")</f>
        <v>367.05599999999998</v>
      </c>
      <c r="E41" s="98">
        <f t="shared" si="1"/>
        <v>674.17199999999991</v>
      </c>
      <c r="F41" s="98">
        <f t="shared" si="1"/>
        <v>532.23800000000006</v>
      </c>
      <c r="G41" s="98">
        <f t="shared" si="1"/>
        <v>297.66000000000003</v>
      </c>
      <c r="H41" s="98">
        <f t="shared" si="1"/>
        <v>3916.8357000000001</v>
      </c>
      <c r="I41" s="98">
        <f t="shared" si="1"/>
        <v>5482.04</v>
      </c>
      <c r="J41" s="98">
        <f t="shared" si="1"/>
        <v>0</v>
      </c>
      <c r="K41" s="145"/>
      <c r="L41" s="140"/>
    </row>
    <row r="42" spans="2:12" ht="65.25" customHeight="1" x14ac:dyDescent="0.2">
      <c r="B42" s="374"/>
      <c r="C42" s="25" t="s">
        <v>96</v>
      </c>
      <c r="D42" s="88"/>
      <c r="E42" s="88">
        <v>0.3</v>
      </c>
      <c r="F42" s="88"/>
      <c r="G42" s="88"/>
      <c r="H42" s="88"/>
      <c r="I42" s="88"/>
      <c r="J42" s="88"/>
      <c r="K42" s="145"/>
      <c r="L42" s="140"/>
    </row>
    <row r="43" spans="2:12" ht="65.25" customHeight="1" x14ac:dyDescent="0.2">
      <c r="B43" s="374"/>
      <c r="C43" s="25" t="s">
        <v>97</v>
      </c>
      <c r="D43" s="99" t="str">
        <f t="shared" ref="D43:J43" si="2">IF(D27="","0",D42*D38)</f>
        <v>0</v>
      </c>
      <c r="E43" s="99">
        <f t="shared" si="2"/>
        <v>434402728.19999993</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674.17199999999991</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367.05599999999998</v>
      </c>
      <c r="E48" s="98">
        <f t="shared" ref="E48:G48" si="6">+E41+E44+E47</f>
        <v>1348.3439999999998</v>
      </c>
      <c r="F48" s="98">
        <f t="shared" si="6"/>
        <v>532.23800000000006</v>
      </c>
      <c r="G48" s="98">
        <f t="shared" si="6"/>
        <v>297.66000000000003</v>
      </c>
      <c r="H48" s="98">
        <f>+H41+H44+H47</f>
        <v>3916.8357000000001</v>
      </c>
      <c r="I48" s="98">
        <f t="shared" ref="I48:J48" si="7">+I41+I44+I47</f>
        <v>5482.04</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CUMPLE</v>
      </c>
      <c r="H55" s="18" t="str">
        <f t="shared" si="8"/>
        <v>CUMPLE</v>
      </c>
      <c r="I55" s="18" t="str">
        <f t="shared" si="8"/>
        <v>CUMPLE</v>
      </c>
      <c r="J55" s="18" t="str">
        <f t="shared" si="8"/>
        <v>N/A</v>
      </c>
      <c r="K55" s="145"/>
      <c r="L55" s="140"/>
    </row>
    <row r="56" spans="2:12" ht="183" customHeight="1" x14ac:dyDescent="0.2">
      <c r="B56" s="431" t="s">
        <v>176</v>
      </c>
      <c r="C56" s="432"/>
      <c r="D56" s="84" t="s">
        <v>26</v>
      </c>
      <c r="E56" s="84" t="s">
        <v>24</v>
      </c>
      <c r="F56" s="84" t="s">
        <v>24</v>
      </c>
      <c r="G56" s="84" t="s">
        <v>26</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NO 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NO CUMPLE</v>
      </c>
      <c r="H67" s="18" t="str">
        <f t="shared" ref="H67:J67" si="9">IF(H26="","N/A",IF(AND(H49="CUMPLE",H55="CUMPLE",OR(H56="CUMPLE",H56="N/A"),OR(H59="CUMPLE",H59="N/A"),H62="CUMPLE",H63="CUMPLE",OR(H64="CUMPLE",H64="N/A"),H65="CUMPLE",OR(H66="CUMPLE",H66="N/A")),"CUMPLE","NO CUMPLE"))</f>
        <v>CUMPLE</v>
      </c>
      <c r="I67" s="18" t="str">
        <f t="shared" si="9"/>
        <v>CUMPLE</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0:C70"/>
    <mergeCell ref="B71:C71"/>
    <mergeCell ref="B72:C72"/>
    <mergeCell ref="B65:C65"/>
    <mergeCell ref="B66:C66"/>
    <mergeCell ref="B67:C67"/>
    <mergeCell ref="B69:E69"/>
    <mergeCell ref="B62:C62"/>
    <mergeCell ref="B63:C63"/>
    <mergeCell ref="B64:C64"/>
    <mergeCell ref="B59:C59"/>
    <mergeCell ref="B60:C60"/>
    <mergeCell ref="B61:C61"/>
    <mergeCell ref="B56:C56"/>
    <mergeCell ref="B57:C57"/>
    <mergeCell ref="B58:C58"/>
    <mergeCell ref="B50:B55"/>
    <mergeCell ref="B28:C28"/>
    <mergeCell ref="B29:B47"/>
    <mergeCell ref="I22:L22"/>
    <mergeCell ref="B12:L12"/>
    <mergeCell ref="B13:H13"/>
    <mergeCell ref="B14:B21"/>
    <mergeCell ref="K17:L17"/>
    <mergeCell ref="K18:L21"/>
    <mergeCell ref="B24:L24"/>
    <mergeCell ref="K25:L25"/>
    <mergeCell ref="B26:C26"/>
    <mergeCell ref="B27:C27"/>
    <mergeCell ref="B23:L23"/>
    <mergeCell ref="C8:I8"/>
    <mergeCell ref="C9:I9"/>
    <mergeCell ref="C10:I10"/>
    <mergeCell ref="C11:G11"/>
    <mergeCell ref="B2:L2"/>
    <mergeCell ref="B3:L3"/>
    <mergeCell ref="B4:L4"/>
    <mergeCell ref="B5:L5"/>
    <mergeCell ref="B7:I7"/>
    <mergeCell ref="J7:L7"/>
    <mergeCell ref="I11:L11"/>
  </mergeCells>
  <conditionalFormatting sqref="D71">
    <cfRule type="cellIs" dxfId="394" priority="98" operator="equal">
      <formula>"NO CUMPLE"</formula>
    </cfRule>
    <cfRule type="containsBlanks" dxfId="393" priority="96">
      <formula>LEN(TRIM(D71))=0</formula>
    </cfRule>
    <cfRule type="cellIs" dxfId="392" priority="99" operator="equal">
      <formula>"CUMPLE"</formula>
    </cfRule>
    <cfRule type="notContainsErrors" dxfId="391" priority="97">
      <formula>NOT(ISERROR(D71))</formula>
    </cfRule>
  </conditionalFormatting>
  <conditionalFormatting sqref="D72">
    <cfRule type="cellIs" dxfId="390" priority="100" operator="equal">
      <formula>"N/A"</formula>
    </cfRule>
    <cfRule type="cellIs" dxfId="389" priority="102" operator="equal">
      <formula>"NO CUMPLE"</formula>
    </cfRule>
    <cfRule type="cellIs" dxfId="388" priority="101" operator="equal">
      <formula>"CUMPLE"</formula>
    </cfRule>
    <cfRule type="cellIs" dxfId="387" priority="103" operator="equal">
      <formula>"""CUMPLE"""</formula>
    </cfRule>
  </conditionalFormatting>
  <conditionalFormatting sqref="D26:J37">
    <cfRule type="containsBlanks" dxfId="386" priority="5">
      <formula>LEN(TRIM(D26))=0</formula>
    </cfRule>
    <cfRule type="notContainsErrors" dxfId="385" priority="6">
      <formula>NOT(ISERROR(D26))</formula>
    </cfRule>
  </conditionalFormatting>
  <conditionalFormatting sqref="D36:J36">
    <cfRule type="containsBlanks" dxfId="384" priority="7">
      <formula>LEN(TRIM(D36))=0</formula>
    </cfRule>
    <cfRule type="notContainsErrors" dxfId="383" priority="8">
      <formula>NOT(ISERROR(D36))</formula>
    </cfRule>
  </conditionalFormatting>
  <conditionalFormatting sqref="D39:J39">
    <cfRule type="notContainsErrors" dxfId="382" priority="4">
      <formula>NOT(ISERROR(D39))</formula>
    </cfRule>
    <cfRule type="containsBlanks" dxfId="381" priority="3">
      <formula>LEN(TRIM(D39))=0</formula>
    </cfRule>
  </conditionalFormatting>
  <conditionalFormatting sqref="D42:J42">
    <cfRule type="containsBlanks" dxfId="380" priority="1">
      <formula>LEN(TRIM(D42))=0</formula>
    </cfRule>
    <cfRule type="notContainsErrors" dxfId="379" priority="2">
      <formula>NOT(ISERROR(D42))</formula>
    </cfRule>
  </conditionalFormatting>
  <conditionalFormatting sqref="D45:J45">
    <cfRule type="notContainsErrors" dxfId="378" priority="64">
      <formula>NOT(ISERROR(D45))</formula>
    </cfRule>
    <cfRule type="containsBlanks" dxfId="377" priority="63">
      <formula>LEN(TRIM(D45))=0</formula>
    </cfRule>
  </conditionalFormatting>
  <conditionalFormatting sqref="D49:J54">
    <cfRule type="cellIs" dxfId="376" priority="19" operator="equal">
      <formula>"NO CUMPLE"</formula>
    </cfRule>
    <cfRule type="cellIs" dxfId="375" priority="20" operator="equal">
      <formula>"CUMPLE"</formula>
    </cfRule>
    <cfRule type="containsBlanks" dxfId="374" priority="21">
      <formula>LEN(TRIM(D49))=0</formula>
    </cfRule>
    <cfRule type="notContainsErrors" dxfId="373" priority="22">
      <formula>NOT(ISERROR(D49))</formula>
    </cfRule>
  </conditionalFormatting>
  <conditionalFormatting sqref="D55:J55">
    <cfRule type="cellIs" dxfId="372" priority="29" operator="equal">
      <formula>"N/A"</formula>
    </cfRule>
    <cfRule type="cellIs" dxfId="371" priority="32" operator="equal">
      <formula>"""CUMPLE"""</formula>
    </cfRule>
    <cfRule type="cellIs" dxfId="370" priority="31" operator="equal">
      <formula>"NO CUMPLE"</formula>
    </cfRule>
    <cfRule type="cellIs" dxfId="369" priority="30" operator="equal">
      <formula>"CUMPLE"</formula>
    </cfRule>
  </conditionalFormatting>
  <conditionalFormatting sqref="D56:J66">
    <cfRule type="cellIs" dxfId="368" priority="13" operator="equal">
      <formula>"NO CUMPLE"</formula>
    </cfRule>
    <cfRule type="notContainsErrors" dxfId="367" priority="16">
      <formula>NOT(ISERROR(D56))</formula>
    </cfRule>
    <cfRule type="cellIs" dxfId="366" priority="14" operator="equal">
      <formula>"CUMPLE"</formula>
    </cfRule>
    <cfRule type="containsBlanks" dxfId="365" priority="15">
      <formula>LEN(TRIM(D56))=0</formula>
    </cfRule>
  </conditionalFormatting>
  <conditionalFormatting sqref="D67:J67">
    <cfRule type="cellIs" dxfId="364" priority="25" operator="equal">
      <formula>"N/A"</formula>
    </cfRule>
    <cfRule type="cellIs" dxfId="363" priority="26" operator="equal">
      <formula>"CUMPLE"</formula>
    </cfRule>
    <cfRule type="cellIs" dxfId="362" priority="28" operator="equal">
      <formula>"""CUMPLE"""</formula>
    </cfRule>
    <cfRule type="cellIs" dxfId="361" priority="27" operator="equal">
      <formula>"NO CUMPLE"</formula>
    </cfRule>
  </conditionalFormatting>
  <conditionalFormatting sqref="D62:K66">
    <cfRule type="containsBlanks" dxfId="360" priority="17">
      <formula>LEN(TRIM(D62))=0</formula>
    </cfRule>
    <cfRule type="notContainsErrors" dxfId="359" priority="18">
      <formula>NOT(ISERROR(D62))</formula>
    </cfRule>
  </conditionalFormatting>
  <conditionalFormatting sqref="E71:E72">
    <cfRule type="notContainsErrors" dxfId="358" priority="95">
      <formula>NOT(ISERROR(E71))</formula>
    </cfRule>
    <cfRule type="containsBlanks" dxfId="357" priority="94">
      <formula>LEN(TRIM(E71))=0</formula>
    </cfRule>
  </conditionalFormatting>
  <conditionalFormatting sqref="F22:H22">
    <cfRule type="cellIs" dxfId="356" priority="118" operator="equal">
      <formula>"NO CUMPLE"</formula>
    </cfRule>
    <cfRule type="cellIs" dxfId="355" priority="119" operator="equal">
      <formula>"""CUMPLE"""</formula>
    </cfRule>
    <cfRule type="cellIs" dxfId="354" priority="117" operator="equal">
      <formula>"CUMPLE"</formula>
    </cfRule>
  </conditionalFormatting>
  <conditionalFormatting sqref="G63:J63">
    <cfRule type="containsBlanks" dxfId="353" priority="9">
      <formula>LEN(TRIM(G63))=0</formula>
    </cfRule>
    <cfRule type="notContainsErrors" dxfId="352" priority="10">
      <formula>NOT(ISERROR(G63))</formula>
    </cfRule>
  </conditionalFormatting>
  <conditionalFormatting sqref="I11">
    <cfRule type="containsText" dxfId="351" priority="123" operator="containsText" text="NO CUMPLE">
      <formula>NOT(ISERROR(SEARCH("NO CUMPLE",I11)))</formula>
    </cfRule>
    <cfRule type="containsText" dxfId="350" priority="122" operator="containsText" text="HABILITADO">
      <formula>NOT(ISERROR(SEARCH("HABILITADO",I11)))</formula>
    </cfRule>
    <cfRule type="containsText" dxfId="349" priority="121" operator="containsText" text="HABILITADO">
      <formula>NOT(ISERROR(SEARCH("HABILITADO",I11)))</formula>
    </cfRule>
    <cfRule type="containsText" dxfId="348" priority="120" operator="containsText" text="INHABILITADO">
      <formula>NOT(ISERROR(SEARCH("INHABILITADO",I11)))</formula>
    </cfRule>
  </conditionalFormatting>
  <conditionalFormatting sqref="K18:K20">
    <cfRule type="cellIs" dxfId="347" priority="92" operator="equal">
      <formula>"NO CUMPLE"</formula>
    </cfRule>
    <cfRule type="cellIs" dxfId="346" priority="93" operator="equal">
      <formula>"""CUMPLE"""</formula>
    </cfRule>
    <cfRule type="cellIs" dxfId="345" priority="91" operator="equal">
      <formula>"CUMPLE"</formula>
    </cfRule>
  </conditionalFormatting>
  <conditionalFormatting sqref="K26:K61 D62:J62">
    <cfRule type="containsBlanks" dxfId="344" priority="11">
      <formula>LEN(TRIM(D26))=0</formula>
    </cfRule>
    <cfRule type="notContainsErrors" dxfId="343" priority="12">
      <formula>NOT(ISERROR(D26))</formula>
    </cfRule>
  </conditionalFormatting>
  <conditionalFormatting sqref="K67:L67">
    <cfRule type="containsBlanks" dxfId="342" priority="23">
      <formula>LEN(TRIM(K67))=0</formula>
    </cfRule>
    <cfRule type="notContainsErrors" dxfId="341" priority="24">
      <formula>NOT(ISERROR(K67))</formula>
    </cfRule>
  </conditionalFormatting>
  <conditionalFormatting sqref="L14">
    <cfRule type="cellIs" dxfId="340" priority="116" operator="equal">
      <formula>"""CUMPLE"""</formula>
    </cfRule>
    <cfRule type="cellIs" dxfId="339" priority="115" operator="equal">
      <formula>"NO CUMPLE"</formula>
    </cfRule>
    <cfRule type="cellIs" dxfId="338" priority="114" operator="equal">
      <formula>"CUMPLE"</formula>
    </cfRule>
  </conditionalFormatting>
  <dataValidations count="2">
    <dataValidation type="list" allowBlank="1" showInputMessage="1" showErrorMessage="1" sqref="D26:J28" xr:uid="{00000000-0002-0000-5D00-000000000000}">
      <formula1>$C$15:$C$21</formula1>
    </dataValidation>
    <dataValidation type="list" allowBlank="1" showInputMessage="1" showErrorMessage="1" sqref="L62:L67" xr:uid="{00000000-0002-0000-5D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5D00-000002000000}">
          <x14:formula1>
            <xm:f>'DATOS INICIALES'!$D$27:$D$29</xm:f>
          </x14:formula1>
          <xm:sqref>M50:M55</xm:sqref>
        </x14:dataValidation>
        <x14:dataValidation type="list" allowBlank="1" showInputMessage="1" showErrorMessage="1" xr:uid="{00000000-0002-0000-5D00-000003000000}">
          <x14:formula1>
            <xm:f>'DATOS INICIALES'!$A$61:$A$66</xm:f>
          </x14:formula1>
          <xm:sqref>D25:I25</xm:sqref>
        </x14:dataValidation>
        <x14:dataValidation type="list" allowBlank="1" showInputMessage="1" showErrorMessage="1" xr:uid="{00000000-0002-0000-5D00-000004000000}">
          <x14:formula1>
            <xm:f>'DATOS INICIALES'!$A$57:$A$59</xm:f>
          </x14:formula1>
          <xm:sqref>D71 D56:J66</xm:sqref>
        </x14:dataValidation>
        <x14:dataValidation type="list" allowBlank="1" showInputMessage="1" showErrorMessage="1" xr:uid="{00000000-0002-0000-5D00-000005000000}">
          <x14:formula1>
            <xm:f>'DATOS INICIALES'!$C$52:$C$53</xm:f>
          </x14:formula1>
          <xm:sqref>D53:J54</xm:sqref>
        </x14:dataValidation>
        <x14:dataValidation type="list" allowBlank="1" showInputMessage="1" showErrorMessage="1" xr:uid="{00000000-0002-0000-5D00-000006000000}">
          <x14:formula1>
            <xm:f>'DATOS INICIALES'!$A$61:$A$67</xm:f>
          </x14:formula1>
          <xm:sqref>J25</xm:sqref>
        </x14:dataValidation>
        <x14:dataValidation type="list" allowBlank="1" showInputMessage="1" showErrorMessage="1" xr:uid="{00000000-0002-0000-5D00-000007000000}">
          <x14:formula1>
            <xm:f>'DATOS INICIALES'!$A$57:$A$58</xm:f>
          </x14:formula1>
          <xm:sqref>D49:J49</xm:sqref>
        </x14:dataValidation>
        <x14:dataValidation type="list" allowBlank="1" showInputMessage="1" showErrorMessage="1" xr:uid="{00000000-0002-0000-5D00-000008000000}">
          <x14:formula1>
            <xm:f>'DATOS INICIALES'!$C$52:$C$54</xm:f>
          </x14:formula1>
          <xm:sqref>D50:J52</xm:sqref>
        </x14:dataValidation>
        <x14:dataValidation type="list" allowBlank="1" showInputMessage="1" showErrorMessage="1" xr:uid="{00000000-0002-0000-5D00-000009000000}">
          <x14:formula1>
            <xm:f>'/Users/ldrr/Desktop/SDDE/REVISION DE CARPETAS/C:\Users\ASUS\OneDrive\Escritorio\alcaldia local de usaquen\2025\16. EVALUACION DE PROCESOS\INTERVENTORIA DE VIAS\consolidado equipo\[juan_manuel_Evaluación_Tecnica_fdlusa-CMA-003-2025 85 A 94.xlsx]DATOS INICIALES'!#REF!</xm:f>
          </x14:formula1>
          <xm:sqref>G33:I33</xm:sqref>
        </x14:dataValidation>
      </x14:dataValidations>
    </ext>
  </extLst>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E00-000000000000}">
  <sheetPr>
    <tabColor rgb="FF92D050"/>
  </sheetPr>
  <dimension ref="A1:N72"/>
  <sheetViews>
    <sheetView view="pageBreakPreview" zoomScale="55" zoomScaleNormal="25" zoomScaleSheetLayoutView="55" workbookViewId="0">
      <selection activeCell="E42" sqref="E42"/>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89</v>
      </c>
      <c r="B11" s="2" t="s">
        <v>58</v>
      </c>
      <c r="C11" s="413" t="str">
        <f>VLOOKUP(A11,PROPONENTES!A10:B111,2,FALSE)</f>
        <v>CS USAQUEN JINT 3</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3</v>
      </c>
      <c r="J14" s="147">
        <f>+L8</f>
        <v>986.3076290832455</v>
      </c>
      <c r="K14" s="147">
        <f>+E22</f>
        <v>6110.1674999999996</v>
      </c>
      <c r="L14" s="18" t="str">
        <f>IF(K14&gt;=J14,"CUMPLE","NO CUMPLE")</f>
        <v>CUMPLE</v>
      </c>
    </row>
    <row r="15" spans="1:12" ht="33.75" customHeight="1" x14ac:dyDescent="0.2">
      <c r="B15" s="382"/>
      <c r="C15" s="92" t="str">
        <f>IF(VLOOKUP(C11,PROPONENTES!B10:N111,2,FALSE)=0,"",VLOOKUP(C11,PROPONENTES!B10:N111,2,FALSE))</f>
        <v>JPS INGENIERIA S.A.S. (LIDER)</v>
      </c>
      <c r="D15" s="93">
        <f>IF(VLOOKUP(C11,PROPONENTES!B10:N111,3,FALSE)=0,"",VLOOKUP(C11,PROPONENTES!B10:N111,3,FALSE))</f>
        <v>0.9</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2407.1475</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IF(VLOOKUP(C11,PROPONENTES!B10:N111,4,FALSE)=0,"",VLOOKUP(C11,PROPONENTES!B10:N111,4,FALSE))</f>
        <v>INTING S.A.S.</v>
      </c>
      <c r="D16" s="93">
        <f>IF(VLOOKUP(C11,PROPONENTES!B10:N111,5,FALSE)=0,"",VLOOKUP(C11,PROPONENTES!B10:N111,5,FALSE))</f>
        <v>0.1</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3703.02</v>
      </c>
      <c r="F16" s="95" t="str">
        <f>IF(C16="","",IF(E16&gt;=$J$14*0.5,"SI","NO"))</f>
        <v>SI</v>
      </c>
      <c r="G16" s="96" t="str">
        <f>IF(C16="","",IF(E16&gt;=$J$14*0.05,"SI",IF(E16=0,"NO APORTA EXPERIENCIA",)))</f>
        <v>SI</v>
      </c>
      <c r="H16" s="96" t="str">
        <f>IF(C16="","",IF(AND(G16="NO APORTA EXPERIENCIA",D16&lt;=10%),"SI",IF(G16="SI","NO APLICA","NO - PORCENTAJE MAYOR AL 10%")))</f>
        <v>NO APLICA</v>
      </c>
      <c r="I16" s="162"/>
      <c r="J16" s="162"/>
      <c r="K16" s="162"/>
      <c r="L16" s="161">
        <f>AVERAGEIF(D67:J67,"CUMPLE",D48:J48)</f>
        <v>2036.7225000000001</v>
      </c>
    </row>
    <row r="17" spans="2:14" ht="33.75" customHeight="1" x14ac:dyDescent="0.2">
      <c r="B17" s="382"/>
      <c r="C17" s="92" t="str">
        <f>IF(VLOOKUP(C11,PROPONENTES!B10:N111,6,FALSE)=0,"",VLOOKUP(C11,PROPONENTES!B10:N111,6,FALSE))</f>
        <v/>
      </c>
      <c r="D17" s="93" t="str">
        <f>IF(VLOOKUP(C11,PROPONENTES!B10:N111,7,FALSE)=0,"",VLOOKUP(C11,PROPONENTES!B10:N111,7,FALSE))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IF(VLOOKUP(C11,PROPONENTES!B10:N111,8,FALSE)=0,"",VLOOKUP(C11,PROPONENTES!B10:N111,8,FALSE))</f>
        <v/>
      </c>
      <c r="D18" s="93" t="str">
        <f>IF(VLOOKUP(C11,PROPONENTES!B10:N111,9,FALSE)=0,"",VLOOKUP(C11,PROPONENTES!B10:N111,9,FALSE))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3</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3</v>
      </c>
      <c r="J19" s="128">
        <v>1</v>
      </c>
      <c r="K19" s="387"/>
      <c r="L19" s="388"/>
    </row>
    <row r="20" spans="2:14" ht="50.25" customHeight="1" x14ac:dyDescent="0.2">
      <c r="B20" s="382"/>
      <c r="C20" s="92"/>
      <c r="D20" s="93"/>
      <c r="E20" s="94"/>
      <c r="F20" s="95"/>
      <c r="G20" s="96"/>
      <c r="H20" s="96"/>
      <c r="I20" s="128">
        <f>COUNTIFS(D60:J60,"CUMPLE",D67:J67,"CUMPLE")</f>
        <v>3</v>
      </c>
      <c r="J20" s="128">
        <v>1</v>
      </c>
      <c r="K20" s="387"/>
      <c r="L20" s="388"/>
    </row>
    <row r="21" spans="2:14" ht="33.75" customHeight="1" x14ac:dyDescent="0.2">
      <c r="B21" s="382"/>
      <c r="C21" s="92" t="str">
        <f>IF(VLOOKUP(C11,PROPONENTES!B10:N111,10,FALSE)=0,"",VLOOKUP(C11,PROPONENTES!B10:N111,10,FALSE))</f>
        <v/>
      </c>
      <c r="D21" s="93" t="str">
        <f>IF(VLOOKUP(C11,PROPONENTES!B10:N111,11,FALSE)=0,"",VLOOKUP(C11,PROPONENTES!B10:N111,11,FALSE))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3</v>
      </c>
      <c r="J21" s="128">
        <v>1</v>
      </c>
      <c r="K21" s="389"/>
      <c r="L21" s="390"/>
    </row>
    <row r="22" spans="2:14" ht="84.75" customHeight="1" x14ac:dyDescent="0.2">
      <c r="B22" s="29" t="s">
        <v>75</v>
      </c>
      <c r="C22" s="24">
        <f>+VLOOKUP(C11,PROPONENTES!B10:N111,12,FALSE)</f>
        <v>2</v>
      </c>
      <c r="D22" s="93">
        <f>+VLOOKUP(C11,PROPONENTES!B10:N111,13,FALSE)</f>
        <v>1</v>
      </c>
      <c r="E22" s="32">
        <f>SUM(E15:E21)</f>
        <v>6110.1674999999996</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1285</v>
      </c>
      <c r="E26" s="84" t="s">
        <v>1277</v>
      </c>
      <c r="F26" s="84" t="s">
        <v>1277</v>
      </c>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1356</v>
      </c>
      <c r="E29" s="85" t="s">
        <v>1357</v>
      </c>
      <c r="F29" s="85" t="s">
        <v>1358</v>
      </c>
      <c r="G29" s="85"/>
      <c r="H29" s="85"/>
      <c r="I29" s="85"/>
      <c r="J29" s="85"/>
      <c r="K29" s="145"/>
      <c r="L29" s="140"/>
    </row>
    <row r="30" spans="2:14" ht="156.75" customHeight="1" x14ac:dyDescent="0.2">
      <c r="B30" s="374"/>
      <c r="C30" s="25" t="s">
        <v>84</v>
      </c>
      <c r="D30" s="85" t="s">
        <v>1359</v>
      </c>
      <c r="E30" s="85" t="s">
        <v>1360</v>
      </c>
      <c r="F30" s="85" t="s">
        <v>1361</v>
      </c>
      <c r="G30" s="85"/>
      <c r="H30" s="85"/>
      <c r="I30" s="85"/>
      <c r="J30" s="85"/>
      <c r="K30" s="145"/>
      <c r="L30" s="140"/>
    </row>
    <row r="31" spans="2:14" ht="52.5" customHeight="1" x14ac:dyDescent="0.2">
      <c r="B31" s="374"/>
      <c r="C31" s="25" t="s">
        <v>85</v>
      </c>
      <c r="D31" s="89">
        <v>38680</v>
      </c>
      <c r="E31" s="89">
        <v>38749</v>
      </c>
      <c r="F31" s="89">
        <v>38995</v>
      </c>
      <c r="G31" s="89"/>
      <c r="H31" s="89"/>
      <c r="I31" s="89"/>
      <c r="J31" s="89"/>
      <c r="K31" s="145"/>
      <c r="L31" s="140"/>
    </row>
    <row r="32" spans="2:14" ht="54.75" customHeight="1" x14ac:dyDescent="0.2">
      <c r="B32" s="374"/>
      <c r="C32" s="25" t="s">
        <v>86</v>
      </c>
      <c r="D32" s="89">
        <v>39822</v>
      </c>
      <c r="E32" s="89">
        <v>39507</v>
      </c>
      <c r="F32" s="89">
        <v>39417</v>
      </c>
      <c r="G32" s="89"/>
      <c r="H32" s="89"/>
      <c r="I32" s="89"/>
      <c r="J32" s="89"/>
      <c r="K32" s="145"/>
      <c r="L32" s="140"/>
    </row>
    <row r="33" spans="2:12" ht="41.25" customHeight="1" x14ac:dyDescent="0.2">
      <c r="B33" s="374"/>
      <c r="C33" s="25" t="s">
        <v>87</v>
      </c>
      <c r="D33" s="86">
        <v>2009</v>
      </c>
      <c r="E33" s="86">
        <v>2008</v>
      </c>
      <c r="F33" s="86">
        <v>2007</v>
      </c>
      <c r="G33" s="86"/>
      <c r="H33" s="86"/>
      <c r="I33" s="86"/>
      <c r="J33" s="86"/>
      <c r="K33" s="145"/>
      <c r="L33" s="140"/>
    </row>
    <row r="34" spans="2:12" ht="63" customHeight="1" x14ac:dyDescent="0.2">
      <c r="B34" s="374"/>
      <c r="C34" s="25" t="s">
        <v>88</v>
      </c>
      <c r="D34" s="85" t="s">
        <v>322</v>
      </c>
      <c r="E34" s="85" t="s">
        <v>321</v>
      </c>
      <c r="F34" s="85" t="s">
        <v>1362</v>
      </c>
      <c r="G34" s="85"/>
      <c r="H34" s="85"/>
      <c r="I34" s="85"/>
      <c r="J34" s="85"/>
      <c r="K34" s="145"/>
      <c r="L34" s="140"/>
    </row>
    <row r="35" spans="2:12" ht="46.5" customHeight="1" x14ac:dyDescent="0.2">
      <c r="B35" s="374"/>
      <c r="C35" s="25" t="s">
        <v>89</v>
      </c>
      <c r="D35" s="85" t="s">
        <v>1363</v>
      </c>
      <c r="E35" s="85" t="s">
        <v>1364</v>
      </c>
      <c r="F35" s="85" t="s">
        <v>1365</v>
      </c>
      <c r="G35" s="85"/>
      <c r="H35" s="85"/>
      <c r="I35" s="85"/>
      <c r="J35" s="85"/>
      <c r="K35" s="145"/>
      <c r="L35" s="140"/>
    </row>
    <row r="36" spans="2:12" ht="27.75" customHeight="1" x14ac:dyDescent="0.2">
      <c r="B36" s="374"/>
      <c r="C36" s="26" t="s">
        <v>90</v>
      </c>
      <c r="D36" s="90">
        <v>35</v>
      </c>
      <c r="E36" s="90">
        <v>9</v>
      </c>
      <c r="F36" s="90">
        <v>8</v>
      </c>
      <c r="G36" s="91"/>
      <c r="H36" s="91"/>
      <c r="I36" s="91"/>
      <c r="J36" s="91"/>
      <c r="K36" s="145"/>
      <c r="L36" s="140"/>
    </row>
    <row r="37" spans="2:12" ht="102.75" customHeight="1" x14ac:dyDescent="0.2">
      <c r="B37" s="374"/>
      <c r="C37" s="25" t="s">
        <v>91</v>
      </c>
      <c r="D37" s="87">
        <v>3703.02</v>
      </c>
      <c r="E37" s="158">
        <v>2784.15</v>
      </c>
      <c r="F37" s="87">
        <v>1521.75</v>
      </c>
      <c r="G37" s="87"/>
      <c r="H37" s="87"/>
      <c r="I37" s="87"/>
      <c r="J37" s="87"/>
      <c r="K37" s="242"/>
      <c r="L37" s="243"/>
    </row>
    <row r="38" spans="2:12" ht="48" customHeight="1" x14ac:dyDescent="0.2">
      <c r="B38" s="374"/>
      <c r="C38" s="25" t="s">
        <v>92</v>
      </c>
      <c r="D38" s="97">
        <f>IFERROR(D37*VLOOKUP(D33,'DATOS INICIALES'!$A$12:$B$50,2,0),"0")</f>
        <v>1840030638</v>
      </c>
      <c r="E38" s="97">
        <f>IFERROR(E37*VLOOKUP(E33,'DATOS INICIALES'!$A$12:$B$50,2,0),"0")</f>
        <v>1284885225</v>
      </c>
      <c r="F38" s="97">
        <f>IFERROR(F37*VLOOKUP(F33,'DATOS INICIALES'!$A$12:$B$50,2,0),"0")</f>
        <v>659982975</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1</v>
      </c>
      <c r="E39" s="88">
        <v>0.4</v>
      </c>
      <c r="F39" s="88">
        <v>0.85</v>
      </c>
      <c r="G39" s="88"/>
      <c r="H39" s="88"/>
      <c r="I39" s="88"/>
      <c r="J39" s="88"/>
      <c r="K39" s="145"/>
      <c r="L39" s="140"/>
    </row>
    <row r="40" spans="2:12" ht="48.75" customHeight="1" x14ac:dyDescent="0.2">
      <c r="B40" s="374"/>
      <c r="C40" s="25" t="s">
        <v>94</v>
      </c>
      <c r="D40" s="97">
        <f t="shared" ref="D40:J40" si="0">IF(D26="","0",D39*D38)</f>
        <v>1840030638</v>
      </c>
      <c r="E40" s="97">
        <f t="shared" si="0"/>
        <v>513954090</v>
      </c>
      <c r="F40" s="97">
        <f t="shared" si="0"/>
        <v>560985528.75</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3703.02</v>
      </c>
      <c r="E41" s="98">
        <f t="shared" si="1"/>
        <v>1113.6600000000001</v>
      </c>
      <c r="F41" s="98">
        <f t="shared" si="1"/>
        <v>1293.4875</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3703.02</v>
      </c>
      <c r="E48" s="98">
        <f t="shared" ref="E48:G48" si="6">+E41+E44+E47</f>
        <v>1113.6600000000001</v>
      </c>
      <c r="F48" s="98">
        <f t="shared" si="6"/>
        <v>1293.4875</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0:C70"/>
    <mergeCell ref="B71:C71"/>
    <mergeCell ref="B72:C72"/>
    <mergeCell ref="B65:C65"/>
    <mergeCell ref="B66:C66"/>
    <mergeCell ref="B67:C67"/>
    <mergeCell ref="B69:E69"/>
    <mergeCell ref="B62:C62"/>
    <mergeCell ref="B63:C63"/>
    <mergeCell ref="B64:C64"/>
    <mergeCell ref="B59:C59"/>
    <mergeCell ref="B60:C60"/>
    <mergeCell ref="B61:C61"/>
    <mergeCell ref="B56:C56"/>
    <mergeCell ref="B57:C57"/>
    <mergeCell ref="B58:C58"/>
    <mergeCell ref="B50:B55"/>
    <mergeCell ref="B28:C28"/>
    <mergeCell ref="B29:B47"/>
    <mergeCell ref="I22:L22"/>
    <mergeCell ref="B12:L12"/>
    <mergeCell ref="B13:H13"/>
    <mergeCell ref="B14:B21"/>
    <mergeCell ref="K17:L17"/>
    <mergeCell ref="K18:L21"/>
    <mergeCell ref="B24:L24"/>
    <mergeCell ref="K25:L25"/>
    <mergeCell ref="B26:C26"/>
    <mergeCell ref="B27:C27"/>
    <mergeCell ref="B23:L23"/>
    <mergeCell ref="C8:I8"/>
    <mergeCell ref="C9:I9"/>
    <mergeCell ref="C10:I10"/>
    <mergeCell ref="C11:G11"/>
    <mergeCell ref="B2:L2"/>
    <mergeCell ref="B3:L3"/>
    <mergeCell ref="B4:L4"/>
    <mergeCell ref="B5:L5"/>
    <mergeCell ref="B7:I7"/>
    <mergeCell ref="J7:L7"/>
    <mergeCell ref="I11:L11"/>
  </mergeCells>
  <conditionalFormatting sqref="D71">
    <cfRule type="cellIs" dxfId="337" priority="97" operator="equal">
      <formula>"CUMPLE"</formula>
    </cfRule>
    <cfRule type="containsBlanks" dxfId="336" priority="94">
      <formula>LEN(TRIM(D71))=0</formula>
    </cfRule>
    <cfRule type="notContainsErrors" dxfId="335" priority="95">
      <formula>NOT(ISERROR(D71))</formula>
    </cfRule>
    <cfRule type="cellIs" dxfId="334" priority="96" operator="equal">
      <formula>"NO CUMPLE"</formula>
    </cfRule>
  </conditionalFormatting>
  <conditionalFormatting sqref="D72">
    <cfRule type="cellIs" dxfId="333" priority="99" operator="equal">
      <formula>"CUMPLE"</formula>
    </cfRule>
    <cfRule type="cellIs" dxfId="332" priority="98" operator="equal">
      <formula>"N/A"</formula>
    </cfRule>
    <cfRule type="cellIs" dxfId="331" priority="101" operator="equal">
      <formula>"""CUMPLE"""</formula>
    </cfRule>
    <cfRule type="cellIs" dxfId="330" priority="100" operator="equal">
      <formula>"NO CUMPLE"</formula>
    </cfRule>
  </conditionalFormatting>
  <conditionalFormatting sqref="D26:J37">
    <cfRule type="notContainsErrors" dxfId="329" priority="4">
      <formula>NOT(ISERROR(D26))</formula>
    </cfRule>
    <cfRule type="containsBlanks" dxfId="328" priority="3">
      <formula>LEN(TRIM(D26))=0</formula>
    </cfRule>
  </conditionalFormatting>
  <conditionalFormatting sqref="D36:J36">
    <cfRule type="notContainsErrors" dxfId="327" priority="6">
      <formula>NOT(ISERROR(D36))</formula>
    </cfRule>
    <cfRule type="containsBlanks" dxfId="326" priority="5">
      <formula>LEN(TRIM(D36))=0</formula>
    </cfRule>
  </conditionalFormatting>
  <conditionalFormatting sqref="D39:J39">
    <cfRule type="containsBlanks" dxfId="325" priority="1">
      <formula>LEN(TRIM(D39))=0</formula>
    </cfRule>
    <cfRule type="notContainsErrors" dxfId="324" priority="2">
      <formula>NOT(ISERROR(D39))</formula>
    </cfRule>
  </conditionalFormatting>
  <conditionalFormatting sqref="D42:J42 D45:J45">
    <cfRule type="notContainsErrors" dxfId="323" priority="62">
      <formula>NOT(ISERROR(D42))</formula>
    </cfRule>
    <cfRule type="containsBlanks" dxfId="322" priority="61">
      <formula>LEN(TRIM(D42))=0</formula>
    </cfRule>
  </conditionalFormatting>
  <conditionalFormatting sqref="D49:J54">
    <cfRule type="cellIs" dxfId="321" priority="17" operator="equal">
      <formula>"NO CUMPLE"</formula>
    </cfRule>
    <cfRule type="cellIs" dxfId="320" priority="18" operator="equal">
      <formula>"CUMPLE"</formula>
    </cfRule>
    <cfRule type="containsBlanks" dxfId="319" priority="19">
      <formula>LEN(TRIM(D49))=0</formula>
    </cfRule>
    <cfRule type="notContainsErrors" dxfId="318" priority="20">
      <formula>NOT(ISERROR(D49))</formula>
    </cfRule>
  </conditionalFormatting>
  <conditionalFormatting sqref="D55:J55">
    <cfRule type="cellIs" dxfId="317" priority="28" operator="equal">
      <formula>"CUMPLE"</formula>
    </cfRule>
    <cfRule type="cellIs" dxfId="316" priority="30" operator="equal">
      <formula>"""CUMPLE"""</formula>
    </cfRule>
    <cfRule type="cellIs" dxfId="315" priority="29" operator="equal">
      <formula>"NO CUMPLE"</formula>
    </cfRule>
    <cfRule type="cellIs" dxfId="314" priority="27" operator="equal">
      <formula>"N/A"</formula>
    </cfRule>
  </conditionalFormatting>
  <conditionalFormatting sqref="D56:J66">
    <cfRule type="cellIs" dxfId="313" priority="11" operator="equal">
      <formula>"NO CUMPLE"</formula>
    </cfRule>
    <cfRule type="notContainsErrors" dxfId="312" priority="14">
      <formula>NOT(ISERROR(D56))</formula>
    </cfRule>
    <cfRule type="containsBlanks" dxfId="311" priority="13">
      <formula>LEN(TRIM(D56))=0</formula>
    </cfRule>
    <cfRule type="cellIs" dxfId="310" priority="12" operator="equal">
      <formula>"CUMPLE"</formula>
    </cfRule>
  </conditionalFormatting>
  <conditionalFormatting sqref="D67:J67">
    <cfRule type="cellIs" dxfId="309" priority="23" operator="equal">
      <formula>"N/A"</formula>
    </cfRule>
    <cfRule type="cellIs" dxfId="308" priority="24" operator="equal">
      <formula>"CUMPLE"</formula>
    </cfRule>
    <cfRule type="cellIs" dxfId="307" priority="26" operator="equal">
      <formula>"""CUMPLE"""</formula>
    </cfRule>
    <cfRule type="cellIs" dxfId="306" priority="25" operator="equal">
      <formula>"NO CUMPLE"</formula>
    </cfRule>
  </conditionalFormatting>
  <conditionalFormatting sqref="D62:K66">
    <cfRule type="containsBlanks" dxfId="305" priority="15">
      <formula>LEN(TRIM(D62))=0</formula>
    </cfRule>
    <cfRule type="notContainsErrors" dxfId="304" priority="16">
      <formula>NOT(ISERROR(D62))</formula>
    </cfRule>
  </conditionalFormatting>
  <conditionalFormatting sqref="E71:E72">
    <cfRule type="notContainsErrors" dxfId="303" priority="93">
      <formula>NOT(ISERROR(E71))</formula>
    </cfRule>
    <cfRule type="containsBlanks" dxfId="302" priority="92">
      <formula>LEN(TRIM(E71))=0</formula>
    </cfRule>
  </conditionalFormatting>
  <conditionalFormatting sqref="F22:H22">
    <cfRule type="cellIs" dxfId="301" priority="116" operator="equal">
      <formula>"NO CUMPLE"</formula>
    </cfRule>
    <cfRule type="cellIs" dxfId="300" priority="117" operator="equal">
      <formula>"""CUMPLE"""</formula>
    </cfRule>
    <cfRule type="cellIs" dxfId="299" priority="115" operator="equal">
      <formula>"CUMPLE"</formula>
    </cfRule>
  </conditionalFormatting>
  <conditionalFormatting sqref="G63:J63">
    <cfRule type="containsBlanks" dxfId="298" priority="7">
      <formula>LEN(TRIM(G63))=0</formula>
    </cfRule>
    <cfRule type="notContainsErrors" dxfId="297" priority="8">
      <formula>NOT(ISERROR(G63))</formula>
    </cfRule>
  </conditionalFormatting>
  <conditionalFormatting sqref="I11">
    <cfRule type="containsText" dxfId="296" priority="121" operator="containsText" text="NO CUMPLE">
      <formula>NOT(ISERROR(SEARCH("NO CUMPLE",I11)))</formula>
    </cfRule>
    <cfRule type="containsText" dxfId="295" priority="120" operator="containsText" text="HABILITADO">
      <formula>NOT(ISERROR(SEARCH("HABILITADO",I11)))</formula>
    </cfRule>
    <cfRule type="containsText" dxfId="294" priority="119" operator="containsText" text="HABILITADO">
      <formula>NOT(ISERROR(SEARCH("HABILITADO",I11)))</formula>
    </cfRule>
    <cfRule type="containsText" dxfId="293" priority="118" operator="containsText" text="INHABILITADO">
      <formula>NOT(ISERROR(SEARCH("INHABILITADO",I11)))</formula>
    </cfRule>
  </conditionalFormatting>
  <conditionalFormatting sqref="K18:K20">
    <cfRule type="cellIs" dxfId="292" priority="90" operator="equal">
      <formula>"NO CUMPLE"</formula>
    </cfRule>
    <cfRule type="cellIs" dxfId="291" priority="91" operator="equal">
      <formula>"""CUMPLE"""</formula>
    </cfRule>
    <cfRule type="cellIs" dxfId="290" priority="89" operator="equal">
      <formula>"CUMPLE"</formula>
    </cfRule>
  </conditionalFormatting>
  <conditionalFormatting sqref="K26:K61 D62:J62">
    <cfRule type="containsBlanks" dxfId="289" priority="9">
      <formula>LEN(TRIM(D26))=0</formula>
    </cfRule>
    <cfRule type="notContainsErrors" dxfId="288" priority="10">
      <formula>NOT(ISERROR(D26))</formula>
    </cfRule>
  </conditionalFormatting>
  <conditionalFormatting sqref="K67:L67">
    <cfRule type="containsBlanks" dxfId="287" priority="21">
      <formula>LEN(TRIM(K67))=0</formula>
    </cfRule>
    <cfRule type="notContainsErrors" dxfId="286" priority="22">
      <formula>NOT(ISERROR(K67))</formula>
    </cfRule>
  </conditionalFormatting>
  <conditionalFormatting sqref="L14">
    <cfRule type="cellIs" dxfId="285" priority="114" operator="equal">
      <formula>"""CUMPLE"""</formula>
    </cfRule>
    <cfRule type="cellIs" dxfId="284" priority="113" operator="equal">
      <formula>"NO CUMPLE"</formula>
    </cfRule>
    <cfRule type="cellIs" dxfId="283" priority="112" operator="equal">
      <formula>"CUMPLE"</formula>
    </cfRule>
  </conditionalFormatting>
  <dataValidations count="2">
    <dataValidation type="list" allowBlank="1" showInputMessage="1" showErrorMessage="1" sqref="L62:L67" xr:uid="{00000000-0002-0000-5E00-000000000000}">
      <formula1>"0,1,2,3,4,5,6"</formula1>
    </dataValidation>
    <dataValidation type="list" allowBlank="1" showInputMessage="1" showErrorMessage="1" sqref="D26:J28" xr:uid="{00000000-0002-0000-5E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5E00-000002000000}">
          <x14:formula1>
            <xm:f>'DATOS INICIALES'!$D$27:$D$29</xm:f>
          </x14:formula1>
          <xm:sqref>M50:M55</xm:sqref>
        </x14:dataValidation>
        <x14:dataValidation type="list" allowBlank="1" showInputMessage="1" showErrorMessage="1" xr:uid="{00000000-0002-0000-5E00-000003000000}">
          <x14:formula1>
            <xm:f>'DATOS INICIALES'!$A$57:$A$58</xm:f>
          </x14:formula1>
          <xm:sqref>D49:J49</xm:sqref>
        </x14:dataValidation>
        <x14:dataValidation type="list" allowBlank="1" showInputMessage="1" showErrorMessage="1" xr:uid="{00000000-0002-0000-5E00-000004000000}">
          <x14:formula1>
            <xm:f>'DATOS INICIALES'!$A$61:$A$67</xm:f>
          </x14:formula1>
          <xm:sqref>J25</xm:sqref>
        </x14:dataValidation>
        <x14:dataValidation type="list" allowBlank="1" showInputMessage="1" showErrorMessage="1" xr:uid="{00000000-0002-0000-5E00-000005000000}">
          <x14:formula1>
            <xm:f>'DATOS INICIALES'!$C$52:$C$53</xm:f>
          </x14:formula1>
          <xm:sqref>D53:J54</xm:sqref>
        </x14:dataValidation>
        <x14:dataValidation type="list" allowBlank="1" showInputMessage="1" showErrorMessage="1" xr:uid="{00000000-0002-0000-5E00-000006000000}">
          <x14:formula1>
            <xm:f>'DATOS INICIALES'!$A$57:$A$59</xm:f>
          </x14:formula1>
          <xm:sqref>D71 D56:J66</xm:sqref>
        </x14:dataValidation>
        <x14:dataValidation type="list" allowBlank="1" showInputMessage="1" showErrorMessage="1" xr:uid="{00000000-0002-0000-5E00-000007000000}">
          <x14:formula1>
            <xm:f>'DATOS INICIALES'!$A$61:$A$66</xm:f>
          </x14:formula1>
          <xm:sqref>D25:I25</xm:sqref>
        </x14:dataValidation>
        <x14:dataValidation type="list" allowBlank="1" showInputMessage="1" showErrorMessage="1" xr:uid="{00000000-0002-0000-5E00-000008000000}">
          <x14:formula1>
            <xm:f>'DATOS INICIALES'!$A$13:$A$50</xm:f>
          </x14:formula1>
          <xm:sqref>G33:I33</xm:sqref>
        </x14:dataValidation>
        <x14:dataValidation type="list" allowBlank="1" showInputMessage="1" showErrorMessage="1" xr:uid="{00000000-0002-0000-5E00-000009000000}">
          <x14:formula1>
            <xm:f>'DATOS INICIALES'!$C$52:$C$54</xm:f>
          </x14:formula1>
          <xm:sqref>D50:J52</xm:sqref>
        </x14:dataValidation>
      </x14:dataValidations>
    </ext>
  </extLst>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F00-000000000000}">
  <sheetPr>
    <tabColor rgb="FF92D050"/>
  </sheetPr>
  <dimension ref="A1:N72"/>
  <sheetViews>
    <sheetView view="pageBreakPreview" topLeftCell="A18" zoomScale="40" zoomScaleNormal="25" zoomScaleSheetLayoutView="40" workbookViewId="0">
      <selection activeCell="D39" sqref="D39"/>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90</v>
      </c>
      <c r="B11" s="2" t="s">
        <v>58</v>
      </c>
      <c r="C11" s="413" t="str">
        <f>VLOOKUP(A11,PROPONENTES!A10:B111,2,FALSE)</f>
        <v>CONSORCIO MT USAQUEN 2025</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1</v>
      </c>
      <c r="J14" s="147">
        <f>+L8</f>
        <v>986.3076290832455</v>
      </c>
      <c r="K14" s="147">
        <f>+E22</f>
        <v>2093.5500000000002</v>
      </c>
      <c r="L14" s="18" t="str">
        <f>IF(K14&gt;=J14,"CUMPLE","NO CUMPLE")</f>
        <v>CUMPLE</v>
      </c>
    </row>
    <row r="15" spans="1:12" ht="33.75" customHeight="1" x14ac:dyDescent="0.2">
      <c r="B15" s="382"/>
      <c r="C15" s="92" t="str">
        <f>IF(VLOOKUP(C11,PROPONENTES!B10:N111,2,FALSE)=0,"",VLOOKUP(C11,PROPONENTES!B10:N111,2,FALSE))</f>
        <v>A2M PROYECTOS DE INGENIERIA</v>
      </c>
      <c r="D15" s="93">
        <f>IF(VLOOKUP(C11,PROPONENTES!B10:N111,3,FALSE)=0,"",VLOOKUP(C11,PROPONENTES!B10:N111,3,FALSE))</f>
        <v>0.9</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2093.5500000000002</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IF(VLOOKUP(C11,PROPONENTES!B10:N111,4,FALSE)=0,"",VLOOKUP(C11,PROPONENTES!B10:N111,4,FALSE))</f>
        <v>MT PROJECTS S.A.S</v>
      </c>
      <c r="D16" s="93">
        <f>IF(VLOOKUP(C11,PROPONENTES!B10:N111,5,FALSE)=0,"",VLOOKUP(C11,PROPONENTES!B10:N111,5,FALSE))</f>
        <v>0.1</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0</v>
      </c>
      <c r="F16" s="95" t="str">
        <f>IF(C16="","",IF(E16&gt;=$J$14*0.5,"SI","NO"))</f>
        <v>NO</v>
      </c>
      <c r="G16" s="96" t="str">
        <f>IF(C16="","",IF(E16&gt;=$J$14*0.05,"SI",IF(E16=0,"NO APORTA EXPERIENCIA",)))</f>
        <v>NO APORTA EXPERIENCIA</v>
      </c>
      <c r="H16" s="96" t="str">
        <f>IF(C16="","",IF(AND(G16="NO APORTA EXPERIENCIA",D16&lt;=10%),"SI",IF(G16="SI","NO APLICA","NO - PORCENTAJE MAYOR AL 10%")))</f>
        <v>SI</v>
      </c>
      <c r="I16" s="162"/>
      <c r="J16" s="162"/>
      <c r="K16" s="162"/>
      <c r="L16" s="161">
        <f>AVERAGEIF(D67:J67,"CUMPLE",D48:J48)</f>
        <v>2093.5500000000002</v>
      </c>
    </row>
    <row r="17" spans="2:14" ht="33.75" customHeight="1" x14ac:dyDescent="0.2">
      <c r="B17" s="382"/>
      <c r="C17" s="92" t="str">
        <f>IF(VLOOKUP(C11,PROPONENTES!B10:N111,6,FALSE)=0,"",VLOOKUP(C11,PROPONENTES!B10:N111,6,FALSE))</f>
        <v/>
      </c>
      <c r="D17" s="93" t="str">
        <f>IF(VLOOKUP(C11,PROPONENTES!B10:N111,7,FALSE)=0,"",VLOOKUP(C11,PROPONENTES!B10:N111,7,FALSE))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IF(VLOOKUP(C11,PROPONENTES!B10:N111,8,FALSE)=0,"",VLOOKUP(C11,PROPONENTES!B10:N111,8,FALSE))</f>
        <v/>
      </c>
      <c r="D18" s="93" t="str">
        <f>IF(VLOOKUP(C11,PROPONENTES!B10:N111,9,FALSE)=0,"",VLOOKUP(C11,PROPONENTES!B10:N111,9,FALSE))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1</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1</v>
      </c>
      <c r="J19" s="128">
        <v>1</v>
      </c>
      <c r="K19" s="387"/>
      <c r="L19" s="388"/>
    </row>
    <row r="20" spans="2:14" ht="50.25" customHeight="1" x14ac:dyDescent="0.2">
      <c r="B20" s="382"/>
      <c r="C20" s="92"/>
      <c r="D20" s="93"/>
      <c r="E20" s="94"/>
      <c r="F20" s="95"/>
      <c r="G20" s="96"/>
      <c r="H20" s="96"/>
      <c r="I20" s="128">
        <f>COUNTIFS(D60:J60,"CUMPLE",D67:J67,"CUMPLE")</f>
        <v>1</v>
      </c>
      <c r="J20" s="128">
        <v>1</v>
      </c>
      <c r="K20" s="387"/>
      <c r="L20" s="388"/>
    </row>
    <row r="21" spans="2:14" ht="33.75" customHeight="1" x14ac:dyDescent="0.2">
      <c r="B21" s="382"/>
      <c r="C21" s="92" t="str">
        <f>IF(VLOOKUP(C11,PROPONENTES!B10:N111,10,FALSE)=0,"",VLOOKUP(C11,PROPONENTES!B10:N111,10,FALSE))</f>
        <v/>
      </c>
      <c r="D21" s="93" t="str">
        <f>IF(VLOOKUP(C11,PROPONENTES!B10:N111,11,FALSE)=0,"",VLOOKUP(C11,PROPONENTES!B10:N111,11,FALSE))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1</v>
      </c>
      <c r="J21" s="128">
        <v>1</v>
      </c>
      <c r="K21" s="389"/>
      <c r="L21" s="390"/>
    </row>
    <row r="22" spans="2:14" ht="84.75" customHeight="1" x14ac:dyDescent="0.2">
      <c r="B22" s="29" t="s">
        <v>75</v>
      </c>
      <c r="C22" s="24">
        <f>+VLOOKUP(C11,PROPONENTES!B10:N111,12,FALSE)</f>
        <v>2</v>
      </c>
      <c r="D22" s="93">
        <f>+VLOOKUP(C11,PROPONENTES!B10:N111,13,FALSE)</f>
        <v>1</v>
      </c>
      <c r="E22" s="32">
        <f>SUM(E15:E21)</f>
        <v>2093.5500000000002</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1278</v>
      </c>
      <c r="E26" s="84"/>
      <c r="F26" s="84"/>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1366</v>
      </c>
      <c r="E29" s="85"/>
      <c r="F29" s="85"/>
      <c r="G29" s="85"/>
      <c r="H29" s="85"/>
      <c r="I29" s="85"/>
      <c r="J29" s="85"/>
      <c r="K29" s="145"/>
      <c r="L29" s="140"/>
    </row>
    <row r="30" spans="2:14" ht="156.75" customHeight="1" x14ac:dyDescent="0.2">
      <c r="B30" s="374"/>
      <c r="C30" s="25" t="s">
        <v>84</v>
      </c>
      <c r="D30" s="85" t="s">
        <v>1367</v>
      </c>
      <c r="E30" s="85"/>
      <c r="F30" s="85"/>
      <c r="G30" s="85"/>
      <c r="H30" s="85"/>
      <c r="I30" s="85"/>
      <c r="J30" s="85"/>
      <c r="K30" s="145"/>
      <c r="L30" s="140"/>
    </row>
    <row r="31" spans="2:14" ht="52.5" customHeight="1" x14ac:dyDescent="0.2">
      <c r="B31" s="374"/>
      <c r="C31" s="25" t="s">
        <v>85</v>
      </c>
      <c r="D31" s="89">
        <v>40518</v>
      </c>
      <c r="E31" s="89"/>
      <c r="F31" s="89"/>
      <c r="G31" s="89"/>
      <c r="H31" s="89"/>
      <c r="I31" s="89"/>
      <c r="J31" s="89"/>
      <c r="K31" s="145"/>
      <c r="L31" s="140"/>
    </row>
    <row r="32" spans="2:14" ht="54.75" customHeight="1" x14ac:dyDescent="0.2">
      <c r="B32" s="374"/>
      <c r="C32" s="25" t="s">
        <v>86</v>
      </c>
      <c r="D32" s="89">
        <v>41764</v>
      </c>
      <c r="E32" s="89"/>
      <c r="F32" s="89"/>
      <c r="G32" s="89"/>
      <c r="H32" s="89"/>
      <c r="I32" s="89"/>
      <c r="J32" s="89"/>
      <c r="K32" s="145"/>
      <c r="L32" s="140"/>
    </row>
    <row r="33" spans="2:12" ht="41.25" customHeight="1" x14ac:dyDescent="0.2">
      <c r="B33" s="374"/>
      <c r="C33" s="25" t="s">
        <v>87</v>
      </c>
      <c r="D33" s="86">
        <v>2014</v>
      </c>
      <c r="E33" s="86"/>
      <c r="F33" s="86"/>
      <c r="G33" s="86"/>
      <c r="H33" s="86"/>
      <c r="I33" s="86"/>
      <c r="J33" s="86"/>
      <c r="K33" s="145"/>
      <c r="L33" s="140"/>
    </row>
    <row r="34" spans="2:12" ht="63" customHeight="1" x14ac:dyDescent="0.2">
      <c r="B34" s="374"/>
      <c r="C34" s="25" t="s">
        <v>88</v>
      </c>
      <c r="D34" s="85" t="s">
        <v>1368</v>
      </c>
      <c r="E34" s="85"/>
      <c r="F34" s="85"/>
      <c r="G34" s="85"/>
      <c r="H34" s="85"/>
      <c r="I34" s="85"/>
      <c r="J34" s="85"/>
      <c r="K34" s="145"/>
      <c r="L34" s="140"/>
    </row>
    <row r="35" spans="2:12" ht="46.5" customHeight="1" x14ac:dyDescent="0.2">
      <c r="B35" s="374"/>
      <c r="C35" s="25" t="s">
        <v>89</v>
      </c>
      <c r="D35" s="85" t="s">
        <v>1369</v>
      </c>
      <c r="E35" s="85"/>
      <c r="F35" s="85"/>
      <c r="G35" s="85"/>
      <c r="H35" s="85"/>
      <c r="I35" s="85"/>
      <c r="J35" s="85"/>
      <c r="K35" s="145"/>
      <c r="L35" s="140"/>
    </row>
    <row r="36" spans="2:12" ht="27.75" customHeight="1" x14ac:dyDescent="0.2">
      <c r="B36" s="374"/>
      <c r="C36" s="26" t="s">
        <v>90</v>
      </c>
      <c r="D36" s="90">
        <v>10</v>
      </c>
      <c r="E36" s="90"/>
      <c r="F36" s="90"/>
      <c r="G36" s="91"/>
      <c r="H36" s="91"/>
      <c r="I36" s="91"/>
      <c r="J36" s="91"/>
      <c r="K36" s="145"/>
      <c r="L36" s="140"/>
    </row>
    <row r="37" spans="2:12" ht="102.75" customHeight="1" x14ac:dyDescent="0.2">
      <c r="B37" s="374"/>
      <c r="C37" s="25" t="s">
        <v>91</v>
      </c>
      <c r="D37" s="87">
        <v>4187.1000000000004</v>
      </c>
      <c r="E37" s="158"/>
      <c r="F37" s="87"/>
      <c r="G37" s="87"/>
      <c r="H37" s="87"/>
      <c r="I37" s="87"/>
      <c r="J37" s="87"/>
      <c r="K37" s="242"/>
      <c r="L37" s="243"/>
    </row>
    <row r="38" spans="2:12" ht="48" customHeight="1" x14ac:dyDescent="0.2">
      <c r="B38" s="374"/>
      <c r="C38" s="25" t="s">
        <v>92</v>
      </c>
      <c r="D38" s="97">
        <f>IFERROR(D37*VLOOKUP(D33,'DATOS INICIALES'!$A$12:$B$50,2,0),"0")</f>
        <v>2579253600</v>
      </c>
      <c r="E38" s="97" t="str">
        <f>IFERROR(E37*VLOOKUP(E33,'DATOS INICIALES'!$A$12:$B$50,2,0),"0")</f>
        <v>0</v>
      </c>
      <c r="F38" s="97" t="str">
        <f>IFERROR(F37*VLOOKUP(F33,'DATOS INICIALES'!$A$12:$B$50,2,0),"0")</f>
        <v>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0.5</v>
      </c>
      <c r="E39" s="88"/>
      <c r="F39" s="88"/>
      <c r="G39" s="88"/>
      <c r="H39" s="88"/>
      <c r="I39" s="88"/>
      <c r="J39" s="88"/>
      <c r="K39" s="145"/>
      <c r="L39" s="140"/>
    </row>
    <row r="40" spans="2:12" ht="48.75" customHeight="1" x14ac:dyDescent="0.2">
      <c r="B40" s="374"/>
      <c r="C40" s="25" t="s">
        <v>94</v>
      </c>
      <c r="D40" s="97">
        <f t="shared" ref="D40:J40" si="0">IF(D26="","0",D39*D38)</f>
        <v>1289626800</v>
      </c>
      <c r="E40" s="97" t="str">
        <f t="shared" si="0"/>
        <v>0</v>
      </c>
      <c r="F40" s="97" t="str">
        <f t="shared" si="0"/>
        <v>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2093.5500000000002</v>
      </c>
      <c r="E41" s="98">
        <f t="shared" si="1"/>
        <v>0</v>
      </c>
      <c r="F41" s="98">
        <f t="shared" si="1"/>
        <v>0</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2093.5500000000002</v>
      </c>
      <c r="E48" s="98">
        <f t="shared" ref="E48:G48" si="6">+E41+E44+E47</f>
        <v>0</v>
      </c>
      <c r="F48" s="98">
        <f t="shared" si="6"/>
        <v>0</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N/A</v>
      </c>
      <c r="F55" s="18" t="str">
        <f t="shared" si="8"/>
        <v>N/A</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N/A</v>
      </c>
      <c r="F67" s="18" t="str">
        <f>IF(F26="","N/A",IF(AND(F49="CUMPLE",F55="CUMPLE",OR(F56="CUMPLE",F56="N/A"),OR(F59="CUMPLE",F59="N/A"),F62="CUMPLE",F63="CUMPLE",OR(F64="CUMPLE",F64="N/A"),F65="CUMPLE",OR(F66="CUMPLE",F66="N/A")),"CUMPLE","NO CUMPLE"))</f>
        <v>N/A</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0:C70"/>
    <mergeCell ref="B71:C71"/>
    <mergeCell ref="B72:C72"/>
    <mergeCell ref="B65:C65"/>
    <mergeCell ref="B66:C66"/>
    <mergeCell ref="B67:C67"/>
    <mergeCell ref="B69:E69"/>
    <mergeCell ref="B62:C62"/>
    <mergeCell ref="B63:C63"/>
    <mergeCell ref="B64:C64"/>
    <mergeCell ref="B59:C59"/>
    <mergeCell ref="B60:C60"/>
    <mergeCell ref="B61:C61"/>
    <mergeCell ref="B56:C56"/>
    <mergeCell ref="B57:C57"/>
    <mergeCell ref="B58:C58"/>
    <mergeCell ref="B50:B55"/>
    <mergeCell ref="B28:C28"/>
    <mergeCell ref="B29:B47"/>
    <mergeCell ref="I22:L22"/>
    <mergeCell ref="B12:L12"/>
    <mergeCell ref="B13:H13"/>
    <mergeCell ref="B14:B21"/>
    <mergeCell ref="K17:L17"/>
    <mergeCell ref="K18:L21"/>
    <mergeCell ref="B24:L24"/>
    <mergeCell ref="K25:L25"/>
    <mergeCell ref="B26:C26"/>
    <mergeCell ref="B27:C27"/>
    <mergeCell ref="B23:L23"/>
    <mergeCell ref="C8:I8"/>
    <mergeCell ref="C9:I9"/>
    <mergeCell ref="C10:I10"/>
    <mergeCell ref="C11:G11"/>
    <mergeCell ref="B2:L2"/>
    <mergeCell ref="B3:L3"/>
    <mergeCell ref="B4:L4"/>
    <mergeCell ref="B5:L5"/>
    <mergeCell ref="B7:I7"/>
    <mergeCell ref="J7:L7"/>
    <mergeCell ref="I11:L11"/>
  </mergeCells>
  <conditionalFormatting sqref="D71">
    <cfRule type="cellIs" dxfId="282" priority="97" operator="equal">
      <formula>"CUMPLE"</formula>
    </cfRule>
    <cfRule type="containsBlanks" dxfId="281" priority="94">
      <formula>LEN(TRIM(D71))=0</formula>
    </cfRule>
    <cfRule type="notContainsErrors" dxfId="280" priority="95">
      <formula>NOT(ISERROR(D71))</formula>
    </cfRule>
    <cfRule type="cellIs" dxfId="279" priority="96" operator="equal">
      <formula>"NO CUMPLE"</formula>
    </cfRule>
  </conditionalFormatting>
  <conditionalFormatting sqref="D72">
    <cfRule type="cellIs" dxfId="278" priority="99" operator="equal">
      <formula>"CUMPLE"</formula>
    </cfRule>
    <cfRule type="cellIs" dxfId="277" priority="98" operator="equal">
      <formula>"N/A"</formula>
    </cfRule>
    <cfRule type="cellIs" dxfId="276" priority="101" operator="equal">
      <formula>"""CUMPLE"""</formula>
    </cfRule>
    <cfRule type="cellIs" dxfId="275" priority="100" operator="equal">
      <formula>"NO CUMPLE"</formula>
    </cfRule>
  </conditionalFormatting>
  <conditionalFormatting sqref="D26:J37">
    <cfRule type="notContainsErrors" dxfId="274" priority="4">
      <formula>NOT(ISERROR(D26))</formula>
    </cfRule>
    <cfRule type="containsBlanks" dxfId="273" priority="3">
      <formula>LEN(TRIM(D26))=0</formula>
    </cfRule>
  </conditionalFormatting>
  <conditionalFormatting sqref="D36:J36">
    <cfRule type="notContainsErrors" dxfId="272" priority="6">
      <formula>NOT(ISERROR(D36))</formula>
    </cfRule>
    <cfRule type="containsBlanks" dxfId="271" priority="5">
      <formula>LEN(TRIM(D36))=0</formula>
    </cfRule>
  </conditionalFormatting>
  <conditionalFormatting sqref="D39:J39">
    <cfRule type="containsBlanks" dxfId="270" priority="1">
      <formula>LEN(TRIM(D39))=0</formula>
    </cfRule>
    <cfRule type="notContainsErrors" dxfId="269" priority="2">
      <formula>NOT(ISERROR(D39))</formula>
    </cfRule>
  </conditionalFormatting>
  <conditionalFormatting sqref="D42:J42 D45:J45">
    <cfRule type="notContainsErrors" dxfId="268" priority="62">
      <formula>NOT(ISERROR(D42))</formula>
    </cfRule>
    <cfRule type="containsBlanks" dxfId="267" priority="61">
      <formula>LEN(TRIM(D42))=0</formula>
    </cfRule>
  </conditionalFormatting>
  <conditionalFormatting sqref="D49:J54">
    <cfRule type="cellIs" dxfId="266" priority="17" operator="equal">
      <formula>"NO CUMPLE"</formula>
    </cfRule>
    <cfRule type="cellIs" dxfId="265" priority="18" operator="equal">
      <formula>"CUMPLE"</formula>
    </cfRule>
    <cfRule type="containsBlanks" dxfId="264" priority="19">
      <formula>LEN(TRIM(D49))=0</formula>
    </cfRule>
    <cfRule type="notContainsErrors" dxfId="263" priority="20">
      <formula>NOT(ISERROR(D49))</formula>
    </cfRule>
  </conditionalFormatting>
  <conditionalFormatting sqref="D55:J55">
    <cfRule type="cellIs" dxfId="262" priority="28" operator="equal">
      <formula>"CUMPLE"</formula>
    </cfRule>
    <cfRule type="cellIs" dxfId="261" priority="30" operator="equal">
      <formula>"""CUMPLE"""</formula>
    </cfRule>
    <cfRule type="cellIs" dxfId="260" priority="29" operator="equal">
      <formula>"NO CUMPLE"</formula>
    </cfRule>
    <cfRule type="cellIs" dxfId="259" priority="27" operator="equal">
      <formula>"N/A"</formula>
    </cfRule>
  </conditionalFormatting>
  <conditionalFormatting sqref="D56:J66">
    <cfRule type="cellIs" dxfId="258" priority="11" operator="equal">
      <formula>"NO CUMPLE"</formula>
    </cfRule>
    <cfRule type="notContainsErrors" dxfId="257" priority="14">
      <formula>NOT(ISERROR(D56))</formula>
    </cfRule>
    <cfRule type="containsBlanks" dxfId="256" priority="13">
      <formula>LEN(TRIM(D56))=0</formula>
    </cfRule>
    <cfRule type="cellIs" dxfId="255" priority="12" operator="equal">
      <formula>"CUMPLE"</formula>
    </cfRule>
  </conditionalFormatting>
  <conditionalFormatting sqref="D67:J67">
    <cfRule type="cellIs" dxfId="254" priority="23" operator="equal">
      <formula>"N/A"</formula>
    </cfRule>
    <cfRule type="cellIs" dxfId="253" priority="24" operator="equal">
      <formula>"CUMPLE"</formula>
    </cfRule>
    <cfRule type="cellIs" dxfId="252" priority="26" operator="equal">
      <formula>"""CUMPLE"""</formula>
    </cfRule>
    <cfRule type="cellIs" dxfId="251" priority="25" operator="equal">
      <formula>"NO CUMPLE"</formula>
    </cfRule>
  </conditionalFormatting>
  <conditionalFormatting sqref="D62:K66">
    <cfRule type="containsBlanks" dxfId="250" priority="15">
      <formula>LEN(TRIM(D62))=0</formula>
    </cfRule>
    <cfRule type="notContainsErrors" dxfId="249" priority="16">
      <formula>NOT(ISERROR(D62))</formula>
    </cfRule>
  </conditionalFormatting>
  <conditionalFormatting sqref="E71:E72">
    <cfRule type="notContainsErrors" dxfId="248" priority="93">
      <formula>NOT(ISERROR(E71))</formula>
    </cfRule>
    <cfRule type="containsBlanks" dxfId="247" priority="92">
      <formula>LEN(TRIM(E71))=0</formula>
    </cfRule>
  </conditionalFormatting>
  <conditionalFormatting sqref="F22:H22">
    <cfRule type="cellIs" dxfId="246" priority="116" operator="equal">
      <formula>"NO CUMPLE"</formula>
    </cfRule>
    <cfRule type="cellIs" dxfId="245" priority="117" operator="equal">
      <formula>"""CUMPLE"""</formula>
    </cfRule>
    <cfRule type="cellIs" dxfId="244" priority="115" operator="equal">
      <formula>"CUMPLE"</formula>
    </cfRule>
  </conditionalFormatting>
  <conditionalFormatting sqref="G63:J63">
    <cfRule type="containsBlanks" dxfId="243" priority="7">
      <formula>LEN(TRIM(G63))=0</formula>
    </cfRule>
    <cfRule type="notContainsErrors" dxfId="242" priority="8">
      <formula>NOT(ISERROR(G63))</formula>
    </cfRule>
  </conditionalFormatting>
  <conditionalFormatting sqref="I11">
    <cfRule type="containsText" dxfId="241" priority="121" operator="containsText" text="NO CUMPLE">
      <formula>NOT(ISERROR(SEARCH("NO CUMPLE",I11)))</formula>
    </cfRule>
    <cfRule type="containsText" dxfId="240" priority="120" operator="containsText" text="HABILITADO">
      <formula>NOT(ISERROR(SEARCH("HABILITADO",I11)))</formula>
    </cfRule>
    <cfRule type="containsText" dxfId="239" priority="119" operator="containsText" text="HABILITADO">
      <formula>NOT(ISERROR(SEARCH("HABILITADO",I11)))</formula>
    </cfRule>
    <cfRule type="containsText" dxfId="238" priority="118" operator="containsText" text="INHABILITADO">
      <formula>NOT(ISERROR(SEARCH("INHABILITADO",I11)))</formula>
    </cfRule>
  </conditionalFormatting>
  <conditionalFormatting sqref="K18:K20">
    <cfRule type="cellIs" dxfId="237" priority="90" operator="equal">
      <formula>"NO CUMPLE"</formula>
    </cfRule>
    <cfRule type="cellIs" dxfId="236" priority="91" operator="equal">
      <formula>"""CUMPLE"""</formula>
    </cfRule>
    <cfRule type="cellIs" dxfId="235" priority="89" operator="equal">
      <formula>"CUMPLE"</formula>
    </cfRule>
  </conditionalFormatting>
  <conditionalFormatting sqref="K26:K61 D62:J62">
    <cfRule type="containsBlanks" dxfId="234" priority="9">
      <formula>LEN(TRIM(D26))=0</formula>
    </cfRule>
    <cfRule type="notContainsErrors" dxfId="233" priority="10">
      <formula>NOT(ISERROR(D26))</formula>
    </cfRule>
  </conditionalFormatting>
  <conditionalFormatting sqref="K67:L67">
    <cfRule type="containsBlanks" dxfId="232" priority="21">
      <formula>LEN(TRIM(K67))=0</formula>
    </cfRule>
    <cfRule type="notContainsErrors" dxfId="231" priority="22">
      <formula>NOT(ISERROR(K67))</formula>
    </cfRule>
  </conditionalFormatting>
  <conditionalFormatting sqref="L14">
    <cfRule type="cellIs" dxfId="230" priority="114" operator="equal">
      <formula>"""CUMPLE"""</formula>
    </cfRule>
    <cfRule type="cellIs" dxfId="229" priority="113" operator="equal">
      <formula>"NO CUMPLE"</formula>
    </cfRule>
    <cfRule type="cellIs" dxfId="228" priority="112" operator="equal">
      <formula>"CUMPLE"</formula>
    </cfRule>
  </conditionalFormatting>
  <dataValidations count="2">
    <dataValidation type="list" allowBlank="1" showInputMessage="1" showErrorMessage="1" sqref="D26:J28" xr:uid="{00000000-0002-0000-5F00-000000000000}">
      <formula1>$C$15:$C$21</formula1>
    </dataValidation>
    <dataValidation type="list" allowBlank="1" showInputMessage="1" showErrorMessage="1" sqref="L62:L67" xr:uid="{00000000-0002-0000-5F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5F00-000002000000}">
          <x14:formula1>
            <xm:f>'DATOS INICIALES'!$D$27:$D$29</xm:f>
          </x14:formula1>
          <xm:sqref>M50:M55</xm:sqref>
        </x14:dataValidation>
        <x14:dataValidation type="list" allowBlank="1" showInputMessage="1" showErrorMessage="1" xr:uid="{00000000-0002-0000-5F00-000003000000}">
          <x14:formula1>
            <xm:f>'DATOS INICIALES'!$A$13:$A$50</xm:f>
          </x14:formula1>
          <xm:sqref>G33:I33</xm:sqref>
        </x14:dataValidation>
        <x14:dataValidation type="list" allowBlank="1" showInputMessage="1" showErrorMessage="1" xr:uid="{00000000-0002-0000-5F00-000004000000}">
          <x14:formula1>
            <xm:f>'DATOS INICIALES'!$A$61:$A$66</xm:f>
          </x14:formula1>
          <xm:sqref>D25:I25</xm:sqref>
        </x14:dataValidation>
        <x14:dataValidation type="list" allowBlank="1" showInputMessage="1" showErrorMessage="1" xr:uid="{00000000-0002-0000-5F00-000005000000}">
          <x14:formula1>
            <xm:f>'DATOS INICIALES'!$A$57:$A$59</xm:f>
          </x14:formula1>
          <xm:sqref>D71 D56:J66</xm:sqref>
        </x14:dataValidation>
        <x14:dataValidation type="list" allowBlank="1" showInputMessage="1" showErrorMessage="1" xr:uid="{00000000-0002-0000-5F00-000006000000}">
          <x14:formula1>
            <xm:f>'DATOS INICIALES'!$C$52:$C$53</xm:f>
          </x14:formula1>
          <xm:sqref>D53:J54</xm:sqref>
        </x14:dataValidation>
        <x14:dataValidation type="list" allowBlank="1" showInputMessage="1" showErrorMessage="1" xr:uid="{00000000-0002-0000-5F00-000007000000}">
          <x14:formula1>
            <xm:f>'DATOS INICIALES'!$A$61:$A$67</xm:f>
          </x14:formula1>
          <xm:sqref>J25</xm:sqref>
        </x14:dataValidation>
        <x14:dataValidation type="list" allowBlank="1" showInputMessage="1" showErrorMessage="1" xr:uid="{00000000-0002-0000-5F00-000008000000}">
          <x14:formula1>
            <xm:f>'DATOS INICIALES'!$A$57:$A$58</xm:f>
          </x14:formula1>
          <xm:sqref>D49:J49</xm:sqref>
        </x14:dataValidation>
        <x14:dataValidation type="list" allowBlank="1" showInputMessage="1" showErrorMessage="1" xr:uid="{00000000-0002-0000-5F00-000009000000}">
          <x14:formula1>
            <xm:f>'DATOS INICIALES'!$C$52:$C$54</xm:f>
          </x14:formula1>
          <xm:sqref>D50:J52</xm:sqref>
        </x14:dataValidation>
      </x14:dataValidations>
    </ext>
  </extLst>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000-000000000000}">
  <sheetPr>
    <tabColor rgb="FF92D050"/>
  </sheetPr>
  <dimension ref="A1:N72"/>
  <sheetViews>
    <sheetView view="pageBreakPreview" zoomScale="40" zoomScaleNormal="25" zoomScaleSheetLayoutView="40" workbookViewId="0">
      <selection activeCell="E14" sqref="E14"/>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91</v>
      </c>
      <c r="B11" s="2" t="s">
        <v>58</v>
      </c>
      <c r="C11" s="413" t="str">
        <f>VLOOKUP(A11,PROPONENTES!A10:B111,2,FALSE)</f>
        <v>CONSORCIO MALLA VIAL USAQUEN</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2</v>
      </c>
      <c r="J14" s="147">
        <f>+L8</f>
        <v>986.3076290832455</v>
      </c>
      <c r="K14" s="147">
        <f>+E22</f>
        <v>2417.7170000000001</v>
      </c>
      <c r="L14" s="18" t="str">
        <f>IF(K14&gt;=J14,"CUMPLE","NO CUMPLE")</f>
        <v>CUMPLE</v>
      </c>
    </row>
    <row r="15" spans="1:12" ht="33.75" customHeight="1" x14ac:dyDescent="0.2">
      <c r="B15" s="382"/>
      <c r="C15" s="92" t="str">
        <f>IF(VLOOKUP(C11,PROPONENTES!B10:N111,2,FALSE)=0,"",VLOOKUP(C11,PROPONENTES!B10:N111,2,FALSE))</f>
        <v>MAVECA INGENIERÍA S.A.S</v>
      </c>
      <c r="D15" s="93">
        <f>IF(VLOOKUP(C11,PROPONENTES!B10:N111,3,FALSE)=0,"",VLOOKUP(C11,PROPONENTES!B10:N111,3,FALSE))</f>
        <v>0.9</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2417.7170000000001</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IF(VLOOKUP(C11,PROPONENTES!B10:N111,4,FALSE)=0,"",VLOOKUP(C11,PROPONENTES!B10:N111,4,FALSE))</f>
        <v xml:space="preserve">LINO ANDRÉZ MENDOZA V. </v>
      </c>
      <c r="D16" s="93">
        <f>IF(VLOOKUP(C11,PROPONENTES!B10:N111,5,FALSE)=0,"",VLOOKUP(C11,PROPONENTES!B10:N111,5,FALSE))</f>
        <v>0.1</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0</v>
      </c>
      <c r="F16" s="95" t="str">
        <f>IF(C16="","",IF(E16&gt;=$J$14*0.5,"SI","NO"))</f>
        <v>NO</v>
      </c>
      <c r="G16" s="96" t="str">
        <f>IF(C16="","",IF(E16&gt;=$J$14*0.05,"SI",IF(E16=0,"NO APORTA EXPERIENCIA",)))</f>
        <v>NO APORTA EXPERIENCIA</v>
      </c>
      <c r="H16" s="96" t="str">
        <f>IF(C16="","",IF(AND(G16="NO APORTA EXPERIENCIA",D16&lt;=10%),"SI",IF(G16="SI","NO APLICA","NO - PORCENTAJE MAYOR AL 10%")))</f>
        <v>SI</v>
      </c>
      <c r="I16" s="162"/>
      <c r="J16" s="162"/>
      <c r="K16" s="162"/>
      <c r="L16" s="161">
        <f>AVERAGEIF(D67:J67,"CUMPLE",D48:J48)</f>
        <v>1208.8585</v>
      </c>
    </row>
    <row r="17" spans="2:14" ht="33.75" customHeight="1" x14ac:dyDescent="0.2">
      <c r="B17" s="382"/>
      <c r="C17" s="92" t="str">
        <f>IF(VLOOKUP(C11,PROPONENTES!B10:N111,6,FALSE)=0,"",VLOOKUP(C11,PROPONENTES!B10:N111,6,FALSE))</f>
        <v/>
      </c>
      <c r="D17" s="93" t="str">
        <f>IF(VLOOKUP(C11,PROPONENTES!B10:N111,7,FALSE)=0,"",VLOOKUP(C11,PROPONENTES!B10:N111,7,FALSE))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IF(VLOOKUP(C11,PROPONENTES!B10:N111,8,FALSE)=0,"",VLOOKUP(C11,PROPONENTES!B10:N111,8,FALSE))</f>
        <v/>
      </c>
      <c r="D18" s="93" t="str">
        <f>IF(VLOOKUP(C11,PROPONENTES!B10:N111,9,FALSE)=0,"",VLOOKUP(C11,PROPONENTES!B10:N111,9,FALSE))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2</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2</v>
      </c>
      <c r="J19" s="128">
        <v>1</v>
      </c>
      <c r="K19" s="387"/>
      <c r="L19" s="388"/>
    </row>
    <row r="20" spans="2:14" ht="50.25" customHeight="1" x14ac:dyDescent="0.2">
      <c r="B20" s="382"/>
      <c r="C20" s="92"/>
      <c r="D20" s="93"/>
      <c r="E20" s="94"/>
      <c r="F20" s="95"/>
      <c r="G20" s="96"/>
      <c r="H20" s="96"/>
      <c r="I20" s="128">
        <f>COUNTIFS(D60:J60,"CUMPLE",D67:J67,"CUMPLE")</f>
        <v>2</v>
      </c>
      <c r="J20" s="128">
        <v>1</v>
      </c>
      <c r="K20" s="387"/>
      <c r="L20" s="388"/>
    </row>
    <row r="21" spans="2:14" ht="33.75" customHeight="1" x14ac:dyDescent="0.2">
      <c r="B21" s="382"/>
      <c r="C21" s="92" t="str">
        <f>IF(VLOOKUP(C11,PROPONENTES!B10:N111,10,FALSE)=0,"",VLOOKUP(C11,PROPONENTES!B10:N111,10,FALSE))</f>
        <v/>
      </c>
      <c r="D21" s="93" t="str">
        <f>IF(VLOOKUP(C11,PROPONENTES!B10:N111,11,FALSE)=0,"",VLOOKUP(C11,PROPONENTES!B10:N111,11,FALSE))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2</v>
      </c>
      <c r="J21" s="128">
        <v>1</v>
      </c>
      <c r="K21" s="389"/>
      <c r="L21" s="390"/>
    </row>
    <row r="22" spans="2:14" ht="84.75" customHeight="1" x14ac:dyDescent="0.2">
      <c r="B22" s="29" t="s">
        <v>75</v>
      </c>
      <c r="C22" s="24">
        <f>+VLOOKUP(C11,PROPONENTES!B10:N111,12,FALSE)</f>
        <v>2</v>
      </c>
      <c r="D22" s="93">
        <f>+VLOOKUP(C11,PROPONENTES!B10:N111,13,FALSE)</f>
        <v>1</v>
      </c>
      <c r="E22" s="32">
        <f>SUM(E15:E21)</f>
        <v>2417.7170000000001</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1279</v>
      </c>
      <c r="E26" s="84" t="s">
        <v>1279</v>
      </c>
      <c r="F26" s="84"/>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1370</v>
      </c>
      <c r="E29" s="85" t="s">
        <v>1371</v>
      </c>
      <c r="F29" s="85"/>
      <c r="G29" s="85"/>
      <c r="H29" s="85"/>
      <c r="I29" s="85"/>
      <c r="J29" s="85"/>
      <c r="K29" s="145"/>
      <c r="L29" s="140"/>
    </row>
    <row r="30" spans="2:14" ht="156.75" customHeight="1" x14ac:dyDescent="0.2">
      <c r="B30" s="374"/>
      <c r="C30" s="25" t="s">
        <v>84</v>
      </c>
      <c r="D30" s="85" t="s">
        <v>1372</v>
      </c>
      <c r="E30" s="85" t="s">
        <v>1373</v>
      </c>
      <c r="F30" s="85"/>
      <c r="G30" s="85"/>
      <c r="H30" s="85"/>
      <c r="I30" s="85"/>
      <c r="J30" s="85"/>
      <c r="K30" s="145"/>
      <c r="L30" s="140"/>
    </row>
    <row r="31" spans="2:14" ht="52.5" customHeight="1" x14ac:dyDescent="0.2">
      <c r="B31" s="374"/>
      <c r="C31" s="25" t="s">
        <v>85</v>
      </c>
      <c r="D31" s="89">
        <v>42200</v>
      </c>
      <c r="E31" s="89">
        <v>44631</v>
      </c>
      <c r="F31" s="89"/>
      <c r="G31" s="89"/>
      <c r="H31" s="89"/>
      <c r="I31" s="89"/>
      <c r="J31" s="89"/>
      <c r="K31" s="145"/>
      <c r="L31" s="140"/>
    </row>
    <row r="32" spans="2:14" ht="54.75" customHeight="1" x14ac:dyDescent="0.2">
      <c r="B32" s="374"/>
      <c r="C32" s="25" t="s">
        <v>86</v>
      </c>
      <c r="D32" s="89">
        <v>42811</v>
      </c>
      <c r="E32" s="89">
        <v>44977</v>
      </c>
      <c r="F32" s="89"/>
      <c r="G32" s="89"/>
      <c r="H32" s="89"/>
      <c r="I32" s="89"/>
      <c r="J32" s="89"/>
      <c r="K32" s="145"/>
      <c r="L32" s="140"/>
    </row>
    <row r="33" spans="2:12" ht="41.25" customHeight="1" x14ac:dyDescent="0.2">
      <c r="B33" s="374"/>
      <c r="C33" s="25" t="s">
        <v>87</v>
      </c>
      <c r="D33" s="86">
        <v>2017</v>
      </c>
      <c r="E33" s="86">
        <v>2023</v>
      </c>
      <c r="F33" s="86"/>
      <c r="G33" s="86"/>
      <c r="H33" s="86"/>
      <c r="I33" s="86"/>
      <c r="J33" s="86"/>
      <c r="K33" s="145"/>
      <c r="L33" s="140"/>
    </row>
    <row r="34" spans="2:12" ht="63" customHeight="1" x14ac:dyDescent="0.2">
      <c r="B34" s="374"/>
      <c r="C34" s="25" t="s">
        <v>88</v>
      </c>
      <c r="D34" s="85" t="s">
        <v>453</v>
      </c>
      <c r="E34" s="85" t="s">
        <v>1374</v>
      </c>
      <c r="F34" s="85"/>
      <c r="G34" s="85"/>
      <c r="H34" s="85"/>
      <c r="I34" s="85"/>
      <c r="J34" s="85"/>
      <c r="K34" s="145"/>
      <c r="L34" s="140"/>
    </row>
    <row r="35" spans="2:12" ht="46.5" customHeight="1" x14ac:dyDescent="0.2">
      <c r="B35" s="374"/>
      <c r="C35" s="25" t="s">
        <v>89</v>
      </c>
      <c r="D35" s="85" t="s">
        <v>1375</v>
      </c>
      <c r="E35" s="85" t="s">
        <v>1271</v>
      </c>
      <c r="F35" s="85"/>
      <c r="G35" s="85"/>
      <c r="H35" s="85"/>
      <c r="I35" s="85"/>
      <c r="J35" s="85"/>
      <c r="K35" s="145"/>
      <c r="L35" s="140"/>
    </row>
    <row r="36" spans="2:12" ht="27.75" customHeight="1" x14ac:dyDescent="0.2">
      <c r="B36" s="374"/>
      <c r="C36" s="26" t="s">
        <v>90</v>
      </c>
      <c r="D36" s="90">
        <v>39</v>
      </c>
      <c r="E36" s="90">
        <v>67</v>
      </c>
      <c r="F36" s="90"/>
      <c r="G36" s="91"/>
      <c r="H36" s="91"/>
      <c r="I36" s="91"/>
      <c r="J36" s="91"/>
      <c r="K36" s="145"/>
      <c r="L36" s="140"/>
    </row>
    <row r="37" spans="2:12" ht="102.75" customHeight="1" x14ac:dyDescent="0.2">
      <c r="B37" s="374"/>
      <c r="C37" s="25" t="s">
        <v>91</v>
      </c>
      <c r="D37" s="87">
        <v>8666.85</v>
      </c>
      <c r="E37" s="158">
        <v>511.01</v>
      </c>
      <c r="F37" s="87"/>
      <c r="G37" s="87"/>
      <c r="H37" s="87"/>
      <c r="I37" s="87"/>
      <c r="J37" s="87"/>
      <c r="K37" s="242"/>
      <c r="L37" s="243"/>
    </row>
    <row r="38" spans="2:12" ht="48" customHeight="1" x14ac:dyDescent="0.2">
      <c r="B38" s="374"/>
      <c r="C38" s="25" t="s">
        <v>92</v>
      </c>
      <c r="D38" s="97">
        <f>IFERROR(D37*VLOOKUP(D33,'DATOS INICIALES'!$A$12:$B$50,2,0),"0")</f>
        <v>6393682581.4499998</v>
      </c>
      <c r="E38" s="97">
        <f>IFERROR(E37*VLOOKUP(E33,'DATOS INICIALES'!$A$12:$B$50,2,0),"0")</f>
        <v>592771600</v>
      </c>
      <c r="F38" s="97" t="str">
        <f>IFERROR(F37*VLOOKUP(F33,'DATOS INICIALES'!$A$12:$B$50,2,0),"0")</f>
        <v>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0.22</v>
      </c>
      <c r="E39" s="88">
        <v>1</v>
      </c>
      <c r="F39" s="88"/>
      <c r="G39" s="88"/>
      <c r="H39" s="88"/>
      <c r="I39" s="88"/>
      <c r="J39" s="88"/>
      <c r="K39" s="145"/>
      <c r="L39" s="140"/>
    </row>
    <row r="40" spans="2:12" ht="48.75" customHeight="1" x14ac:dyDescent="0.2">
      <c r="B40" s="374"/>
      <c r="C40" s="25" t="s">
        <v>94</v>
      </c>
      <c r="D40" s="97">
        <f t="shared" ref="D40:J40" si="0">IF(D26="","0",D39*D38)</f>
        <v>1406610167.9189999</v>
      </c>
      <c r="E40" s="97">
        <f t="shared" si="0"/>
        <v>592771600</v>
      </c>
      <c r="F40" s="97" t="str">
        <f t="shared" si="0"/>
        <v>0</v>
      </c>
      <c r="G40" s="97" t="str">
        <f t="shared" si="0"/>
        <v>0</v>
      </c>
      <c r="H40" s="97" t="str">
        <f t="shared" si="0"/>
        <v>0</v>
      </c>
      <c r="I40" s="97" t="str">
        <f t="shared" si="0"/>
        <v>0</v>
      </c>
      <c r="J40" s="97" t="str">
        <f t="shared" si="0"/>
        <v>0</v>
      </c>
      <c r="K40" s="145"/>
      <c r="L40" s="140"/>
    </row>
    <row r="41" spans="2:12" ht="65.25" customHeight="1" x14ac:dyDescent="0.2">
      <c r="B41" s="374"/>
      <c r="C41" s="25" t="s">
        <v>95</v>
      </c>
      <c r="D41" s="98">
        <f t="shared" ref="D41:J41" si="1">IFERROR(D37*D39,"0")</f>
        <v>1906.7070000000001</v>
      </c>
      <c r="E41" s="98">
        <f t="shared" si="1"/>
        <v>511.01</v>
      </c>
      <c r="F41" s="98">
        <f t="shared" si="1"/>
        <v>0</v>
      </c>
      <c r="G41" s="98">
        <f t="shared" si="1"/>
        <v>0</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1906.7070000000001</v>
      </c>
      <c r="E48" s="98">
        <f t="shared" ref="E48:G48" si="6">+E41+E44+E47</f>
        <v>511.01</v>
      </c>
      <c r="F48" s="98">
        <f t="shared" si="6"/>
        <v>0</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N/A</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N/A</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0:C70"/>
    <mergeCell ref="B71:C71"/>
    <mergeCell ref="B72:C72"/>
    <mergeCell ref="B65:C65"/>
    <mergeCell ref="B66:C66"/>
    <mergeCell ref="B67:C67"/>
    <mergeCell ref="B69:E69"/>
    <mergeCell ref="B62:C62"/>
    <mergeCell ref="B63:C63"/>
    <mergeCell ref="B64:C64"/>
    <mergeCell ref="B59:C59"/>
    <mergeCell ref="B60:C60"/>
    <mergeCell ref="B61:C61"/>
    <mergeCell ref="B56:C56"/>
    <mergeCell ref="B57:C57"/>
    <mergeCell ref="B58:C58"/>
    <mergeCell ref="B50:B55"/>
    <mergeCell ref="B28:C28"/>
    <mergeCell ref="B29:B47"/>
    <mergeCell ref="I22:L22"/>
    <mergeCell ref="B12:L12"/>
    <mergeCell ref="B13:H13"/>
    <mergeCell ref="B14:B21"/>
    <mergeCell ref="K17:L17"/>
    <mergeCell ref="K18:L21"/>
    <mergeCell ref="B24:L24"/>
    <mergeCell ref="K25:L25"/>
    <mergeCell ref="B26:C26"/>
    <mergeCell ref="B27:C27"/>
    <mergeCell ref="B23:L23"/>
    <mergeCell ref="C8:I8"/>
    <mergeCell ref="C9:I9"/>
    <mergeCell ref="C10:I10"/>
    <mergeCell ref="C11:G11"/>
    <mergeCell ref="B2:L2"/>
    <mergeCell ref="B3:L3"/>
    <mergeCell ref="B4:L4"/>
    <mergeCell ref="B5:L5"/>
    <mergeCell ref="B7:I7"/>
    <mergeCell ref="J7:L7"/>
    <mergeCell ref="I11:L11"/>
  </mergeCells>
  <conditionalFormatting sqref="D71">
    <cfRule type="cellIs" dxfId="227" priority="97" operator="equal">
      <formula>"CUMPLE"</formula>
    </cfRule>
    <cfRule type="containsBlanks" dxfId="226" priority="94">
      <formula>LEN(TRIM(D71))=0</formula>
    </cfRule>
    <cfRule type="notContainsErrors" dxfId="225" priority="95">
      <formula>NOT(ISERROR(D71))</formula>
    </cfRule>
    <cfRule type="cellIs" dxfId="224" priority="96" operator="equal">
      <formula>"NO CUMPLE"</formula>
    </cfRule>
  </conditionalFormatting>
  <conditionalFormatting sqref="D72">
    <cfRule type="cellIs" dxfId="223" priority="99" operator="equal">
      <formula>"CUMPLE"</formula>
    </cfRule>
    <cfRule type="cellIs" dxfId="222" priority="98" operator="equal">
      <formula>"N/A"</formula>
    </cfRule>
    <cfRule type="cellIs" dxfId="221" priority="101" operator="equal">
      <formula>"""CUMPLE"""</formula>
    </cfRule>
    <cfRule type="cellIs" dxfId="220" priority="100" operator="equal">
      <formula>"NO CUMPLE"</formula>
    </cfRule>
  </conditionalFormatting>
  <conditionalFormatting sqref="D26:J37">
    <cfRule type="notContainsErrors" dxfId="219" priority="4">
      <formula>NOT(ISERROR(D26))</formula>
    </cfRule>
    <cfRule type="containsBlanks" dxfId="218" priority="3">
      <formula>LEN(TRIM(D26))=0</formula>
    </cfRule>
  </conditionalFormatting>
  <conditionalFormatting sqref="D36:J36">
    <cfRule type="notContainsErrors" dxfId="217" priority="6">
      <formula>NOT(ISERROR(D36))</formula>
    </cfRule>
    <cfRule type="containsBlanks" dxfId="216" priority="5">
      <formula>LEN(TRIM(D36))=0</formula>
    </cfRule>
  </conditionalFormatting>
  <conditionalFormatting sqref="D39:J39">
    <cfRule type="containsBlanks" dxfId="215" priority="1">
      <formula>LEN(TRIM(D39))=0</formula>
    </cfRule>
    <cfRule type="notContainsErrors" dxfId="214" priority="2">
      <formula>NOT(ISERROR(D39))</formula>
    </cfRule>
  </conditionalFormatting>
  <conditionalFormatting sqref="D42:J42 D45:J45">
    <cfRule type="notContainsErrors" dxfId="213" priority="62">
      <formula>NOT(ISERROR(D42))</formula>
    </cfRule>
    <cfRule type="containsBlanks" dxfId="212" priority="61">
      <formula>LEN(TRIM(D42))=0</formula>
    </cfRule>
  </conditionalFormatting>
  <conditionalFormatting sqref="D49:J54">
    <cfRule type="cellIs" dxfId="211" priority="17" operator="equal">
      <formula>"NO CUMPLE"</formula>
    </cfRule>
    <cfRule type="cellIs" dxfId="210" priority="18" operator="equal">
      <formula>"CUMPLE"</formula>
    </cfRule>
    <cfRule type="containsBlanks" dxfId="209" priority="19">
      <formula>LEN(TRIM(D49))=0</formula>
    </cfRule>
    <cfRule type="notContainsErrors" dxfId="208" priority="20">
      <formula>NOT(ISERROR(D49))</formula>
    </cfRule>
  </conditionalFormatting>
  <conditionalFormatting sqref="D55:J55">
    <cfRule type="cellIs" dxfId="207" priority="28" operator="equal">
      <formula>"CUMPLE"</formula>
    </cfRule>
    <cfRule type="cellIs" dxfId="206" priority="30" operator="equal">
      <formula>"""CUMPLE"""</formula>
    </cfRule>
    <cfRule type="cellIs" dxfId="205" priority="29" operator="equal">
      <formula>"NO CUMPLE"</formula>
    </cfRule>
    <cfRule type="cellIs" dxfId="204" priority="27" operator="equal">
      <formula>"N/A"</formula>
    </cfRule>
  </conditionalFormatting>
  <conditionalFormatting sqref="D56:J66">
    <cfRule type="cellIs" dxfId="203" priority="11" operator="equal">
      <formula>"NO CUMPLE"</formula>
    </cfRule>
    <cfRule type="notContainsErrors" dxfId="202" priority="14">
      <formula>NOT(ISERROR(D56))</formula>
    </cfRule>
    <cfRule type="containsBlanks" dxfId="201" priority="13">
      <formula>LEN(TRIM(D56))=0</formula>
    </cfRule>
    <cfRule type="cellIs" dxfId="200" priority="12" operator="equal">
      <formula>"CUMPLE"</formula>
    </cfRule>
  </conditionalFormatting>
  <conditionalFormatting sqref="D67:J67">
    <cfRule type="cellIs" dxfId="199" priority="23" operator="equal">
      <formula>"N/A"</formula>
    </cfRule>
    <cfRule type="cellIs" dxfId="198" priority="24" operator="equal">
      <formula>"CUMPLE"</formula>
    </cfRule>
    <cfRule type="cellIs" dxfId="197" priority="26" operator="equal">
      <formula>"""CUMPLE"""</formula>
    </cfRule>
    <cfRule type="cellIs" dxfId="196" priority="25" operator="equal">
      <formula>"NO CUMPLE"</formula>
    </cfRule>
  </conditionalFormatting>
  <conditionalFormatting sqref="D62:K66">
    <cfRule type="containsBlanks" dxfId="195" priority="15">
      <formula>LEN(TRIM(D62))=0</formula>
    </cfRule>
    <cfRule type="notContainsErrors" dxfId="194" priority="16">
      <formula>NOT(ISERROR(D62))</formula>
    </cfRule>
  </conditionalFormatting>
  <conditionalFormatting sqref="E71:E72">
    <cfRule type="notContainsErrors" dxfId="193" priority="93">
      <formula>NOT(ISERROR(E71))</formula>
    </cfRule>
    <cfRule type="containsBlanks" dxfId="192" priority="92">
      <formula>LEN(TRIM(E71))=0</formula>
    </cfRule>
  </conditionalFormatting>
  <conditionalFormatting sqref="F22:H22">
    <cfRule type="cellIs" dxfId="191" priority="116" operator="equal">
      <formula>"NO CUMPLE"</formula>
    </cfRule>
    <cfRule type="cellIs" dxfId="190" priority="117" operator="equal">
      <formula>"""CUMPLE"""</formula>
    </cfRule>
    <cfRule type="cellIs" dxfId="189" priority="115" operator="equal">
      <formula>"CUMPLE"</formula>
    </cfRule>
  </conditionalFormatting>
  <conditionalFormatting sqref="G63:J63">
    <cfRule type="containsBlanks" dxfId="188" priority="7">
      <formula>LEN(TRIM(G63))=0</formula>
    </cfRule>
    <cfRule type="notContainsErrors" dxfId="187" priority="8">
      <formula>NOT(ISERROR(G63))</formula>
    </cfRule>
  </conditionalFormatting>
  <conditionalFormatting sqref="I11">
    <cfRule type="containsText" dxfId="186" priority="121" operator="containsText" text="NO CUMPLE">
      <formula>NOT(ISERROR(SEARCH("NO CUMPLE",I11)))</formula>
    </cfRule>
    <cfRule type="containsText" dxfId="185" priority="120" operator="containsText" text="HABILITADO">
      <formula>NOT(ISERROR(SEARCH("HABILITADO",I11)))</formula>
    </cfRule>
    <cfRule type="containsText" dxfId="184" priority="119" operator="containsText" text="HABILITADO">
      <formula>NOT(ISERROR(SEARCH("HABILITADO",I11)))</formula>
    </cfRule>
    <cfRule type="containsText" dxfId="183" priority="118" operator="containsText" text="INHABILITADO">
      <formula>NOT(ISERROR(SEARCH("INHABILITADO",I11)))</formula>
    </cfRule>
  </conditionalFormatting>
  <conditionalFormatting sqref="K18:K20">
    <cfRule type="cellIs" dxfId="182" priority="90" operator="equal">
      <formula>"NO CUMPLE"</formula>
    </cfRule>
    <cfRule type="cellIs" dxfId="181" priority="91" operator="equal">
      <formula>"""CUMPLE"""</formula>
    </cfRule>
    <cfRule type="cellIs" dxfId="180" priority="89" operator="equal">
      <formula>"CUMPLE"</formula>
    </cfRule>
  </conditionalFormatting>
  <conditionalFormatting sqref="K26:K61 D62:J62">
    <cfRule type="containsBlanks" dxfId="179" priority="9">
      <formula>LEN(TRIM(D26))=0</formula>
    </cfRule>
    <cfRule type="notContainsErrors" dxfId="178" priority="10">
      <formula>NOT(ISERROR(D26))</formula>
    </cfRule>
  </conditionalFormatting>
  <conditionalFormatting sqref="K67:L67">
    <cfRule type="containsBlanks" dxfId="177" priority="21">
      <formula>LEN(TRIM(K67))=0</formula>
    </cfRule>
    <cfRule type="notContainsErrors" dxfId="176" priority="22">
      <formula>NOT(ISERROR(K67))</formula>
    </cfRule>
  </conditionalFormatting>
  <conditionalFormatting sqref="L14">
    <cfRule type="cellIs" dxfId="175" priority="114" operator="equal">
      <formula>"""CUMPLE"""</formula>
    </cfRule>
    <cfRule type="cellIs" dxfId="174" priority="113" operator="equal">
      <formula>"NO CUMPLE"</formula>
    </cfRule>
    <cfRule type="cellIs" dxfId="173" priority="112" operator="equal">
      <formula>"CUMPLE"</formula>
    </cfRule>
  </conditionalFormatting>
  <dataValidations count="2">
    <dataValidation type="list" allowBlank="1" showInputMessage="1" showErrorMessage="1" sqref="D26:J28" xr:uid="{00000000-0002-0000-6000-000000000000}">
      <formula1>$C$15:$C$21</formula1>
    </dataValidation>
    <dataValidation type="list" allowBlank="1" showInputMessage="1" showErrorMessage="1" sqref="L62:L67" xr:uid="{00000000-0002-0000-60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6000-000002000000}">
          <x14:formula1>
            <xm:f>'DATOS INICIALES'!$D$27:$D$29</xm:f>
          </x14:formula1>
          <xm:sqref>M50:M55</xm:sqref>
        </x14:dataValidation>
        <x14:dataValidation type="list" allowBlank="1" showInputMessage="1" showErrorMessage="1" xr:uid="{00000000-0002-0000-6000-000003000000}">
          <x14:formula1>
            <xm:f>'DATOS INICIALES'!$A$13:$A$50</xm:f>
          </x14:formula1>
          <xm:sqref>G33:I33</xm:sqref>
        </x14:dataValidation>
        <x14:dataValidation type="list" allowBlank="1" showInputMessage="1" showErrorMessage="1" xr:uid="{00000000-0002-0000-6000-000004000000}">
          <x14:formula1>
            <xm:f>'DATOS INICIALES'!$A$61:$A$66</xm:f>
          </x14:formula1>
          <xm:sqref>D25:I25</xm:sqref>
        </x14:dataValidation>
        <x14:dataValidation type="list" allowBlank="1" showInputMessage="1" showErrorMessage="1" xr:uid="{00000000-0002-0000-6000-000005000000}">
          <x14:formula1>
            <xm:f>'DATOS INICIALES'!$A$57:$A$59</xm:f>
          </x14:formula1>
          <xm:sqref>D71 D56:J66</xm:sqref>
        </x14:dataValidation>
        <x14:dataValidation type="list" allowBlank="1" showInputMessage="1" showErrorMessage="1" xr:uid="{00000000-0002-0000-6000-000006000000}">
          <x14:formula1>
            <xm:f>'DATOS INICIALES'!$C$52:$C$53</xm:f>
          </x14:formula1>
          <xm:sqref>D53:J54</xm:sqref>
        </x14:dataValidation>
        <x14:dataValidation type="list" allowBlank="1" showInputMessage="1" showErrorMessage="1" xr:uid="{00000000-0002-0000-6000-000007000000}">
          <x14:formula1>
            <xm:f>'DATOS INICIALES'!$A$61:$A$67</xm:f>
          </x14:formula1>
          <xm:sqref>J25</xm:sqref>
        </x14:dataValidation>
        <x14:dataValidation type="list" allowBlank="1" showInputMessage="1" showErrorMessage="1" xr:uid="{00000000-0002-0000-6000-000008000000}">
          <x14:formula1>
            <xm:f>'DATOS INICIALES'!$A$57:$A$58</xm:f>
          </x14:formula1>
          <xm:sqref>D49:J49</xm:sqref>
        </x14:dataValidation>
        <x14:dataValidation type="list" allowBlank="1" showInputMessage="1" showErrorMessage="1" xr:uid="{00000000-0002-0000-6000-000009000000}">
          <x14:formula1>
            <xm:f>'DATOS INICIALES'!$C$52:$C$54</xm:f>
          </x14:formula1>
          <xm:sqref>D50:J52</xm:sqref>
        </x14:dataValidation>
      </x14:dataValidations>
    </ext>
  </extLst>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100-000000000000}">
  <sheetPr>
    <tabColor rgb="FF92D050"/>
  </sheetPr>
  <dimension ref="A1:O72"/>
  <sheetViews>
    <sheetView view="pageBreakPreview" zoomScale="25" zoomScaleNormal="25" zoomScaleSheetLayoutView="25" workbookViewId="0">
      <selection activeCell="F30" sqref="F30"/>
    </sheetView>
  </sheetViews>
  <sheetFormatPr baseColWidth="10" defaultColWidth="11.5" defaultRowHeight="15" x14ac:dyDescent="0.2"/>
  <cols>
    <col min="1" max="1" width="5.5" customWidth="1"/>
    <col min="2" max="2" width="30.83203125" customWidth="1"/>
    <col min="3" max="3" width="63.1640625" customWidth="1"/>
    <col min="4" max="4" width="42.1640625" customWidth="1"/>
    <col min="5" max="5" width="40.33203125" customWidth="1"/>
    <col min="6" max="6" width="43.1640625" customWidth="1"/>
    <col min="7" max="7" width="70" customWidth="1"/>
    <col min="8" max="8" width="66.1640625" customWidth="1"/>
    <col min="9" max="9" width="70.33203125" customWidth="1"/>
    <col min="10" max="10" width="27.83203125" customWidth="1"/>
    <col min="11" max="11" width="27.5" customWidth="1"/>
    <col min="12" max="12" width="48.6640625" customWidth="1"/>
    <col min="15" max="15" width="26.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92</v>
      </c>
      <c r="B11" s="2" t="s">
        <v>58</v>
      </c>
      <c r="C11" s="413" t="str">
        <f>VLOOKUP(A11,PROPONENTES!A10:B111,2,FALSE)</f>
        <v>TERRA PROYECTOS CIVILES SAS</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2</v>
      </c>
      <c r="J14" s="147">
        <f>+L8</f>
        <v>986.3076290832455</v>
      </c>
      <c r="K14" s="147">
        <f>+E22</f>
        <v>5496.3775000000005</v>
      </c>
      <c r="L14" s="18" t="str">
        <f>IF(K14&gt;=J14,"CUMPLE","NO CUMPLE")</f>
        <v>CUMPLE</v>
      </c>
    </row>
    <row r="15" spans="1:12" ht="33.75" customHeight="1" x14ac:dyDescent="0.2">
      <c r="B15" s="382"/>
      <c r="C15" s="92" t="str">
        <f>IF(VLOOKUP(C11,PROPONENTES!B10:N111,2,FALSE)=0,"",VLOOKUP(C11,PROPONENTES!B10:N111,2,FALSE))</f>
        <v xml:space="preserve">TERRA PROYECTOS CIVILES S.A.S </v>
      </c>
      <c r="D15" s="93">
        <f>IF(VLOOKUP(C11,PROPONENTES!B10:N111,3,FALSE)=0,"",VLOOKUP(C11,PROPONENTES!B10:N111,3,FALSE))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5496.3775000000005</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IF(VLOOKUP(C11,PROPONENTES!B10:N111,4,FALSE)=0,"",VLOOKUP(C11,PROPONENTES!B10:N111,4,FALSE))</f>
        <v/>
      </c>
      <c r="D16" s="93" t="str">
        <f>IF(VLOOKUP(C11,PROPONENTES!B10:N111,5,FALSE)=0,"",VLOOKUP(C11,PROPONENTES!B10:N111,5,FALSE))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2748.1887500000003</v>
      </c>
    </row>
    <row r="17" spans="2:14" ht="33.75" customHeight="1" x14ac:dyDescent="0.2">
      <c r="B17" s="382"/>
      <c r="C17" s="92" t="str">
        <f>IF(VLOOKUP(C11,PROPONENTES!B10:N111,6,FALSE)=0,"",VLOOKUP(C11,PROPONENTES!B10:N111,6,FALSE))</f>
        <v/>
      </c>
      <c r="D17" s="93" t="str">
        <f>IF(VLOOKUP(C11,PROPONENTES!B10:N111,7,FALSE)=0,"",VLOOKUP(C11,PROPONENTES!B10:N111,7,FALSE))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IF(VLOOKUP(C11,PROPONENTES!B10:N111,8,FALSE)=0,"",VLOOKUP(C11,PROPONENTES!B10:N111,8,FALSE))</f>
        <v/>
      </c>
      <c r="D18" s="93" t="str">
        <f>IF(VLOOKUP(C11,PROPONENTES!B10:N111,9,FALSE)=0,"",VLOOKUP(C11,PROPONENTES!B10:N111,9,FALSE))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2</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2</v>
      </c>
      <c r="J19" s="128">
        <v>1</v>
      </c>
      <c r="K19" s="387"/>
      <c r="L19" s="388"/>
    </row>
    <row r="20" spans="2:14" ht="50.25" customHeight="1" x14ac:dyDescent="0.2">
      <c r="B20" s="382"/>
      <c r="C20" s="92"/>
      <c r="D20" s="93"/>
      <c r="E20" s="94"/>
      <c r="F20" s="95"/>
      <c r="G20" s="96"/>
      <c r="H20" s="96"/>
      <c r="I20" s="128">
        <f>COUNTIFS(D60:J60,"CUMPLE",D67:J67,"CUMPLE")</f>
        <v>2</v>
      </c>
      <c r="J20" s="128">
        <v>1</v>
      </c>
      <c r="K20" s="387"/>
      <c r="L20" s="388"/>
    </row>
    <row r="21" spans="2:14" ht="33.75" customHeight="1" x14ac:dyDescent="0.2">
      <c r="B21" s="382"/>
      <c r="C21" s="92" t="str">
        <f>IF(VLOOKUP(C11,PROPONENTES!B10:N111,10,FALSE)=0,"",VLOOKUP(C11,PROPONENTES!B10:N111,10,FALSE))</f>
        <v/>
      </c>
      <c r="D21" s="93" t="str">
        <f>IF(VLOOKUP(C11,PROPONENTES!B10:N111,11,FALSE)=0,"",VLOOKUP(C11,PROPONENTES!B10:N111,11,FALSE))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2</v>
      </c>
      <c r="J21" s="128">
        <v>1</v>
      </c>
      <c r="K21" s="389"/>
      <c r="L21" s="390"/>
    </row>
    <row r="22" spans="2:14" ht="84.75" customHeight="1" x14ac:dyDescent="0.2">
      <c r="B22" s="29" t="s">
        <v>75</v>
      </c>
      <c r="C22" s="24">
        <f>+VLOOKUP(C11,PROPONENTES!B10:N111,12,FALSE)</f>
        <v>1</v>
      </c>
      <c r="D22" s="93">
        <f>+VLOOKUP(C11,PROPONENTES!B10:N111,13,FALSE)</f>
        <v>1</v>
      </c>
      <c r="E22" s="32">
        <f>SUM(E15:E21)</f>
        <v>5496.3775000000005</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1280</v>
      </c>
      <c r="E26" s="84" t="s">
        <v>1280</v>
      </c>
      <c r="F26" s="84"/>
      <c r="G26" s="84"/>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1376</v>
      </c>
      <c r="E29" s="85" t="s">
        <v>1377</v>
      </c>
      <c r="F29" s="85"/>
      <c r="G29" s="85"/>
      <c r="H29" s="85"/>
      <c r="I29" s="85"/>
      <c r="J29" s="85"/>
      <c r="K29" s="145"/>
      <c r="L29" s="140"/>
    </row>
    <row r="30" spans="2:14" ht="213" customHeight="1" x14ac:dyDescent="0.2">
      <c r="B30" s="374"/>
      <c r="C30" s="25" t="s">
        <v>84</v>
      </c>
      <c r="D30" s="85" t="s">
        <v>1378</v>
      </c>
      <c r="E30" s="85" t="s">
        <v>1379</v>
      </c>
      <c r="F30" s="85"/>
      <c r="G30" s="85"/>
      <c r="H30" s="85"/>
      <c r="I30" s="85"/>
      <c r="J30" s="85"/>
      <c r="K30" s="145"/>
      <c r="L30" s="140"/>
    </row>
    <row r="31" spans="2:14" ht="52.5" customHeight="1" x14ac:dyDescent="0.2">
      <c r="B31" s="374"/>
      <c r="C31" s="25" t="s">
        <v>85</v>
      </c>
      <c r="D31" s="89">
        <v>36633</v>
      </c>
      <c r="E31" s="89">
        <v>35011</v>
      </c>
      <c r="F31" s="89"/>
      <c r="G31" s="89"/>
      <c r="H31" s="89"/>
      <c r="I31" s="89"/>
      <c r="J31" s="89"/>
      <c r="K31" s="145"/>
      <c r="L31" s="140"/>
    </row>
    <row r="32" spans="2:14" ht="54.75" customHeight="1" x14ac:dyDescent="0.2">
      <c r="B32" s="374"/>
      <c r="C32" s="25" t="s">
        <v>86</v>
      </c>
      <c r="D32" s="89">
        <v>37307</v>
      </c>
      <c r="E32" s="89">
        <v>35812</v>
      </c>
      <c r="F32" s="89"/>
      <c r="G32" s="89"/>
      <c r="H32" s="89"/>
      <c r="I32" s="89"/>
      <c r="J32" s="89"/>
      <c r="K32" s="145"/>
      <c r="L32" s="140"/>
    </row>
    <row r="33" spans="2:15" ht="41.25" customHeight="1" x14ac:dyDescent="0.2">
      <c r="B33" s="374"/>
      <c r="C33" s="25" t="s">
        <v>87</v>
      </c>
      <c r="D33" s="86">
        <v>2002</v>
      </c>
      <c r="E33" s="86">
        <v>1998</v>
      </c>
      <c r="F33" s="86"/>
      <c r="G33" s="86"/>
      <c r="H33" s="86"/>
      <c r="I33" s="86"/>
      <c r="J33" s="86"/>
      <c r="K33" s="145"/>
      <c r="L33" s="140"/>
    </row>
    <row r="34" spans="2:15" ht="63" customHeight="1" x14ac:dyDescent="0.2">
      <c r="B34" s="374"/>
      <c r="C34" s="25" t="s">
        <v>88</v>
      </c>
      <c r="D34" s="85" t="s">
        <v>321</v>
      </c>
      <c r="E34" s="85" t="s">
        <v>322</v>
      </c>
      <c r="F34" s="85"/>
      <c r="G34" s="85"/>
      <c r="H34" s="85"/>
      <c r="I34" s="85"/>
      <c r="J34" s="85"/>
      <c r="K34" s="145"/>
      <c r="L34" s="140"/>
    </row>
    <row r="35" spans="2:15" ht="46.5" customHeight="1" x14ac:dyDescent="0.2">
      <c r="B35" s="374"/>
      <c r="C35" s="25" t="s">
        <v>89</v>
      </c>
      <c r="D35" s="85" t="s">
        <v>1380</v>
      </c>
      <c r="E35" s="85" t="s">
        <v>1381</v>
      </c>
      <c r="F35" s="85"/>
      <c r="G35" s="85"/>
      <c r="H35" s="85"/>
      <c r="I35" s="85"/>
      <c r="J35" s="85"/>
      <c r="K35" s="145"/>
      <c r="L35" s="140"/>
    </row>
    <row r="36" spans="2:15" ht="27.75" customHeight="1" x14ac:dyDescent="0.2">
      <c r="B36" s="374"/>
      <c r="C36" s="26" t="s">
        <v>90</v>
      </c>
      <c r="D36" s="90">
        <v>13</v>
      </c>
      <c r="E36" s="90">
        <v>14</v>
      </c>
      <c r="F36" s="90"/>
      <c r="G36" s="91"/>
      <c r="H36" s="91"/>
      <c r="I36" s="91"/>
      <c r="J36" s="91"/>
      <c r="K36" s="145"/>
      <c r="L36" s="140"/>
    </row>
    <row r="37" spans="2:15" ht="102.75" customHeight="1" x14ac:dyDescent="0.2">
      <c r="B37" s="374"/>
      <c r="C37" s="25" t="s">
        <v>91</v>
      </c>
      <c r="D37" s="87">
        <v>10986.19</v>
      </c>
      <c r="E37" s="158">
        <v>5499.66</v>
      </c>
      <c r="F37" s="87"/>
      <c r="G37" s="87"/>
      <c r="H37" s="87"/>
      <c r="I37" s="87"/>
      <c r="J37" s="87"/>
      <c r="K37" s="242"/>
      <c r="L37" s="243"/>
    </row>
    <row r="38" spans="2:15" ht="48" customHeight="1" x14ac:dyDescent="0.2">
      <c r="B38" s="374"/>
      <c r="C38" s="25" t="s">
        <v>92</v>
      </c>
      <c r="D38" s="97">
        <f>IFERROR(D37*VLOOKUP(D33,'DATOS INICIALES'!$A$12:$B$50,2,0),"0")</f>
        <v>3394732710</v>
      </c>
      <c r="E38" s="97">
        <f>IFERROR(E37*VLOOKUP(E33,'DATOS INICIALES'!$A$12:$B$50,2,0),"0")</f>
        <v>1120973699.1600001</v>
      </c>
      <c r="F38" s="97" t="str">
        <f>IFERROR(F37*VLOOKUP(F33,'DATOS INICIALES'!$A$12:$B$50,2,0),"0")</f>
        <v>0</v>
      </c>
      <c r="G38" s="97" t="str">
        <f>IFERROR(G37*VLOOKUP(G33,'DATOS INICIALES'!$A$12:$B$50,2,0),"0")</f>
        <v>0</v>
      </c>
      <c r="H38" s="97" t="str">
        <f>IFERROR(H37*VLOOKUP(H33,'DATOS INICIALES'!$A$12:$B$50,2,0),"0")</f>
        <v>0</v>
      </c>
      <c r="I38" s="97" t="str">
        <f>IFERROR(I37*VLOOKUP(I33,'DATOS INICIALES'!$A$12:$B$50,2,0),"0")</f>
        <v>0</v>
      </c>
      <c r="J38" s="97" t="str">
        <f>IFERROR(J37*VLOOKUP(J33,'DATOS INICIALES'!$A$12:$B$50,2,0),"0")</f>
        <v>0</v>
      </c>
      <c r="K38" s="242"/>
      <c r="L38" s="243"/>
      <c r="N38" s="533"/>
      <c r="O38" s="534"/>
    </row>
    <row r="39" spans="2:15" ht="33.75" customHeight="1" x14ac:dyDescent="0.2">
      <c r="B39" s="374"/>
      <c r="C39" s="25" t="s">
        <v>93</v>
      </c>
      <c r="D39" s="88">
        <v>0.25</v>
      </c>
      <c r="E39" s="88">
        <v>0.5</v>
      </c>
      <c r="F39" s="88"/>
      <c r="G39" s="88"/>
      <c r="H39" s="88"/>
      <c r="I39" s="88"/>
      <c r="J39" s="88"/>
      <c r="K39" s="145"/>
      <c r="L39" s="140"/>
    </row>
    <row r="40" spans="2:15" ht="48.75" customHeight="1" x14ac:dyDescent="0.2">
      <c r="B40" s="374"/>
      <c r="C40" s="25" t="s">
        <v>94</v>
      </c>
      <c r="D40" s="97">
        <f t="shared" ref="D40:J40" si="0">IF(D26="","0",D39*D38)</f>
        <v>848683177.5</v>
      </c>
      <c r="E40" s="97">
        <f t="shared" si="0"/>
        <v>560486849.58000004</v>
      </c>
      <c r="F40" s="97" t="str">
        <f t="shared" si="0"/>
        <v>0</v>
      </c>
      <c r="G40" s="97" t="str">
        <f t="shared" si="0"/>
        <v>0</v>
      </c>
      <c r="H40" s="97" t="str">
        <f t="shared" si="0"/>
        <v>0</v>
      </c>
      <c r="I40" s="97" t="str">
        <f t="shared" si="0"/>
        <v>0</v>
      </c>
      <c r="J40" s="97" t="str">
        <f t="shared" si="0"/>
        <v>0</v>
      </c>
      <c r="K40" s="145"/>
      <c r="L40" s="140"/>
    </row>
    <row r="41" spans="2:15" ht="65.25" customHeight="1" x14ac:dyDescent="0.2">
      <c r="B41" s="374"/>
      <c r="C41" s="25" t="s">
        <v>95</v>
      </c>
      <c r="D41" s="98">
        <f t="shared" ref="D41:J41" si="1">IFERROR(D37*D39,"0")</f>
        <v>2746.5475000000001</v>
      </c>
      <c r="E41" s="98">
        <f t="shared" si="1"/>
        <v>2749.83</v>
      </c>
      <c r="F41" s="98">
        <f t="shared" si="1"/>
        <v>0</v>
      </c>
      <c r="G41" s="98">
        <f t="shared" si="1"/>
        <v>0</v>
      </c>
      <c r="H41" s="98">
        <f t="shared" si="1"/>
        <v>0</v>
      </c>
      <c r="I41" s="98">
        <f t="shared" si="1"/>
        <v>0</v>
      </c>
      <c r="J41" s="98">
        <f t="shared" si="1"/>
        <v>0</v>
      </c>
      <c r="K41" s="145"/>
      <c r="L41" s="140"/>
    </row>
    <row r="42" spans="2:15" ht="65.25" customHeight="1" x14ac:dyDescent="0.2">
      <c r="B42" s="374"/>
      <c r="C42" s="25" t="s">
        <v>96</v>
      </c>
      <c r="D42" s="88"/>
      <c r="E42" s="88"/>
      <c r="F42" s="88"/>
      <c r="G42" s="88"/>
      <c r="H42" s="88"/>
      <c r="I42" s="88"/>
      <c r="J42" s="88"/>
      <c r="K42" s="145"/>
      <c r="L42" s="140"/>
    </row>
    <row r="43" spans="2:15"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5"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5" ht="65.25" customHeight="1" x14ac:dyDescent="0.2">
      <c r="B45" s="374"/>
      <c r="C45" s="25" t="s">
        <v>99</v>
      </c>
      <c r="D45" s="88"/>
      <c r="E45" s="88"/>
      <c r="F45" s="88"/>
      <c r="G45" s="88"/>
      <c r="H45" s="88"/>
      <c r="I45" s="88"/>
      <c r="J45" s="88"/>
      <c r="K45" s="145"/>
      <c r="L45" s="140"/>
    </row>
    <row r="46" spans="2:15"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5"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5" ht="65.25" customHeight="1" x14ac:dyDescent="0.2">
      <c r="B48" s="177"/>
      <c r="C48" s="26" t="s">
        <v>102</v>
      </c>
      <c r="D48" s="98">
        <f>+D41+D44+D47</f>
        <v>2746.5475000000001</v>
      </c>
      <c r="E48" s="98">
        <f t="shared" ref="E48:G48" si="6">+E41+E44+E47</f>
        <v>2749.83</v>
      </c>
      <c r="F48" s="98">
        <f t="shared" si="6"/>
        <v>0</v>
      </c>
      <c r="G48" s="98">
        <f t="shared" si="6"/>
        <v>0</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N/A</v>
      </c>
      <c r="G55" s="18" t="str">
        <f t="shared" si="8"/>
        <v>N/A</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N/A</v>
      </c>
      <c r="G67" s="18" t="str">
        <f>IF(G26="","N/A",IF(AND(G49="CUMPLE",G55="CUMPLE",OR(G56="CUMPLE",G56="N/A"),OR(G59="CUMPLE",G59="N/A"),G62="CUMPLE",G63="CUMPLE",OR(G64="CUMPLE",G64="N/A"),G65="CUMPLE",OR(G66="CUMPLE",G66="N/A")),"CUMPLE","NO CUMPLE"))</f>
        <v>N/A</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2">
    <mergeCell ref="B62:C62"/>
    <mergeCell ref="B63:C63"/>
    <mergeCell ref="B64:C64"/>
    <mergeCell ref="B70:C70"/>
    <mergeCell ref="B71:C71"/>
    <mergeCell ref="B72:C72"/>
    <mergeCell ref="B65:C65"/>
    <mergeCell ref="B66:C66"/>
    <mergeCell ref="B67:C67"/>
    <mergeCell ref="B69:E69"/>
    <mergeCell ref="B59:C59"/>
    <mergeCell ref="B60:C60"/>
    <mergeCell ref="B61:C61"/>
    <mergeCell ref="B56:C56"/>
    <mergeCell ref="B57:C57"/>
    <mergeCell ref="B58:C58"/>
    <mergeCell ref="B50:B55"/>
    <mergeCell ref="N38:O38"/>
    <mergeCell ref="B24:L24"/>
    <mergeCell ref="K25:L25"/>
    <mergeCell ref="B26:C26"/>
    <mergeCell ref="B27:C27"/>
    <mergeCell ref="B28:C28"/>
    <mergeCell ref="B29:B47"/>
    <mergeCell ref="B23:L23"/>
    <mergeCell ref="C8:I8"/>
    <mergeCell ref="C9:I9"/>
    <mergeCell ref="C10:I10"/>
    <mergeCell ref="C11:G11"/>
    <mergeCell ref="I11:L11"/>
    <mergeCell ref="B12:L12"/>
    <mergeCell ref="B13:H13"/>
    <mergeCell ref="B14:B21"/>
    <mergeCell ref="K17:L17"/>
    <mergeCell ref="K18:L21"/>
    <mergeCell ref="I22:L22"/>
    <mergeCell ref="B2:L2"/>
    <mergeCell ref="B3:L3"/>
    <mergeCell ref="B4:L4"/>
    <mergeCell ref="B5:L5"/>
    <mergeCell ref="B7:I7"/>
    <mergeCell ref="J7:L7"/>
  </mergeCells>
  <conditionalFormatting sqref="D71">
    <cfRule type="cellIs" dxfId="172" priority="97" operator="equal">
      <formula>"CUMPLE"</formula>
    </cfRule>
    <cfRule type="containsBlanks" dxfId="171" priority="94">
      <formula>LEN(TRIM(D71))=0</formula>
    </cfRule>
    <cfRule type="notContainsErrors" dxfId="170" priority="95">
      <formula>NOT(ISERROR(D71))</formula>
    </cfRule>
    <cfRule type="cellIs" dxfId="169" priority="96" operator="equal">
      <formula>"NO CUMPLE"</formula>
    </cfRule>
  </conditionalFormatting>
  <conditionalFormatting sqref="D72">
    <cfRule type="cellIs" dxfId="168" priority="99" operator="equal">
      <formula>"CUMPLE"</formula>
    </cfRule>
    <cfRule type="cellIs" dxfId="167" priority="98" operator="equal">
      <formula>"N/A"</formula>
    </cfRule>
    <cfRule type="cellIs" dxfId="166" priority="101" operator="equal">
      <formula>"""CUMPLE"""</formula>
    </cfRule>
    <cfRule type="cellIs" dxfId="165" priority="100" operator="equal">
      <formula>"NO CUMPLE"</formula>
    </cfRule>
  </conditionalFormatting>
  <conditionalFormatting sqref="D26:J37">
    <cfRule type="notContainsErrors" dxfId="164" priority="4">
      <formula>NOT(ISERROR(D26))</formula>
    </cfRule>
    <cfRule type="containsBlanks" dxfId="163" priority="3">
      <formula>LEN(TRIM(D26))=0</formula>
    </cfRule>
  </conditionalFormatting>
  <conditionalFormatting sqref="D36:J36">
    <cfRule type="notContainsErrors" dxfId="162" priority="6">
      <formula>NOT(ISERROR(D36))</formula>
    </cfRule>
    <cfRule type="containsBlanks" dxfId="161" priority="5">
      <formula>LEN(TRIM(D36))=0</formula>
    </cfRule>
  </conditionalFormatting>
  <conditionalFormatting sqref="D39:J39">
    <cfRule type="containsBlanks" dxfId="160" priority="1">
      <formula>LEN(TRIM(D39))=0</formula>
    </cfRule>
    <cfRule type="notContainsErrors" dxfId="159" priority="2">
      <formula>NOT(ISERROR(D39))</formula>
    </cfRule>
  </conditionalFormatting>
  <conditionalFormatting sqref="D42:J42 D45:J45">
    <cfRule type="notContainsErrors" dxfId="158" priority="62">
      <formula>NOT(ISERROR(D42))</formula>
    </cfRule>
    <cfRule type="containsBlanks" dxfId="157" priority="61">
      <formula>LEN(TRIM(D42))=0</formula>
    </cfRule>
  </conditionalFormatting>
  <conditionalFormatting sqref="D49:J54">
    <cfRule type="cellIs" dxfId="156" priority="17" operator="equal">
      <formula>"NO CUMPLE"</formula>
    </cfRule>
    <cfRule type="cellIs" dxfId="155" priority="18" operator="equal">
      <formula>"CUMPLE"</formula>
    </cfRule>
    <cfRule type="containsBlanks" dxfId="154" priority="19">
      <formula>LEN(TRIM(D49))=0</formula>
    </cfRule>
    <cfRule type="notContainsErrors" dxfId="153" priority="20">
      <formula>NOT(ISERROR(D49))</formula>
    </cfRule>
  </conditionalFormatting>
  <conditionalFormatting sqref="D55:J55">
    <cfRule type="cellIs" dxfId="152" priority="29" operator="equal">
      <formula>"NO CUMPLE"</formula>
    </cfRule>
    <cfRule type="cellIs" dxfId="151" priority="30" operator="equal">
      <formula>"""CUMPLE"""</formula>
    </cfRule>
    <cfRule type="cellIs" dxfId="150" priority="28" operator="equal">
      <formula>"CUMPLE"</formula>
    </cfRule>
    <cfRule type="cellIs" dxfId="149" priority="27" operator="equal">
      <formula>"N/A"</formula>
    </cfRule>
  </conditionalFormatting>
  <conditionalFormatting sqref="D56:J66">
    <cfRule type="containsBlanks" dxfId="148" priority="13">
      <formula>LEN(TRIM(D56))=0</formula>
    </cfRule>
    <cfRule type="cellIs" dxfId="147" priority="12" operator="equal">
      <formula>"CUMPLE"</formula>
    </cfRule>
    <cfRule type="cellIs" dxfId="146" priority="11" operator="equal">
      <formula>"NO CUMPLE"</formula>
    </cfRule>
    <cfRule type="notContainsErrors" dxfId="145" priority="14">
      <formula>NOT(ISERROR(D56))</formula>
    </cfRule>
  </conditionalFormatting>
  <conditionalFormatting sqref="D67:J67">
    <cfRule type="cellIs" dxfId="144" priority="26" operator="equal">
      <formula>"""CUMPLE"""</formula>
    </cfRule>
    <cfRule type="cellIs" dxfId="143" priority="23" operator="equal">
      <formula>"N/A"</formula>
    </cfRule>
    <cfRule type="cellIs" dxfId="142" priority="24" operator="equal">
      <formula>"CUMPLE"</formula>
    </cfRule>
    <cfRule type="cellIs" dxfId="141" priority="25" operator="equal">
      <formula>"NO CUMPLE"</formula>
    </cfRule>
  </conditionalFormatting>
  <conditionalFormatting sqref="D62:K66">
    <cfRule type="containsBlanks" dxfId="140" priority="15">
      <formula>LEN(TRIM(D62))=0</formula>
    </cfRule>
    <cfRule type="notContainsErrors" dxfId="139" priority="16">
      <formula>NOT(ISERROR(D62))</formula>
    </cfRule>
  </conditionalFormatting>
  <conditionalFormatting sqref="E71:E72">
    <cfRule type="containsBlanks" dxfId="138" priority="92">
      <formula>LEN(TRIM(E71))=0</formula>
    </cfRule>
    <cfRule type="notContainsErrors" dxfId="137" priority="93">
      <formula>NOT(ISERROR(E71))</formula>
    </cfRule>
  </conditionalFormatting>
  <conditionalFormatting sqref="F22:H22">
    <cfRule type="cellIs" dxfId="136" priority="116" operator="equal">
      <formula>"NO CUMPLE"</formula>
    </cfRule>
    <cfRule type="cellIs" dxfId="135" priority="117" operator="equal">
      <formula>"""CUMPLE"""</formula>
    </cfRule>
    <cfRule type="cellIs" dxfId="134" priority="115" operator="equal">
      <formula>"CUMPLE"</formula>
    </cfRule>
  </conditionalFormatting>
  <conditionalFormatting sqref="G63:J63">
    <cfRule type="notContainsErrors" dxfId="133" priority="8">
      <formula>NOT(ISERROR(G63))</formula>
    </cfRule>
    <cfRule type="containsBlanks" dxfId="132" priority="7">
      <formula>LEN(TRIM(G63))=0</formula>
    </cfRule>
  </conditionalFormatting>
  <conditionalFormatting sqref="I11">
    <cfRule type="containsText" dxfId="131" priority="121" operator="containsText" text="NO CUMPLE">
      <formula>NOT(ISERROR(SEARCH("NO CUMPLE",I11)))</formula>
    </cfRule>
    <cfRule type="containsText" dxfId="130" priority="118" operator="containsText" text="INHABILITADO">
      <formula>NOT(ISERROR(SEARCH("INHABILITADO",I11)))</formula>
    </cfRule>
    <cfRule type="containsText" dxfId="129" priority="119" operator="containsText" text="HABILITADO">
      <formula>NOT(ISERROR(SEARCH("HABILITADO",I11)))</formula>
    </cfRule>
    <cfRule type="containsText" dxfId="128" priority="120" operator="containsText" text="HABILITADO">
      <formula>NOT(ISERROR(SEARCH("HABILITADO",I11)))</formula>
    </cfRule>
  </conditionalFormatting>
  <conditionalFormatting sqref="K18:K20">
    <cfRule type="cellIs" dxfId="127" priority="90" operator="equal">
      <formula>"NO CUMPLE"</formula>
    </cfRule>
    <cfRule type="cellIs" dxfId="126" priority="91" operator="equal">
      <formula>"""CUMPLE"""</formula>
    </cfRule>
    <cfRule type="cellIs" dxfId="125" priority="89" operator="equal">
      <formula>"CUMPLE"</formula>
    </cfRule>
  </conditionalFormatting>
  <conditionalFormatting sqref="K26:K61 D62:J62">
    <cfRule type="containsBlanks" dxfId="124" priority="9">
      <formula>LEN(TRIM(D26))=0</formula>
    </cfRule>
    <cfRule type="notContainsErrors" dxfId="123" priority="10">
      <formula>NOT(ISERROR(D26))</formula>
    </cfRule>
  </conditionalFormatting>
  <conditionalFormatting sqref="K67:L67">
    <cfRule type="notContainsErrors" dxfId="122" priority="22">
      <formula>NOT(ISERROR(K67))</formula>
    </cfRule>
    <cfRule type="containsBlanks" dxfId="121" priority="21">
      <formula>LEN(TRIM(K67))=0</formula>
    </cfRule>
  </conditionalFormatting>
  <conditionalFormatting sqref="L14">
    <cfRule type="cellIs" dxfId="120" priority="113" operator="equal">
      <formula>"NO CUMPLE"</formula>
    </cfRule>
    <cfRule type="cellIs" dxfId="119" priority="112" operator="equal">
      <formula>"CUMPLE"</formula>
    </cfRule>
    <cfRule type="cellIs" dxfId="118" priority="114" operator="equal">
      <formula>"""CUMPLE"""</formula>
    </cfRule>
  </conditionalFormatting>
  <conditionalFormatting sqref="N38">
    <cfRule type="containsBlanks" dxfId="117" priority="65">
      <formula>LEN(TRIM(N38))=0</formula>
    </cfRule>
    <cfRule type="notContainsErrors" dxfId="116" priority="66">
      <formula>NOT(ISERROR(N38))</formula>
    </cfRule>
  </conditionalFormatting>
  <dataValidations count="2">
    <dataValidation type="list" allowBlank="1" showInputMessage="1" showErrorMessage="1" sqref="L62:L67" xr:uid="{00000000-0002-0000-6100-000000000000}">
      <formula1>"0,1,2,3,4,5,6"</formula1>
    </dataValidation>
    <dataValidation type="list" allowBlank="1" showInputMessage="1" showErrorMessage="1" sqref="D26:J28" xr:uid="{00000000-0002-0000-61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6100-000002000000}">
          <x14:formula1>
            <xm:f>'DATOS INICIALES'!$D$27:$D$29</xm:f>
          </x14:formula1>
          <xm:sqref>M50:M55</xm:sqref>
        </x14:dataValidation>
        <x14:dataValidation type="list" allowBlank="1" showInputMessage="1" showErrorMessage="1" xr:uid="{00000000-0002-0000-6100-000003000000}">
          <x14:formula1>
            <xm:f>'DATOS INICIALES'!$A$57:$A$58</xm:f>
          </x14:formula1>
          <xm:sqref>D49:J49</xm:sqref>
        </x14:dataValidation>
        <x14:dataValidation type="list" allowBlank="1" showInputMessage="1" showErrorMessage="1" xr:uid="{00000000-0002-0000-6100-000004000000}">
          <x14:formula1>
            <xm:f>'DATOS INICIALES'!$A$61:$A$67</xm:f>
          </x14:formula1>
          <xm:sqref>J25</xm:sqref>
        </x14:dataValidation>
        <x14:dataValidation type="list" allowBlank="1" showInputMessage="1" showErrorMessage="1" xr:uid="{00000000-0002-0000-6100-000005000000}">
          <x14:formula1>
            <xm:f>'DATOS INICIALES'!$C$52:$C$53</xm:f>
          </x14:formula1>
          <xm:sqref>D53:J54</xm:sqref>
        </x14:dataValidation>
        <x14:dataValidation type="list" allowBlank="1" showInputMessage="1" showErrorMessage="1" xr:uid="{00000000-0002-0000-6100-000006000000}">
          <x14:formula1>
            <xm:f>'DATOS INICIALES'!$A$57:$A$59</xm:f>
          </x14:formula1>
          <xm:sqref>D71 D56:J66</xm:sqref>
        </x14:dataValidation>
        <x14:dataValidation type="list" allowBlank="1" showInputMessage="1" showErrorMessage="1" xr:uid="{00000000-0002-0000-6100-000007000000}">
          <x14:formula1>
            <xm:f>'DATOS INICIALES'!$A$61:$A$66</xm:f>
          </x14:formula1>
          <xm:sqref>D25:I25</xm:sqref>
        </x14:dataValidation>
        <x14:dataValidation type="list" allowBlank="1" showInputMessage="1" showErrorMessage="1" xr:uid="{00000000-0002-0000-6100-000008000000}">
          <x14:formula1>
            <xm:f>'DATOS INICIALES'!$A$13:$A$50</xm:f>
          </x14:formula1>
          <xm:sqref>G33:I33</xm:sqref>
        </x14:dataValidation>
        <x14:dataValidation type="list" allowBlank="1" showInputMessage="1" showErrorMessage="1" xr:uid="{00000000-0002-0000-6100-000009000000}">
          <x14:formula1>
            <xm:f>'DATOS INICIALES'!$C$52:$C$54</xm:f>
          </x14:formula1>
          <xm:sqref>D50:J52</xm:sqref>
        </x14:dataValidation>
      </x14:dataValidations>
    </ext>
  </extLst>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200-000000000000}">
  <sheetPr>
    <tabColor rgb="FF92D050"/>
  </sheetPr>
  <dimension ref="A1:N72"/>
  <sheetViews>
    <sheetView view="pageBreakPreview" zoomScale="55" zoomScaleNormal="25" zoomScaleSheetLayoutView="55" workbookViewId="0">
      <selection activeCell="G18" sqref="G18"/>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93</v>
      </c>
      <c r="B11" s="2" t="s">
        <v>58</v>
      </c>
      <c r="C11" s="413" t="str">
        <f>VLOOKUP(A11,PROPONENTES!A10:B111,2,FALSE)</f>
        <v>ONSORCIO FLU 003 GH 2025</v>
      </c>
      <c r="D11" s="413"/>
      <c r="E11" s="413"/>
      <c r="F11" s="413"/>
      <c r="G11" s="413"/>
      <c r="H11" s="131" t="s">
        <v>59</v>
      </c>
      <c r="I11" s="417" t="str">
        <f>IF(AND(F22="CUMPLE",G22="CUMPLE",H22="CUMPLE",L14="CUMPLE",D72="CUMPLE",K18="CUMPLE"),"CUMPLE","NO CUMPLE")</f>
        <v>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4</v>
      </c>
      <c r="J14" s="147">
        <f>+L8</f>
        <v>986.3076290832455</v>
      </c>
      <c r="K14" s="147">
        <f>+E22</f>
        <v>7808.1115000000009</v>
      </c>
      <c r="L14" s="18" t="str">
        <f>IF(K14&gt;=J14,"CUMPLE","NO CUMPLE")</f>
        <v>CUMPLE</v>
      </c>
    </row>
    <row r="15" spans="1:12" ht="33.75" customHeight="1" x14ac:dyDescent="0.2">
      <c r="B15" s="382"/>
      <c r="C15" s="92" t="str">
        <f>IF(VLOOKUP(C11,PROPONENTES!B10:N111,2,FALSE)=0,"",VLOOKUP(C11,PROPONENTES!B10:N111,2,FALSE))</f>
        <v>GHF INGENIERÍA Y CONSTRUCCIONES SAS</v>
      </c>
      <c r="D15" s="93">
        <f>IF(VLOOKUP(C11,PROPONENTES!B10:N111,3,FALSE)=0,"",VLOOKUP(C11,PROPONENTES!B10:N111,3,FALSE))</f>
        <v>0.9</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7763.5925000000007</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IF(VLOOKUP(C11,PROPONENTES!B10:N111,4,FALSE)=0,"",VLOOKUP(C11,PROPONENTES!B10:N111,4,FALSE))</f>
        <v>HIDRALARPI PROFESIONALES ASOCIADOS SAS</v>
      </c>
      <c r="D16" s="93">
        <f>IF(VLOOKUP(C11,PROPONENTES!B10:N111,5,FALSE)=0,"",VLOOKUP(C11,PROPONENTES!B10:N111,5,FALSE))</f>
        <v>0.1</v>
      </c>
      <c r="E16" s="94">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44.519000000000005</v>
      </c>
      <c r="F16" s="95" t="str">
        <f>IF(C16="","",IF(E16&gt;=$J$14*0.5,"SI","NO"))</f>
        <v>NO</v>
      </c>
      <c r="G16" s="96" t="s">
        <v>1398</v>
      </c>
      <c r="H16" s="96" t="str">
        <f>IF(C16="","",IF(AND(G16="NO APORTA EXPERIENCIA",D16&lt;=10%),"SI",IF(G16="SI","NO APLICA","NO - PORCENTAJE MAYOR AL 10%")))</f>
        <v>SI</v>
      </c>
      <c r="I16" s="162"/>
      <c r="J16" s="162"/>
      <c r="K16" s="162"/>
      <c r="L16" s="161">
        <f>AVERAGEIF(D67:J67,"CUMPLE",D48:J48)</f>
        <v>1952.027875</v>
      </c>
    </row>
    <row r="17" spans="2:14" ht="33.75" customHeight="1" x14ac:dyDescent="0.2">
      <c r="B17" s="382"/>
      <c r="C17" s="92" t="str">
        <f>IF(VLOOKUP(C11,PROPONENTES!B10:N111,6,FALSE)=0,"",VLOOKUP(C11,PROPONENTES!B10:N111,6,FALSE))</f>
        <v/>
      </c>
      <c r="D17" s="93" t="str">
        <f>IF(VLOOKUP(C11,PROPONENTES!B10:N111,7,FALSE)=0,"",VLOOKUP(C11,PROPONENTES!B10:N111,7,FALSE))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IF(VLOOKUP(C11,PROPONENTES!B10:N111,8,FALSE)=0,"",VLOOKUP(C11,PROPONENTES!B10:N111,8,FALSE))</f>
        <v/>
      </c>
      <c r="D18" s="93" t="str">
        <f>IF(VLOOKUP(C11,PROPONENTES!B10:N111,9,FALSE)=0,"",VLOOKUP(C11,PROPONENTES!B10:N111,9,FALSE))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4</v>
      </c>
      <c r="J18" s="128">
        <v>1</v>
      </c>
      <c r="K18" s="385" t="str">
        <f>IF(AND(I18&gt;=J18,I19&gt;=J19,I20&gt;=J20,I21&gt;=J21),"CUMPLE","NO CUMPLE")</f>
        <v>CUMPLE</v>
      </c>
      <c r="L18" s="386"/>
    </row>
    <row r="19" spans="2:14" ht="50.25" customHeight="1" x14ac:dyDescent="0.2">
      <c r="B19" s="382"/>
      <c r="C19" s="92"/>
      <c r="D19" s="93"/>
      <c r="E19" s="94"/>
      <c r="F19" s="95"/>
      <c r="G19" s="96"/>
      <c r="H19" s="96"/>
      <c r="I19" s="128">
        <f>COUNTIFS(D58:J58,"CUMPLE",D67:J67,"CUMPLE")</f>
        <v>4</v>
      </c>
      <c r="J19" s="128">
        <v>1</v>
      </c>
      <c r="K19" s="387"/>
      <c r="L19" s="388"/>
    </row>
    <row r="20" spans="2:14" ht="50.25" customHeight="1" x14ac:dyDescent="0.2">
      <c r="B20" s="382"/>
      <c r="C20" s="92"/>
      <c r="D20" s="93"/>
      <c r="E20" s="94"/>
      <c r="F20" s="95"/>
      <c r="G20" s="96"/>
      <c r="H20" s="96"/>
      <c r="I20" s="128">
        <f>COUNTIFS(D60:J60,"CUMPLE",D67:J67,"CUMPLE")</f>
        <v>4</v>
      </c>
      <c r="J20" s="128">
        <v>1</v>
      </c>
      <c r="K20" s="387"/>
      <c r="L20" s="388"/>
    </row>
    <row r="21" spans="2:14" ht="33.75" customHeight="1" x14ac:dyDescent="0.2">
      <c r="B21" s="382"/>
      <c r="C21" s="92" t="str">
        <f>IF(VLOOKUP(C11,PROPONENTES!B10:N111,10,FALSE)=0,"",VLOOKUP(C11,PROPONENTES!B10:N111,10,FALSE))</f>
        <v/>
      </c>
      <c r="D21" s="93" t="str">
        <f>IF(VLOOKUP(C11,PROPONENTES!B10:N111,11,FALSE)=0,"",VLOOKUP(C11,PROPONENTES!B10:N111,11,FALSE))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4</v>
      </c>
      <c r="J21" s="128">
        <v>1</v>
      </c>
      <c r="K21" s="389"/>
      <c r="L21" s="390"/>
    </row>
    <row r="22" spans="2:14" ht="84.75" customHeight="1" x14ac:dyDescent="0.2">
      <c r="B22" s="29" t="s">
        <v>75</v>
      </c>
      <c r="C22" s="24">
        <f>+VLOOKUP(C11,PROPONENTES!B10:N111,12,FALSE)</f>
        <v>2</v>
      </c>
      <c r="D22" s="93">
        <f>+VLOOKUP(C11,PROPONENTES!B10:N111,13,FALSE)</f>
        <v>1</v>
      </c>
      <c r="E22" s="32">
        <f>SUM(E15:E21)</f>
        <v>7808.1115000000009</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1281</v>
      </c>
      <c r="E26" s="84" t="s">
        <v>1281</v>
      </c>
      <c r="F26" s="84" t="s">
        <v>1281</v>
      </c>
      <c r="G26" s="84" t="s">
        <v>1281</v>
      </c>
      <c r="H26" s="84"/>
      <c r="I26" s="84"/>
      <c r="J26" s="84"/>
      <c r="K26" s="145"/>
      <c r="L26" s="140"/>
    </row>
    <row r="27" spans="2:14" ht="39.75" customHeight="1" x14ac:dyDescent="0.2">
      <c r="B27" s="371" t="s">
        <v>80</v>
      </c>
      <c r="C27" s="372"/>
      <c r="D27" s="84" t="s">
        <v>1282</v>
      </c>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1382</v>
      </c>
      <c r="E29" s="85" t="s">
        <v>1383</v>
      </c>
      <c r="F29" s="85" t="s">
        <v>1384</v>
      </c>
      <c r="G29" s="85" t="s">
        <v>1385</v>
      </c>
      <c r="H29" s="85"/>
      <c r="I29" s="85"/>
      <c r="J29" s="85"/>
      <c r="K29" s="145"/>
      <c r="L29" s="140"/>
    </row>
    <row r="30" spans="2:14" ht="156.75" customHeight="1" x14ac:dyDescent="0.2">
      <c r="B30" s="374"/>
      <c r="C30" s="25" t="s">
        <v>84</v>
      </c>
      <c r="D30" s="85" t="s">
        <v>1386</v>
      </c>
      <c r="E30" s="85" t="s">
        <v>1387</v>
      </c>
      <c r="F30" s="85" t="s">
        <v>1388</v>
      </c>
      <c r="G30" s="85" t="s">
        <v>1389</v>
      </c>
      <c r="H30" s="85"/>
      <c r="I30" s="85"/>
      <c r="J30" s="85"/>
      <c r="K30" s="145"/>
      <c r="L30" s="140"/>
    </row>
    <row r="31" spans="2:14" ht="52.5" customHeight="1" x14ac:dyDescent="0.2">
      <c r="B31" s="374"/>
      <c r="C31" s="25" t="s">
        <v>85</v>
      </c>
      <c r="D31" s="89">
        <v>44859</v>
      </c>
      <c r="E31" s="89">
        <v>43682</v>
      </c>
      <c r="F31" s="89">
        <v>40074</v>
      </c>
      <c r="G31" s="89">
        <v>41663</v>
      </c>
      <c r="H31" s="89"/>
      <c r="I31" s="89"/>
      <c r="J31" s="89"/>
      <c r="K31" s="145"/>
      <c r="L31" s="140"/>
    </row>
    <row r="32" spans="2:14" ht="54.75" customHeight="1" x14ac:dyDescent="0.2">
      <c r="B32" s="374"/>
      <c r="C32" s="25" t="s">
        <v>86</v>
      </c>
      <c r="D32" s="89">
        <v>45227</v>
      </c>
      <c r="E32" s="89">
        <v>45015</v>
      </c>
      <c r="F32" s="89">
        <v>42124</v>
      </c>
      <c r="G32" s="89">
        <v>42369</v>
      </c>
      <c r="H32" s="89"/>
      <c r="I32" s="89"/>
      <c r="J32" s="89"/>
      <c r="K32" s="145"/>
      <c r="L32" s="140"/>
    </row>
    <row r="33" spans="2:12" ht="41.25" customHeight="1" x14ac:dyDescent="0.2">
      <c r="B33" s="374"/>
      <c r="C33" s="25" t="s">
        <v>87</v>
      </c>
      <c r="D33" s="86">
        <v>2023</v>
      </c>
      <c r="E33" s="86">
        <v>2023</v>
      </c>
      <c r="F33" s="86">
        <v>2015</v>
      </c>
      <c r="G33" s="86">
        <v>2015</v>
      </c>
      <c r="H33" s="86"/>
      <c r="I33" s="86"/>
      <c r="J33" s="86"/>
      <c r="K33" s="145"/>
      <c r="L33" s="140"/>
    </row>
    <row r="34" spans="2:12" ht="63" customHeight="1" x14ac:dyDescent="0.2">
      <c r="B34" s="374"/>
      <c r="C34" s="25" t="s">
        <v>88</v>
      </c>
      <c r="D34" s="85" t="s">
        <v>1390</v>
      </c>
      <c r="E34" s="85" t="s">
        <v>1391</v>
      </c>
      <c r="F34" s="85" t="s">
        <v>322</v>
      </c>
      <c r="G34" s="85" t="s">
        <v>1392</v>
      </c>
      <c r="H34" s="85"/>
      <c r="I34" s="85"/>
      <c r="J34" s="85"/>
      <c r="K34" s="145"/>
      <c r="L34" s="140"/>
    </row>
    <row r="35" spans="2:12" ht="46.5" customHeight="1" x14ac:dyDescent="0.2">
      <c r="B35" s="374"/>
      <c r="C35" s="25" t="s">
        <v>89</v>
      </c>
      <c r="D35" s="85" t="s">
        <v>1393</v>
      </c>
      <c r="E35" s="85" t="s">
        <v>1394</v>
      </c>
      <c r="F35" s="85" t="s">
        <v>1395</v>
      </c>
      <c r="G35" s="85" t="s">
        <v>1396</v>
      </c>
      <c r="H35" s="85"/>
      <c r="I35" s="85"/>
      <c r="J35" s="85"/>
      <c r="K35" s="145"/>
      <c r="L35" s="140"/>
    </row>
    <row r="36" spans="2:12" ht="27.75" customHeight="1" x14ac:dyDescent="0.2">
      <c r="B36" s="374"/>
      <c r="C36" s="26" t="s">
        <v>90</v>
      </c>
      <c r="D36" s="311" t="s">
        <v>1397</v>
      </c>
      <c r="E36" s="90">
        <v>155</v>
      </c>
      <c r="F36" s="90">
        <v>6</v>
      </c>
      <c r="G36" s="91">
        <v>111</v>
      </c>
      <c r="H36" s="91"/>
      <c r="I36" s="91"/>
      <c r="J36" s="91"/>
      <c r="K36" s="145"/>
      <c r="L36" s="140"/>
    </row>
    <row r="37" spans="2:12" ht="102.75" customHeight="1" x14ac:dyDescent="0.2">
      <c r="B37" s="374"/>
      <c r="C37" s="25" t="s">
        <v>91</v>
      </c>
      <c r="D37" s="87">
        <v>890.38</v>
      </c>
      <c r="E37" s="158">
        <v>1995.63</v>
      </c>
      <c r="F37" s="87">
        <v>10886.77</v>
      </c>
      <c r="G37" s="87">
        <v>512.91999999999996</v>
      </c>
      <c r="H37" s="87"/>
      <c r="I37" s="87"/>
      <c r="J37" s="87"/>
      <c r="K37" s="242"/>
      <c r="L37" s="243"/>
    </row>
    <row r="38" spans="2:12" ht="48" customHeight="1" x14ac:dyDescent="0.2">
      <c r="B38" s="374"/>
      <c r="C38" s="25" t="s">
        <v>92</v>
      </c>
      <c r="D38" s="97">
        <f>IFERROR(D37*VLOOKUP(D33,'DATOS INICIALES'!$A$12:$B$50,2,0),"0")</f>
        <v>1032840800</v>
      </c>
      <c r="E38" s="97">
        <f>IFERROR(E37*VLOOKUP(E33,'DATOS INICIALES'!$A$12:$B$50,2,0),"0")</f>
        <v>2314930800</v>
      </c>
      <c r="F38" s="97">
        <f>IFERROR(F37*VLOOKUP(F33,'DATOS INICIALES'!$A$12:$B$50,2,0),"0")</f>
        <v>7014890249.5</v>
      </c>
      <c r="G38" s="97">
        <f>IFERROR(G37*VLOOKUP(G33,'DATOS INICIALES'!$A$12:$B$50,2,0),"0")</f>
        <v>330500002</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0.65</v>
      </c>
      <c r="E39" s="88">
        <v>0.25</v>
      </c>
      <c r="F39" s="88">
        <v>0.6</v>
      </c>
      <c r="G39" s="88">
        <v>0.3</v>
      </c>
      <c r="H39" s="88"/>
      <c r="I39" s="88"/>
      <c r="J39" s="88"/>
      <c r="K39" s="145"/>
      <c r="L39" s="140"/>
    </row>
    <row r="40" spans="2:12" ht="48.75" customHeight="1" x14ac:dyDescent="0.2">
      <c r="B40" s="374"/>
      <c r="C40" s="25" t="s">
        <v>94</v>
      </c>
      <c r="D40" s="97">
        <f t="shared" ref="D40:J40" si="0">IF(D26="","0",D39*D38)</f>
        <v>671346520</v>
      </c>
      <c r="E40" s="97">
        <f t="shared" si="0"/>
        <v>578732700</v>
      </c>
      <c r="F40" s="97">
        <f t="shared" si="0"/>
        <v>4208934149.6999998</v>
      </c>
      <c r="G40" s="97">
        <f t="shared" si="0"/>
        <v>99150000.599999994</v>
      </c>
      <c r="H40" s="97" t="str">
        <f t="shared" si="0"/>
        <v>0</v>
      </c>
      <c r="I40" s="97" t="str">
        <f t="shared" si="0"/>
        <v>0</v>
      </c>
      <c r="J40" s="97" t="str">
        <f t="shared" si="0"/>
        <v>0</v>
      </c>
      <c r="K40" s="145"/>
      <c r="L40" s="140"/>
    </row>
    <row r="41" spans="2:12" ht="65.25" customHeight="1" x14ac:dyDescent="0.2">
      <c r="B41" s="374"/>
      <c r="C41" s="25" t="s">
        <v>95</v>
      </c>
      <c r="D41" s="98">
        <f t="shared" ref="D41:J41" si="1">IFERROR(D37*D39,"0")</f>
        <v>578.74700000000007</v>
      </c>
      <c r="E41" s="98">
        <f t="shared" si="1"/>
        <v>498.90750000000003</v>
      </c>
      <c r="F41" s="98">
        <f t="shared" si="1"/>
        <v>6532.0619999999999</v>
      </c>
      <c r="G41" s="98">
        <f t="shared" si="1"/>
        <v>153.87599999999998</v>
      </c>
      <c r="H41" s="98">
        <f t="shared" si="1"/>
        <v>0</v>
      </c>
      <c r="I41" s="98">
        <f t="shared" si="1"/>
        <v>0</v>
      </c>
      <c r="J41" s="98">
        <f t="shared" si="1"/>
        <v>0</v>
      </c>
      <c r="K41" s="145"/>
      <c r="L41" s="140"/>
    </row>
    <row r="42" spans="2:12" ht="65.25" customHeight="1" x14ac:dyDescent="0.2">
      <c r="B42" s="374"/>
      <c r="C42" s="25" t="s">
        <v>96</v>
      </c>
      <c r="D42" s="88">
        <v>0.05</v>
      </c>
      <c r="E42" s="88"/>
      <c r="F42" s="88"/>
      <c r="G42" s="88"/>
      <c r="H42" s="88"/>
      <c r="I42" s="88"/>
      <c r="J42" s="88"/>
      <c r="K42" s="145"/>
      <c r="L42" s="140"/>
    </row>
    <row r="43" spans="2:12" ht="65.25" customHeight="1" x14ac:dyDescent="0.2">
      <c r="B43" s="374"/>
      <c r="C43" s="25" t="s">
        <v>97</v>
      </c>
      <c r="D43" s="99">
        <f t="shared" ref="D43:J43" si="2">IF(D27="","0",D42*D38)</f>
        <v>51642040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44.519000000000005</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623.26600000000008</v>
      </c>
      <c r="E48" s="98">
        <f t="shared" ref="E48:G48" si="6">+E41+E44+E47</f>
        <v>498.90750000000003</v>
      </c>
      <c r="F48" s="98">
        <f t="shared" si="6"/>
        <v>6532.0619999999999</v>
      </c>
      <c r="G48" s="98">
        <f t="shared" si="6"/>
        <v>153.87599999999998</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CUMPLE</v>
      </c>
      <c r="H55" s="18" t="str">
        <f t="shared" si="8"/>
        <v>N/A</v>
      </c>
      <c r="I55" s="18" t="str">
        <f t="shared" si="8"/>
        <v>N/A</v>
      </c>
      <c r="J55" s="18" t="str">
        <f t="shared" si="8"/>
        <v>N/A</v>
      </c>
      <c r="K55" s="145"/>
      <c r="L55" s="140"/>
    </row>
    <row r="56" spans="2:12" ht="183" customHeight="1" x14ac:dyDescent="0.2">
      <c r="B56" s="431" t="s">
        <v>176</v>
      </c>
      <c r="C56" s="432"/>
      <c r="D56" s="84" t="s">
        <v>24</v>
      </c>
      <c r="E56" s="84" t="s">
        <v>24</v>
      </c>
      <c r="F56" s="84" t="s">
        <v>24</v>
      </c>
      <c r="G56" s="84" t="s">
        <v>24</v>
      </c>
      <c r="H56" s="84" t="s">
        <v>24</v>
      </c>
      <c r="I56" s="84" t="s">
        <v>24</v>
      </c>
      <c r="J56" s="84" t="s">
        <v>24</v>
      </c>
      <c r="K56" s="240"/>
      <c r="L56" s="241"/>
    </row>
    <row r="57" spans="2:12" ht="50.25" customHeight="1" x14ac:dyDescent="0.2">
      <c r="B57" s="431" t="s">
        <v>177</v>
      </c>
      <c r="C57" s="432"/>
      <c r="D57" s="84" t="s">
        <v>24</v>
      </c>
      <c r="E57" s="84" t="s">
        <v>24</v>
      </c>
      <c r="F57" s="84" t="s">
        <v>24</v>
      </c>
      <c r="G57" s="84" t="s">
        <v>24</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145"/>
      <c r="L66" s="140"/>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CUMPLE</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1">
    <mergeCell ref="B70:C70"/>
    <mergeCell ref="B71:C71"/>
    <mergeCell ref="B72:C72"/>
    <mergeCell ref="B65:C65"/>
    <mergeCell ref="B66:C66"/>
    <mergeCell ref="B67:C67"/>
    <mergeCell ref="B69:E69"/>
    <mergeCell ref="B62:C62"/>
    <mergeCell ref="B63:C63"/>
    <mergeCell ref="B64:C64"/>
    <mergeCell ref="B59:C59"/>
    <mergeCell ref="B60:C60"/>
    <mergeCell ref="B61:C61"/>
    <mergeCell ref="B56:C56"/>
    <mergeCell ref="B57:C57"/>
    <mergeCell ref="B58:C58"/>
    <mergeCell ref="B50:B55"/>
    <mergeCell ref="B28:C28"/>
    <mergeCell ref="B29:B47"/>
    <mergeCell ref="I22:L22"/>
    <mergeCell ref="B12:L12"/>
    <mergeCell ref="B13:H13"/>
    <mergeCell ref="B14:B21"/>
    <mergeCell ref="K17:L17"/>
    <mergeCell ref="K18:L21"/>
    <mergeCell ref="B24:L24"/>
    <mergeCell ref="K25:L25"/>
    <mergeCell ref="B26:C26"/>
    <mergeCell ref="B27:C27"/>
    <mergeCell ref="B23:L23"/>
    <mergeCell ref="C8:I8"/>
    <mergeCell ref="C9:I9"/>
    <mergeCell ref="C10:I10"/>
    <mergeCell ref="C11:G11"/>
    <mergeCell ref="B2:L2"/>
    <mergeCell ref="B3:L3"/>
    <mergeCell ref="B4:L4"/>
    <mergeCell ref="B5:L5"/>
    <mergeCell ref="B7:I7"/>
    <mergeCell ref="J7:L7"/>
    <mergeCell ref="I11:L11"/>
  </mergeCells>
  <conditionalFormatting sqref="D71">
    <cfRule type="cellIs" dxfId="115" priority="98" operator="equal">
      <formula>"NO CUMPLE"</formula>
    </cfRule>
    <cfRule type="containsBlanks" dxfId="114" priority="96">
      <formula>LEN(TRIM(D71))=0</formula>
    </cfRule>
    <cfRule type="cellIs" dxfId="113" priority="99" operator="equal">
      <formula>"CUMPLE"</formula>
    </cfRule>
    <cfRule type="notContainsErrors" dxfId="112" priority="97">
      <formula>NOT(ISERROR(D71))</formula>
    </cfRule>
  </conditionalFormatting>
  <conditionalFormatting sqref="D72">
    <cfRule type="cellIs" dxfId="111" priority="100" operator="equal">
      <formula>"N/A"</formula>
    </cfRule>
    <cfRule type="cellIs" dxfId="110" priority="102" operator="equal">
      <formula>"NO CUMPLE"</formula>
    </cfRule>
    <cfRule type="cellIs" dxfId="109" priority="101" operator="equal">
      <formula>"CUMPLE"</formula>
    </cfRule>
    <cfRule type="cellIs" dxfId="108" priority="103" operator="equal">
      <formula>"""CUMPLE"""</formula>
    </cfRule>
  </conditionalFormatting>
  <conditionalFormatting sqref="D26:J37">
    <cfRule type="containsBlanks" dxfId="107" priority="5">
      <formula>LEN(TRIM(D26))=0</formula>
    </cfRule>
    <cfRule type="notContainsErrors" dxfId="106" priority="6">
      <formula>NOT(ISERROR(D26))</formula>
    </cfRule>
  </conditionalFormatting>
  <conditionalFormatting sqref="D36:J36">
    <cfRule type="containsBlanks" dxfId="105" priority="7">
      <formula>LEN(TRIM(D36))=0</formula>
    </cfRule>
    <cfRule type="notContainsErrors" dxfId="104" priority="8">
      <formula>NOT(ISERROR(D36))</formula>
    </cfRule>
  </conditionalFormatting>
  <conditionalFormatting sqref="D39:J39">
    <cfRule type="notContainsErrors" dxfId="103" priority="4">
      <formula>NOT(ISERROR(D39))</formula>
    </cfRule>
    <cfRule type="containsBlanks" dxfId="102" priority="3">
      <formula>LEN(TRIM(D39))=0</formula>
    </cfRule>
  </conditionalFormatting>
  <conditionalFormatting sqref="D42:J42">
    <cfRule type="containsBlanks" dxfId="101" priority="1">
      <formula>LEN(TRIM(D42))=0</formula>
    </cfRule>
    <cfRule type="notContainsErrors" dxfId="100" priority="2">
      <formula>NOT(ISERROR(D42))</formula>
    </cfRule>
  </conditionalFormatting>
  <conditionalFormatting sqref="D45:J45">
    <cfRule type="notContainsErrors" dxfId="99" priority="64">
      <formula>NOT(ISERROR(D45))</formula>
    </cfRule>
    <cfRule type="containsBlanks" dxfId="98" priority="63">
      <formula>LEN(TRIM(D45))=0</formula>
    </cfRule>
  </conditionalFormatting>
  <conditionalFormatting sqref="D49:J54">
    <cfRule type="cellIs" dxfId="97" priority="19" operator="equal">
      <formula>"NO CUMPLE"</formula>
    </cfRule>
    <cfRule type="cellIs" dxfId="96" priority="20" operator="equal">
      <formula>"CUMPLE"</formula>
    </cfRule>
    <cfRule type="containsBlanks" dxfId="95" priority="21">
      <formula>LEN(TRIM(D49))=0</formula>
    </cfRule>
    <cfRule type="notContainsErrors" dxfId="94" priority="22">
      <formula>NOT(ISERROR(D49))</formula>
    </cfRule>
  </conditionalFormatting>
  <conditionalFormatting sqref="D55:J55">
    <cfRule type="cellIs" dxfId="93" priority="29" operator="equal">
      <formula>"N/A"</formula>
    </cfRule>
    <cfRule type="cellIs" dxfId="92" priority="32" operator="equal">
      <formula>"""CUMPLE"""</formula>
    </cfRule>
    <cfRule type="cellIs" dxfId="91" priority="31" operator="equal">
      <formula>"NO CUMPLE"</formula>
    </cfRule>
    <cfRule type="cellIs" dxfId="90" priority="30" operator="equal">
      <formula>"CUMPLE"</formula>
    </cfRule>
  </conditionalFormatting>
  <conditionalFormatting sqref="D56:J66">
    <cfRule type="cellIs" dxfId="89" priority="13" operator="equal">
      <formula>"NO CUMPLE"</formula>
    </cfRule>
    <cfRule type="notContainsErrors" dxfId="88" priority="16">
      <formula>NOT(ISERROR(D56))</formula>
    </cfRule>
    <cfRule type="cellIs" dxfId="87" priority="14" operator="equal">
      <formula>"CUMPLE"</formula>
    </cfRule>
    <cfRule type="containsBlanks" dxfId="86" priority="15">
      <formula>LEN(TRIM(D56))=0</formula>
    </cfRule>
  </conditionalFormatting>
  <conditionalFormatting sqref="D67:J67">
    <cfRule type="cellIs" dxfId="85" priority="25" operator="equal">
      <formula>"N/A"</formula>
    </cfRule>
    <cfRule type="cellIs" dxfId="84" priority="26" operator="equal">
      <formula>"CUMPLE"</formula>
    </cfRule>
    <cfRule type="cellIs" dxfId="83" priority="28" operator="equal">
      <formula>"""CUMPLE"""</formula>
    </cfRule>
    <cfRule type="cellIs" dxfId="82" priority="27" operator="equal">
      <formula>"NO CUMPLE"</formula>
    </cfRule>
  </conditionalFormatting>
  <conditionalFormatting sqref="D62:K66">
    <cfRule type="containsBlanks" dxfId="81" priority="17">
      <formula>LEN(TRIM(D62))=0</formula>
    </cfRule>
    <cfRule type="notContainsErrors" dxfId="80" priority="18">
      <formula>NOT(ISERROR(D62))</formula>
    </cfRule>
  </conditionalFormatting>
  <conditionalFormatting sqref="E71:E72">
    <cfRule type="notContainsErrors" dxfId="79" priority="95">
      <formula>NOT(ISERROR(E71))</formula>
    </cfRule>
    <cfRule type="containsBlanks" dxfId="78" priority="94">
      <formula>LEN(TRIM(E71))=0</formula>
    </cfRule>
  </conditionalFormatting>
  <conditionalFormatting sqref="F22:H22">
    <cfRule type="cellIs" dxfId="77" priority="118" operator="equal">
      <formula>"NO CUMPLE"</formula>
    </cfRule>
    <cfRule type="cellIs" dxfId="76" priority="119" operator="equal">
      <formula>"""CUMPLE"""</formula>
    </cfRule>
    <cfRule type="cellIs" dxfId="75" priority="117" operator="equal">
      <formula>"CUMPLE"</formula>
    </cfRule>
  </conditionalFormatting>
  <conditionalFormatting sqref="G63:J63">
    <cfRule type="containsBlanks" dxfId="74" priority="9">
      <formula>LEN(TRIM(G63))=0</formula>
    </cfRule>
    <cfRule type="notContainsErrors" dxfId="73" priority="10">
      <formula>NOT(ISERROR(G63))</formula>
    </cfRule>
  </conditionalFormatting>
  <conditionalFormatting sqref="I11">
    <cfRule type="containsText" dxfId="72" priority="123" operator="containsText" text="NO CUMPLE">
      <formula>NOT(ISERROR(SEARCH("NO CUMPLE",I11)))</formula>
    </cfRule>
    <cfRule type="containsText" dxfId="71" priority="122" operator="containsText" text="HABILITADO">
      <formula>NOT(ISERROR(SEARCH("HABILITADO",I11)))</formula>
    </cfRule>
    <cfRule type="containsText" dxfId="70" priority="121" operator="containsText" text="HABILITADO">
      <formula>NOT(ISERROR(SEARCH("HABILITADO",I11)))</formula>
    </cfRule>
    <cfRule type="containsText" dxfId="69" priority="120" operator="containsText" text="INHABILITADO">
      <formula>NOT(ISERROR(SEARCH("INHABILITADO",I11)))</formula>
    </cfRule>
  </conditionalFormatting>
  <conditionalFormatting sqref="K18:K20">
    <cfRule type="cellIs" dxfId="68" priority="92" operator="equal">
      <formula>"NO CUMPLE"</formula>
    </cfRule>
    <cfRule type="cellIs" dxfId="67" priority="93" operator="equal">
      <formula>"""CUMPLE"""</formula>
    </cfRule>
    <cfRule type="cellIs" dxfId="66" priority="91" operator="equal">
      <formula>"CUMPLE"</formula>
    </cfRule>
  </conditionalFormatting>
  <conditionalFormatting sqref="K26:K61 D62:J62">
    <cfRule type="containsBlanks" dxfId="65" priority="11">
      <formula>LEN(TRIM(D26))=0</formula>
    </cfRule>
    <cfRule type="notContainsErrors" dxfId="64" priority="12">
      <formula>NOT(ISERROR(D26))</formula>
    </cfRule>
  </conditionalFormatting>
  <conditionalFormatting sqref="K67:L67">
    <cfRule type="containsBlanks" dxfId="63" priority="23">
      <formula>LEN(TRIM(K67))=0</formula>
    </cfRule>
    <cfRule type="notContainsErrors" dxfId="62" priority="24">
      <formula>NOT(ISERROR(K67))</formula>
    </cfRule>
  </conditionalFormatting>
  <conditionalFormatting sqref="L14">
    <cfRule type="cellIs" dxfId="61" priority="116" operator="equal">
      <formula>"""CUMPLE"""</formula>
    </cfRule>
    <cfRule type="cellIs" dxfId="60" priority="115" operator="equal">
      <formula>"NO CUMPLE"</formula>
    </cfRule>
    <cfRule type="cellIs" dxfId="59" priority="114" operator="equal">
      <formula>"CUMPLE"</formula>
    </cfRule>
  </conditionalFormatting>
  <dataValidations count="2">
    <dataValidation type="list" allowBlank="1" showInputMessage="1" showErrorMessage="1" sqref="D26:J28" xr:uid="{00000000-0002-0000-6200-000000000000}">
      <formula1>$C$15:$C$21</formula1>
    </dataValidation>
    <dataValidation type="list" allowBlank="1" showInputMessage="1" showErrorMessage="1" sqref="L62:L67" xr:uid="{00000000-0002-0000-6200-000001000000}">
      <formula1>"0,1,2,3,4,5,6"</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6200-000002000000}">
          <x14:formula1>
            <xm:f>'DATOS INICIALES'!$D$27:$D$29</xm:f>
          </x14:formula1>
          <xm:sqref>M50:M55</xm:sqref>
        </x14:dataValidation>
        <x14:dataValidation type="list" allowBlank="1" showInputMessage="1" showErrorMessage="1" xr:uid="{00000000-0002-0000-6200-000003000000}">
          <x14:formula1>
            <xm:f>'DATOS INICIALES'!$A$13:$A$50</xm:f>
          </x14:formula1>
          <xm:sqref>H33:I33</xm:sqref>
        </x14:dataValidation>
        <x14:dataValidation type="list" allowBlank="1" showInputMessage="1" showErrorMessage="1" xr:uid="{00000000-0002-0000-6200-000004000000}">
          <x14:formula1>
            <xm:f>'DATOS INICIALES'!$A$61:$A$66</xm:f>
          </x14:formula1>
          <xm:sqref>D25:I25</xm:sqref>
        </x14:dataValidation>
        <x14:dataValidation type="list" allowBlank="1" showInputMessage="1" showErrorMessage="1" xr:uid="{00000000-0002-0000-6200-000005000000}">
          <x14:formula1>
            <xm:f>'DATOS INICIALES'!$A$57:$A$59</xm:f>
          </x14:formula1>
          <xm:sqref>D71 D56:J66</xm:sqref>
        </x14:dataValidation>
        <x14:dataValidation type="list" allowBlank="1" showInputMessage="1" showErrorMessage="1" xr:uid="{00000000-0002-0000-6200-000006000000}">
          <x14:formula1>
            <xm:f>'DATOS INICIALES'!$C$52:$C$53</xm:f>
          </x14:formula1>
          <xm:sqref>D53:J54</xm:sqref>
        </x14:dataValidation>
        <x14:dataValidation type="list" allowBlank="1" showInputMessage="1" showErrorMessage="1" xr:uid="{00000000-0002-0000-6200-000007000000}">
          <x14:formula1>
            <xm:f>'DATOS INICIALES'!$A$61:$A$67</xm:f>
          </x14:formula1>
          <xm:sqref>J25</xm:sqref>
        </x14:dataValidation>
        <x14:dataValidation type="list" allowBlank="1" showInputMessage="1" showErrorMessage="1" xr:uid="{00000000-0002-0000-6200-000008000000}">
          <x14:formula1>
            <xm:f>'DATOS INICIALES'!$A$57:$A$58</xm:f>
          </x14:formula1>
          <xm:sqref>D49:J49</xm:sqref>
        </x14:dataValidation>
        <x14:dataValidation type="list" allowBlank="1" showInputMessage="1" showErrorMessage="1" xr:uid="{00000000-0002-0000-6200-000009000000}">
          <x14:formula1>
            <xm:f>'DATOS INICIALES'!$C$52:$C$54</xm:f>
          </x14:formula1>
          <xm:sqref>D50:J52</xm:sqref>
        </x14:dataValidation>
        <x14:dataValidation type="list" allowBlank="1" showInputMessage="1" showErrorMessage="1" xr:uid="{00000000-0002-0000-6200-00000A000000}">
          <x14:formula1>
            <xm:f>'/Users/ldrr/Desktop/SDDE/REVISION DE CARPETAS/C:\Users\ASUS\OneDrive\Escritorio\alcaldia local de usaquen\2025\16. EVALUACION DE PROCESOS\INTERVENTORIA DE VIAS\consolidado equipo\[juan_manuel_Evaluación_Tecnica_fdlusa-CMA-003-2025 85 A 94.xlsx]DATOS INICIALES'!#REF!</xm:f>
          </x14:formula1>
          <xm:sqref>G33</xm:sqref>
        </x14:dataValidation>
      </x14:dataValidations>
    </ext>
  </extLst>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300-000000000000}">
  <sheetPr>
    <tabColor rgb="FF92D050"/>
  </sheetPr>
  <dimension ref="A1:N72"/>
  <sheetViews>
    <sheetView view="pageBreakPreview" zoomScale="55" zoomScaleNormal="25" zoomScaleSheetLayoutView="55" workbookViewId="0">
      <selection activeCell="G14" sqref="G14"/>
    </sheetView>
  </sheetViews>
  <sheetFormatPr baseColWidth="10" defaultColWidth="11.5" defaultRowHeight="15" x14ac:dyDescent="0.2"/>
  <cols>
    <col min="1" max="1" width="5.5" customWidth="1"/>
    <col min="2" max="2" width="30.83203125" customWidth="1"/>
    <col min="3" max="3" width="63.1640625" customWidth="1"/>
    <col min="4" max="4" width="37.6640625" customWidth="1"/>
    <col min="5" max="5" width="35" customWidth="1"/>
    <col min="6" max="9" width="26.1640625" customWidth="1"/>
    <col min="10" max="10" width="27.83203125" customWidth="1"/>
    <col min="11" max="11" width="27.5" customWidth="1"/>
    <col min="12" max="12" width="48.6640625" customWidth="1"/>
  </cols>
  <sheetData>
    <row r="1" spans="1:12" ht="16" thickBot="1" x14ac:dyDescent="0.25"/>
    <row r="2" spans="1:12" ht="19" x14ac:dyDescent="0.25">
      <c r="B2" s="393" t="s">
        <v>146</v>
      </c>
      <c r="C2" s="394"/>
      <c r="D2" s="394"/>
      <c r="E2" s="394"/>
      <c r="F2" s="394"/>
      <c r="G2" s="394"/>
      <c r="H2" s="394"/>
      <c r="I2" s="394"/>
      <c r="J2" s="394"/>
      <c r="K2" s="394"/>
      <c r="L2" s="395"/>
    </row>
    <row r="3" spans="1:12" ht="4.5" customHeight="1" x14ac:dyDescent="0.2">
      <c r="B3" s="396"/>
      <c r="C3" s="397"/>
      <c r="D3" s="397"/>
      <c r="E3" s="397"/>
      <c r="F3" s="397"/>
      <c r="G3" s="397"/>
      <c r="H3" s="397"/>
      <c r="I3" s="397"/>
      <c r="J3" s="397"/>
      <c r="K3" s="397"/>
      <c r="L3" s="398"/>
    </row>
    <row r="4" spans="1:12" ht="19" x14ac:dyDescent="0.25">
      <c r="B4" s="399" t="str">
        <f>'DATOS INICIALES'!G4</f>
        <v xml:space="preserve"> FDLUSA-CMA-003-2025</v>
      </c>
      <c r="C4" s="400"/>
      <c r="D4" s="400"/>
      <c r="E4" s="400"/>
      <c r="F4" s="400"/>
      <c r="G4" s="400"/>
      <c r="H4" s="400"/>
      <c r="I4" s="400"/>
      <c r="J4" s="400"/>
      <c r="K4" s="400"/>
      <c r="L4" s="401"/>
    </row>
    <row r="5" spans="1:12" ht="3.75" customHeight="1" x14ac:dyDescent="0.2">
      <c r="B5" s="396"/>
      <c r="C5" s="397"/>
      <c r="D5" s="397"/>
      <c r="E5" s="397"/>
      <c r="F5" s="397"/>
      <c r="G5" s="397"/>
      <c r="H5" s="397"/>
      <c r="I5" s="397"/>
      <c r="J5" s="397"/>
      <c r="K5" s="397"/>
      <c r="L5" s="398"/>
    </row>
    <row r="6" spans="1:12" x14ac:dyDescent="0.2">
      <c r="B6" s="13" t="s">
        <v>48</v>
      </c>
      <c r="C6" s="67" t="s">
        <v>49</v>
      </c>
      <c r="D6" s="66" t="s">
        <v>50</v>
      </c>
      <c r="E6" s="83" t="s">
        <v>207</v>
      </c>
      <c r="F6" s="61"/>
      <c r="G6" s="66" t="s">
        <v>51</v>
      </c>
      <c r="H6" s="83" t="s">
        <v>207</v>
      </c>
      <c r="I6" s="37"/>
      <c r="J6" s="37"/>
      <c r="K6" s="37"/>
      <c r="L6" s="38"/>
    </row>
    <row r="7" spans="1:12" x14ac:dyDescent="0.2">
      <c r="B7" s="402" t="s">
        <v>52</v>
      </c>
      <c r="C7" s="403"/>
      <c r="D7" s="403"/>
      <c r="E7" s="403"/>
      <c r="F7" s="403"/>
      <c r="G7" s="403"/>
      <c r="H7" s="403"/>
      <c r="I7" s="403"/>
      <c r="J7" s="404" t="s">
        <v>53</v>
      </c>
      <c r="K7" s="405"/>
      <c r="L7" s="406"/>
    </row>
    <row r="8" spans="1:12" ht="63" customHeight="1" x14ac:dyDescent="0.2">
      <c r="B8" s="2" t="s">
        <v>54</v>
      </c>
      <c r="C8" s="407" t="str">
        <f>'DATOS INICIALES'!D2</f>
        <v>"INTERVENTORÍA TÉCNICA, ADMINISTRATIVA, FINANCIERA, JURÍDICA, AMBIENTAL Y SOCIAL AL CONTRATO DE OBRA PÚBLICA RESULTANTE DEL PROCESO DE LICITACIÓN PÚBLICA CUYO OBJETO ES: CONTRATAR POR EL SISTEMA DE PRECIOS UNITARIOS Y A MONTO AGOTABLE LA INTERVENCIÓN DE LOS ELEMENTOS DE LA MALLA VIAL LOCAL E INTERMEDIA Y/O ESPACIO PÚBLICO DE LA LOCALIDAD DE USAQUÉN EN BOGOTÁ CON OBRAS Y ACTIVIDADES DE CONSERVACIÓN"</v>
      </c>
      <c r="D8" s="408"/>
      <c r="E8" s="408"/>
      <c r="F8" s="408"/>
      <c r="G8" s="408"/>
      <c r="H8" s="408"/>
      <c r="I8" s="408"/>
      <c r="J8" s="165" t="s">
        <v>55</v>
      </c>
      <c r="K8" s="143">
        <v>1</v>
      </c>
      <c r="L8" s="144">
        <f>K8*$C$10</f>
        <v>986.3076290832455</v>
      </c>
    </row>
    <row r="9" spans="1:12" ht="28.5" customHeight="1" x14ac:dyDescent="0.2">
      <c r="B9" s="2" t="s">
        <v>56</v>
      </c>
      <c r="C9" s="409">
        <f>+'DATOS INICIALES'!C5</f>
        <v>1404008910</v>
      </c>
      <c r="D9" s="410"/>
      <c r="E9" s="410"/>
      <c r="F9" s="410"/>
      <c r="G9" s="410"/>
      <c r="H9" s="410"/>
      <c r="I9" s="410"/>
      <c r="J9" s="142"/>
      <c r="K9" s="143"/>
      <c r="L9" s="144"/>
    </row>
    <row r="10" spans="1:12" ht="25.5" customHeight="1" x14ac:dyDescent="0.2">
      <c r="B10" s="2" t="s">
        <v>57</v>
      </c>
      <c r="C10" s="411">
        <f>C9/'DATOS INICIALES'!B50</f>
        <v>986.3076290832455</v>
      </c>
      <c r="D10" s="412"/>
      <c r="E10" s="412"/>
      <c r="F10" s="412"/>
      <c r="G10" s="412"/>
      <c r="H10" s="412"/>
      <c r="I10" s="412"/>
      <c r="J10" s="142"/>
      <c r="K10" s="143"/>
      <c r="L10" s="144"/>
    </row>
    <row r="11" spans="1:12" ht="59.25" customHeight="1" x14ac:dyDescent="0.2">
      <c r="A11" s="14">
        <v>94</v>
      </c>
      <c r="B11" s="2" t="s">
        <v>58</v>
      </c>
      <c r="C11" s="413" t="str">
        <f>VLOOKUP(A11,PROPONENTES!A10:B111,2,FALSE)</f>
        <v>INGEVAL SAS</v>
      </c>
      <c r="D11" s="413"/>
      <c r="E11" s="413"/>
      <c r="F11" s="413"/>
      <c r="G11" s="413"/>
      <c r="H11" s="131" t="s">
        <v>59</v>
      </c>
      <c r="I11" s="417" t="str">
        <f>IF(AND(F22="CUMPLE",G22="CUMPLE",H22="CUMPLE",L14="CUMPLE",D72="CUMPLE",K18="CUMPLE"),"CUMPLE","NO CUMPLE")</f>
        <v>NO CUMPLE</v>
      </c>
      <c r="J11" s="417"/>
      <c r="K11" s="417"/>
      <c r="L11" s="417"/>
    </row>
    <row r="12" spans="1:12" ht="9.75" customHeight="1" x14ac:dyDescent="0.2">
      <c r="B12" s="414"/>
      <c r="C12" s="415"/>
      <c r="D12" s="415"/>
      <c r="E12" s="415"/>
      <c r="F12" s="415"/>
      <c r="G12" s="415"/>
      <c r="H12" s="415"/>
      <c r="I12" s="415"/>
      <c r="J12" s="415"/>
      <c r="K12" s="415"/>
      <c r="L12" s="416"/>
    </row>
    <row r="13" spans="1:12" s="127" customFormat="1" ht="48.75" customHeight="1" x14ac:dyDescent="0.2">
      <c r="B13" s="369" t="s">
        <v>60</v>
      </c>
      <c r="C13" s="370"/>
      <c r="D13" s="370"/>
      <c r="E13" s="370"/>
      <c r="F13" s="370"/>
      <c r="G13" s="370"/>
      <c r="H13" s="370"/>
      <c r="I13" s="173" t="s">
        <v>61</v>
      </c>
      <c r="J13" s="173" t="s">
        <v>62</v>
      </c>
      <c r="K13" s="173" t="s">
        <v>63</v>
      </c>
      <c r="L13" s="174" t="s">
        <v>64</v>
      </c>
    </row>
    <row r="14" spans="1:12" ht="69" customHeight="1" x14ac:dyDescent="0.2">
      <c r="B14" s="382" t="s">
        <v>65</v>
      </c>
      <c r="C14" s="174" t="s">
        <v>66</v>
      </c>
      <c r="D14" s="174" t="s">
        <v>67</v>
      </c>
      <c r="E14" s="173" t="s">
        <v>68</v>
      </c>
      <c r="F14" s="173" t="s">
        <v>69</v>
      </c>
      <c r="G14" s="173" t="s">
        <v>70</v>
      </c>
      <c r="H14" s="173" t="s">
        <v>71</v>
      </c>
      <c r="I14" s="146">
        <f>COUNTIF(D67:J67,"CUMPLE")</f>
        <v>3</v>
      </c>
      <c r="J14" s="147">
        <f>+L8</f>
        <v>986.3076290832455</v>
      </c>
      <c r="K14" s="147">
        <f>+E22</f>
        <v>6913.3824999999997</v>
      </c>
      <c r="L14" s="18" t="str">
        <f>IF(K14&gt;=J14,"CUMPLE","NO CUMPLE")</f>
        <v>CUMPLE</v>
      </c>
    </row>
    <row r="15" spans="1:12" ht="33.75" customHeight="1" x14ac:dyDescent="0.2">
      <c r="B15" s="382"/>
      <c r="C15" s="92" t="str">
        <f>IF(VLOOKUP(C11,PROPONENTES!B10:N111,2,FALSE)=0,"",VLOOKUP(C11,PROPONENTES!B10:N111,2,FALSE))</f>
        <v>INGEVAL SAS</v>
      </c>
      <c r="D15" s="93">
        <f>IF(VLOOKUP(C11,PROPONENTES!B10:N111,3,FALSE)=0,"",VLOOKUP(C11,PROPONENTES!B10:N111,3,FALSE))</f>
        <v>1</v>
      </c>
      <c r="E15" s="94">
        <f>IF(C15="","",IF($D$67="CUMPLE",IF(C15=$D$26,$D$41)+IF(C15=$D$27,$D$44)+IF(C15=$D$28,$D$47))+IF($E$67="CUMPLE",IF(C15=$E$26,$E$41)+IF(C15=$E$27,$E$44)+IF(C15=$E$28,$E$47))+IF($F$67="CUMPLE",IF(C15=$F$26,$F$41)+IF(C15=$F$27,$F$44)+IF(C15=$F$28,$F$47))+IF($G$67="CUMPLE",IF(C15=$G$26,$G$41)+IF(C15=$G$27,$G$44)+IF(C15=$G$28,$G$47))+IF($H$67="CUMPLE",IF(C15=$H$26,$H$41)+IF(C15=$H$27,$H$44)+IF(C15=$H$28,$H$47))+IF($I$67="CUMPLE",IF(C15=$I$26,$I$41)+IF(C15=$I$27,$I$44)+IF(C15=$I$28,$I$47))+IF($J$67="CUMPLE",IF(C15=$J$26,$J$41)+IF(C15=$J$27,$J$44)+IF(C15=$J$28,$J$47)))</f>
        <v>6913.3824999999997</v>
      </c>
      <c r="F15" s="95" t="str">
        <f>IF(C15="","",IF(E15&gt;=$J$14*0.5,"SI","NO"))</f>
        <v>SI</v>
      </c>
      <c r="G15" s="96" t="str">
        <f>IF(C15="","",IF(E15&gt;=$J$14*0.05,"SI",IF(E15=0,"NO APORTA EXPERIENCIA",)))</f>
        <v>SI</v>
      </c>
      <c r="H15" s="96" t="str">
        <f>IF(C15="","",IF(AND(G15="NO APORTA EXPERIENCIA",D15&lt;=10%),"SI",IF(G15="SI","NO APLICA","NO - PORCENTAJE MAYOR AL 10%")))</f>
        <v>NO APLICA</v>
      </c>
      <c r="I15" s="162"/>
      <c r="J15" s="162"/>
      <c r="K15" s="162"/>
      <c r="L15" s="173" t="s">
        <v>72</v>
      </c>
    </row>
    <row r="16" spans="1:12" ht="33.75" customHeight="1" x14ac:dyDescent="0.2">
      <c r="B16" s="382"/>
      <c r="C16" s="92" t="str">
        <f>IF(VLOOKUP(C11,PROPONENTES!B10:N111,4,FALSE)=0,"",VLOOKUP(C11,PROPONENTES!B10:N111,4,FALSE))</f>
        <v/>
      </c>
      <c r="D16" s="93" t="str">
        <f>IF(VLOOKUP(C11,PROPONENTES!B10:N111,5,FALSE)=0,"",VLOOKUP(C11,PROPONENTES!B10:N111,5,FALSE))</f>
        <v/>
      </c>
      <c r="E16" s="94" t="str">
        <f>IF(C16="","",IF($D$67="CUMPLE",IF(C16=$D$26,$D$41)+IF(C16=$D$27,$D$44)+IF(C16=$D$28,$D$47))+IF($E$67="CUMPLE",IF(C16=$E$26,$E$41)+IF(C16=$E$27,$E$44)+IF(C16=$E$28,$E$47))+IF($F$67="CUMPLE",IF(C16=$F$26,$F$41)+IF(C16=$F$27,$F$44)+IF(C16=$F$28,$F$47))+IF($G$67="CUMPLE",IF(C16=$G$26,$G$41)+IF(C16=$G$27,$G$44)+IF(C16=$G$28,$G$47))+IF($H$67="CUMPLE",IF(C16=$H$26,$H$41)+IF(C16=$H$27,$H$44)+IF(C16=$H$28,$H$47))+IF($I$67="CUMPLE",IF(C16=$I$26,$I$41)+IF(C16=$I$27,$I$44)+IF(C16=$I$28,$I$47))+IF($J$67="CUMPLE",IF(C16=$J$26,$J$41)+IF(C16=$J$27,$J$44)+IF(C16=$J$28,$J$47)))</f>
        <v/>
      </c>
      <c r="F16" s="95" t="str">
        <f>IF(C16="","",IF(E16&gt;=$J$14*0.5,"SI","NO"))</f>
        <v/>
      </c>
      <c r="G16" s="96" t="str">
        <f>IF(C16="","",IF(E16&gt;=$J$14*0.05,"SI",IF(E16=0,"NO APORTA EXPERIENCIA",)))</f>
        <v/>
      </c>
      <c r="H16" s="96" t="str">
        <f>IF(C16="","",IF(AND(G16="NO APORTA EXPERIENCIA",D16&lt;=10%),"SI",IF(G16="SI","NO APLICA","NO - PORCENTAJE MAYOR AL 10%")))</f>
        <v/>
      </c>
      <c r="I16" s="162"/>
      <c r="J16" s="162"/>
      <c r="K16" s="162"/>
      <c r="L16" s="161">
        <f>AVERAGEIF(D67:J67,"CUMPLE",D48:J48)</f>
        <v>2304.4608333333331</v>
      </c>
    </row>
    <row r="17" spans="2:14" ht="33.75" customHeight="1" x14ac:dyDescent="0.2">
      <c r="B17" s="382"/>
      <c r="C17" s="92" t="str">
        <f>IF(VLOOKUP(C11,PROPONENTES!B10:N111,6,FALSE)=0,"",VLOOKUP(C11,PROPONENTES!B10:N111,6,FALSE))</f>
        <v/>
      </c>
      <c r="D17" s="93" t="str">
        <f>IF(VLOOKUP(C11,PROPONENTES!B10:N111,7,FALSE)=0,"",VLOOKUP(C11,PROPONENTES!B10:N111,7,FALSE))</f>
        <v/>
      </c>
      <c r="E17" s="94" t="str">
        <f>IF(C17="","",IF($D$67="CUMPLE",IF(C17=$D$26,$D$41)+IF(C17=$D$27,$D$44)+IF(C17=$D$28,$D$47))+IF($E$67="CUMPLE",IF(C17=$E$26,$E$41)+IF(C17=$E$27,$E$44)+IF(C17=$E$28,$E$47))+IF($F$67="CUMPLE",IF(C17=$F$26,$F$41)+IF(C17=$F$27,$F$44)+IF(C17=$F$28,$F$47))+IF($G$67="CUMPLE",IF(C17=$G$26,$G$41)+IF(C17=$G$27,$G$44)+IF(C17=$G$28,$G$47))+IF($H$67="CUMPLE",IF(C17=$H$26,$H$41)+IF(C17=$H$27,$H$44)+IF(C17=$H$28,$H$47))+IF($I$67="CUMPLE",IF(C17=$I$26,$I$41)+IF(C17=$I$27,$I$44)+IF(C17=$I$28,$I$47))+IF($J$67="CUMPLE",IF(C17=$J$26,$J$41)+IF(C17=$J$27,$J$44)+IF(C17=$J$28,$J$47)))</f>
        <v/>
      </c>
      <c r="F17" s="95" t="str">
        <f>IF(C17="","",IF(E17&gt;=$J$14*0.5,"SI","NO"))</f>
        <v/>
      </c>
      <c r="G17" s="96" t="str">
        <f>IF(C17="","",IF(E17&gt;=$J$14*0.05,"SI",IF(E17=0,"NO APORTA EXPERIENCIA",)))</f>
        <v/>
      </c>
      <c r="H17" s="96" t="str">
        <f>IF(C17="","",IF(AND(G17="NO APORTA EXPERIENCIA",D17&lt;=10%),"SI",IF(G17="SI","NO APLICA","NO - PORCENTAJE MAYOR AL 10%")))</f>
        <v/>
      </c>
      <c r="I17" s="173" t="s">
        <v>73</v>
      </c>
      <c r="J17" s="173" t="s">
        <v>74</v>
      </c>
      <c r="K17" s="383" t="s">
        <v>64</v>
      </c>
      <c r="L17" s="384"/>
    </row>
    <row r="18" spans="2:14" ht="50.25" customHeight="1" x14ac:dyDescent="0.2">
      <c r="B18" s="382"/>
      <c r="C18" s="92" t="str">
        <f>IF(VLOOKUP(C11,PROPONENTES!B10:N111,8,FALSE)=0,"",VLOOKUP(C11,PROPONENTES!B10:N111,8,FALSE))</f>
        <v/>
      </c>
      <c r="D18" s="93" t="str">
        <f>IF(VLOOKUP(C11,PROPONENTES!B10:N111,9,FALSE)=0,"",VLOOKUP(C11,PROPONENTES!B10:N111,9,FALSE))</f>
        <v/>
      </c>
      <c r="E18" s="94" t="str">
        <f>IF(C18="","",IF($D$67="CUMPLE",IF(C18=$D$26,$D$41)+IF(C18=$D$27,$D$44)+IF(C18=$D$28,$D$47))+IF($E$67="CUMPLE",IF(C18=$E$26,$E$41)+IF(C18=$E$27,$E$44)+IF(C18=$E$28,$E$47))+IF($F$67="CUMPLE",IF(C18=$F$26,$F$41)+IF(C18=$F$27,$F$44)+IF(C18=$F$28,$F$47))+IF($G$67="CUMPLE",IF(C18=$G$26,$G$41)+IF(C18=$G$27,$G$44)+IF(C18=$G$28,$G$47))+IF($H$67="CUMPLE",IF(C18=$H$26,$H$41)+IF(C18=$H$27,$H$44)+IF(C18=$H$28,$H$47))+IF($I$67="CUMPLE",IF(C18=$I$26,$I$41)+IF(C18=$I$27,$I$44)+IF(C18=$I$28,$I$47))+IF($J$67="CUMPLE",IF(C18=$J$26,$J$41)+IF(C18=$J$27,$J$44)+IF(C18=$J$28,$J$47)))</f>
        <v/>
      </c>
      <c r="F18" s="95" t="str">
        <f>IF(C18="","",IF(E18&gt;=$J$14*0.5,"SI","NO"))</f>
        <v/>
      </c>
      <c r="G18" s="96" t="str">
        <f>IF(C18="","",IF(E18&gt;=$J$14*0.05,"SI",IF(E18=0,"NO APORTA EXPERIENCIA",)))</f>
        <v/>
      </c>
      <c r="H18" s="96" t="str">
        <f>IF(C18="","",IF(AND(G18="NO APORTA EXPERIENCIA",D18&lt;=10%),"SI",IF(G18="SI","NO APLICA","NO - PORCENTAJE MAYOR AL 10%")))</f>
        <v/>
      </c>
      <c r="I18" s="128">
        <f>COUNTIFS(D57:J57,"CUMPLE",D67:J67,"CUMPLE")</f>
        <v>0</v>
      </c>
      <c r="J18" s="128">
        <v>1</v>
      </c>
      <c r="K18" s="385" t="str">
        <f>IF(AND(I18&gt;=J18,I19&gt;=J19,I20&gt;=J20,I21&gt;=J21),"CUMPLE","NO CUMPLE")</f>
        <v>NO CUMPLE</v>
      </c>
      <c r="L18" s="386"/>
    </row>
    <row r="19" spans="2:14" ht="50.25" customHeight="1" x14ac:dyDescent="0.2">
      <c r="B19" s="382"/>
      <c r="C19" s="92"/>
      <c r="D19" s="93"/>
      <c r="E19" s="94"/>
      <c r="F19" s="95"/>
      <c r="G19" s="96"/>
      <c r="H19" s="96"/>
      <c r="I19" s="128">
        <f>COUNTIFS(D58:J58,"CUMPLE",D67:J67,"CUMPLE")</f>
        <v>3</v>
      </c>
      <c r="J19" s="128">
        <v>1</v>
      </c>
      <c r="K19" s="387"/>
      <c r="L19" s="388"/>
    </row>
    <row r="20" spans="2:14" ht="50.25" customHeight="1" x14ac:dyDescent="0.2">
      <c r="B20" s="382"/>
      <c r="C20" s="92"/>
      <c r="D20" s="93"/>
      <c r="E20" s="94"/>
      <c r="F20" s="95"/>
      <c r="G20" s="96"/>
      <c r="H20" s="96"/>
      <c r="I20" s="128">
        <f>COUNTIFS(D60:J60,"CUMPLE",D67:J67,"CUMPLE")</f>
        <v>3</v>
      </c>
      <c r="J20" s="128">
        <v>1</v>
      </c>
      <c r="K20" s="387"/>
      <c r="L20" s="388"/>
    </row>
    <row r="21" spans="2:14" ht="33.75" customHeight="1" x14ac:dyDescent="0.2">
      <c r="B21" s="382"/>
      <c r="C21" s="92" t="str">
        <f>IF(VLOOKUP(C11,PROPONENTES!B10:N111,10,FALSE)=0,"",VLOOKUP(C11,PROPONENTES!B10:N111,10,FALSE))</f>
        <v/>
      </c>
      <c r="D21" s="93" t="str">
        <f>IF(VLOOKUP(C11,PROPONENTES!B10:N111,11,FALSE)=0,"",VLOOKUP(C11,PROPONENTES!B10:N111,11,FALSE))</f>
        <v/>
      </c>
      <c r="E21" s="94" t="str">
        <f>IF(C21="","",IF($D$67="CUMPLE",IF(C21=$D$26,$D$41)+IF(C21=$D$27,$D$44)+IF(C21=$D$28,$D$47))+IF($E$67="CUMPLE",IF(C21=$E$26,$E$41)+IF(C21=$E$27,$E$44)+IF(C21=$E$28,$E$47))+IF($F$67="CUMPLE",IF(C21=$F$26,$F$41)+IF(C21=$F$27,$F$44)+IF(C21=$F$28,$F$47))+IF($G$67="CUMPLE",IF(C21=$G$26,$G$41)+IF(C21=$G$27,$G$44)+IF(C21=$G$28,$G$47))+IF($H$67="CUMPLE",IF(C21=$H$26,$H$41)+IF(C21=$H$27,$H$44)+IF(C21=$H$28,$H$47))+IF($I$67="CUMPLE",IF(C21=$I$26,$I$41)+IF(C21=$I$27,$I$44)+IF(C21=$I$28,$I$47))+IF($J$67="CUMPLE",IF(C21=$J$26,$J$41)+IF(C21=$J$27,$J$44)+IF(C21=$J$28,$J$47)))</f>
        <v/>
      </c>
      <c r="F21" s="95" t="str">
        <f>IF(C21="","",IF(E21&gt;=$J$14*0.5,"SI","NO"))</f>
        <v/>
      </c>
      <c r="G21" s="96" t="str">
        <f>IF(C21="","",IF(E21&gt;=$J$14*0.05,"SI",IF(E21=0,"NO APORTA EXPERIENCIA",)))</f>
        <v/>
      </c>
      <c r="H21" s="96" t="str">
        <f>IF(C21="","",IF(AND(G21="NO APORTA EXPERIENCIA",D21&lt;=10%),"SI",IF(G21="SI","NO APLICA","NO - PORCENTAJE MAYOR AL 10%")))</f>
        <v/>
      </c>
      <c r="I21" s="128">
        <f>COUNTIFS(D61:J61,"CUMPLE",D67:J67,"CUMPLE")</f>
        <v>3</v>
      </c>
      <c r="J21" s="128">
        <v>1</v>
      </c>
      <c r="K21" s="389"/>
      <c r="L21" s="390"/>
    </row>
    <row r="22" spans="2:14" ht="84.75" customHeight="1" x14ac:dyDescent="0.2">
      <c r="B22" s="29" t="s">
        <v>75</v>
      </c>
      <c r="C22" s="24">
        <f>+VLOOKUP(C11,PROPONENTES!B10:N111,12,FALSE)</f>
        <v>1</v>
      </c>
      <c r="D22" s="93">
        <f>+VLOOKUP(C11,PROPONENTES!B10:N111,13,FALSE)</f>
        <v>1</v>
      </c>
      <c r="E22" s="32">
        <f>SUM(E15:E21)</f>
        <v>6913.3824999999997</v>
      </c>
      <c r="F22" s="18" t="str">
        <f>IF(F15="SI","CUMPLE",IF(F16="SI","CUMPLE",IF(F17="SI","CUMPLE",IF(F18="SI","CUMPLE",IF(F21="SI","CUMPLE","NO CUMPLE")))))</f>
        <v>CUMPLE</v>
      </c>
      <c r="G22" s="18" t="str">
        <f>+IF(COUNTIF(E15:E21,0)&gt;1,"NO CUMPLE, HAY MAS DE UN (1) INTEGRANTE QUE NO APORTA EXPERIENCIA",IF(AND(OR(G15="NO APORTA EXPERIENCIA",G15="SI",G15=""),OR(G16="NO APORTA EXPERIENCIA",G16="SI",G16=""),OR(G17="NO APORTA EXPERIENCIA",G17="SI",G17=""),OR(G18="NO APORTA EXPERIENCIA",G18="SI",G18=""),OR(G21="NO APORTA EXPERIENCIA",G21="SI",G21="")),"CUMPLE","NO CUMPLE"))</f>
        <v>CUMPLE</v>
      </c>
      <c r="H22" s="18" t="str">
        <f>IF(COUNTIF(E15:E21,0)&gt;1,"NO CUMPLE, HAY MAS DE UN (1) INTEGRANTE QUE NO APORTA EXPERIENCIA",IF(AND(OR(H15="NO APLICA",H15="SI",H15=""),OR(H16="NO APLICA",H16="SI",H16=""),OR(H17="NO APLICA",H17="SI",H17=""),OR(H18="NO APLICA",H18="SI",H18=""),OR(H21="NO APLICA",H21="SI",H21="")),"CUMPLE","NO CUMPLE"))</f>
        <v>CUMPLE</v>
      </c>
      <c r="I22" s="418" t="str">
        <f>+D72</f>
        <v>CUMPLE</v>
      </c>
      <c r="J22" s="419"/>
      <c r="K22" s="419"/>
      <c r="L22" s="420"/>
      <c r="N22" s="65"/>
    </row>
    <row r="23" spans="2:14" ht="10.5" customHeight="1" thickBot="1" x14ac:dyDescent="0.25">
      <c r="B23" s="376"/>
      <c r="C23" s="377"/>
      <c r="D23" s="377"/>
      <c r="E23" s="377"/>
      <c r="F23" s="377"/>
      <c r="G23" s="377"/>
      <c r="H23" s="377"/>
      <c r="I23" s="377"/>
      <c r="J23" s="377"/>
      <c r="K23" s="377"/>
      <c r="L23" s="378"/>
    </row>
    <row r="24" spans="2:14" ht="54" customHeight="1" thickBot="1" x14ac:dyDescent="0.25">
      <c r="B24" s="379" t="str">
        <f>CONCATENATE("ACREDITACION EXPERIENCIA ",'DATOS INICIALES'!G4)</f>
        <v>ACREDITACION EXPERIENCIA  FDLUSA-CMA-003-2025</v>
      </c>
      <c r="C24" s="380"/>
      <c r="D24" s="380"/>
      <c r="E24" s="380"/>
      <c r="F24" s="380"/>
      <c r="G24" s="380"/>
      <c r="H24" s="380"/>
      <c r="I24" s="380"/>
      <c r="J24" s="380"/>
      <c r="K24" s="380"/>
      <c r="L24" s="381"/>
    </row>
    <row r="25" spans="2:14" ht="40.5" customHeight="1" x14ac:dyDescent="0.2">
      <c r="B25" s="175" t="s">
        <v>76</v>
      </c>
      <c r="C25" s="159" t="s">
        <v>77</v>
      </c>
      <c r="D25" s="160" t="s">
        <v>28</v>
      </c>
      <c r="E25" s="160" t="s">
        <v>29</v>
      </c>
      <c r="F25" s="160" t="s">
        <v>30</v>
      </c>
      <c r="G25" s="160" t="s">
        <v>31</v>
      </c>
      <c r="H25" s="160" t="s">
        <v>32</v>
      </c>
      <c r="I25" s="160" t="s">
        <v>33</v>
      </c>
      <c r="J25" s="160" t="s">
        <v>34</v>
      </c>
      <c r="K25" s="421" t="s">
        <v>78</v>
      </c>
      <c r="L25" s="422"/>
    </row>
    <row r="26" spans="2:14" ht="39.75" customHeight="1" x14ac:dyDescent="0.2">
      <c r="B26" s="371" t="s">
        <v>79</v>
      </c>
      <c r="C26" s="372"/>
      <c r="D26" s="84" t="s">
        <v>291</v>
      </c>
      <c r="E26" s="84" t="s">
        <v>291</v>
      </c>
      <c r="F26" s="84" t="s">
        <v>291</v>
      </c>
      <c r="G26" s="84" t="s">
        <v>291</v>
      </c>
      <c r="H26" s="84"/>
      <c r="I26" s="84"/>
      <c r="J26" s="84"/>
      <c r="K26" s="145"/>
      <c r="L26" s="140"/>
    </row>
    <row r="27" spans="2:14" ht="39.75" customHeight="1" x14ac:dyDescent="0.2">
      <c r="B27" s="371" t="s">
        <v>80</v>
      </c>
      <c r="C27" s="372"/>
      <c r="D27" s="84"/>
      <c r="E27" s="84"/>
      <c r="F27" s="84"/>
      <c r="G27" s="84"/>
      <c r="H27" s="84"/>
      <c r="I27" s="84"/>
      <c r="J27" s="84"/>
      <c r="K27" s="145"/>
      <c r="L27" s="140"/>
    </row>
    <row r="28" spans="2:14" ht="39.75" customHeight="1" x14ac:dyDescent="0.2">
      <c r="B28" s="371" t="s">
        <v>81</v>
      </c>
      <c r="C28" s="372"/>
      <c r="D28" s="84"/>
      <c r="E28" s="84"/>
      <c r="F28" s="84"/>
      <c r="G28" s="84"/>
      <c r="H28" s="84"/>
      <c r="I28" s="84"/>
      <c r="J28" s="84"/>
      <c r="K28" s="145"/>
      <c r="L28" s="140"/>
    </row>
    <row r="29" spans="2:14" ht="45.75" customHeight="1" x14ac:dyDescent="0.2">
      <c r="B29" s="373" t="s">
        <v>82</v>
      </c>
      <c r="C29" s="25" t="s">
        <v>83</v>
      </c>
      <c r="D29" s="85" t="s">
        <v>1399</v>
      </c>
      <c r="E29" s="85" t="s">
        <v>1400</v>
      </c>
      <c r="F29" s="85" t="s">
        <v>1401</v>
      </c>
      <c r="G29" s="85" t="s">
        <v>1402</v>
      </c>
      <c r="H29" s="85"/>
      <c r="I29" s="85"/>
      <c r="J29" s="85"/>
      <c r="K29" s="145"/>
      <c r="L29" s="140"/>
    </row>
    <row r="30" spans="2:14" ht="156.75" customHeight="1" x14ac:dyDescent="0.2">
      <c r="B30" s="374"/>
      <c r="C30" s="25" t="s">
        <v>84</v>
      </c>
      <c r="D30" s="85" t="s">
        <v>1403</v>
      </c>
      <c r="E30" s="85" t="s">
        <v>1404</v>
      </c>
      <c r="F30" s="85" t="s">
        <v>1405</v>
      </c>
      <c r="G30" s="85" t="s">
        <v>1406</v>
      </c>
      <c r="H30" s="85"/>
      <c r="I30" s="85"/>
      <c r="J30" s="85"/>
      <c r="K30" s="521" t="s">
        <v>1414</v>
      </c>
      <c r="L30" s="522"/>
    </row>
    <row r="31" spans="2:14" ht="52.5" customHeight="1" x14ac:dyDescent="0.2">
      <c r="B31" s="374"/>
      <c r="C31" s="25" t="s">
        <v>85</v>
      </c>
      <c r="D31" s="89">
        <v>41759</v>
      </c>
      <c r="E31" s="89">
        <v>44103</v>
      </c>
      <c r="F31" s="89">
        <v>44441</v>
      </c>
      <c r="G31" s="89">
        <v>43500</v>
      </c>
      <c r="H31" s="89"/>
      <c r="I31" s="89"/>
      <c r="J31" s="89"/>
      <c r="K31" s="145"/>
      <c r="L31" s="140"/>
    </row>
    <row r="32" spans="2:14" ht="54.75" customHeight="1" x14ac:dyDescent="0.2">
      <c r="B32" s="374"/>
      <c r="C32" s="25" t="s">
        <v>86</v>
      </c>
      <c r="D32" s="89">
        <v>42860</v>
      </c>
      <c r="E32" s="89">
        <v>44436</v>
      </c>
      <c r="F32" s="89">
        <v>44860</v>
      </c>
      <c r="G32" s="89">
        <v>45381</v>
      </c>
      <c r="H32" s="89"/>
      <c r="I32" s="89"/>
      <c r="J32" s="89"/>
      <c r="K32" s="145"/>
      <c r="L32" s="140"/>
    </row>
    <row r="33" spans="2:12" ht="41.25" customHeight="1" x14ac:dyDescent="0.2">
      <c r="B33" s="374"/>
      <c r="C33" s="25" t="s">
        <v>87</v>
      </c>
      <c r="D33" s="86">
        <v>2017</v>
      </c>
      <c r="E33" s="86">
        <v>2021</v>
      </c>
      <c r="F33" s="86">
        <v>2022</v>
      </c>
      <c r="G33" s="86">
        <v>2024</v>
      </c>
      <c r="H33" s="86"/>
      <c r="I33" s="86"/>
      <c r="J33" s="86"/>
      <c r="K33" s="145"/>
      <c r="L33" s="140"/>
    </row>
    <row r="34" spans="2:12" ht="63" customHeight="1" x14ac:dyDescent="0.2">
      <c r="B34" s="374"/>
      <c r="C34" s="25" t="s">
        <v>88</v>
      </c>
      <c r="D34" s="85" t="s">
        <v>1407</v>
      </c>
      <c r="E34" s="85" t="s">
        <v>1408</v>
      </c>
      <c r="F34" s="85" t="s">
        <v>1409</v>
      </c>
      <c r="G34" s="85" t="s">
        <v>1410</v>
      </c>
      <c r="H34" s="85"/>
      <c r="I34" s="85"/>
      <c r="J34" s="85"/>
      <c r="K34" s="145"/>
      <c r="L34" s="140"/>
    </row>
    <row r="35" spans="2:12" ht="46.5" customHeight="1" x14ac:dyDescent="0.2">
      <c r="B35" s="374"/>
      <c r="C35" s="25" t="s">
        <v>89</v>
      </c>
      <c r="D35" s="85" t="s">
        <v>1411</v>
      </c>
      <c r="E35" s="84" t="s">
        <v>1272</v>
      </c>
      <c r="F35" s="84" t="s">
        <v>1412</v>
      </c>
      <c r="G35" s="84" t="s">
        <v>1413</v>
      </c>
      <c r="H35" s="85"/>
      <c r="I35" s="85"/>
      <c r="J35" s="85"/>
      <c r="K35" s="145"/>
      <c r="L35" s="140"/>
    </row>
    <row r="36" spans="2:12" ht="27.75" customHeight="1" x14ac:dyDescent="0.2">
      <c r="B36" s="374"/>
      <c r="C36" s="26" t="s">
        <v>90</v>
      </c>
      <c r="D36" s="90">
        <v>73</v>
      </c>
      <c r="E36" s="90">
        <v>89</v>
      </c>
      <c r="F36" s="90">
        <v>92</v>
      </c>
      <c r="G36" s="91">
        <v>95</v>
      </c>
      <c r="H36" s="91"/>
      <c r="I36" s="91"/>
      <c r="J36" s="91"/>
      <c r="K36" s="145"/>
      <c r="L36" s="140"/>
    </row>
    <row r="37" spans="2:12" ht="102.75" customHeight="1" x14ac:dyDescent="0.2">
      <c r="B37" s="374"/>
      <c r="C37" s="25" t="s">
        <v>91</v>
      </c>
      <c r="D37" s="87">
        <v>6897.65</v>
      </c>
      <c r="E37" s="158">
        <v>1419.77</v>
      </c>
      <c r="F37" s="87">
        <v>372.03</v>
      </c>
      <c r="G37" s="87">
        <v>5782.01</v>
      </c>
      <c r="H37" s="87"/>
      <c r="I37" s="87"/>
      <c r="J37" s="87"/>
      <c r="K37" s="242"/>
      <c r="L37" s="243"/>
    </row>
    <row r="38" spans="2:12" ht="48" customHeight="1" x14ac:dyDescent="0.2">
      <c r="B38" s="374"/>
      <c r="C38" s="25" t="s">
        <v>92</v>
      </c>
      <c r="D38" s="97">
        <f>IFERROR(D37*VLOOKUP(D33,'DATOS INICIALES'!$A$12:$B$50,2,0),"0")</f>
        <v>5088513665.0500002</v>
      </c>
      <c r="E38" s="97">
        <f>IFERROR(E37*VLOOKUP(E33,'DATOS INICIALES'!$A$12:$B$50,2,0),"0")</f>
        <v>1289897959.02</v>
      </c>
      <c r="F38" s="97">
        <f>IFERROR(F37*VLOOKUP(F33,'DATOS INICIALES'!$A$12:$B$50,2,0),"0")</f>
        <v>372030000</v>
      </c>
      <c r="G38" s="97">
        <f>IFERROR(G37*VLOOKUP(G33,'DATOS INICIALES'!$A$12:$B$50,2,0),"0")</f>
        <v>7516613000</v>
      </c>
      <c r="H38" s="97" t="str">
        <f>IFERROR(H37*VLOOKUP(H33,'DATOS INICIALES'!$A$12:$B$50,2,0),"0")</f>
        <v>0</v>
      </c>
      <c r="I38" s="97" t="str">
        <f>IFERROR(I37*VLOOKUP(I33,'DATOS INICIALES'!$A$12:$B$50,2,0),"0")</f>
        <v>0</v>
      </c>
      <c r="J38" s="97" t="str">
        <f>IFERROR(J37*VLOOKUP(J33,'DATOS INICIALES'!$A$12:$B$50,2,0),"0")</f>
        <v>0</v>
      </c>
      <c r="K38" s="145"/>
      <c r="L38" s="140"/>
    </row>
    <row r="39" spans="2:12" ht="33.75" customHeight="1" x14ac:dyDescent="0.2">
      <c r="B39" s="374"/>
      <c r="C39" s="25" t="s">
        <v>93</v>
      </c>
      <c r="D39" s="88">
        <v>0.49</v>
      </c>
      <c r="E39" s="88">
        <v>1</v>
      </c>
      <c r="F39" s="88">
        <v>0.95</v>
      </c>
      <c r="G39" s="88">
        <v>0.55000000000000004</v>
      </c>
      <c r="H39" s="88"/>
      <c r="I39" s="88"/>
      <c r="J39" s="88"/>
      <c r="K39" s="145"/>
      <c r="L39" s="140"/>
    </row>
    <row r="40" spans="2:12" ht="48.75" customHeight="1" x14ac:dyDescent="0.2">
      <c r="B40" s="374"/>
      <c r="C40" s="25" t="s">
        <v>94</v>
      </c>
      <c r="D40" s="97">
        <f t="shared" ref="D40:J40" si="0">IF(D26="","0",D39*D38)</f>
        <v>2493371695.8745003</v>
      </c>
      <c r="E40" s="97">
        <f t="shared" si="0"/>
        <v>1289897959.02</v>
      </c>
      <c r="F40" s="97">
        <f t="shared" si="0"/>
        <v>353428500</v>
      </c>
      <c r="G40" s="97">
        <f t="shared" si="0"/>
        <v>4134137150.0000005</v>
      </c>
      <c r="H40" s="97" t="str">
        <f t="shared" si="0"/>
        <v>0</v>
      </c>
      <c r="I40" s="97" t="str">
        <f t="shared" si="0"/>
        <v>0</v>
      </c>
      <c r="J40" s="97" t="str">
        <f t="shared" si="0"/>
        <v>0</v>
      </c>
      <c r="K40" s="145"/>
      <c r="L40" s="140"/>
    </row>
    <row r="41" spans="2:12" ht="65.25" customHeight="1" x14ac:dyDescent="0.2">
      <c r="B41" s="374"/>
      <c r="C41" s="25" t="s">
        <v>95</v>
      </c>
      <c r="D41" s="98">
        <f t="shared" ref="D41:J41" si="1">IFERROR(D37*D39,"0")</f>
        <v>3379.8484999999996</v>
      </c>
      <c r="E41" s="98">
        <f t="shared" si="1"/>
        <v>1419.77</v>
      </c>
      <c r="F41" s="98">
        <f t="shared" si="1"/>
        <v>353.42849999999999</v>
      </c>
      <c r="G41" s="98">
        <f t="shared" si="1"/>
        <v>3180.1055000000006</v>
      </c>
      <c r="H41" s="98">
        <f t="shared" si="1"/>
        <v>0</v>
      </c>
      <c r="I41" s="98">
        <f t="shared" si="1"/>
        <v>0</v>
      </c>
      <c r="J41" s="98">
        <f t="shared" si="1"/>
        <v>0</v>
      </c>
      <c r="K41" s="145"/>
      <c r="L41" s="140"/>
    </row>
    <row r="42" spans="2:12" ht="65.25" customHeight="1" x14ac:dyDescent="0.2">
      <c r="B42" s="374"/>
      <c r="C42" s="25" t="s">
        <v>96</v>
      </c>
      <c r="D42" s="88"/>
      <c r="E42" s="88"/>
      <c r="F42" s="88"/>
      <c r="G42" s="88"/>
      <c r="H42" s="88"/>
      <c r="I42" s="88"/>
      <c r="J42" s="88"/>
      <c r="K42" s="145"/>
      <c r="L42" s="140"/>
    </row>
    <row r="43" spans="2:12" ht="65.25" customHeight="1" x14ac:dyDescent="0.2">
      <c r="B43" s="374"/>
      <c r="C43" s="25" t="s">
        <v>97</v>
      </c>
      <c r="D43" s="99" t="str">
        <f t="shared" ref="D43:J43" si="2">IF(D27="","0",D42*D38)</f>
        <v>0</v>
      </c>
      <c r="E43" s="99" t="str">
        <f t="shared" si="2"/>
        <v>0</v>
      </c>
      <c r="F43" s="99" t="str">
        <f t="shared" si="2"/>
        <v>0</v>
      </c>
      <c r="G43" s="99" t="str">
        <f t="shared" si="2"/>
        <v>0</v>
      </c>
      <c r="H43" s="99" t="str">
        <f t="shared" si="2"/>
        <v>0</v>
      </c>
      <c r="I43" s="99" t="str">
        <f t="shared" si="2"/>
        <v>0</v>
      </c>
      <c r="J43" s="99" t="str">
        <f t="shared" si="2"/>
        <v>0</v>
      </c>
      <c r="K43" s="145"/>
      <c r="L43" s="140"/>
    </row>
    <row r="44" spans="2:12" ht="65.25" customHeight="1" x14ac:dyDescent="0.2">
      <c r="B44" s="374"/>
      <c r="C44" s="25" t="s">
        <v>98</v>
      </c>
      <c r="D44" s="98">
        <f>IF(D27="",0,D37*D42)</f>
        <v>0</v>
      </c>
      <c r="E44" s="98">
        <f t="shared" ref="E44:J44" si="3">IF(E27="",0,E37*E42)</f>
        <v>0</v>
      </c>
      <c r="F44" s="98">
        <f t="shared" si="3"/>
        <v>0</v>
      </c>
      <c r="G44" s="98">
        <f t="shared" si="3"/>
        <v>0</v>
      </c>
      <c r="H44" s="98">
        <f t="shared" si="3"/>
        <v>0</v>
      </c>
      <c r="I44" s="98">
        <f t="shared" si="3"/>
        <v>0</v>
      </c>
      <c r="J44" s="98">
        <f t="shared" si="3"/>
        <v>0</v>
      </c>
      <c r="K44" s="145"/>
      <c r="L44" s="140"/>
    </row>
    <row r="45" spans="2:12" ht="65.25" customHeight="1" x14ac:dyDescent="0.2">
      <c r="B45" s="374"/>
      <c r="C45" s="25" t="s">
        <v>99</v>
      </c>
      <c r="D45" s="88"/>
      <c r="E45" s="88"/>
      <c r="F45" s="88"/>
      <c r="G45" s="88"/>
      <c r="H45" s="88"/>
      <c r="I45" s="88"/>
      <c r="J45" s="88"/>
      <c r="K45" s="145"/>
      <c r="L45" s="140"/>
    </row>
    <row r="46" spans="2:12" ht="65.25" customHeight="1" x14ac:dyDescent="0.2">
      <c r="B46" s="374"/>
      <c r="C46" s="25" t="s">
        <v>100</v>
      </c>
      <c r="D46" s="99" t="str">
        <f>IF(D28="","0",D45*D38)</f>
        <v>0</v>
      </c>
      <c r="E46" s="99" t="str">
        <f t="shared" ref="E46:J46" si="4">IF(E28="","0",E45*E38)</f>
        <v>0</v>
      </c>
      <c r="F46" s="99" t="str">
        <f t="shared" si="4"/>
        <v>0</v>
      </c>
      <c r="G46" s="99" t="str">
        <f t="shared" si="4"/>
        <v>0</v>
      </c>
      <c r="H46" s="99" t="str">
        <f t="shared" si="4"/>
        <v>0</v>
      </c>
      <c r="I46" s="99" t="str">
        <f t="shared" si="4"/>
        <v>0</v>
      </c>
      <c r="J46" s="99" t="str">
        <f t="shared" si="4"/>
        <v>0</v>
      </c>
      <c r="K46" s="145"/>
      <c r="L46" s="140"/>
    </row>
    <row r="47" spans="2:12" ht="65.25" customHeight="1" x14ac:dyDescent="0.2">
      <c r="B47" s="375"/>
      <c r="C47" s="25" t="s">
        <v>101</v>
      </c>
      <c r="D47" s="98">
        <f>IF(D28="",0,D37*D45)</f>
        <v>0</v>
      </c>
      <c r="E47" s="98">
        <f t="shared" ref="E47:J47" si="5">IF(E28="",0,E37*E45)</f>
        <v>0</v>
      </c>
      <c r="F47" s="98">
        <f t="shared" si="5"/>
        <v>0</v>
      </c>
      <c r="G47" s="98">
        <f t="shared" si="5"/>
        <v>0</v>
      </c>
      <c r="H47" s="98">
        <f t="shared" si="5"/>
        <v>0</v>
      </c>
      <c r="I47" s="98">
        <f t="shared" si="5"/>
        <v>0</v>
      </c>
      <c r="J47" s="98">
        <f t="shared" si="5"/>
        <v>0</v>
      </c>
      <c r="K47" s="145"/>
      <c r="L47" s="140"/>
    </row>
    <row r="48" spans="2:12" ht="65.25" customHeight="1" x14ac:dyDescent="0.2">
      <c r="B48" s="177"/>
      <c r="C48" s="26" t="s">
        <v>102</v>
      </c>
      <c r="D48" s="98">
        <f>+D41+D44+D47</f>
        <v>3379.8484999999996</v>
      </c>
      <c r="E48" s="98">
        <f t="shared" ref="E48:G48" si="6">+E41+E44+E47</f>
        <v>1419.77</v>
      </c>
      <c r="F48" s="98">
        <f t="shared" si="6"/>
        <v>353.42849999999999</v>
      </c>
      <c r="G48" s="98">
        <f t="shared" si="6"/>
        <v>3180.1055000000006</v>
      </c>
      <c r="H48" s="98">
        <f>+H41+H44+H47</f>
        <v>0</v>
      </c>
      <c r="I48" s="98">
        <f t="shared" ref="I48:J48" si="7">+I41+I44+I47</f>
        <v>0</v>
      </c>
      <c r="J48" s="98">
        <f t="shared" si="7"/>
        <v>0</v>
      </c>
      <c r="K48" s="145"/>
      <c r="L48" s="140"/>
    </row>
    <row r="49" spans="2:12" ht="39.75" customHeight="1" x14ac:dyDescent="0.2">
      <c r="B49" s="176" t="s">
        <v>103</v>
      </c>
      <c r="C49" s="28" t="s">
        <v>104</v>
      </c>
      <c r="D49" s="84" t="s">
        <v>24</v>
      </c>
      <c r="E49" s="84" t="s">
        <v>24</v>
      </c>
      <c r="F49" s="84" t="s">
        <v>24</v>
      </c>
      <c r="G49" s="84" t="s">
        <v>24</v>
      </c>
      <c r="H49" s="84" t="s">
        <v>24</v>
      </c>
      <c r="I49" s="84" t="s">
        <v>24</v>
      </c>
      <c r="J49" s="84" t="s">
        <v>24</v>
      </c>
      <c r="K49" s="145"/>
      <c r="L49" s="140"/>
    </row>
    <row r="50" spans="2:12" ht="24.75" customHeight="1" x14ac:dyDescent="0.2">
      <c r="B50" s="429"/>
      <c r="C50" s="27">
        <f>+'DATOS INICIALES'!D27</f>
        <v>80101600</v>
      </c>
      <c r="D50" s="90" t="s">
        <v>20</v>
      </c>
      <c r="E50" s="90" t="s">
        <v>20</v>
      </c>
      <c r="F50" s="90" t="s">
        <v>20</v>
      </c>
      <c r="G50" s="90" t="s">
        <v>20</v>
      </c>
      <c r="H50" s="90" t="s">
        <v>20</v>
      </c>
      <c r="I50" s="90" t="s">
        <v>20</v>
      </c>
      <c r="J50" s="90" t="s">
        <v>20</v>
      </c>
      <c r="K50" s="145"/>
      <c r="L50" s="140"/>
    </row>
    <row r="51" spans="2:12" ht="24.75" customHeight="1" x14ac:dyDescent="0.2">
      <c r="B51" s="429"/>
      <c r="C51" s="27">
        <f>+'DATOS INICIALES'!D28</f>
        <v>81101500</v>
      </c>
      <c r="D51" s="90" t="s">
        <v>20</v>
      </c>
      <c r="E51" s="90" t="s">
        <v>20</v>
      </c>
      <c r="F51" s="90" t="s">
        <v>20</v>
      </c>
      <c r="G51" s="90" t="s">
        <v>20</v>
      </c>
      <c r="H51" s="90" t="s">
        <v>20</v>
      </c>
      <c r="I51" s="90" t="s">
        <v>20</v>
      </c>
      <c r="J51" s="90" t="s">
        <v>20</v>
      </c>
      <c r="K51" s="145"/>
      <c r="L51" s="140"/>
    </row>
    <row r="52" spans="2:12" ht="24.75" customHeight="1" x14ac:dyDescent="0.2">
      <c r="B52" s="429"/>
      <c r="C52" s="27">
        <f>+'DATOS INICIALES'!D29</f>
        <v>81102200</v>
      </c>
      <c r="D52" s="90" t="s">
        <v>20</v>
      </c>
      <c r="E52" s="90" t="s">
        <v>20</v>
      </c>
      <c r="F52" s="90" t="s">
        <v>20</v>
      </c>
      <c r="G52" s="90" t="s">
        <v>20</v>
      </c>
      <c r="H52" s="90" t="s">
        <v>20</v>
      </c>
      <c r="I52" s="90" t="s">
        <v>20</v>
      </c>
      <c r="J52" s="90" t="s">
        <v>20</v>
      </c>
      <c r="K52" s="145"/>
      <c r="L52" s="140"/>
    </row>
    <row r="53" spans="2:12" ht="24.75" hidden="1" customHeight="1" x14ac:dyDescent="0.2">
      <c r="B53" s="429"/>
      <c r="C53" s="27">
        <f>+'DATOS INICIALES'!D32</f>
        <v>0</v>
      </c>
      <c r="D53" s="90"/>
      <c r="E53" s="90"/>
      <c r="F53" s="90"/>
      <c r="G53" s="90"/>
      <c r="H53" s="90"/>
      <c r="I53" s="90"/>
      <c r="J53" s="90"/>
      <c r="K53" s="145"/>
      <c r="L53" s="140"/>
    </row>
    <row r="54" spans="2:12" ht="24.75" hidden="1" customHeight="1" x14ac:dyDescent="0.2">
      <c r="B54" s="429"/>
      <c r="C54" s="27"/>
      <c r="D54" s="90"/>
      <c r="E54" s="90"/>
      <c r="F54" s="90"/>
      <c r="G54" s="90"/>
      <c r="H54" s="90"/>
      <c r="I54" s="90"/>
      <c r="J54" s="90"/>
      <c r="K54" s="145"/>
      <c r="L54" s="140"/>
    </row>
    <row r="55" spans="2:12" ht="60.75" customHeight="1" x14ac:dyDescent="0.2">
      <c r="B55" s="430"/>
      <c r="C55" s="18" t="s">
        <v>105</v>
      </c>
      <c r="D55" s="18" t="str">
        <f>IF(D26="","N/A",IF(D50="SI","CUMPLE",IF(D51="SI","CUMPLE",IF(D52="SI","CUMPLE",IF(D53="SI","CUMPLE",IF(D54="SI","CUMPLE","NO CUMPLE"))))))</f>
        <v>CUMPLE</v>
      </c>
      <c r="E55" s="18" t="str">
        <f t="shared" ref="E55:J55" si="8">IF(E26="","N/A",IF(E50="SI","CUMPLE",IF(E51="SI","CUMPLE",IF(E52="SI","CUMPLE",IF(E53="SI","CUMPLE",IF(E54="SI","CUMPLE","NO CUMPLE"))))))</f>
        <v>CUMPLE</v>
      </c>
      <c r="F55" s="18" t="str">
        <f t="shared" si="8"/>
        <v>CUMPLE</v>
      </c>
      <c r="G55" s="18" t="str">
        <f t="shared" si="8"/>
        <v>CUMPLE</v>
      </c>
      <c r="H55" s="18" t="str">
        <f t="shared" si="8"/>
        <v>N/A</v>
      </c>
      <c r="I55" s="18" t="str">
        <f t="shared" si="8"/>
        <v>N/A</v>
      </c>
      <c r="J55" s="18" t="str">
        <f t="shared" si="8"/>
        <v>N/A</v>
      </c>
      <c r="K55" s="145"/>
      <c r="L55" s="140"/>
    </row>
    <row r="56" spans="2:12" ht="183" customHeight="1" x14ac:dyDescent="0.2">
      <c r="B56" s="431" t="s">
        <v>176</v>
      </c>
      <c r="C56" s="432"/>
      <c r="D56" s="84" t="s">
        <v>24</v>
      </c>
      <c r="E56" s="84" t="s">
        <v>26</v>
      </c>
      <c r="F56" s="84" t="s">
        <v>24</v>
      </c>
      <c r="G56" s="84" t="s">
        <v>24</v>
      </c>
      <c r="H56" s="84" t="s">
        <v>24</v>
      </c>
      <c r="I56" s="84" t="s">
        <v>24</v>
      </c>
      <c r="J56" s="84" t="s">
        <v>24</v>
      </c>
      <c r="K56" s="240"/>
      <c r="L56" s="241"/>
    </row>
    <row r="57" spans="2:12" ht="50.25" customHeight="1" x14ac:dyDescent="0.2">
      <c r="B57" s="431" t="s">
        <v>177</v>
      </c>
      <c r="C57" s="432"/>
      <c r="D57" s="84" t="s">
        <v>26</v>
      </c>
      <c r="E57" s="84" t="s">
        <v>26</v>
      </c>
      <c r="F57" s="84" t="s">
        <v>26</v>
      </c>
      <c r="G57" s="84" t="s">
        <v>26</v>
      </c>
      <c r="H57" s="84" t="s">
        <v>24</v>
      </c>
      <c r="I57" s="84" t="s">
        <v>24</v>
      </c>
      <c r="J57" s="84" t="s">
        <v>24</v>
      </c>
      <c r="K57" s="240"/>
      <c r="L57" s="241"/>
    </row>
    <row r="58" spans="2:12" ht="89.5" customHeight="1" x14ac:dyDescent="0.2">
      <c r="B58" s="431" t="s">
        <v>178</v>
      </c>
      <c r="C58" s="432"/>
      <c r="D58" s="84" t="s">
        <v>24</v>
      </c>
      <c r="E58" s="84" t="s">
        <v>24</v>
      </c>
      <c r="F58" s="84" t="s">
        <v>24</v>
      </c>
      <c r="G58" s="84" t="s">
        <v>24</v>
      </c>
      <c r="H58" s="84" t="s">
        <v>24</v>
      </c>
      <c r="I58" s="84" t="s">
        <v>24</v>
      </c>
      <c r="J58" s="84" t="s">
        <v>24</v>
      </c>
      <c r="K58" s="240"/>
      <c r="L58" s="241"/>
    </row>
    <row r="59" spans="2:12" ht="136.25" customHeight="1" x14ac:dyDescent="0.2">
      <c r="B59" s="431" t="s">
        <v>179</v>
      </c>
      <c r="C59" s="432"/>
      <c r="D59" s="84" t="s">
        <v>24</v>
      </c>
      <c r="E59" s="84" t="s">
        <v>24</v>
      </c>
      <c r="F59" s="84" t="s">
        <v>24</v>
      </c>
      <c r="G59" s="84" t="s">
        <v>24</v>
      </c>
      <c r="H59" s="84" t="s">
        <v>24</v>
      </c>
      <c r="I59" s="84" t="s">
        <v>24</v>
      </c>
      <c r="J59" s="84" t="s">
        <v>24</v>
      </c>
      <c r="K59" s="240"/>
      <c r="L59" s="241"/>
    </row>
    <row r="60" spans="2:12" ht="88.25" customHeight="1" x14ac:dyDescent="0.2">
      <c r="B60" s="423" t="s">
        <v>106</v>
      </c>
      <c r="C60" s="424"/>
      <c r="D60" s="84" t="s">
        <v>24</v>
      </c>
      <c r="E60" s="84" t="s">
        <v>24</v>
      </c>
      <c r="F60" s="84" t="s">
        <v>24</v>
      </c>
      <c r="G60" s="84" t="s">
        <v>24</v>
      </c>
      <c r="H60" s="84" t="s">
        <v>24</v>
      </c>
      <c r="I60" s="84" t="s">
        <v>24</v>
      </c>
      <c r="J60" s="84" t="s">
        <v>24</v>
      </c>
      <c r="K60" s="240"/>
      <c r="L60" s="241"/>
    </row>
    <row r="61" spans="2:12" ht="165" customHeight="1" x14ac:dyDescent="0.2">
      <c r="B61" s="431" t="s">
        <v>180</v>
      </c>
      <c r="C61" s="432"/>
      <c r="D61" s="84" t="s">
        <v>24</v>
      </c>
      <c r="E61" s="84" t="s">
        <v>24</v>
      </c>
      <c r="F61" s="84" t="s">
        <v>24</v>
      </c>
      <c r="G61" s="84" t="s">
        <v>24</v>
      </c>
      <c r="H61" s="84" t="s">
        <v>24</v>
      </c>
      <c r="I61" s="84" t="s">
        <v>24</v>
      </c>
      <c r="J61" s="84" t="s">
        <v>24</v>
      </c>
      <c r="K61" s="240"/>
      <c r="L61" s="241"/>
    </row>
    <row r="62" spans="2:12" ht="45.5" customHeight="1" x14ac:dyDescent="0.2">
      <c r="B62" s="423" t="s">
        <v>107</v>
      </c>
      <c r="C62" s="424"/>
      <c r="D62" s="84" t="s">
        <v>24</v>
      </c>
      <c r="E62" s="84" t="s">
        <v>24</v>
      </c>
      <c r="F62" s="84" t="s">
        <v>24</v>
      </c>
      <c r="G62" s="84" t="s">
        <v>24</v>
      </c>
      <c r="H62" s="84" t="s">
        <v>24</v>
      </c>
      <c r="I62" s="84" t="s">
        <v>24</v>
      </c>
      <c r="J62" s="84" t="s">
        <v>24</v>
      </c>
      <c r="K62" s="242"/>
      <c r="L62" s="243"/>
    </row>
    <row r="63" spans="2:12" ht="189" customHeight="1" x14ac:dyDescent="0.2">
      <c r="B63" s="423" t="s">
        <v>181</v>
      </c>
      <c r="C63" s="424"/>
      <c r="D63" s="84" t="s">
        <v>24</v>
      </c>
      <c r="E63" s="84" t="s">
        <v>24</v>
      </c>
      <c r="F63" s="84" t="s">
        <v>24</v>
      </c>
      <c r="G63" s="84" t="s">
        <v>24</v>
      </c>
      <c r="H63" s="84" t="s">
        <v>24</v>
      </c>
      <c r="I63" s="84" t="s">
        <v>24</v>
      </c>
      <c r="J63" s="84" t="s">
        <v>24</v>
      </c>
      <c r="K63" s="145"/>
      <c r="L63" s="140"/>
    </row>
    <row r="64" spans="2:12" ht="181.5" customHeight="1" x14ac:dyDescent="0.2">
      <c r="B64" s="423" t="s">
        <v>182</v>
      </c>
      <c r="C64" s="424"/>
      <c r="D64" s="84" t="s">
        <v>24</v>
      </c>
      <c r="E64" s="84" t="s">
        <v>24</v>
      </c>
      <c r="F64" s="84" t="s">
        <v>24</v>
      </c>
      <c r="G64" s="84" t="s">
        <v>24</v>
      </c>
      <c r="H64" s="84" t="s">
        <v>24</v>
      </c>
      <c r="I64" s="84" t="s">
        <v>24</v>
      </c>
      <c r="J64" s="84" t="s">
        <v>24</v>
      </c>
      <c r="K64" s="145"/>
      <c r="L64" s="140"/>
    </row>
    <row r="65" spans="2:12" ht="336" customHeight="1" x14ac:dyDescent="0.2">
      <c r="B65" s="425" t="s">
        <v>184</v>
      </c>
      <c r="C65" s="425"/>
      <c r="D65" s="84" t="s">
        <v>24</v>
      </c>
      <c r="E65" s="84" t="s">
        <v>24</v>
      </c>
      <c r="F65" s="84" t="s">
        <v>24</v>
      </c>
      <c r="G65" s="84" t="s">
        <v>24</v>
      </c>
      <c r="H65" s="84" t="s">
        <v>24</v>
      </c>
      <c r="I65" s="84" t="s">
        <v>24</v>
      </c>
      <c r="J65" s="84" t="s">
        <v>24</v>
      </c>
      <c r="K65" s="242"/>
      <c r="L65" s="243"/>
    </row>
    <row r="66" spans="2:12" ht="315.5" customHeight="1" x14ac:dyDescent="0.2">
      <c r="B66" s="428" t="s">
        <v>183</v>
      </c>
      <c r="C66" s="428"/>
      <c r="D66" s="84" t="s">
        <v>24</v>
      </c>
      <c r="E66" s="84" t="s">
        <v>24</v>
      </c>
      <c r="F66" s="84" t="s">
        <v>24</v>
      </c>
      <c r="G66" s="84" t="s">
        <v>24</v>
      </c>
      <c r="H66" s="84" t="s">
        <v>24</v>
      </c>
      <c r="I66" s="84" t="s">
        <v>24</v>
      </c>
      <c r="J66" s="84" t="s">
        <v>24</v>
      </c>
      <c r="K66" s="535" t="s">
        <v>1415</v>
      </c>
      <c r="L66" s="536"/>
    </row>
    <row r="67" spans="2:12" ht="70.5" customHeight="1" x14ac:dyDescent="0.2">
      <c r="B67" s="442" t="s">
        <v>108</v>
      </c>
      <c r="C67" s="442"/>
      <c r="D67" s="18" t="str">
        <f>IF(D26="","N/A",IF(AND(D49="CUMPLE",D55="CUMPLE",OR(D56="CUMPLE",D56="N/A"),OR(D59="CUMPLE",D59="N/A"),D62="CUMPLE",D63="CUMPLE",OR(D64="CUMPLE",D64="N/A"),D65="CUMPLE",OR(D66="CUMPLE",D66="N/A")),"CUMPLE","NO CUMPLE"))</f>
        <v>CUMPLE</v>
      </c>
      <c r="E67" s="18" t="str">
        <f>IF(E26="","N/A",IF(AND(E49="CUMPLE",E55="CUMPLE",OR(E56="CUMPLE",E56="N/A"),OR(E59="CUMPLE",E59="N/A"),E62="CUMPLE",E63="CUMPLE",OR(E64="CUMPLE",E64="N/A"),E65="CUMPLE",OR(E66="CUMPLE",E66="N/A")),"CUMPLE","NO CUMPLE"))</f>
        <v>NO CUMPLE</v>
      </c>
      <c r="F67" s="18" t="str">
        <f>IF(F26="","N/A",IF(AND(F49="CUMPLE",F55="CUMPLE",OR(F56="CUMPLE",F56="N/A"),OR(F59="CUMPLE",F59="N/A"),F62="CUMPLE",F63="CUMPLE",OR(F64="CUMPLE",F64="N/A"),F65="CUMPLE",OR(F66="CUMPLE",F66="N/A")),"CUMPLE","NO CUMPLE"))</f>
        <v>CUMPLE</v>
      </c>
      <c r="G67" s="18" t="str">
        <f>IF(G26="","N/A",IF(AND(G49="CUMPLE",G55="CUMPLE",OR(G56="CUMPLE",G56="N/A"),OR(G59="CUMPLE",G59="N/A"),G62="CUMPLE",G63="CUMPLE",OR(G64="CUMPLE",G64="N/A"),G65="CUMPLE",OR(G66="CUMPLE",G66="N/A")),"CUMPLE","NO CUMPLE"))</f>
        <v>CUMPLE</v>
      </c>
      <c r="H67" s="18" t="str">
        <f t="shared" ref="H67:J67" si="9">IF(H26="","N/A",IF(AND(H49="CUMPLE",H55="CUMPLE",OR(H56="CUMPLE",H56="N/A"),OR(H59="CUMPLE",H59="N/A"),H62="CUMPLE",H63="CUMPLE",OR(H64="CUMPLE",H64="N/A"),H65="CUMPLE",OR(H66="CUMPLE",H66="N/A")),"CUMPLE","NO CUMPLE"))</f>
        <v>N/A</v>
      </c>
      <c r="I67" s="18" t="str">
        <f t="shared" si="9"/>
        <v>N/A</v>
      </c>
      <c r="J67" s="18" t="str">
        <f t="shared" si="9"/>
        <v>N/A</v>
      </c>
      <c r="K67" s="139"/>
      <c r="L67" s="140"/>
    </row>
    <row r="68" spans="2:12" ht="16" thickBot="1" x14ac:dyDescent="0.25"/>
    <row r="69" spans="2:12" ht="16" thickBot="1" x14ac:dyDescent="0.25">
      <c r="B69" s="437" t="s">
        <v>109</v>
      </c>
      <c r="C69" s="438"/>
      <c r="D69" s="438"/>
      <c r="E69" s="439"/>
    </row>
    <row r="70" spans="2:12" x14ac:dyDescent="0.2">
      <c r="B70" s="440" t="s">
        <v>110</v>
      </c>
      <c r="C70" s="441"/>
      <c r="D70" s="149" t="s">
        <v>64</v>
      </c>
      <c r="E70" s="150" t="s">
        <v>78</v>
      </c>
    </row>
    <row r="71" spans="2:12" ht="303" customHeight="1" x14ac:dyDescent="0.2">
      <c r="B71" s="433" t="s">
        <v>175</v>
      </c>
      <c r="C71" s="434"/>
      <c r="D71" s="84" t="s">
        <v>24</v>
      </c>
      <c r="E71" s="151"/>
    </row>
    <row r="72" spans="2:12" ht="25.5" customHeight="1" thickBot="1" x14ac:dyDescent="0.25">
      <c r="B72" s="435" t="s">
        <v>111</v>
      </c>
      <c r="C72" s="436"/>
      <c r="D72" s="148" t="str">
        <f>IF(D71="CUMPLE","CUMPLE","NO CUMPLE")</f>
        <v>CUMPLE</v>
      </c>
      <c r="E72" s="152"/>
    </row>
  </sheetData>
  <sheetProtection formatCells="0" formatColumns="0" formatRows="0"/>
  <mergeCells count="43">
    <mergeCell ref="B70:C70"/>
    <mergeCell ref="B71:C71"/>
    <mergeCell ref="B72:C72"/>
    <mergeCell ref="B65:C65"/>
    <mergeCell ref="B66:C66"/>
    <mergeCell ref="B67:C67"/>
    <mergeCell ref="B69:E69"/>
    <mergeCell ref="B62:C62"/>
    <mergeCell ref="B63:C63"/>
    <mergeCell ref="B64:C64"/>
    <mergeCell ref="B59:C59"/>
    <mergeCell ref="B60:C60"/>
    <mergeCell ref="B61:C61"/>
    <mergeCell ref="K18:L21"/>
    <mergeCell ref="B56:C56"/>
    <mergeCell ref="B57:C57"/>
    <mergeCell ref="B58:C58"/>
    <mergeCell ref="B50:B55"/>
    <mergeCell ref="B28:C28"/>
    <mergeCell ref="B29:B47"/>
    <mergeCell ref="K30:L30"/>
    <mergeCell ref="B2:L2"/>
    <mergeCell ref="B3:L3"/>
    <mergeCell ref="B4:L4"/>
    <mergeCell ref="B5:L5"/>
    <mergeCell ref="B7:I7"/>
    <mergeCell ref="J7:L7"/>
    <mergeCell ref="K66:L66"/>
    <mergeCell ref="C8:I8"/>
    <mergeCell ref="C9:I9"/>
    <mergeCell ref="C10:I10"/>
    <mergeCell ref="C11:G11"/>
    <mergeCell ref="I11:L11"/>
    <mergeCell ref="B24:L24"/>
    <mergeCell ref="K25:L25"/>
    <mergeCell ref="B26:C26"/>
    <mergeCell ref="B27:C27"/>
    <mergeCell ref="B23:L23"/>
    <mergeCell ref="I22:L22"/>
    <mergeCell ref="B12:L12"/>
    <mergeCell ref="B13:H13"/>
    <mergeCell ref="B14:B21"/>
    <mergeCell ref="K17:L17"/>
  </mergeCells>
  <conditionalFormatting sqref="D71">
    <cfRule type="notContainsErrors" dxfId="58" priority="99">
      <formula>NOT(ISERROR(D71))</formula>
    </cfRule>
    <cfRule type="containsBlanks" dxfId="57" priority="98">
      <formula>LEN(TRIM(D71))=0</formula>
    </cfRule>
    <cfRule type="cellIs" dxfId="56" priority="100" operator="equal">
      <formula>"NO CUMPLE"</formula>
    </cfRule>
    <cfRule type="cellIs" dxfId="55" priority="101" operator="equal">
      <formula>"CUMPLE"</formula>
    </cfRule>
  </conditionalFormatting>
  <conditionalFormatting sqref="D72">
    <cfRule type="cellIs" dxfId="54" priority="105" operator="equal">
      <formula>"""CUMPLE"""</formula>
    </cfRule>
    <cfRule type="cellIs" dxfId="53" priority="102" operator="equal">
      <formula>"N/A"</formula>
    </cfRule>
    <cfRule type="cellIs" dxfId="52" priority="104" operator="equal">
      <formula>"NO CUMPLE"</formula>
    </cfRule>
    <cfRule type="cellIs" dxfId="51" priority="103" operator="equal">
      <formula>"CUMPLE"</formula>
    </cfRule>
  </conditionalFormatting>
  <conditionalFormatting sqref="D26:J37">
    <cfRule type="containsBlanks" dxfId="50" priority="7">
      <formula>LEN(TRIM(D26))=0</formula>
    </cfRule>
    <cfRule type="notContainsErrors" dxfId="49" priority="8">
      <formula>NOT(ISERROR(D26))</formula>
    </cfRule>
  </conditionalFormatting>
  <conditionalFormatting sqref="D36:J36">
    <cfRule type="containsBlanks" dxfId="48" priority="9">
      <formula>LEN(TRIM(D36))=0</formula>
    </cfRule>
    <cfRule type="notContainsErrors" dxfId="47" priority="10">
      <formula>NOT(ISERROR(D36))</formula>
    </cfRule>
  </conditionalFormatting>
  <conditionalFormatting sqref="D39:J39">
    <cfRule type="containsBlanks" dxfId="46" priority="5">
      <formula>LEN(TRIM(D39))=0</formula>
    </cfRule>
    <cfRule type="notContainsErrors" dxfId="45" priority="6">
      <formula>NOT(ISERROR(D39))</formula>
    </cfRule>
  </conditionalFormatting>
  <conditionalFormatting sqref="D42:J42 D45:J45">
    <cfRule type="notContainsErrors" dxfId="44" priority="66">
      <formula>NOT(ISERROR(D42))</formula>
    </cfRule>
    <cfRule type="containsBlanks" dxfId="43" priority="65">
      <formula>LEN(TRIM(D42))=0</formula>
    </cfRule>
  </conditionalFormatting>
  <conditionalFormatting sqref="D49:J54">
    <cfRule type="cellIs" dxfId="42" priority="22" operator="equal">
      <formula>"CUMPLE"</formula>
    </cfRule>
    <cfRule type="cellIs" dxfId="41" priority="21" operator="equal">
      <formula>"NO CUMPLE"</formula>
    </cfRule>
    <cfRule type="containsBlanks" dxfId="40" priority="23">
      <formula>LEN(TRIM(D49))=0</formula>
    </cfRule>
    <cfRule type="notContainsErrors" dxfId="39" priority="24">
      <formula>NOT(ISERROR(D49))</formula>
    </cfRule>
  </conditionalFormatting>
  <conditionalFormatting sqref="D55:J55">
    <cfRule type="cellIs" dxfId="38" priority="33" operator="equal">
      <formula>"NO CUMPLE"</formula>
    </cfRule>
    <cfRule type="cellIs" dxfId="37" priority="32" operator="equal">
      <formula>"CUMPLE"</formula>
    </cfRule>
    <cfRule type="cellIs" dxfId="36" priority="34" operator="equal">
      <formula>"""CUMPLE"""</formula>
    </cfRule>
    <cfRule type="cellIs" dxfId="35" priority="31" operator="equal">
      <formula>"N/A"</formula>
    </cfRule>
  </conditionalFormatting>
  <conditionalFormatting sqref="D56:J66">
    <cfRule type="cellIs" dxfId="34" priority="16" operator="equal">
      <formula>"CUMPLE"</formula>
    </cfRule>
    <cfRule type="cellIs" dxfId="33" priority="15" operator="equal">
      <formula>"NO CUMPLE"</formula>
    </cfRule>
    <cfRule type="containsBlanks" dxfId="32" priority="17">
      <formula>LEN(TRIM(D56))=0</formula>
    </cfRule>
    <cfRule type="notContainsErrors" dxfId="31" priority="18">
      <formula>NOT(ISERROR(D56))</formula>
    </cfRule>
  </conditionalFormatting>
  <conditionalFormatting sqref="D62:J62">
    <cfRule type="containsBlanks" dxfId="30" priority="13">
      <formula>LEN(TRIM(D62))=0</formula>
    </cfRule>
    <cfRule type="notContainsErrors" dxfId="29" priority="14">
      <formula>NOT(ISERROR(D62))</formula>
    </cfRule>
  </conditionalFormatting>
  <conditionalFormatting sqref="D67:J67">
    <cfRule type="cellIs" dxfId="28" priority="28" operator="equal">
      <formula>"CUMPLE"</formula>
    </cfRule>
    <cfRule type="cellIs" dxfId="27" priority="27" operator="equal">
      <formula>"N/A"</formula>
    </cfRule>
    <cfRule type="cellIs" dxfId="26" priority="30" operator="equal">
      <formula>"""CUMPLE"""</formula>
    </cfRule>
    <cfRule type="cellIs" dxfId="25" priority="29" operator="equal">
      <formula>"NO CUMPLE"</formula>
    </cfRule>
  </conditionalFormatting>
  <conditionalFormatting sqref="D62:K65 D66:J66">
    <cfRule type="containsBlanks" dxfId="24" priority="19">
      <formula>LEN(TRIM(D62))=0</formula>
    </cfRule>
    <cfRule type="notContainsErrors" dxfId="23" priority="20">
      <formula>NOT(ISERROR(D62))</formula>
    </cfRule>
  </conditionalFormatting>
  <conditionalFormatting sqref="E71:E72">
    <cfRule type="notContainsErrors" dxfId="22" priority="97">
      <formula>NOT(ISERROR(E71))</formula>
    </cfRule>
    <cfRule type="containsBlanks" dxfId="21" priority="96">
      <formula>LEN(TRIM(E71))=0</formula>
    </cfRule>
  </conditionalFormatting>
  <conditionalFormatting sqref="F22:H22">
    <cfRule type="cellIs" dxfId="20" priority="120" operator="equal">
      <formula>"NO CUMPLE"</formula>
    </cfRule>
    <cfRule type="cellIs" dxfId="19" priority="119" operator="equal">
      <formula>"CUMPLE"</formula>
    </cfRule>
    <cfRule type="cellIs" dxfId="18" priority="121" operator="equal">
      <formula>"""CUMPLE"""</formula>
    </cfRule>
  </conditionalFormatting>
  <conditionalFormatting sqref="G63:J63">
    <cfRule type="notContainsErrors" dxfId="17" priority="12">
      <formula>NOT(ISERROR(G63))</formula>
    </cfRule>
    <cfRule type="containsBlanks" dxfId="16" priority="11">
      <formula>LEN(TRIM(G63))=0</formula>
    </cfRule>
  </conditionalFormatting>
  <conditionalFormatting sqref="I11">
    <cfRule type="containsText" dxfId="15" priority="125" operator="containsText" text="NO CUMPLE">
      <formula>NOT(ISERROR(SEARCH("NO CUMPLE",I11)))</formula>
    </cfRule>
    <cfRule type="containsText" dxfId="14" priority="123" operator="containsText" text="HABILITADO">
      <formula>NOT(ISERROR(SEARCH("HABILITADO",I11)))</formula>
    </cfRule>
    <cfRule type="containsText" dxfId="13" priority="122" operator="containsText" text="INHABILITADO">
      <formula>NOT(ISERROR(SEARCH("INHABILITADO",I11)))</formula>
    </cfRule>
    <cfRule type="containsText" dxfId="12" priority="124" operator="containsText" text="HABILITADO">
      <formula>NOT(ISERROR(SEARCH("HABILITADO",I11)))</formula>
    </cfRule>
  </conditionalFormatting>
  <conditionalFormatting sqref="K18:K20">
    <cfRule type="cellIs" dxfId="11" priority="95" operator="equal">
      <formula>"""CUMPLE"""</formula>
    </cfRule>
    <cfRule type="cellIs" dxfId="10" priority="94" operator="equal">
      <formula>"NO CUMPLE"</formula>
    </cfRule>
    <cfRule type="cellIs" dxfId="9" priority="93" operator="equal">
      <formula>"CUMPLE"</formula>
    </cfRule>
  </conditionalFormatting>
  <conditionalFormatting sqref="K26:K61">
    <cfRule type="containsBlanks" dxfId="8" priority="3">
      <formula>LEN(TRIM(K26))=0</formula>
    </cfRule>
    <cfRule type="notContainsErrors" dxfId="7" priority="4">
      <formula>NOT(ISERROR(K26))</formula>
    </cfRule>
  </conditionalFormatting>
  <conditionalFormatting sqref="K66">
    <cfRule type="containsBlanks" dxfId="6" priority="1">
      <formula>LEN(TRIM(K66))=0</formula>
    </cfRule>
    <cfRule type="notContainsErrors" dxfId="5" priority="2">
      <formula>NOT(ISERROR(K66))</formula>
    </cfRule>
  </conditionalFormatting>
  <conditionalFormatting sqref="K67:L67">
    <cfRule type="containsBlanks" dxfId="4" priority="25">
      <formula>LEN(TRIM(K67))=0</formula>
    </cfRule>
    <cfRule type="notContainsErrors" dxfId="3" priority="26">
      <formula>NOT(ISERROR(K67))</formula>
    </cfRule>
  </conditionalFormatting>
  <conditionalFormatting sqref="L14">
    <cfRule type="cellIs" dxfId="2" priority="117" operator="equal">
      <formula>"NO CUMPLE"</formula>
    </cfRule>
    <cfRule type="cellIs" dxfId="1" priority="116" operator="equal">
      <formula>"CUMPLE"</formula>
    </cfRule>
    <cfRule type="cellIs" dxfId="0" priority="118" operator="equal">
      <formula>"""CUMPLE"""</formula>
    </cfRule>
  </conditionalFormatting>
  <dataValidations count="2">
    <dataValidation type="list" allowBlank="1" showInputMessage="1" showErrorMessage="1" sqref="L62:L65 L67" xr:uid="{00000000-0002-0000-6300-000000000000}">
      <formula1>"0,1,2,3,4,5,6"</formula1>
    </dataValidation>
    <dataValidation type="list" allowBlank="1" showInputMessage="1" showErrorMessage="1" sqref="D26:J28 E35:G35" xr:uid="{00000000-0002-0000-6300-000001000000}">
      <formula1>$C$15:$C$21</formula1>
    </dataValidation>
  </dataValidations>
  <printOptions horizontalCentered="1"/>
  <pageMargins left="0.51181102362204722" right="0.51181102362204722" top="0.74803149606299213" bottom="0.74803149606299213" header="0.31496062992125984" footer="0.31496062992125984"/>
  <pageSetup scale="28" orientation="landscape" r:id="rId1"/>
  <rowBreaks count="2" manualBreakCount="2">
    <brk id="36" max="16383" man="1"/>
    <brk id="63" max="11" man="1"/>
  </rowBreaks>
  <extLst>
    <ext xmlns:x14="http://schemas.microsoft.com/office/spreadsheetml/2009/9/main" uri="{CCE6A557-97BC-4b89-ADB6-D9C93CAAB3DF}">
      <x14:dataValidations xmlns:xm="http://schemas.microsoft.com/office/excel/2006/main" count="9">
        <x14:dataValidation type="list" allowBlank="1" showInputMessage="1" showErrorMessage="1" xr:uid="{00000000-0002-0000-6300-000002000000}">
          <x14:formula1>
            <xm:f>'DATOS INICIALES'!$D$27:$D$29</xm:f>
          </x14:formula1>
          <xm:sqref>M50:M55</xm:sqref>
        </x14:dataValidation>
        <x14:dataValidation type="list" allowBlank="1" showInputMessage="1" showErrorMessage="1" xr:uid="{00000000-0002-0000-6300-000003000000}">
          <x14:formula1>
            <xm:f>'DATOS INICIALES'!$A$57:$A$58</xm:f>
          </x14:formula1>
          <xm:sqref>D49:J49</xm:sqref>
        </x14:dataValidation>
        <x14:dataValidation type="list" allowBlank="1" showInputMessage="1" showErrorMessage="1" xr:uid="{00000000-0002-0000-6300-000004000000}">
          <x14:formula1>
            <xm:f>'DATOS INICIALES'!$A$61:$A$67</xm:f>
          </x14:formula1>
          <xm:sqref>J25</xm:sqref>
        </x14:dataValidation>
        <x14:dataValidation type="list" allowBlank="1" showInputMessage="1" showErrorMessage="1" xr:uid="{00000000-0002-0000-6300-000005000000}">
          <x14:formula1>
            <xm:f>'DATOS INICIALES'!$C$52:$C$53</xm:f>
          </x14:formula1>
          <xm:sqref>D53:J54</xm:sqref>
        </x14:dataValidation>
        <x14:dataValidation type="list" allowBlank="1" showInputMessage="1" showErrorMessage="1" xr:uid="{00000000-0002-0000-6300-000006000000}">
          <x14:formula1>
            <xm:f>'DATOS INICIALES'!$A$57:$A$59</xm:f>
          </x14:formula1>
          <xm:sqref>D71 D56:J66</xm:sqref>
        </x14:dataValidation>
        <x14:dataValidation type="list" allowBlank="1" showInputMessage="1" showErrorMessage="1" xr:uid="{00000000-0002-0000-6300-000007000000}">
          <x14:formula1>
            <xm:f>'DATOS INICIALES'!$A$61:$A$66</xm:f>
          </x14:formula1>
          <xm:sqref>D25:I25</xm:sqref>
        </x14:dataValidation>
        <x14:dataValidation type="list" allowBlank="1" showInputMessage="1" showErrorMessage="1" xr:uid="{00000000-0002-0000-6300-000008000000}">
          <x14:formula1>
            <xm:f>'DATOS INICIALES'!$A$13:$A$50</xm:f>
          </x14:formula1>
          <xm:sqref>H33:I33</xm:sqref>
        </x14:dataValidation>
        <x14:dataValidation type="list" allowBlank="1" showInputMessage="1" showErrorMessage="1" xr:uid="{00000000-0002-0000-6300-000009000000}">
          <x14:formula1>
            <xm:f>'DATOS INICIALES'!$C$52:$C$54</xm:f>
          </x14:formula1>
          <xm:sqref>D50:J52</xm:sqref>
        </x14:dataValidation>
        <x14:dataValidation type="list" allowBlank="1" showInputMessage="1" showErrorMessage="1" xr:uid="{00000000-0002-0000-6300-00000A000000}">
          <x14:formula1>
            <xm:f>'/Users/ldrr/Desktop/SDDE/REVISION DE CARPETAS/C:\Users\ASUS\OneDrive\Escritorio\alcaldia local de usaquen\2025\16. EVALUACION DE PROCESOS\INTERVENTORIA DE VIAS\consolidado equipo\[juan_manuel_Evaluación_Tecnica_fdlusa-CMA-003-2025 85 A 94.xlsx]DATOS INICIALES'!#REF!</xm:f>
          </x14:formula1>
          <xm:sqref>G33</xm:sqref>
        </x14:dataValidation>
      </x14:dataValidations>
    </ext>
  </extLst>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400-000000000000}">
  <dimension ref="A1:I67"/>
  <sheetViews>
    <sheetView topLeftCell="A37" workbookViewId="0">
      <selection activeCell="A49" sqref="A49"/>
    </sheetView>
  </sheetViews>
  <sheetFormatPr baseColWidth="10" defaultColWidth="11.5" defaultRowHeight="15" x14ac:dyDescent="0.2"/>
  <cols>
    <col min="1" max="1" width="32.5" style="4" customWidth="1"/>
    <col min="2" max="2" width="18.1640625" style="4" customWidth="1"/>
    <col min="3" max="3" width="11.83203125" style="4" customWidth="1"/>
    <col min="4" max="4" width="17.83203125" style="4" customWidth="1"/>
    <col min="5" max="6" width="11.5" style="4"/>
    <col min="7" max="7" width="13.83203125" style="4" customWidth="1"/>
    <col min="8" max="8" width="12.83203125" style="4" customWidth="1"/>
    <col min="9" max="9" width="17.5" style="4" customWidth="1"/>
    <col min="10" max="16384" width="11.5" style="4"/>
  </cols>
  <sheetData>
    <row r="1" spans="1:9" x14ac:dyDescent="0.2">
      <c r="A1" s="343" t="s">
        <v>146</v>
      </c>
      <c r="B1" s="343"/>
      <c r="C1" s="343"/>
      <c r="D1" s="343"/>
      <c r="E1" s="343"/>
      <c r="F1" s="343"/>
      <c r="G1" s="343"/>
      <c r="H1" s="343"/>
      <c r="I1" s="343"/>
    </row>
    <row r="2" spans="1:9" ht="91.5" customHeight="1" x14ac:dyDescent="0.2">
      <c r="A2" s="545"/>
      <c r="B2" s="546" t="s">
        <v>0</v>
      </c>
      <c r="C2" s="546"/>
      <c r="D2" s="428" t="s">
        <v>205</v>
      </c>
      <c r="E2" s="428"/>
      <c r="F2" s="428"/>
      <c r="G2" s="428"/>
      <c r="H2" s="428"/>
      <c r="I2" s="428"/>
    </row>
    <row r="3" spans="1:9" x14ac:dyDescent="0.2">
      <c r="A3" s="545"/>
      <c r="B3" s="547" t="s">
        <v>1</v>
      </c>
      <c r="C3" s="548"/>
      <c r="D3" s="548"/>
      <c r="E3" s="548"/>
      <c r="F3" s="548"/>
      <c r="G3" s="548"/>
      <c r="H3" s="548"/>
      <c r="I3" s="548"/>
    </row>
    <row r="4" spans="1:9" ht="15.75" customHeight="1" x14ac:dyDescent="0.2">
      <c r="A4" s="69" t="s">
        <v>2</v>
      </c>
      <c r="B4" s="549" t="s">
        <v>3</v>
      </c>
      <c r="C4" s="549"/>
      <c r="D4" s="549"/>
      <c r="E4" s="554" t="s">
        <v>4</v>
      </c>
      <c r="F4" s="554"/>
      <c r="G4" s="555" t="s">
        <v>206</v>
      </c>
      <c r="H4" s="549"/>
      <c r="I4" s="556"/>
    </row>
    <row r="5" spans="1:9" ht="16" x14ac:dyDescent="0.2">
      <c r="A5" s="541" t="s">
        <v>5</v>
      </c>
      <c r="B5" s="141" t="s">
        <v>6</v>
      </c>
      <c r="C5" s="350">
        <v>1404008910</v>
      </c>
      <c r="D5" s="350"/>
      <c r="E5" s="564" t="s">
        <v>7</v>
      </c>
      <c r="F5" s="565"/>
      <c r="G5" s="568">
        <v>11</v>
      </c>
      <c r="H5" s="569"/>
      <c r="I5" s="572" t="s">
        <v>8</v>
      </c>
    </row>
    <row r="6" spans="1:9" x14ac:dyDescent="0.2">
      <c r="A6" s="542"/>
      <c r="B6" s="132"/>
      <c r="C6" s="350"/>
      <c r="D6" s="350"/>
      <c r="E6" s="566"/>
      <c r="F6" s="567"/>
      <c r="G6" s="570"/>
      <c r="H6" s="571"/>
      <c r="I6" s="573"/>
    </row>
    <row r="8" spans="1:9" ht="16" x14ac:dyDescent="0.2">
      <c r="A8" s="65" t="s">
        <v>9</v>
      </c>
      <c r="B8" s="68" t="s">
        <v>10</v>
      </c>
      <c r="C8" s="560" t="s">
        <v>11</v>
      </c>
      <c r="D8" s="561"/>
    </row>
    <row r="9" spans="1:9" x14ac:dyDescent="0.2">
      <c r="A9" s="70">
        <f>C5</f>
        <v>1404008910</v>
      </c>
      <c r="B9" s="71">
        <f>+B50</f>
        <v>1423500</v>
      </c>
      <c r="C9" s="562">
        <f>A9/B9</f>
        <v>986.3076290832455</v>
      </c>
      <c r="D9" s="563"/>
    </row>
    <row r="11" spans="1:9" ht="16" thickBot="1" x14ac:dyDescent="0.25">
      <c r="A11" s="8"/>
      <c r="B11" s="9"/>
      <c r="C11" s="5"/>
    </row>
    <row r="12" spans="1:9" ht="16" thickBot="1" x14ac:dyDescent="0.25">
      <c r="A12" s="72" t="s">
        <v>12</v>
      </c>
      <c r="B12" s="73" t="s">
        <v>13</v>
      </c>
      <c r="C12" s="5"/>
    </row>
    <row r="13" spans="1:9" x14ac:dyDescent="0.2">
      <c r="A13" s="74">
        <v>1984</v>
      </c>
      <c r="B13" s="75">
        <v>11298</v>
      </c>
      <c r="C13" s="5"/>
    </row>
    <row r="14" spans="1:9" x14ac:dyDescent="0.2">
      <c r="A14" s="74">
        <v>1985</v>
      </c>
      <c r="B14" s="75">
        <v>13588</v>
      </c>
      <c r="C14" s="5"/>
    </row>
    <row r="15" spans="1:9" x14ac:dyDescent="0.2">
      <c r="A15" s="74">
        <v>1986</v>
      </c>
      <c r="B15" s="75">
        <v>16811</v>
      </c>
      <c r="C15" s="5"/>
    </row>
    <row r="16" spans="1:9" x14ac:dyDescent="0.2">
      <c r="A16" s="74">
        <v>1990</v>
      </c>
      <c r="B16" s="75">
        <v>41025</v>
      </c>
      <c r="C16" s="5"/>
    </row>
    <row r="17" spans="1:9" x14ac:dyDescent="0.2">
      <c r="A17" s="74">
        <v>1992</v>
      </c>
      <c r="B17" s="75">
        <v>65190</v>
      </c>
      <c r="C17" s="5"/>
    </row>
    <row r="18" spans="1:9" x14ac:dyDescent="0.2">
      <c r="A18" s="74">
        <v>1993</v>
      </c>
      <c r="B18" s="75">
        <v>81510</v>
      </c>
      <c r="C18" s="5"/>
    </row>
    <row r="19" spans="1:9" x14ac:dyDescent="0.2">
      <c r="A19" s="74">
        <v>1994</v>
      </c>
      <c r="B19" s="75">
        <v>98700</v>
      </c>
      <c r="C19" s="5"/>
    </row>
    <row r="20" spans="1:9" x14ac:dyDescent="0.2">
      <c r="A20" s="74">
        <v>1995</v>
      </c>
      <c r="B20" s="75">
        <v>118934</v>
      </c>
      <c r="C20" s="5"/>
    </row>
    <row r="21" spans="1:9" x14ac:dyDescent="0.2">
      <c r="A21" s="76">
        <v>1996</v>
      </c>
      <c r="B21" s="77">
        <v>142125</v>
      </c>
      <c r="C21" s="5"/>
      <c r="D21" s="133"/>
    </row>
    <row r="22" spans="1:9" x14ac:dyDescent="0.2">
      <c r="A22" s="76">
        <v>1997</v>
      </c>
      <c r="B22" s="77">
        <v>172005</v>
      </c>
      <c r="C22" s="5"/>
    </row>
    <row r="23" spans="1:9" x14ac:dyDescent="0.2">
      <c r="A23" s="76">
        <v>1998</v>
      </c>
      <c r="B23" s="77">
        <v>203826</v>
      </c>
      <c r="C23" s="5"/>
    </row>
    <row r="24" spans="1:9" x14ac:dyDescent="0.2">
      <c r="A24" s="76">
        <v>1999</v>
      </c>
      <c r="B24" s="77">
        <v>236460</v>
      </c>
      <c r="C24" s="5"/>
    </row>
    <row r="25" spans="1:9" ht="16" thickBot="1" x14ac:dyDescent="0.25">
      <c r="A25" s="76">
        <v>2000</v>
      </c>
      <c r="B25" s="77">
        <v>260100</v>
      </c>
    </row>
    <row r="26" spans="1:9" ht="16" thickBot="1" x14ac:dyDescent="0.25">
      <c r="A26" s="76">
        <v>2001</v>
      </c>
      <c r="B26" s="77">
        <v>286000</v>
      </c>
      <c r="D26" s="80" t="s">
        <v>14</v>
      </c>
      <c r="E26" s="543" t="s">
        <v>15</v>
      </c>
      <c r="F26" s="543"/>
      <c r="G26" s="543"/>
      <c r="H26" s="543"/>
      <c r="I26" s="544"/>
    </row>
    <row r="27" spans="1:9" ht="15" customHeight="1" x14ac:dyDescent="0.2">
      <c r="A27" s="76">
        <v>2002</v>
      </c>
      <c r="B27" s="77">
        <v>309000</v>
      </c>
      <c r="D27" s="6">
        <v>80101600</v>
      </c>
      <c r="E27" s="557" t="s">
        <v>16</v>
      </c>
      <c r="F27" s="558"/>
      <c r="G27" s="558"/>
      <c r="H27" s="558"/>
      <c r="I27" s="559"/>
    </row>
    <row r="28" spans="1:9" ht="15" customHeight="1" x14ac:dyDescent="0.2">
      <c r="A28" s="76">
        <v>2003</v>
      </c>
      <c r="B28" s="77">
        <v>332000</v>
      </c>
      <c r="D28" s="6">
        <v>81101500</v>
      </c>
      <c r="E28" s="550" t="s">
        <v>17</v>
      </c>
      <c r="F28" s="550"/>
      <c r="G28" s="550"/>
      <c r="H28" s="550"/>
      <c r="I28" s="551"/>
    </row>
    <row r="29" spans="1:9" ht="15" customHeight="1" thickBot="1" x14ac:dyDescent="0.25">
      <c r="A29" s="76">
        <v>2004</v>
      </c>
      <c r="B29" s="77">
        <v>358000</v>
      </c>
      <c r="D29" s="7">
        <v>81102200</v>
      </c>
      <c r="E29" s="539" t="s">
        <v>18</v>
      </c>
      <c r="F29" s="552"/>
      <c r="G29" s="552"/>
      <c r="H29" s="552"/>
      <c r="I29" s="553"/>
    </row>
    <row r="30" spans="1:9" ht="15" customHeight="1" x14ac:dyDescent="0.2">
      <c r="A30" s="76">
        <v>2005</v>
      </c>
      <c r="B30" s="77">
        <v>381500</v>
      </c>
      <c r="D30" s="6"/>
      <c r="E30" s="537"/>
      <c r="F30" s="537"/>
      <c r="G30" s="537"/>
      <c r="H30" s="537"/>
      <c r="I30" s="538"/>
    </row>
    <row r="31" spans="1:9" ht="15" customHeight="1" thickBot="1" x14ac:dyDescent="0.25">
      <c r="A31" s="76">
        <v>2006</v>
      </c>
      <c r="B31" s="77">
        <v>408000</v>
      </c>
      <c r="D31" s="7"/>
      <c r="E31" s="539"/>
      <c r="F31" s="539"/>
      <c r="G31" s="539"/>
      <c r="H31" s="539"/>
      <c r="I31" s="540"/>
    </row>
    <row r="32" spans="1:9" ht="15" customHeight="1" x14ac:dyDescent="0.2">
      <c r="A32" s="76">
        <v>2007</v>
      </c>
      <c r="B32" s="77">
        <v>433700</v>
      </c>
      <c r="D32" s="6"/>
      <c r="E32" s="537"/>
      <c r="F32" s="537"/>
      <c r="G32" s="537"/>
      <c r="H32" s="537"/>
      <c r="I32" s="538"/>
    </row>
    <row r="33" spans="1:9" ht="15" customHeight="1" thickBot="1" x14ac:dyDescent="0.25">
      <c r="A33" s="76">
        <v>2008</v>
      </c>
      <c r="B33" s="77">
        <v>461500</v>
      </c>
      <c r="D33" s="7"/>
      <c r="E33" s="539"/>
      <c r="F33" s="539"/>
      <c r="G33" s="539"/>
      <c r="H33" s="539"/>
      <c r="I33" s="540"/>
    </row>
    <row r="34" spans="1:9" x14ac:dyDescent="0.2">
      <c r="A34" s="76">
        <v>2009</v>
      </c>
      <c r="B34" s="77">
        <v>496900</v>
      </c>
    </row>
    <row r="35" spans="1:9" x14ac:dyDescent="0.2">
      <c r="A35" s="76">
        <v>2010</v>
      </c>
      <c r="B35" s="77">
        <v>515000</v>
      </c>
      <c r="D35" s="10"/>
      <c r="E35" s="11"/>
      <c r="F35" s="11"/>
      <c r="G35" s="11"/>
      <c r="H35" s="11"/>
      <c r="I35" s="11"/>
    </row>
    <row r="36" spans="1:9" x14ac:dyDescent="0.2">
      <c r="A36" s="76">
        <v>2011</v>
      </c>
      <c r="B36" s="77">
        <v>535600</v>
      </c>
      <c r="D36" s="10"/>
      <c r="E36" s="12"/>
      <c r="F36" s="12"/>
      <c r="G36" s="12"/>
      <c r="H36" s="12"/>
      <c r="I36" s="12"/>
    </row>
    <row r="37" spans="1:9" x14ac:dyDescent="0.2">
      <c r="A37" s="76">
        <v>2012</v>
      </c>
      <c r="B37" s="77">
        <v>566700</v>
      </c>
      <c r="D37" s="10"/>
      <c r="E37" s="12"/>
      <c r="F37" s="12"/>
      <c r="G37" s="12"/>
      <c r="H37" s="12"/>
      <c r="I37" s="12"/>
    </row>
    <row r="38" spans="1:9" x14ac:dyDescent="0.2">
      <c r="A38" s="76">
        <v>2013</v>
      </c>
      <c r="B38" s="77">
        <v>589500</v>
      </c>
      <c r="D38" s="10"/>
      <c r="E38" s="11"/>
      <c r="F38" s="11"/>
      <c r="G38" s="11"/>
      <c r="H38" s="11"/>
      <c r="I38" s="11"/>
    </row>
    <row r="39" spans="1:9" x14ac:dyDescent="0.2">
      <c r="A39" s="76">
        <v>2014</v>
      </c>
      <c r="B39" s="77">
        <v>616000</v>
      </c>
      <c r="D39" s="10"/>
      <c r="E39" s="11"/>
      <c r="F39" s="11"/>
      <c r="G39" s="11"/>
      <c r="H39" s="11"/>
      <c r="I39" s="11"/>
    </row>
    <row r="40" spans="1:9" x14ac:dyDescent="0.2">
      <c r="A40" s="76">
        <v>2015</v>
      </c>
      <c r="B40" s="77">
        <v>644350</v>
      </c>
    </row>
    <row r="41" spans="1:9" x14ac:dyDescent="0.2">
      <c r="A41" s="76">
        <v>2016</v>
      </c>
      <c r="B41" s="77">
        <v>689455</v>
      </c>
    </row>
    <row r="42" spans="1:9" x14ac:dyDescent="0.2">
      <c r="A42" s="76">
        <v>2017</v>
      </c>
      <c r="B42" s="77">
        <v>737717</v>
      </c>
    </row>
    <row r="43" spans="1:9" x14ac:dyDescent="0.2">
      <c r="A43" s="76">
        <v>2018</v>
      </c>
      <c r="B43" s="77">
        <v>781242</v>
      </c>
    </row>
    <row r="44" spans="1:9" x14ac:dyDescent="0.2">
      <c r="A44" s="76">
        <v>2019</v>
      </c>
      <c r="B44" s="77">
        <v>828116</v>
      </c>
    </row>
    <row r="45" spans="1:9" x14ac:dyDescent="0.2">
      <c r="A45" s="76">
        <v>2020</v>
      </c>
      <c r="B45" s="77">
        <v>877803</v>
      </c>
    </row>
    <row r="46" spans="1:9" x14ac:dyDescent="0.2">
      <c r="A46" s="129">
        <v>2021</v>
      </c>
      <c r="B46" s="130">
        <v>908526</v>
      </c>
    </row>
    <row r="47" spans="1:9" x14ac:dyDescent="0.2">
      <c r="A47" s="129">
        <v>2022</v>
      </c>
      <c r="B47" s="130">
        <v>1000000</v>
      </c>
    </row>
    <row r="48" spans="1:9" x14ac:dyDescent="0.2">
      <c r="A48" s="129">
        <v>2023</v>
      </c>
      <c r="B48" s="130">
        <v>1160000</v>
      </c>
    </row>
    <row r="49" spans="1:3" ht="16" thickBot="1" x14ac:dyDescent="0.25">
      <c r="A49" s="78">
        <v>2024</v>
      </c>
      <c r="B49" s="79">
        <v>1300000</v>
      </c>
    </row>
    <row r="50" spans="1:3" ht="16" thickBot="1" x14ac:dyDescent="0.25">
      <c r="A50" s="78">
        <v>2025</v>
      </c>
      <c r="B50" s="79">
        <v>1423500</v>
      </c>
    </row>
    <row r="51" spans="1:3" x14ac:dyDescent="0.2">
      <c r="A51" s="21"/>
      <c r="B51" s="8"/>
    </row>
    <row r="52" spans="1:3" x14ac:dyDescent="0.2">
      <c r="A52" s="4" t="s">
        <v>19</v>
      </c>
      <c r="C52" s="4" t="s">
        <v>20</v>
      </c>
    </row>
    <row r="53" spans="1:3" x14ac:dyDescent="0.2">
      <c r="A53" s="4" t="s">
        <v>21</v>
      </c>
      <c r="C53" s="4" t="s">
        <v>22</v>
      </c>
    </row>
    <row r="54" spans="1:3" x14ac:dyDescent="0.2">
      <c r="A54" s="4" t="s">
        <v>23</v>
      </c>
      <c r="C54" s="4" t="s">
        <v>23</v>
      </c>
    </row>
    <row r="55" spans="1:3" x14ac:dyDescent="0.2">
      <c r="A55" s="1"/>
    </row>
    <row r="57" spans="1:3" x14ac:dyDescent="0.2">
      <c r="A57" s="4" t="s">
        <v>24</v>
      </c>
      <c r="C57" s="4" t="s">
        <v>25</v>
      </c>
    </row>
    <row r="58" spans="1:3" x14ac:dyDescent="0.2">
      <c r="A58" s="4" t="s">
        <v>26</v>
      </c>
      <c r="C58" s="4" t="s">
        <v>27</v>
      </c>
    </row>
    <row r="59" spans="1:3" x14ac:dyDescent="0.2">
      <c r="A59" s="4" t="s">
        <v>23</v>
      </c>
    </row>
    <row r="61" spans="1:3" x14ac:dyDescent="0.2">
      <c r="A61" s="20" t="s">
        <v>28</v>
      </c>
    </row>
    <row r="62" spans="1:3" x14ac:dyDescent="0.2">
      <c r="A62" s="20" t="s">
        <v>29</v>
      </c>
    </row>
    <row r="63" spans="1:3" x14ac:dyDescent="0.2">
      <c r="A63" s="20" t="s">
        <v>30</v>
      </c>
    </row>
    <row r="64" spans="1:3" x14ac:dyDescent="0.2">
      <c r="A64" s="20" t="s">
        <v>31</v>
      </c>
    </row>
    <row r="65" spans="1:1" x14ac:dyDescent="0.2">
      <c r="A65" s="20" t="s">
        <v>32</v>
      </c>
    </row>
    <row r="66" spans="1:1" x14ac:dyDescent="0.2">
      <c r="A66" s="20" t="s">
        <v>33</v>
      </c>
    </row>
    <row r="67" spans="1:1" x14ac:dyDescent="0.2">
      <c r="A67" s="20" t="s">
        <v>34</v>
      </c>
    </row>
  </sheetData>
  <mergeCells count="24">
    <mergeCell ref="B4:D4"/>
    <mergeCell ref="E28:I28"/>
    <mergeCell ref="E29:I29"/>
    <mergeCell ref="E4:F4"/>
    <mergeCell ref="G4:I4"/>
    <mergeCell ref="E27:I27"/>
    <mergeCell ref="C8:D8"/>
    <mergeCell ref="C9:D9"/>
    <mergeCell ref="E5:F6"/>
    <mergeCell ref="G5:H6"/>
    <mergeCell ref="I5:I6"/>
    <mergeCell ref="C5:D5"/>
    <mergeCell ref="C6:D6"/>
    <mergeCell ref="A1:I1"/>
    <mergeCell ref="A2:A3"/>
    <mergeCell ref="B2:C2"/>
    <mergeCell ref="D2:I2"/>
    <mergeCell ref="B3:I3"/>
    <mergeCell ref="E30:I30"/>
    <mergeCell ref="E31:I31"/>
    <mergeCell ref="A5:A6"/>
    <mergeCell ref="E32:I32"/>
    <mergeCell ref="E33:I33"/>
    <mergeCell ref="E26:I26"/>
  </mergeCells>
  <pageMargins left="0.7" right="0.7" top="0.75" bottom="0.75" header="0.3" footer="0.3"/>
  <pageSetup scale="5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101</vt:i4>
      </vt:variant>
      <vt:variant>
        <vt:lpstr>Rangos con nombre</vt:lpstr>
      </vt:variant>
      <vt:variant>
        <vt:i4>97</vt:i4>
      </vt:variant>
    </vt:vector>
  </HeadingPairs>
  <TitlesOfParts>
    <vt:vector size="198" baseType="lpstr">
      <vt:lpstr>CONSOLIDADO</vt:lpstr>
      <vt:lpstr>PONDERACION</vt:lpstr>
      <vt:lpstr>PUNTAJE EXP</vt:lpstr>
      <vt:lpstr>PROPONENTES</vt:lpstr>
      <vt:lpstr>1</vt:lpstr>
      <vt:lpstr>K RESIDUAL DOCUMENTOS</vt:lpstr>
      <vt:lpstr>K RESIDUAL CALCULO</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62</vt:lpstr>
      <vt:lpstr>63</vt:lpstr>
      <vt:lpstr>64</vt:lpstr>
      <vt:lpstr>65</vt:lpstr>
      <vt:lpstr>66</vt:lpstr>
      <vt:lpstr>67</vt:lpstr>
      <vt:lpstr>68</vt:lpstr>
      <vt:lpstr>69</vt:lpstr>
      <vt:lpstr>70</vt:lpstr>
      <vt:lpstr>71</vt:lpstr>
      <vt:lpstr>72</vt:lpstr>
      <vt:lpstr>73</vt:lpstr>
      <vt:lpstr>74</vt:lpstr>
      <vt:lpstr>75</vt:lpstr>
      <vt:lpstr>76</vt:lpstr>
      <vt:lpstr>77</vt:lpstr>
      <vt:lpstr>78</vt:lpstr>
      <vt:lpstr>79</vt:lpstr>
      <vt:lpstr>80</vt:lpstr>
      <vt:lpstr>81</vt:lpstr>
      <vt:lpstr>82</vt:lpstr>
      <vt:lpstr>83</vt:lpstr>
      <vt:lpstr>84</vt:lpstr>
      <vt:lpstr>85</vt:lpstr>
      <vt:lpstr>86</vt:lpstr>
      <vt:lpstr>87</vt:lpstr>
      <vt:lpstr>88</vt:lpstr>
      <vt:lpstr>89</vt:lpstr>
      <vt:lpstr>90</vt:lpstr>
      <vt:lpstr>91</vt:lpstr>
      <vt:lpstr>92</vt:lpstr>
      <vt:lpstr>93</vt:lpstr>
      <vt:lpstr>94</vt:lpstr>
      <vt:lpstr>DATOS INICIALES</vt:lpstr>
      <vt:lpstr>'1'!Área_de_impresión</vt:lpstr>
      <vt:lpstr>'10'!Área_de_impresión</vt:lpstr>
      <vt:lpstr>'11'!Área_de_impresión</vt:lpstr>
      <vt:lpstr>'12'!Área_de_impresión</vt:lpstr>
      <vt:lpstr>'13'!Área_de_impresión</vt:lpstr>
      <vt:lpstr>'14'!Área_de_impresión</vt:lpstr>
      <vt:lpstr>'15'!Área_de_impresión</vt:lpstr>
      <vt:lpstr>'16'!Área_de_impresión</vt:lpstr>
      <vt:lpstr>'17'!Área_de_impresión</vt:lpstr>
      <vt:lpstr>'18'!Área_de_impresión</vt:lpstr>
      <vt:lpstr>'19'!Área_de_impresión</vt:lpstr>
      <vt:lpstr>'2'!Área_de_impresión</vt:lpstr>
      <vt:lpstr>'20'!Área_de_impresión</vt:lpstr>
      <vt:lpstr>'21'!Área_de_impresión</vt:lpstr>
      <vt:lpstr>'22'!Área_de_impresión</vt:lpstr>
      <vt:lpstr>'23'!Área_de_impresión</vt:lpstr>
      <vt:lpstr>'24'!Área_de_impresión</vt:lpstr>
      <vt:lpstr>'25'!Área_de_impresión</vt:lpstr>
      <vt:lpstr>'26'!Área_de_impresión</vt:lpstr>
      <vt:lpstr>'27'!Área_de_impresión</vt:lpstr>
      <vt:lpstr>'28'!Área_de_impresión</vt:lpstr>
      <vt:lpstr>'29'!Área_de_impresión</vt:lpstr>
      <vt:lpstr>'3'!Área_de_impresión</vt:lpstr>
      <vt:lpstr>'30'!Área_de_impresión</vt:lpstr>
      <vt:lpstr>'31'!Área_de_impresión</vt:lpstr>
      <vt:lpstr>'32'!Área_de_impresión</vt:lpstr>
      <vt:lpstr>'33'!Área_de_impresión</vt:lpstr>
      <vt:lpstr>'34'!Área_de_impresión</vt:lpstr>
      <vt:lpstr>'35'!Área_de_impresión</vt:lpstr>
      <vt:lpstr>'36'!Área_de_impresión</vt:lpstr>
      <vt:lpstr>'37'!Área_de_impresión</vt:lpstr>
      <vt:lpstr>'38'!Área_de_impresión</vt:lpstr>
      <vt:lpstr>'39'!Área_de_impresión</vt:lpstr>
      <vt:lpstr>'4'!Área_de_impresión</vt:lpstr>
      <vt:lpstr>'40'!Área_de_impresión</vt:lpstr>
      <vt:lpstr>'41'!Área_de_impresión</vt:lpstr>
      <vt:lpstr>'42'!Área_de_impresión</vt:lpstr>
      <vt:lpstr>'43'!Área_de_impresión</vt:lpstr>
      <vt:lpstr>'44'!Área_de_impresión</vt:lpstr>
      <vt:lpstr>'45'!Área_de_impresión</vt:lpstr>
      <vt:lpstr>'46'!Área_de_impresión</vt:lpstr>
      <vt:lpstr>'47'!Área_de_impresión</vt:lpstr>
      <vt:lpstr>'48'!Área_de_impresión</vt:lpstr>
      <vt:lpstr>'49'!Área_de_impresión</vt:lpstr>
      <vt:lpstr>'5'!Área_de_impresión</vt:lpstr>
      <vt:lpstr>'50'!Área_de_impresión</vt:lpstr>
      <vt:lpstr>'51'!Área_de_impresión</vt:lpstr>
      <vt:lpstr>'52'!Área_de_impresión</vt:lpstr>
      <vt:lpstr>'53'!Área_de_impresión</vt:lpstr>
      <vt:lpstr>'54'!Área_de_impresión</vt:lpstr>
      <vt:lpstr>'55'!Área_de_impresión</vt:lpstr>
      <vt:lpstr>'56'!Área_de_impresión</vt:lpstr>
      <vt:lpstr>'57'!Área_de_impresión</vt:lpstr>
      <vt:lpstr>'58'!Área_de_impresión</vt:lpstr>
      <vt:lpstr>'59'!Área_de_impresión</vt:lpstr>
      <vt:lpstr>'6'!Área_de_impresión</vt:lpstr>
      <vt:lpstr>'60'!Área_de_impresión</vt:lpstr>
      <vt:lpstr>'61'!Área_de_impresión</vt:lpstr>
      <vt:lpstr>'62'!Área_de_impresión</vt:lpstr>
      <vt:lpstr>'63'!Área_de_impresión</vt:lpstr>
      <vt:lpstr>'64'!Área_de_impresión</vt:lpstr>
      <vt:lpstr>'65'!Área_de_impresión</vt:lpstr>
      <vt:lpstr>'66'!Área_de_impresión</vt:lpstr>
      <vt:lpstr>'67'!Área_de_impresión</vt:lpstr>
      <vt:lpstr>'68'!Área_de_impresión</vt:lpstr>
      <vt:lpstr>'69'!Área_de_impresión</vt:lpstr>
      <vt:lpstr>'7'!Área_de_impresión</vt:lpstr>
      <vt:lpstr>'70'!Área_de_impresión</vt:lpstr>
      <vt:lpstr>'71'!Área_de_impresión</vt:lpstr>
      <vt:lpstr>'72'!Área_de_impresión</vt:lpstr>
      <vt:lpstr>'73'!Área_de_impresión</vt:lpstr>
      <vt:lpstr>'74'!Área_de_impresión</vt:lpstr>
      <vt:lpstr>'75'!Área_de_impresión</vt:lpstr>
      <vt:lpstr>'76'!Área_de_impresión</vt:lpstr>
      <vt:lpstr>'77'!Área_de_impresión</vt:lpstr>
      <vt:lpstr>'78'!Área_de_impresión</vt:lpstr>
      <vt:lpstr>'79'!Área_de_impresión</vt:lpstr>
      <vt:lpstr>'8'!Área_de_impresión</vt:lpstr>
      <vt:lpstr>'80'!Área_de_impresión</vt:lpstr>
      <vt:lpstr>'81'!Área_de_impresión</vt:lpstr>
      <vt:lpstr>'82'!Área_de_impresión</vt:lpstr>
      <vt:lpstr>'83'!Área_de_impresión</vt:lpstr>
      <vt:lpstr>'84'!Área_de_impresión</vt:lpstr>
      <vt:lpstr>'85'!Área_de_impresión</vt:lpstr>
      <vt:lpstr>'86'!Área_de_impresión</vt:lpstr>
      <vt:lpstr>'87'!Área_de_impresión</vt:lpstr>
      <vt:lpstr>'88'!Área_de_impresión</vt:lpstr>
      <vt:lpstr>'89'!Área_de_impresión</vt:lpstr>
      <vt:lpstr>'9'!Área_de_impresión</vt:lpstr>
      <vt:lpstr>'90'!Área_de_impresión</vt:lpstr>
      <vt:lpstr>'91'!Área_de_impresión</vt:lpstr>
      <vt:lpstr>'92'!Área_de_impresión</vt:lpstr>
      <vt:lpstr>'93'!Área_de_impresión</vt:lpstr>
      <vt:lpstr>'94'!Área_de_impresión</vt:lpstr>
      <vt:lpstr>CONSOLIDADO!Área_de_impresión</vt:lpstr>
      <vt:lpstr>'DATOS INICIALES'!Área_de_impresión</vt:lpstr>
      <vt:lpstr>PROPONENTES!Área_de_impresión</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Hewlett-Packard Company</dc:creator>
  <cp:keywords/>
  <dc:description/>
  <cp:lastModifiedBy>Juan Camilo Lopez Ruiz</cp:lastModifiedBy>
  <cp:revision/>
  <dcterms:created xsi:type="dcterms:W3CDTF">2020-12-10T19:47:01Z</dcterms:created>
  <dcterms:modified xsi:type="dcterms:W3CDTF">2025-12-11T23:38:20Z</dcterms:modified>
  <cp:category/>
  <cp:contentStatus/>
</cp:coreProperties>
</file>