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so\OneDrive\Desktop\MUJER\MUJER 2025\PROCESOS ESPECIALES\CASAS SOCIALES\MÍNIMA CUANTÍA\CONDOR 2\"/>
    </mc:Choice>
  </mc:AlternateContent>
  <xr:revisionPtr revIDLastSave="0" documentId="8_{59F78CBE-6845-44B7-A544-46CCC533A772}" xr6:coauthVersionLast="47" xr6:coauthVersionMax="47" xr10:uidLastSave="{00000000-0000-0000-0000-000000000000}"/>
  <bookViews>
    <workbookView xWindow="-120" yWindow="-120" windowWidth="20730" windowHeight="11160" firstSheet="5" activeTab="5" xr2:uid="{00000000-000D-0000-FFFF-FFFF00000000}"/>
  </bookViews>
  <sheets>
    <sheet name="CUADRO COMPARATIVO  " sheetId="18" r:id="rId1"/>
    <sheet name="CUADRO COMPARATIVO PORCENTAJE " sheetId="15" r:id="rId2"/>
    <sheet name="HISTORICOS" sheetId="13" r:id="rId3"/>
    <sheet name="DATOS EXC. DESVE ESTANDAR " sheetId="14" r:id="rId4"/>
    <sheet name="DATOS %DEPUES DE LA PODADA AJUS" sheetId="23" r:id="rId5"/>
    <sheet name="PRECIO TECHO AJUT MESA TRABAJO" sheetId="26" r:id="rId6"/>
  </sheets>
  <externalReferences>
    <externalReference r:id="rId7"/>
    <externalReference r:id="rId8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9" i="26" l="1"/>
  <c r="I78" i="26"/>
  <c r="J78" i="26" s="1"/>
  <c r="K78" i="26" s="1"/>
  <c r="I77" i="26"/>
  <c r="J77" i="26" s="1"/>
  <c r="K77" i="26" s="1"/>
  <c r="I76" i="26"/>
  <c r="J76" i="26" s="1"/>
  <c r="K76" i="26" s="1"/>
  <c r="I75" i="26"/>
  <c r="J75" i="26" s="1"/>
  <c r="K75" i="26" s="1"/>
  <c r="J74" i="26"/>
  <c r="K74" i="26" s="1"/>
  <c r="I74" i="26"/>
  <c r="I73" i="26"/>
  <c r="J73" i="26" s="1"/>
  <c r="K73" i="26" s="1"/>
  <c r="I72" i="26"/>
  <c r="J72" i="26" s="1"/>
  <c r="K72" i="26" s="1"/>
  <c r="I71" i="26"/>
  <c r="J71" i="26" s="1"/>
  <c r="K71" i="26" s="1"/>
  <c r="I70" i="26"/>
  <c r="J70" i="26" s="1"/>
  <c r="K70" i="26" s="1"/>
  <c r="I69" i="26"/>
  <c r="H66" i="26"/>
  <c r="I65" i="26"/>
  <c r="J65" i="26" s="1"/>
  <c r="K65" i="26" s="1"/>
  <c r="I64" i="26"/>
  <c r="J64" i="26" s="1"/>
  <c r="K64" i="26" s="1"/>
  <c r="I63" i="26"/>
  <c r="J63" i="26" s="1"/>
  <c r="K63" i="26" s="1"/>
  <c r="I62" i="26"/>
  <c r="J62" i="26" s="1"/>
  <c r="K62" i="26" s="1"/>
  <c r="I61" i="26"/>
  <c r="J61" i="26" s="1"/>
  <c r="K61" i="26" s="1"/>
  <c r="I60" i="26"/>
  <c r="J60" i="26" s="1"/>
  <c r="K60" i="26" s="1"/>
  <c r="I59" i="26"/>
  <c r="J59" i="26" s="1"/>
  <c r="K59" i="26" s="1"/>
  <c r="I58" i="26"/>
  <c r="J58" i="26" s="1"/>
  <c r="K58" i="26" s="1"/>
  <c r="I57" i="26"/>
  <c r="J57" i="26" s="1"/>
  <c r="K57" i="26" s="1"/>
  <c r="I56" i="26"/>
  <c r="J56" i="26" s="1"/>
  <c r="K56" i="26" s="1"/>
  <c r="I55" i="26"/>
  <c r="J55" i="26" s="1"/>
  <c r="K55" i="26" s="1"/>
  <c r="I54" i="26"/>
  <c r="J54" i="26" s="1"/>
  <c r="K54" i="26" s="1"/>
  <c r="I53" i="26"/>
  <c r="J53" i="26" s="1"/>
  <c r="K53" i="26" s="1"/>
  <c r="I52" i="26"/>
  <c r="J52" i="26" s="1"/>
  <c r="K52" i="26" s="1"/>
  <c r="I51" i="26"/>
  <c r="J51" i="26" s="1"/>
  <c r="K51" i="26" s="1"/>
  <c r="I50" i="26"/>
  <c r="J50" i="26" s="1"/>
  <c r="K50" i="26" s="1"/>
  <c r="I49" i="26"/>
  <c r="J49" i="26" s="1"/>
  <c r="K49" i="26" s="1"/>
  <c r="I48" i="26"/>
  <c r="J48" i="26" s="1"/>
  <c r="K48" i="26" s="1"/>
  <c r="I47" i="26"/>
  <c r="J47" i="26" s="1"/>
  <c r="K47" i="26" s="1"/>
  <c r="J46" i="26"/>
  <c r="K46" i="26" s="1"/>
  <c r="I46" i="26"/>
  <c r="I45" i="26"/>
  <c r="J45" i="26" s="1"/>
  <c r="K45" i="26" s="1"/>
  <c r="I44" i="26"/>
  <c r="J44" i="26" s="1"/>
  <c r="K44" i="26" s="1"/>
  <c r="I43" i="26"/>
  <c r="J43" i="26" s="1"/>
  <c r="K43" i="26" s="1"/>
  <c r="I42" i="26"/>
  <c r="J42" i="26" s="1"/>
  <c r="K42" i="26" s="1"/>
  <c r="I41" i="26"/>
  <c r="J40" i="26"/>
  <c r="K40" i="26" s="1"/>
  <c r="I40" i="26"/>
  <c r="H37" i="26"/>
  <c r="I36" i="26"/>
  <c r="J36" i="26" s="1"/>
  <c r="K36" i="26" s="1"/>
  <c r="I35" i="26"/>
  <c r="J35" i="26" s="1"/>
  <c r="K35" i="26" s="1"/>
  <c r="I34" i="26"/>
  <c r="J34" i="26" s="1"/>
  <c r="K34" i="26" s="1"/>
  <c r="I33" i="26"/>
  <c r="J33" i="26" s="1"/>
  <c r="K33" i="26" s="1"/>
  <c r="I32" i="26"/>
  <c r="J32" i="26" s="1"/>
  <c r="K32" i="26" s="1"/>
  <c r="I31" i="26"/>
  <c r="J31" i="26" s="1"/>
  <c r="K31" i="26" s="1"/>
  <c r="I30" i="26"/>
  <c r="J30" i="26" s="1"/>
  <c r="K30" i="26" s="1"/>
  <c r="I29" i="26"/>
  <c r="J29" i="26" s="1"/>
  <c r="K29" i="26" s="1"/>
  <c r="I28" i="26"/>
  <c r="J28" i="26" s="1"/>
  <c r="K28" i="26" s="1"/>
  <c r="I27" i="26"/>
  <c r="J27" i="26" s="1"/>
  <c r="K27" i="26" s="1"/>
  <c r="I26" i="26"/>
  <c r="J26" i="26" s="1"/>
  <c r="K26" i="26" s="1"/>
  <c r="J25" i="26"/>
  <c r="K25" i="26" s="1"/>
  <c r="I25" i="26"/>
  <c r="I24" i="26"/>
  <c r="J24" i="26" s="1"/>
  <c r="K24" i="26" s="1"/>
  <c r="I23" i="26"/>
  <c r="J23" i="26" s="1"/>
  <c r="K23" i="26" s="1"/>
  <c r="I22" i="26"/>
  <c r="J22" i="26" s="1"/>
  <c r="K22" i="26" s="1"/>
  <c r="I21" i="26"/>
  <c r="J21" i="26" s="1"/>
  <c r="K21" i="26" s="1"/>
  <c r="I20" i="26"/>
  <c r="J20" i="26" s="1"/>
  <c r="K20" i="26" s="1"/>
  <c r="I19" i="26"/>
  <c r="J19" i="26" s="1"/>
  <c r="K19" i="26" s="1"/>
  <c r="I18" i="26"/>
  <c r="J18" i="26" s="1"/>
  <c r="K18" i="26" s="1"/>
  <c r="I17" i="26"/>
  <c r="J17" i="26" s="1"/>
  <c r="K17" i="26" s="1"/>
  <c r="I16" i="26"/>
  <c r="J16" i="26" s="1"/>
  <c r="K16" i="26" s="1"/>
  <c r="I15" i="26"/>
  <c r="J15" i="26" s="1"/>
  <c r="K15" i="26" s="1"/>
  <c r="I14" i="26"/>
  <c r="J14" i="26" s="1"/>
  <c r="K14" i="26" s="1"/>
  <c r="I13" i="26"/>
  <c r="J13" i="26" s="1"/>
  <c r="K13" i="26" s="1"/>
  <c r="I12" i="26"/>
  <c r="J12" i="26" s="1"/>
  <c r="K12" i="26" s="1"/>
  <c r="I11" i="26"/>
  <c r="J11" i="26" s="1"/>
  <c r="K11" i="26" s="1"/>
  <c r="I10" i="26"/>
  <c r="J10" i="26" s="1"/>
  <c r="K10" i="26" s="1"/>
  <c r="I9" i="26"/>
  <c r="J9" i="26" s="1"/>
  <c r="K9" i="26" s="1"/>
  <c r="I8" i="26"/>
  <c r="J8" i="26" s="1"/>
  <c r="K8" i="26" s="1"/>
  <c r="I7" i="26"/>
  <c r="J7" i="26" s="1"/>
  <c r="K7" i="26" s="1"/>
  <c r="I6" i="26"/>
  <c r="J6" i="26" s="1"/>
  <c r="L84" i="14"/>
  <c r="K84" i="14"/>
  <c r="J84" i="14"/>
  <c r="I84" i="14"/>
  <c r="H84" i="14"/>
  <c r="R83" i="14"/>
  <c r="Q83" i="14"/>
  <c r="N83" i="14"/>
  <c r="M83" i="14"/>
  <c r="L83" i="14"/>
  <c r="K83" i="14"/>
  <c r="J83" i="14"/>
  <c r="I83" i="14"/>
  <c r="H83" i="14"/>
  <c r="L70" i="14"/>
  <c r="K70" i="14"/>
  <c r="J70" i="14"/>
  <c r="I70" i="14"/>
  <c r="L38" i="14"/>
  <c r="K38" i="14"/>
  <c r="J38" i="14"/>
  <c r="I38" i="14"/>
  <c r="H80" i="26" l="1"/>
  <c r="I66" i="26"/>
  <c r="I79" i="26"/>
  <c r="J37" i="26"/>
  <c r="K6" i="26"/>
  <c r="K37" i="26" s="1"/>
  <c r="J41" i="26"/>
  <c r="K41" i="26" s="1"/>
  <c r="K66" i="26" s="1"/>
  <c r="J69" i="26"/>
  <c r="I37" i="26"/>
  <c r="I80" i="26" l="1"/>
  <c r="J66" i="26"/>
  <c r="J79" i="26"/>
  <c r="J80" i="26" s="1"/>
  <c r="K69" i="26"/>
  <c r="K79" i="26" s="1"/>
  <c r="K80" i="26" s="1"/>
  <c r="L83" i="23" l="1"/>
  <c r="K83" i="23"/>
  <c r="J83" i="23"/>
  <c r="I83" i="23"/>
  <c r="L70" i="23"/>
  <c r="L84" i="23" s="1"/>
  <c r="K70" i="23"/>
  <c r="J70" i="23"/>
  <c r="I70" i="23"/>
  <c r="L38" i="23"/>
  <c r="K38" i="23"/>
  <c r="J38" i="23"/>
  <c r="I38" i="23"/>
  <c r="I84" i="23" l="1"/>
  <c r="J84" i="23"/>
  <c r="K84" i="23"/>
  <c r="P84" i="23"/>
  <c r="H83" i="23"/>
  <c r="M82" i="23"/>
  <c r="AA82" i="23" s="1"/>
  <c r="M81" i="23"/>
  <c r="AA81" i="23" s="1"/>
  <c r="M80" i="23"/>
  <c r="AA80" i="23" s="1"/>
  <c r="M79" i="23"/>
  <c r="AA79" i="23" s="1"/>
  <c r="P78" i="23"/>
  <c r="M78" i="23"/>
  <c r="M77" i="23"/>
  <c r="AA77" i="23" s="1"/>
  <c r="P76" i="23"/>
  <c r="N76" i="23"/>
  <c r="M76" i="23"/>
  <c r="M75" i="23"/>
  <c r="AA75" i="23" s="1"/>
  <c r="N74" i="23"/>
  <c r="M74" i="23"/>
  <c r="AA74" i="23" s="1"/>
  <c r="M73" i="23"/>
  <c r="AA73" i="23" s="1"/>
  <c r="H70" i="23"/>
  <c r="M69" i="23"/>
  <c r="AA69" i="23" s="1"/>
  <c r="M68" i="23"/>
  <c r="AA68" i="23" s="1"/>
  <c r="P67" i="23"/>
  <c r="M67" i="23"/>
  <c r="AA67" i="23" s="1"/>
  <c r="M66" i="23"/>
  <c r="M65" i="23"/>
  <c r="AA65" i="23" s="1"/>
  <c r="M64" i="23"/>
  <c r="M63" i="23"/>
  <c r="M62" i="23"/>
  <c r="AA62" i="23" s="1"/>
  <c r="M61" i="23"/>
  <c r="AA61" i="23" s="1"/>
  <c r="M60" i="23"/>
  <c r="AA60" i="23" s="1"/>
  <c r="M59" i="23"/>
  <c r="AA59" i="23" s="1"/>
  <c r="M58" i="23"/>
  <c r="M57" i="23"/>
  <c r="AA57" i="23" s="1"/>
  <c r="M56" i="23"/>
  <c r="AA56" i="23" s="1"/>
  <c r="M55" i="23"/>
  <c r="M54" i="23"/>
  <c r="AA54" i="23" s="1"/>
  <c r="M53" i="23"/>
  <c r="AA53" i="23" s="1"/>
  <c r="M52" i="23"/>
  <c r="AA52" i="23" s="1"/>
  <c r="P51" i="23"/>
  <c r="M51" i="23"/>
  <c r="AA51" i="23" s="1"/>
  <c r="M50" i="23"/>
  <c r="M49" i="23"/>
  <c r="AA49" i="23" s="1"/>
  <c r="M48" i="23"/>
  <c r="AA48" i="23" s="1"/>
  <c r="P47" i="23"/>
  <c r="M47" i="23"/>
  <c r="M46" i="23"/>
  <c r="AA46" i="23" s="1"/>
  <c r="M45" i="23"/>
  <c r="AA45" i="23" s="1"/>
  <c r="M43" i="23"/>
  <c r="M42" i="23"/>
  <c r="H38" i="23"/>
  <c r="H84" i="23" s="1"/>
  <c r="M37" i="23"/>
  <c r="M36" i="23"/>
  <c r="AA36" i="23" s="1"/>
  <c r="M35" i="23"/>
  <c r="AA35" i="23" s="1"/>
  <c r="M34" i="23"/>
  <c r="AA34" i="23" s="1"/>
  <c r="M33" i="23"/>
  <c r="M32" i="23"/>
  <c r="P32" i="23" s="1"/>
  <c r="M31" i="23"/>
  <c r="AA31" i="23" s="1"/>
  <c r="M30" i="23"/>
  <c r="AA30" i="23" s="1"/>
  <c r="M28" i="23"/>
  <c r="AA28" i="23" s="1"/>
  <c r="M24" i="23"/>
  <c r="M23" i="23"/>
  <c r="AA23" i="23" s="1"/>
  <c r="M22" i="23"/>
  <c r="AA22" i="23" s="1"/>
  <c r="M19" i="23"/>
  <c r="AA19" i="23" s="1"/>
  <c r="M18" i="23"/>
  <c r="AA18" i="23" s="1"/>
  <c r="M12" i="23"/>
  <c r="AA12" i="23" s="1"/>
  <c r="M10" i="23"/>
  <c r="AA10" i="23" s="1"/>
  <c r="P9" i="23"/>
  <c r="M9" i="23"/>
  <c r="M8" i="23"/>
  <c r="N56" i="23" l="1"/>
  <c r="P77" i="23"/>
  <c r="S50" i="23"/>
  <c r="AA50" i="23"/>
  <c r="N64" i="23"/>
  <c r="AA64" i="23"/>
  <c r="S47" i="23"/>
  <c r="X47" i="23" s="1"/>
  <c r="AA47" i="23"/>
  <c r="N9" i="23"/>
  <c r="Q9" i="23" s="1"/>
  <c r="AA9" i="23"/>
  <c r="S76" i="23"/>
  <c r="AA76" i="23"/>
  <c r="S43" i="23"/>
  <c r="W43" i="23" s="1"/>
  <c r="AA43" i="23"/>
  <c r="S24" i="23"/>
  <c r="U24" i="23" s="1"/>
  <c r="AA24" i="23"/>
  <c r="S58" i="23"/>
  <c r="Y58" i="23" s="1"/>
  <c r="AA58" i="23"/>
  <c r="S66" i="23"/>
  <c r="AA66" i="23"/>
  <c r="S37" i="23"/>
  <c r="X37" i="23" s="1"/>
  <c r="AA37" i="23"/>
  <c r="S32" i="23"/>
  <c r="U32" i="23" s="1"/>
  <c r="AA32" i="23"/>
  <c r="N48" i="23"/>
  <c r="S55" i="23"/>
  <c r="AA55" i="23"/>
  <c r="N32" i="23"/>
  <c r="R32" i="23" s="1"/>
  <c r="S42" i="23"/>
  <c r="W42" i="23" s="1"/>
  <c r="AA42" i="23"/>
  <c r="S63" i="23"/>
  <c r="X63" i="23" s="1"/>
  <c r="AA63" i="23"/>
  <c r="S8" i="23"/>
  <c r="W8" i="23" s="1"/>
  <c r="AA8" i="23"/>
  <c r="S33" i="23"/>
  <c r="AA33" i="23"/>
  <c r="S78" i="23"/>
  <c r="Y78" i="23" s="1"/>
  <c r="AA78" i="23"/>
  <c r="Y76" i="23"/>
  <c r="X76" i="23"/>
  <c r="W76" i="23"/>
  <c r="V76" i="23"/>
  <c r="U76" i="23"/>
  <c r="T76" i="23"/>
  <c r="Q76" i="23"/>
  <c r="U78" i="23"/>
  <c r="W78" i="23"/>
  <c r="U58" i="23"/>
  <c r="X66" i="23"/>
  <c r="V66" i="23"/>
  <c r="T66" i="23"/>
  <c r="Y66" i="23"/>
  <c r="W66" i="23"/>
  <c r="U66" i="23"/>
  <c r="X42" i="23"/>
  <c r="V42" i="23"/>
  <c r="T42" i="23"/>
  <c r="X55" i="23"/>
  <c r="T55" i="23"/>
  <c r="Y55" i="23"/>
  <c r="W55" i="23"/>
  <c r="V55" i="23"/>
  <c r="U55" i="23"/>
  <c r="V43" i="23"/>
  <c r="U43" i="23"/>
  <c r="T43" i="23"/>
  <c r="V63" i="23"/>
  <c r="X50" i="23"/>
  <c r="V50" i="23"/>
  <c r="W50" i="23"/>
  <c r="U50" i="23"/>
  <c r="T50" i="23"/>
  <c r="Y50" i="23"/>
  <c r="W37" i="23"/>
  <c r="V37" i="23"/>
  <c r="W24" i="23"/>
  <c r="W32" i="23"/>
  <c r="X8" i="23"/>
  <c r="W33" i="23"/>
  <c r="V33" i="23"/>
  <c r="X33" i="23"/>
  <c r="U33" i="23"/>
  <c r="T33" i="23"/>
  <c r="Y33" i="23"/>
  <c r="P28" i="23"/>
  <c r="S28" i="23"/>
  <c r="P23" i="23"/>
  <c r="S23" i="23"/>
  <c r="P61" i="23"/>
  <c r="S61" i="23"/>
  <c r="M83" i="23"/>
  <c r="S73" i="23"/>
  <c r="N33" i="23"/>
  <c r="P49" i="23"/>
  <c r="S49" i="23"/>
  <c r="P54" i="23"/>
  <c r="S54" i="23"/>
  <c r="N58" i="23"/>
  <c r="N63" i="23"/>
  <c r="N67" i="23"/>
  <c r="Q67" i="23" s="1"/>
  <c r="S67" i="23"/>
  <c r="P74" i="23"/>
  <c r="R74" i="23" s="1"/>
  <c r="S74" i="23"/>
  <c r="N78" i="23"/>
  <c r="R78" i="23" s="1"/>
  <c r="P18" i="23"/>
  <c r="S18" i="23"/>
  <c r="P12" i="23"/>
  <c r="S12" i="23"/>
  <c r="P30" i="23"/>
  <c r="S30" i="23" a="1"/>
  <c r="S30" i="23" s="1"/>
  <c r="P45" i="23"/>
  <c r="S45" i="23"/>
  <c r="P63" i="23"/>
  <c r="N8" i="23"/>
  <c r="N30" i="23"/>
  <c r="P34" i="23"/>
  <c r="S34" i="23"/>
  <c r="N50" i="23"/>
  <c r="N59" i="23"/>
  <c r="S59" i="23"/>
  <c r="P68" i="23"/>
  <c r="S68" i="23"/>
  <c r="P31" i="23"/>
  <c r="S31" i="23"/>
  <c r="P59" i="23"/>
  <c r="P69" i="23"/>
  <c r="S69" i="23"/>
  <c r="P79" i="23"/>
  <c r="S79" i="23"/>
  <c r="N10" i="23"/>
  <c r="S10" i="23"/>
  <c r="P19" i="23"/>
  <c r="S19" i="23"/>
  <c r="N24" i="23"/>
  <c r="P37" i="23"/>
  <c r="P43" i="23"/>
  <c r="P53" i="23"/>
  <c r="S53" i="23"/>
  <c r="P66" i="23"/>
  <c r="P73" i="23"/>
  <c r="P24" i="23"/>
  <c r="P33" i="23"/>
  <c r="P58" i="23"/>
  <c r="P46" i="23"/>
  <c r="S46" i="23"/>
  <c r="N55" i="23"/>
  <c r="P64" i="23"/>
  <c r="R64" i="23" s="1"/>
  <c r="S64" i="23"/>
  <c r="P75" i="23"/>
  <c r="S75" i="23"/>
  <c r="P8" i="23"/>
  <c r="P22" i="23"/>
  <c r="Q22" i="23" s="1"/>
  <c r="S22" i="23"/>
  <c r="P35" i="23"/>
  <c r="S35" i="23"/>
  <c r="N42" i="23"/>
  <c r="P50" i="23"/>
  <c r="P55" i="23"/>
  <c r="N22" i="23"/>
  <c r="P36" i="23"/>
  <c r="S36" i="23"/>
  <c r="P42" i="23"/>
  <c r="N47" i="23"/>
  <c r="R47" i="23" s="1"/>
  <c r="N51" i="23"/>
  <c r="R51" i="23" s="1"/>
  <c r="S51" i="23"/>
  <c r="P56" i="23"/>
  <c r="R56" i="23" s="1"/>
  <c r="S56" i="23"/>
  <c r="P60" i="23"/>
  <c r="S60" i="23"/>
  <c r="P65" i="23"/>
  <c r="S65" i="23"/>
  <c r="P80" i="23"/>
  <c r="S80" i="23"/>
  <c r="P81" i="23"/>
  <c r="S81" i="23"/>
  <c r="N37" i="23"/>
  <c r="R37" i="23" s="1"/>
  <c r="N43" i="23"/>
  <c r="Q43" i="23" s="1"/>
  <c r="P48" i="23"/>
  <c r="S48" i="23"/>
  <c r="P52" i="23"/>
  <c r="S52" i="23"/>
  <c r="P57" i="23"/>
  <c r="S57" i="23"/>
  <c r="P62" i="23"/>
  <c r="S62" i="23"/>
  <c r="N66" i="23"/>
  <c r="N73" i="23"/>
  <c r="N77" i="23"/>
  <c r="R77" i="23" s="1"/>
  <c r="S77" i="23"/>
  <c r="P82" i="23"/>
  <c r="S82" i="23"/>
  <c r="S9" i="23"/>
  <c r="Q77" i="23"/>
  <c r="N18" i="23"/>
  <c r="P10" i="23"/>
  <c r="N34" i="23"/>
  <c r="N52" i="23"/>
  <c r="N60" i="23"/>
  <c r="N68" i="23"/>
  <c r="N23" i="23"/>
  <c r="N31" i="23"/>
  <c r="N49" i="23"/>
  <c r="N57" i="23"/>
  <c r="N65" i="23"/>
  <c r="N75" i="23"/>
  <c r="R76" i="23"/>
  <c r="N12" i="23"/>
  <c r="N28" i="23"/>
  <c r="N36" i="23"/>
  <c r="N46" i="23"/>
  <c r="N54" i="23"/>
  <c r="N62" i="23"/>
  <c r="N80" i="23"/>
  <c r="N82" i="23"/>
  <c r="N19" i="23"/>
  <c r="R19" i="23" s="1"/>
  <c r="N35" i="23"/>
  <c r="N45" i="23"/>
  <c r="N53" i="23"/>
  <c r="N61" i="23"/>
  <c r="N69" i="23"/>
  <c r="N79" i="23"/>
  <c r="N81" i="23"/>
  <c r="Q51" i="23" l="1"/>
  <c r="Q66" i="23"/>
  <c r="Q63" i="23"/>
  <c r="V24" i="23"/>
  <c r="T47" i="23"/>
  <c r="Y37" i="23"/>
  <c r="X43" i="23"/>
  <c r="Z43" i="23" s="1"/>
  <c r="X78" i="23"/>
  <c r="Q32" i="23"/>
  <c r="R8" i="23"/>
  <c r="R59" i="23"/>
  <c r="Q74" i="23"/>
  <c r="T37" i="23"/>
  <c r="Y43" i="23"/>
  <c r="Y42" i="23"/>
  <c r="T78" i="23"/>
  <c r="Z78" i="23" s="1"/>
  <c r="Y24" i="23"/>
  <c r="Q64" i="23"/>
  <c r="Q55" i="23"/>
  <c r="R33" i="23"/>
  <c r="U37" i="23"/>
  <c r="U42" i="23"/>
  <c r="Z42" i="23" s="1"/>
  <c r="V78" i="23"/>
  <c r="R67" i="23"/>
  <c r="Y8" i="23"/>
  <c r="X24" i="23"/>
  <c r="R9" i="23"/>
  <c r="R50" i="23"/>
  <c r="R24" i="23"/>
  <c r="V8" i="23"/>
  <c r="Y32" i="23"/>
  <c r="T24" i="23"/>
  <c r="Z24" i="23" s="1"/>
  <c r="U63" i="23"/>
  <c r="V47" i="23"/>
  <c r="U47" i="23"/>
  <c r="Q42" i="23"/>
  <c r="T8" i="23"/>
  <c r="V32" i="23"/>
  <c r="Y63" i="23"/>
  <c r="W47" i="23"/>
  <c r="Z47" i="23" s="1"/>
  <c r="X32" i="23"/>
  <c r="X58" i="23"/>
  <c r="U8" i="23"/>
  <c r="T32" i="23"/>
  <c r="W63" i="23"/>
  <c r="Y47" i="23"/>
  <c r="T58" i="23"/>
  <c r="W58" i="23"/>
  <c r="V58" i="23"/>
  <c r="T63" i="23"/>
  <c r="Z76" i="23"/>
  <c r="R48" i="23"/>
  <c r="W79" i="23"/>
  <c r="V79" i="23"/>
  <c r="U79" i="23"/>
  <c r="T79" i="23"/>
  <c r="Y79" i="23"/>
  <c r="X79" i="23"/>
  <c r="U74" i="23"/>
  <c r="T74" i="23"/>
  <c r="Y74" i="23"/>
  <c r="W74" i="23"/>
  <c r="V74" i="23"/>
  <c r="X74" i="23"/>
  <c r="Y80" i="23"/>
  <c r="X80" i="23"/>
  <c r="W80" i="23"/>
  <c r="V80" i="23"/>
  <c r="U80" i="23"/>
  <c r="T80" i="23"/>
  <c r="Q73" i="23"/>
  <c r="W73" i="23"/>
  <c r="U73" i="23"/>
  <c r="Y73" i="23"/>
  <c r="T73" i="23"/>
  <c r="X73" i="23"/>
  <c r="V73" i="23"/>
  <c r="U77" i="23"/>
  <c r="Y77" i="23"/>
  <c r="W77" i="23"/>
  <c r="X77" i="23"/>
  <c r="V77" i="23"/>
  <c r="T77" i="23"/>
  <c r="U82" i="23"/>
  <c r="T82" i="23"/>
  <c r="Y82" i="23"/>
  <c r="X82" i="23"/>
  <c r="W82" i="23"/>
  <c r="V82" i="23"/>
  <c r="W81" i="23"/>
  <c r="Y81" i="23"/>
  <c r="T81" i="23"/>
  <c r="X81" i="23"/>
  <c r="V81" i="23"/>
  <c r="U81" i="23"/>
  <c r="W75" i="23"/>
  <c r="V75" i="23"/>
  <c r="X75" i="23"/>
  <c r="U75" i="23"/>
  <c r="T75" i="23"/>
  <c r="Y75" i="23"/>
  <c r="X46" i="23"/>
  <c r="U46" i="23"/>
  <c r="W46" i="23"/>
  <c r="V46" i="23"/>
  <c r="T46" i="23"/>
  <c r="Y46" i="23"/>
  <c r="X62" i="23"/>
  <c r="T62" i="23"/>
  <c r="W62" i="23"/>
  <c r="V62" i="23"/>
  <c r="U62" i="23"/>
  <c r="Y62" i="23"/>
  <c r="V69" i="23"/>
  <c r="Y69" i="23"/>
  <c r="W69" i="23"/>
  <c r="U69" i="23"/>
  <c r="T69" i="23"/>
  <c r="X69" i="23"/>
  <c r="Z50" i="23"/>
  <c r="W67" i="23"/>
  <c r="V67" i="23"/>
  <c r="Y67" i="23"/>
  <c r="X67" i="23"/>
  <c r="U67" i="23"/>
  <c r="T67" i="23"/>
  <c r="V57" i="23"/>
  <c r="Y57" i="23"/>
  <c r="U57" i="23"/>
  <c r="T57" i="23"/>
  <c r="X57" i="23"/>
  <c r="W57" i="23"/>
  <c r="V53" i="23"/>
  <c r="T53" i="23"/>
  <c r="U53" i="23"/>
  <c r="Y53" i="23"/>
  <c r="X53" i="23"/>
  <c r="W53" i="23"/>
  <c r="Q48" i="23"/>
  <c r="V61" i="23"/>
  <c r="T61" i="23"/>
  <c r="Y61" i="23"/>
  <c r="U61" i="23"/>
  <c r="X61" i="23"/>
  <c r="W61" i="23"/>
  <c r="Q59" i="23"/>
  <c r="T52" i="23"/>
  <c r="Y52" i="23"/>
  <c r="X52" i="23"/>
  <c r="W52" i="23"/>
  <c r="V52" i="23"/>
  <c r="U52" i="23"/>
  <c r="T64" i="23"/>
  <c r="Y64" i="23"/>
  <c r="X64" i="23"/>
  <c r="V64" i="23"/>
  <c r="U64" i="23"/>
  <c r="W64" i="23"/>
  <c r="Q58" i="23"/>
  <c r="V49" i="23"/>
  <c r="U49" i="23"/>
  <c r="T49" i="23"/>
  <c r="X49" i="23"/>
  <c r="Y49" i="23"/>
  <c r="W49" i="23"/>
  <c r="V45" i="23"/>
  <c r="T45" i="23"/>
  <c r="Z45" i="23" s="1"/>
  <c r="Y45" i="23"/>
  <c r="U45" i="23"/>
  <c r="X45" i="23"/>
  <c r="W45" i="23"/>
  <c r="T60" i="23"/>
  <c r="X60" i="23"/>
  <c r="Y60" i="23"/>
  <c r="W60" i="23"/>
  <c r="V60" i="23"/>
  <c r="U60" i="23"/>
  <c r="T56" i="23"/>
  <c r="Y56" i="23"/>
  <c r="X56" i="23"/>
  <c r="W56" i="23"/>
  <c r="V56" i="23"/>
  <c r="U56" i="23"/>
  <c r="U51" i="23"/>
  <c r="T51" i="23"/>
  <c r="Y51" i="23"/>
  <c r="X51" i="23"/>
  <c r="W51" i="23"/>
  <c r="V51" i="23"/>
  <c r="T68" i="23"/>
  <c r="Y68" i="23"/>
  <c r="X68" i="23"/>
  <c r="W68" i="23"/>
  <c r="V68" i="23"/>
  <c r="U68" i="23"/>
  <c r="X54" i="23"/>
  <c r="W54" i="23"/>
  <c r="V54" i="23"/>
  <c r="U54" i="23"/>
  <c r="T54" i="23"/>
  <c r="Y54" i="23"/>
  <c r="Z55" i="23"/>
  <c r="V65" i="23"/>
  <c r="Y65" i="23"/>
  <c r="U65" i="23"/>
  <c r="T65" i="23"/>
  <c r="X65" i="23"/>
  <c r="W65" i="23"/>
  <c r="W59" i="23"/>
  <c r="V59" i="23"/>
  <c r="T59" i="23"/>
  <c r="Y59" i="23"/>
  <c r="X59" i="23"/>
  <c r="U59" i="23"/>
  <c r="R66" i="23"/>
  <c r="Q47" i="23"/>
  <c r="T48" i="23"/>
  <c r="Y48" i="23"/>
  <c r="X48" i="23"/>
  <c r="W48" i="23"/>
  <c r="V48" i="23"/>
  <c r="U48" i="23"/>
  <c r="Z66" i="23"/>
  <c r="Q24" i="23"/>
  <c r="Y9" i="23"/>
  <c r="V9" i="23"/>
  <c r="T9" i="23"/>
  <c r="X9" i="23"/>
  <c r="W9" i="23"/>
  <c r="U9" i="23"/>
  <c r="U36" i="23"/>
  <c r="T36" i="23"/>
  <c r="V36" i="23"/>
  <c r="Y36" i="23"/>
  <c r="X36" i="23"/>
  <c r="W36" i="23"/>
  <c r="Y12" i="23"/>
  <c r="X12" i="23"/>
  <c r="W12" i="23"/>
  <c r="T12" i="23"/>
  <c r="V12" i="23"/>
  <c r="U12" i="23"/>
  <c r="T35" i="23"/>
  <c r="Y35" i="23"/>
  <c r="X35" i="23"/>
  <c r="W35" i="23"/>
  <c r="V35" i="23"/>
  <c r="U35" i="23"/>
  <c r="Y34" i="23"/>
  <c r="X34" i="23"/>
  <c r="W34" i="23"/>
  <c r="V34" i="23"/>
  <c r="U34" i="23"/>
  <c r="T34" i="23"/>
  <c r="Q37" i="23"/>
  <c r="Y30" i="23"/>
  <c r="X30" i="23"/>
  <c r="W30" i="23"/>
  <c r="V30" i="23"/>
  <c r="U30" i="23"/>
  <c r="T30" i="23"/>
  <c r="Y23" i="23"/>
  <c r="W23" i="23"/>
  <c r="V23" i="23"/>
  <c r="T23" i="23"/>
  <c r="X23" i="23"/>
  <c r="U23" i="23"/>
  <c r="U28" i="23"/>
  <c r="T28" i="23"/>
  <c r="X28" i="23"/>
  <c r="V28" i="23"/>
  <c r="Y28" i="23"/>
  <c r="W28" i="23"/>
  <c r="Y19" i="23"/>
  <c r="V19" i="23"/>
  <c r="T19" i="23"/>
  <c r="X19" i="23"/>
  <c r="W19" i="23"/>
  <c r="U19" i="23"/>
  <c r="Z33" i="23"/>
  <c r="T31" i="23"/>
  <c r="Y31" i="23"/>
  <c r="X31" i="23"/>
  <c r="W31" i="23"/>
  <c r="V31" i="23"/>
  <c r="U31" i="23"/>
  <c r="Y18" i="23"/>
  <c r="X18" i="23"/>
  <c r="W18" i="23"/>
  <c r="T18" i="23"/>
  <c r="V18" i="23"/>
  <c r="U18" i="23"/>
  <c r="U10" i="23"/>
  <c r="T10" i="23"/>
  <c r="Y10" i="23"/>
  <c r="X10" i="23"/>
  <c r="V10" i="23"/>
  <c r="W10" i="23"/>
  <c r="Q10" i="23"/>
  <c r="Y22" i="23"/>
  <c r="X22" i="23"/>
  <c r="W22" i="23"/>
  <c r="T22" i="23"/>
  <c r="V22" i="23"/>
  <c r="U22" i="23"/>
  <c r="Q8" i="23"/>
  <c r="R30" i="23"/>
  <c r="Z37" i="23"/>
  <c r="Q78" i="23"/>
  <c r="R58" i="23"/>
  <c r="Q56" i="23"/>
  <c r="R73" i="23"/>
  <c r="N83" i="23"/>
  <c r="R43" i="23"/>
  <c r="Q30" i="23"/>
  <c r="R42" i="23"/>
  <c r="Q50" i="23"/>
  <c r="R22" i="23"/>
  <c r="R55" i="23"/>
  <c r="R63" i="23"/>
  <c r="Q33" i="23"/>
  <c r="S83" i="23"/>
  <c r="R80" i="23"/>
  <c r="Q80" i="23"/>
  <c r="Q53" i="23"/>
  <c r="R53" i="23"/>
  <c r="R18" i="23"/>
  <c r="Q18" i="23"/>
  <c r="R75" i="23"/>
  <c r="Q75" i="23"/>
  <c r="Q69" i="23"/>
  <c r="R69" i="23"/>
  <c r="R12" i="23"/>
  <c r="Q12" i="23"/>
  <c r="Q45" i="23"/>
  <c r="R45" i="23"/>
  <c r="R68" i="23"/>
  <c r="Q68" i="23"/>
  <c r="R35" i="23"/>
  <c r="Q35" i="23"/>
  <c r="R31" i="23"/>
  <c r="Q31" i="23"/>
  <c r="R82" i="23"/>
  <c r="Q82" i="23"/>
  <c r="R46" i="23"/>
  <c r="Q46" i="23"/>
  <c r="R81" i="23"/>
  <c r="Q81" i="23"/>
  <c r="Q36" i="23"/>
  <c r="R36" i="23"/>
  <c r="R52" i="23"/>
  <c r="Q52" i="23"/>
  <c r="Q19" i="23"/>
  <c r="R34" i="23"/>
  <c r="Q34" i="23"/>
  <c r="Q61" i="23"/>
  <c r="R61" i="23"/>
  <c r="R49" i="23"/>
  <c r="Q49" i="23"/>
  <c r="R62" i="23"/>
  <c r="Q62" i="23"/>
  <c r="R54" i="23"/>
  <c r="Q54" i="23"/>
  <c r="R60" i="23"/>
  <c r="Q60" i="23"/>
  <c r="R65" i="23"/>
  <c r="Q65" i="23"/>
  <c r="R79" i="23"/>
  <c r="Q79" i="23"/>
  <c r="R28" i="23"/>
  <c r="Q28" i="23"/>
  <c r="R57" i="23"/>
  <c r="Q57" i="23"/>
  <c r="R23" i="23"/>
  <c r="Q23" i="23"/>
  <c r="R10" i="23"/>
  <c r="Z35" i="23" l="1"/>
  <c r="Z63" i="23"/>
  <c r="Z9" i="23"/>
  <c r="Z8" i="23"/>
  <c r="Z77" i="23"/>
  <c r="Z74" i="23"/>
  <c r="Z32" i="23"/>
  <c r="Z56" i="23"/>
  <c r="Z62" i="23"/>
  <c r="Z30" i="23"/>
  <c r="Z54" i="23"/>
  <c r="Z58" i="23"/>
  <c r="Z23" i="23"/>
  <c r="Z22" i="23"/>
  <c r="Q83" i="23"/>
  <c r="Z79" i="23"/>
  <c r="Z82" i="23"/>
  <c r="Z80" i="23"/>
  <c r="Z73" i="23"/>
  <c r="Z75" i="23"/>
  <c r="Z81" i="23"/>
  <c r="Z68" i="23"/>
  <c r="Z59" i="23"/>
  <c r="Z52" i="23"/>
  <c r="Z60" i="23"/>
  <c r="Z48" i="23"/>
  <c r="Z49" i="23"/>
  <c r="Z65" i="23"/>
  <c r="Z61" i="23"/>
  <c r="Z57" i="23"/>
  <c r="Z64" i="23"/>
  <c r="Z46" i="23"/>
  <c r="Z51" i="23"/>
  <c r="Z53" i="23"/>
  <c r="Z67" i="23"/>
  <c r="Z69" i="23"/>
  <c r="Z10" i="23"/>
  <c r="Z19" i="23"/>
  <c r="Z36" i="23"/>
  <c r="Z34" i="23"/>
  <c r="Z18" i="23"/>
  <c r="Z28" i="23"/>
  <c r="Z12" i="23"/>
  <c r="Z31" i="23"/>
  <c r="R83" i="23"/>
  <c r="AB44" i="13"/>
  <c r="AB41" i="13" l="1"/>
  <c r="AB29" i="13"/>
  <c r="AB27" i="13"/>
  <c r="AB26" i="13"/>
  <c r="AB25" i="13"/>
  <c r="AB21" i="13"/>
  <c r="AB20" i="13"/>
  <c r="AB17" i="13"/>
  <c r="AB16" i="13"/>
  <c r="AB15" i="13"/>
  <c r="AB11" i="13"/>
  <c r="AH55" i="13"/>
  <c r="AI55" i="13" s="1"/>
  <c r="AJ55" i="13" s="1"/>
  <c r="AK55" i="13" s="1"/>
  <c r="AB7" i="13"/>
  <c r="M82" i="14" l="1"/>
  <c r="M81" i="14"/>
  <c r="M79" i="14"/>
  <c r="M78" i="14"/>
  <c r="M77" i="14"/>
  <c r="M76" i="14"/>
  <c r="M75" i="14"/>
  <c r="M74" i="14"/>
  <c r="M69" i="14"/>
  <c r="M67" i="14"/>
  <c r="M66" i="14"/>
  <c r="M65" i="14"/>
  <c r="M64" i="14"/>
  <c r="M63" i="14"/>
  <c r="M62" i="14"/>
  <c r="M61" i="14"/>
  <c r="M60" i="14"/>
  <c r="M59" i="14"/>
  <c r="M58" i="14"/>
  <c r="M57" i="14"/>
  <c r="M56" i="14"/>
  <c r="M55" i="14"/>
  <c r="M54" i="14"/>
  <c r="M52" i="14"/>
  <c r="M51" i="14"/>
  <c r="M50" i="14"/>
  <c r="M49" i="14"/>
  <c r="M48" i="14"/>
  <c r="M47" i="14"/>
  <c r="M45" i="14"/>
  <c r="M43" i="14"/>
  <c r="M42" i="14"/>
  <c r="M37" i="14"/>
  <c r="M36" i="14"/>
  <c r="M35" i="14"/>
  <c r="M34" i="14"/>
  <c r="M33" i="14"/>
  <c r="M32" i="14"/>
  <c r="M31" i="14"/>
  <c r="M30" i="14"/>
  <c r="M28" i="14"/>
  <c r="M24" i="14"/>
  <c r="M23" i="14"/>
  <c r="M22" i="14"/>
  <c r="M18" i="14"/>
  <c r="M10" i="14"/>
  <c r="M9" i="14"/>
  <c r="AD82" i="13"/>
  <c r="AD81" i="13"/>
  <c r="AD80" i="13"/>
  <c r="AD79" i="13"/>
  <c r="AD78" i="13"/>
  <c r="AD77" i="13"/>
  <c r="AD76" i="13"/>
  <c r="AD75" i="13"/>
  <c r="AD74" i="13"/>
  <c r="AD73" i="13"/>
  <c r="AD69" i="13"/>
  <c r="AD68" i="13"/>
  <c r="M68" i="14" s="1"/>
  <c r="AD67" i="13"/>
  <c r="AD66" i="13"/>
  <c r="AD65" i="13"/>
  <c r="AD64" i="13"/>
  <c r="AD63" i="13"/>
  <c r="AD62" i="13"/>
  <c r="AD61" i="13"/>
  <c r="AD60" i="13"/>
  <c r="AD59" i="13"/>
  <c r="AD58" i="13"/>
  <c r="AD57" i="13"/>
  <c r="AD56" i="13"/>
  <c r="AD55" i="13"/>
  <c r="AD54" i="13"/>
  <c r="AD53" i="13"/>
  <c r="M53" i="14" s="1"/>
  <c r="AD52" i="13"/>
  <c r="AD51" i="13"/>
  <c r="AD50" i="13"/>
  <c r="AD49" i="13"/>
  <c r="AD48" i="13"/>
  <c r="AD47" i="13"/>
  <c r="AD46" i="13"/>
  <c r="AD45" i="13"/>
  <c r="AD44" i="13"/>
  <c r="M44" i="23" s="1"/>
  <c r="AD43" i="13"/>
  <c r="AD42" i="13"/>
  <c r="AD41" i="13"/>
  <c r="M41" i="23" s="1"/>
  <c r="AD37" i="13"/>
  <c r="AD36" i="13"/>
  <c r="AD35" i="13"/>
  <c r="AD34" i="13"/>
  <c r="AD33" i="13"/>
  <c r="AD32" i="13"/>
  <c r="AD31" i="13"/>
  <c r="AD30" i="13"/>
  <c r="AD29" i="13"/>
  <c r="M29" i="23" s="1"/>
  <c r="AD28" i="13"/>
  <c r="AD27" i="13"/>
  <c r="AD26" i="13"/>
  <c r="M26" i="23" s="1"/>
  <c r="AD25" i="13"/>
  <c r="M25" i="23" s="1"/>
  <c r="AD24" i="13"/>
  <c r="AD23" i="13"/>
  <c r="AD22" i="13"/>
  <c r="AD21" i="13"/>
  <c r="AD20" i="13"/>
  <c r="M20" i="23" s="1"/>
  <c r="AD19" i="13"/>
  <c r="AD18" i="13"/>
  <c r="AD17" i="13"/>
  <c r="M17" i="23" s="1"/>
  <c r="AD16" i="13"/>
  <c r="AD15" i="13"/>
  <c r="M15" i="23" s="1"/>
  <c r="AD14" i="13"/>
  <c r="AD13" i="13"/>
  <c r="AD12" i="13"/>
  <c r="AD11" i="13"/>
  <c r="AD10" i="13"/>
  <c r="AD9" i="13"/>
  <c r="AD8" i="13"/>
  <c r="M8" i="14" s="1"/>
  <c r="AD7" i="13"/>
  <c r="M7" i="23" s="1"/>
  <c r="AD6" i="13"/>
  <c r="M44" i="14" l="1"/>
  <c r="M16" i="14"/>
  <c r="M16" i="23"/>
  <c r="AA44" i="23"/>
  <c r="N44" i="23"/>
  <c r="P44" i="23"/>
  <c r="S44" i="23"/>
  <c r="Y44" i="23" s="1"/>
  <c r="S17" i="23"/>
  <c r="AA17" i="23"/>
  <c r="N17" i="23"/>
  <c r="P17" i="23"/>
  <c r="AA26" i="23"/>
  <c r="P26" i="23"/>
  <c r="S26" i="23"/>
  <c r="N26" i="23"/>
  <c r="AA25" i="23"/>
  <c r="N25" i="23"/>
  <c r="S25" i="23"/>
  <c r="P25" i="23"/>
  <c r="Y25" i="23"/>
  <c r="M11" i="14"/>
  <c r="M11" i="23"/>
  <c r="M27" i="14"/>
  <c r="M27" i="23"/>
  <c r="AA15" i="23"/>
  <c r="S15" i="23"/>
  <c r="P15" i="23"/>
  <c r="N15" i="23"/>
  <c r="Y15" i="23"/>
  <c r="AA20" i="23"/>
  <c r="N20" i="23"/>
  <c r="P20" i="23"/>
  <c r="S20" i="23"/>
  <c r="Y20" i="23" s="1"/>
  <c r="M41" i="14"/>
  <c r="AA41" i="23"/>
  <c r="P41" i="23"/>
  <c r="S41" i="23"/>
  <c r="Y41" i="23" s="1"/>
  <c r="N41" i="23"/>
  <c r="M70" i="23"/>
  <c r="P7" i="23"/>
  <c r="AA7" i="23"/>
  <c r="S7" i="23"/>
  <c r="Y7" i="23" s="1"/>
  <c r="N7" i="23"/>
  <c r="M21" i="14"/>
  <c r="M21" i="23"/>
  <c r="S29" i="23"/>
  <c r="Y29" i="23" s="1"/>
  <c r="AA29" i="23"/>
  <c r="P29" i="23"/>
  <c r="N29" i="23"/>
  <c r="M14" i="23"/>
  <c r="AA14" i="23" s="1"/>
  <c r="M13" i="14"/>
  <c r="M13" i="23"/>
  <c r="AA13" i="23" s="1"/>
  <c r="M6" i="14"/>
  <c r="M6" i="23"/>
  <c r="AA6" i="23" s="1"/>
  <c r="M80" i="14"/>
  <c r="M73" i="14"/>
  <c r="M46" i="14"/>
  <c r="M70" i="14" s="1"/>
  <c r="M14" i="14"/>
  <c r="M29" i="14"/>
  <c r="M26" i="14"/>
  <c r="M25" i="14"/>
  <c r="M20" i="14"/>
  <c r="M17" i="14"/>
  <c r="M15" i="14"/>
  <c r="M7" i="14"/>
  <c r="M19" i="14"/>
  <c r="M12" i="14"/>
  <c r="R29" i="23" l="1"/>
  <c r="Q25" i="23"/>
  <c r="W26" i="23"/>
  <c r="T26" i="23"/>
  <c r="V26" i="23"/>
  <c r="U26" i="23"/>
  <c r="X26" i="23"/>
  <c r="R26" i="23"/>
  <c r="Q26" i="23"/>
  <c r="R15" i="23"/>
  <c r="Q15" i="23"/>
  <c r="W44" i="23"/>
  <c r="U44" i="23"/>
  <c r="T44" i="23"/>
  <c r="V44" i="23"/>
  <c r="X44" i="23"/>
  <c r="W17" i="23"/>
  <c r="V17" i="23"/>
  <c r="U17" i="23"/>
  <c r="X17" i="23"/>
  <c r="T17" i="23"/>
  <c r="Q7" i="23"/>
  <c r="R7" i="23"/>
  <c r="Q29" i="23"/>
  <c r="X15" i="23"/>
  <c r="W15" i="23"/>
  <c r="U15" i="23"/>
  <c r="T15" i="23"/>
  <c r="V15" i="23"/>
  <c r="T25" i="23"/>
  <c r="W25" i="23"/>
  <c r="V25" i="23"/>
  <c r="U25" i="23"/>
  <c r="X25" i="23"/>
  <c r="R44" i="23"/>
  <c r="Q44" i="23"/>
  <c r="AA11" i="23"/>
  <c r="S11" i="23"/>
  <c r="Y11" i="23" s="1"/>
  <c r="N11" i="23"/>
  <c r="P11" i="23"/>
  <c r="M38" i="14"/>
  <c r="M84" i="14" s="1"/>
  <c r="X29" i="23"/>
  <c r="V29" i="23"/>
  <c r="T29" i="23"/>
  <c r="W29" i="23"/>
  <c r="U29" i="23"/>
  <c r="W20" i="23"/>
  <c r="X20" i="23"/>
  <c r="U20" i="23"/>
  <c r="T20" i="23"/>
  <c r="V20" i="23"/>
  <c r="R25" i="23"/>
  <c r="Q17" i="23"/>
  <c r="R17" i="23"/>
  <c r="AA27" i="23"/>
  <c r="P27" i="23"/>
  <c r="S27" i="23"/>
  <c r="N27" i="23"/>
  <c r="Y17" i="23"/>
  <c r="S16" i="23"/>
  <c r="AA16" i="23"/>
  <c r="Y16" i="23"/>
  <c r="N16" i="23"/>
  <c r="P16" i="23"/>
  <c r="V41" i="23"/>
  <c r="U41" i="23"/>
  <c r="T41" i="23"/>
  <c r="S70" i="23"/>
  <c r="X41" i="23"/>
  <c r="W41" i="23"/>
  <c r="T7" i="23"/>
  <c r="W7" i="23"/>
  <c r="V7" i="23"/>
  <c r="X7" i="23"/>
  <c r="U7" i="23"/>
  <c r="S21" i="23"/>
  <c r="Y21" i="23" s="1"/>
  <c r="AA21" i="23"/>
  <c r="P21" i="23"/>
  <c r="N21" i="23"/>
  <c r="N70" i="23"/>
  <c r="Q41" i="23"/>
  <c r="Q70" i="23" s="1"/>
  <c r="R41" i="23"/>
  <c r="R70" i="23" s="1"/>
  <c r="Q20" i="23"/>
  <c r="R20" i="23"/>
  <c r="Y26" i="23"/>
  <c r="N14" i="23"/>
  <c r="S14" i="23"/>
  <c r="P14" i="23"/>
  <c r="R14" i="23" s="1"/>
  <c r="S13" i="23"/>
  <c r="Y13" i="23" s="1"/>
  <c r="P13" i="23"/>
  <c r="N13" i="23"/>
  <c r="P6" i="23"/>
  <c r="N6" i="23"/>
  <c r="S6" i="23"/>
  <c r="M38" i="23"/>
  <c r="M84" i="23" s="1"/>
  <c r="Z29" i="23" l="1"/>
  <c r="Z7" i="23"/>
  <c r="Q11" i="23"/>
  <c r="R11" i="23"/>
  <c r="V27" i="23"/>
  <c r="T27" i="23"/>
  <c r="X27" i="23"/>
  <c r="W27" i="23"/>
  <c r="U27" i="23"/>
  <c r="Q16" i="23"/>
  <c r="R16" i="23"/>
  <c r="U16" i="23"/>
  <c r="T16" i="23"/>
  <c r="X16" i="23"/>
  <c r="V16" i="23"/>
  <c r="W16" i="23"/>
  <c r="W11" i="23"/>
  <c r="V11" i="23"/>
  <c r="T11" i="23"/>
  <c r="U11" i="23"/>
  <c r="X11" i="23"/>
  <c r="Z25" i="23"/>
  <c r="Z44" i="23"/>
  <c r="R21" i="23"/>
  <c r="Q21" i="23"/>
  <c r="Z41" i="23"/>
  <c r="Z17" i="23"/>
  <c r="V21" i="23"/>
  <c r="U21" i="23"/>
  <c r="X21" i="23"/>
  <c r="T21" i="23"/>
  <c r="W21" i="23"/>
  <c r="Y27" i="23"/>
  <c r="Z15" i="23"/>
  <c r="Z26" i="23"/>
  <c r="R27" i="23"/>
  <c r="Q27" i="23"/>
  <c r="Z20" i="23"/>
  <c r="Q14" i="23"/>
  <c r="T14" i="23"/>
  <c r="X14" i="23"/>
  <c r="W14" i="23"/>
  <c r="V14" i="23"/>
  <c r="U14" i="23"/>
  <c r="Y14" i="23"/>
  <c r="R13" i="23"/>
  <c r="Q13" i="23"/>
  <c r="X13" i="23"/>
  <c r="W13" i="23"/>
  <c r="V13" i="23"/>
  <c r="U13" i="23"/>
  <c r="T13" i="23"/>
  <c r="W6" i="23"/>
  <c r="U6" i="23"/>
  <c r="V6" i="23"/>
  <c r="T6" i="23"/>
  <c r="X6" i="23"/>
  <c r="S38" i="23"/>
  <c r="S84" i="23" s="1"/>
  <c r="Q6" i="23"/>
  <c r="N38" i="23"/>
  <c r="N84" i="23" s="1"/>
  <c r="R6" i="23"/>
  <c r="Y6" i="23"/>
  <c r="Z13" i="23" l="1"/>
  <c r="Z21" i="23"/>
  <c r="Z27" i="23"/>
  <c r="Z16" i="23"/>
  <c r="R38" i="23"/>
  <c r="R84" i="23" s="1"/>
  <c r="Z11" i="23"/>
  <c r="Q38" i="23"/>
  <c r="Q84" i="23" s="1"/>
  <c r="Z14" i="23"/>
  <c r="Z6" i="23"/>
  <c r="AD122" i="15"/>
  <c r="AD121" i="15"/>
  <c r="AD120" i="15"/>
  <c r="AD119" i="15"/>
  <c r="AD118" i="15"/>
  <c r="AD109" i="18" l="1"/>
  <c r="X109" i="18"/>
  <c r="T109" i="18"/>
  <c r="P109" i="18"/>
  <c r="N109" i="18"/>
  <c r="L109" i="18"/>
  <c r="L110" i="18" s="1"/>
  <c r="H109" i="18"/>
  <c r="AH108" i="18"/>
  <c r="AF108" i="18"/>
  <c r="AE108" i="18"/>
  <c r="AC108" i="18"/>
  <c r="AB108" i="18"/>
  <c r="Y108" i="18"/>
  <c r="Z108" i="18" s="1"/>
  <c r="AA108" i="18" s="1"/>
  <c r="V108" i="18"/>
  <c r="W108" i="18" s="1"/>
  <c r="U108" i="18"/>
  <c r="Q108" i="18"/>
  <c r="R108" i="18" s="1"/>
  <c r="S108" i="18" s="1"/>
  <c r="O108" i="18"/>
  <c r="M108" i="18"/>
  <c r="J108" i="18"/>
  <c r="I108" i="18"/>
  <c r="AF107" i="18"/>
  <c r="AE107" i="18"/>
  <c r="AB107" i="18"/>
  <c r="AC107" i="18" s="1"/>
  <c r="Y107" i="18"/>
  <c r="Z107" i="18" s="1"/>
  <c r="AA107" i="18" s="1"/>
  <c r="V107" i="18"/>
  <c r="W107" i="18" s="1"/>
  <c r="U107" i="18"/>
  <c r="R107" i="18"/>
  <c r="S107" i="18" s="1"/>
  <c r="Q107" i="18"/>
  <c r="O107" i="18"/>
  <c r="M107" i="18"/>
  <c r="J107" i="18"/>
  <c r="I107" i="18"/>
  <c r="AE106" i="18"/>
  <c r="AB106" i="18"/>
  <c r="Y106" i="18"/>
  <c r="Z106" i="18" s="1"/>
  <c r="AA106" i="18" s="1"/>
  <c r="U106" i="18"/>
  <c r="V106" i="18" s="1"/>
  <c r="W106" i="18" s="1"/>
  <c r="R106" i="18"/>
  <c r="S106" i="18" s="1"/>
  <c r="Q106" i="18"/>
  <c r="O106" i="18"/>
  <c r="M106" i="18"/>
  <c r="I106" i="18"/>
  <c r="J106" i="18" s="1"/>
  <c r="AH105" i="18"/>
  <c r="AF105" i="18"/>
  <c r="AE105" i="18"/>
  <c r="AC105" i="18"/>
  <c r="AB105" i="18"/>
  <c r="Y105" i="18"/>
  <c r="Z105" i="18" s="1"/>
  <c r="AA105" i="18" s="1"/>
  <c r="U105" i="18"/>
  <c r="V105" i="18" s="1"/>
  <c r="W105" i="18" s="1"/>
  <c r="Q105" i="18"/>
  <c r="R105" i="18" s="1"/>
  <c r="S105" i="18" s="1"/>
  <c r="O105" i="18"/>
  <c r="M105" i="18"/>
  <c r="I105" i="18"/>
  <c r="J105" i="18" s="1"/>
  <c r="AI104" i="18"/>
  <c r="AE104" i="18"/>
  <c r="AC104" i="18"/>
  <c r="AB104" i="18"/>
  <c r="AH104" i="18" s="1"/>
  <c r="Z104" i="18"/>
  <c r="AA104" i="18" s="1"/>
  <c r="Y104" i="18"/>
  <c r="U104" i="18"/>
  <c r="V104" i="18" s="1"/>
  <c r="W104" i="18" s="1"/>
  <c r="Q104" i="18"/>
  <c r="R104" i="18" s="1"/>
  <c r="S104" i="18" s="1"/>
  <c r="O104" i="18"/>
  <c r="M104" i="18"/>
  <c r="I104" i="18"/>
  <c r="J104" i="18" s="1"/>
  <c r="AH103" i="18"/>
  <c r="AF103" i="18"/>
  <c r="AE103" i="18"/>
  <c r="AC103" i="18"/>
  <c r="AB103" i="18"/>
  <c r="AA103" i="18"/>
  <c r="Z103" i="18"/>
  <c r="Y103" i="18"/>
  <c r="V103" i="18"/>
  <c r="W103" i="18" s="1"/>
  <c r="U103" i="18"/>
  <c r="Q103" i="18"/>
  <c r="R103" i="18" s="1"/>
  <c r="S103" i="18" s="1"/>
  <c r="O103" i="18"/>
  <c r="M103" i="18"/>
  <c r="J103" i="18"/>
  <c r="I103" i="18"/>
  <c r="AE102" i="18"/>
  <c r="AB102" i="18"/>
  <c r="Y102" i="18"/>
  <c r="Z102" i="18" s="1"/>
  <c r="W102" i="18"/>
  <c r="V102" i="18"/>
  <c r="U102" i="18"/>
  <c r="R102" i="18"/>
  <c r="S102" i="18" s="1"/>
  <c r="Q102" i="18"/>
  <c r="O102" i="18"/>
  <c r="M102" i="18"/>
  <c r="K102" i="18"/>
  <c r="J102" i="18"/>
  <c r="AI102" i="18" s="1"/>
  <c r="I102" i="18"/>
  <c r="AH101" i="18"/>
  <c r="AE101" i="18"/>
  <c r="AC101" i="18"/>
  <c r="AB101" i="18"/>
  <c r="AF101" i="18" s="1"/>
  <c r="Y101" i="18"/>
  <c r="Z101" i="18" s="1"/>
  <c r="V101" i="18"/>
  <c r="W101" i="18" s="1"/>
  <c r="U101" i="18"/>
  <c r="S101" i="18"/>
  <c r="R101" i="18"/>
  <c r="Q101" i="18"/>
  <c r="O101" i="18"/>
  <c r="M101" i="18"/>
  <c r="J101" i="18"/>
  <c r="AG101" i="18" s="1"/>
  <c r="I101" i="18"/>
  <c r="AI100" i="18"/>
  <c r="AH100" i="18"/>
  <c r="AF100" i="18"/>
  <c r="AE100" i="18"/>
  <c r="AB100" i="18"/>
  <c r="AC100" i="18" s="1"/>
  <c r="Z100" i="18"/>
  <c r="AA100" i="18" s="1"/>
  <c r="Y100" i="18"/>
  <c r="U100" i="18"/>
  <c r="V100" i="18" s="1"/>
  <c r="W100" i="18" s="1"/>
  <c r="R100" i="18"/>
  <c r="S100" i="18" s="1"/>
  <c r="Q100" i="18"/>
  <c r="O100" i="18"/>
  <c r="M100" i="18"/>
  <c r="I100" i="18"/>
  <c r="J100" i="18" s="1"/>
  <c r="AF99" i="18"/>
  <c r="AE99" i="18"/>
  <c r="AB99" i="18"/>
  <c r="AC99" i="18" s="1"/>
  <c r="Y99" i="18"/>
  <c r="Z99" i="18" s="1"/>
  <c r="AA99" i="18" s="1"/>
  <c r="V99" i="18"/>
  <c r="W99" i="18" s="1"/>
  <c r="U99" i="18"/>
  <c r="Q99" i="18"/>
  <c r="R99" i="18" s="1"/>
  <c r="S99" i="18" s="1"/>
  <c r="O99" i="18"/>
  <c r="M99" i="18"/>
  <c r="J99" i="18"/>
  <c r="I99" i="18"/>
  <c r="AE98" i="18"/>
  <c r="AB98" i="18"/>
  <c r="Y98" i="18"/>
  <c r="Z98" i="18" s="1"/>
  <c r="AA98" i="18" s="1"/>
  <c r="U98" i="18"/>
  <c r="V98" i="18" s="1"/>
  <c r="W98" i="18" s="1"/>
  <c r="R98" i="18"/>
  <c r="S98" i="18" s="1"/>
  <c r="Q98" i="18"/>
  <c r="O98" i="18"/>
  <c r="M98" i="18"/>
  <c r="I98" i="18"/>
  <c r="J98" i="18" s="1"/>
  <c r="AH97" i="18"/>
  <c r="AF97" i="18"/>
  <c r="AE97" i="18"/>
  <c r="AC97" i="18"/>
  <c r="AB97" i="18"/>
  <c r="Y97" i="18"/>
  <c r="Z97" i="18" s="1"/>
  <c r="AA97" i="18" s="1"/>
  <c r="U97" i="18"/>
  <c r="V97" i="18" s="1"/>
  <c r="W97" i="18" s="1"/>
  <c r="Q97" i="18"/>
  <c r="R97" i="18" s="1"/>
  <c r="S97" i="18" s="1"/>
  <c r="O97" i="18"/>
  <c r="M97" i="18"/>
  <c r="I97" i="18"/>
  <c r="J97" i="18" s="1"/>
  <c r="AE96" i="18"/>
  <c r="AC96" i="18"/>
  <c r="AB96" i="18"/>
  <c r="AH96" i="18" s="1"/>
  <c r="Z96" i="18"/>
  <c r="AA96" i="18" s="1"/>
  <c r="Y96" i="18"/>
  <c r="U96" i="18"/>
  <c r="V96" i="18" s="1"/>
  <c r="W96" i="18" s="1"/>
  <c r="Q96" i="18"/>
  <c r="R96" i="18" s="1"/>
  <c r="S96" i="18" s="1"/>
  <c r="O96" i="18"/>
  <c r="M96" i="18"/>
  <c r="I96" i="18"/>
  <c r="J96" i="18" s="1"/>
  <c r="AH95" i="18"/>
  <c r="AF95" i="18"/>
  <c r="AE95" i="18"/>
  <c r="AC95" i="18"/>
  <c r="AB95" i="18"/>
  <c r="AA95" i="18"/>
  <c r="Z95" i="18"/>
  <c r="Y95" i="18"/>
  <c r="V95" i="18"/>
  <c r="W95" i="18" s="1"/>
  <c r="U95" i="18"/>
  <c r="Q95" i="18"/>
  <c r="R95" i="18" s="1"/>
  <c r="S95" i="18" s="1"/>
  <c r="O95" i="18"/>
  <c r="M95" i="18"/>
  <c r="J95" i="18"/>
  <c r="I95" i="18"/>
  <c r="AE94" i="18"/>
  <c r="AB94" i="18"/>
  <c r="Z94" i="18"/>
  <c r="AA94" i="18" s="1"/>
  <c r="Y94" i="18"/>
  <c r="W94" i="18"/>
  <c r="V94" i="18"/>
  <c r="U94" i="18"/>
  <c r="R94" i="18"/>
  <c r="S94" i="18" s="1"/>
  <c r="Q94" i="18"/>
  <c r="O94" i="18"/>
  <c r="M94" i="18"/>
  <c r="K94" i="18"/>
  <c r="J94" i="18"/>
  <c r="AI94" i="18" s="1"/>
  <c r="I94" i="18"/>
  <c r="AH93" i="18"/>
  <c r="AE93" i="18"/>
  <c r="AC93" i="18"/>
  <c r="AB93" i="18"/>
  <c r="AF93" i="18" s="1"/>
  <c r="Y93" i="18"/>
  <c r="Z93" i="18" s="1"/>
  <c r="V93" i="18"/>
  <c r="W93" i="18" s="1"/>
  <c r="U93" i="18"/>
  <c r="S93" i="18"/>
  <c r="R93" i="18"/>
  <c r="Q93" i="18"/>
  <c r="O93" i="18"/>
  <c r="M93" i="18"/>
  <c r="J93" i="18"/>
  <c r="AG93" i="18" s="1"/>
  <c r="I93" i="18"/>
  <c r="AH92" i="18"/>
  <c r="AF92" i="18"/>
  <c r="AE92" i="18"/>
  <c r="AB92" i="18"/>
  <c r="AC92" i="18" s="1"/>
  <c r="Z92" i="18"/>
  <c r="AA92" i="18" s="1"/>
  <c r="Y92" i="18"/>
  <c r="U92" i="18"/>
  <c r="V92" i="18" s="1"/>
  <c r="W92" i="18" s="1"/>
  <c r="R92" i="18"/>
  <c r="S92" i="18" s="1"/>
  <c r="Q92" i="18"/>
  <c r="O92" i="18"/>
  <c r="M92" i="18"/>
  <c r="I92" i="18"/>
  <c r="J92" i="18" s="1"/>
  <c r="AF91" i="18"/>
  <c r="AE91" i="18"/>
  <c r="AB91" i="18"/>
  <c r="AC91" i="18" s="1"/>
  <c r="Y91" i="18"/>
  <c r="Z91" i="18" s="1"/>
  <c r="AA91" i="18" s="1"/>
  <c r="V91" i="18"/>
  <c r="W91" i="18" s="1"/>
  <c r="U91" i="18"/>
  <c r="Q91" i="18"/>
  <c r="R91" i="18" s="1"/>
  <c r="S91" i="18" s="1"/>
  <c r="O91" i="18"/>
  <c r="M91" i="18"/>
  <c r="J91" i="18"/>
  <c r="I91" i="18"/>
  <c r="AG90" i="18"/>
  <c r="AE90" i="18"/>
  <c r="AB90" i="18"/>
  <c r="Y90" i="18"/>
  <c r="Z90" i="18" s="1"/>
  <c r="AA90" i="18" s="1"/>
  <c r="U90" i="18"/>
  <c r="V90" i="18" s="1"/>
  <c r="W90" i="18" s="1"/>
  <c r="R90" i="18"/>
  <c r="S90" i="18" s="1"/>
  <c r="Q90" i="18"/>
  <c r="O90" i="18"/>
  <c r="M90" i="18"/>
  <c r="I90" i="18"/>
  <c r="J90" i="18" s="1"/>
  <c r="AH89" i="18"/>
  <c r="AF89" i="18"/>
  <c r="AE89" i="18"/>
  <c r="AC89" i="18"/>
  <c r="AB89" i="18"/>
  <c r="Y89" i="18"/>
  <c r="Z89" i="18" s="1"/>
  <c r="AA89" i="18" s="1"/>
  <c r="U89" i="18"/>
  <c r="V89" i="18" s="1"/>
  <c r="W89" i="18" s="1"/>
  <c r="Q89" i="18"/>
  <c r="R89" i="18" s="1"/>
  <c r="S89" i="18" s="1"/>
  <c r="O89" i="18"/>
  <c r="M89" i="18"/>
  <c r="I89" i="18"/>
  <c r="J89" i="18" s="1"/>
  <c r="AI88" i="18"/>
  <c r="AE88" i="18"/>
  <c r="AC88" i="18"/>
  <c r="AB88" i="18"/>
  <c r="AH88" i="18" s="1"/>
  <c r="Z88" i="18"/>
  <c r="AA88" i="18" s="1"/>
  <c r="Y88" i="18"/>
  <c r="U88" i="18"/>
  <c r="V88" i="18" s="1"/>
  <c r="W88" i="18" s="1"/>
  <c r="Q88" i="18"/>
  <c r="R88" i="18" s="1"/>
  <c r="S88" i="18" s="1"/>
  <c r="O88" i="18"/>
  <c r="M88" i="18"/>
  <c r="I88" i="18"/>
  <c r="J88" i="18" s="1"/>
  <c r="AH87" i="18"/>
  <c r="AF87" i="18"/>
  <c r="AE87" i="18"/>
  <c r="AC87" i="18"/>
  <c r="AB87" i="18"/>
  <c r="AA87" i="18"/>
  <c r="Z87" i="18"/>
  <c r="Y87" i="18"/>
  <c r="V87" i="18"/>
  <c r="W87" i="18" s="1"/>
  <c r="U87" i="18"/>
  <c r="Q87" i="18"/>
  <c r="R87" i="18" s="1"/>
  <c r="S87" i="18" s="1"/>
  <c r="O87" i="18"/>
  <c r="M87" i="18"/>
  <c r="J87" i="18"/>
  <c r="I87" i="18"/>
  <c r="AE86" i="18"/>
  <c r="AB86" i="18"/>
  <c r="Z86" i="18"/>
  <c r="Y86" i="18"/>
  <c r="W86" i="18"/>
  <c r="V86" i="18"/>
  <c r="U86" i="18"/>
  <c r="R86" i="18"/>
  <c r="Q86" i="18"/>
  <c r="O86" i="18"/>
  <c r="M86" i="18"/>
  <c r="K86" i="18"/>
  <c r="J86" i="18"/>
  <c r="I86" i="18"/>
  <c r="I109" i="18" s="1"/>
  <c r="AD83" i="18"/>
  <c r="X83" i="18"/>
  <c r="T83" i="18"/>
  <c r="P83" i="18"/>
  <c r="L83" i="18"/>
  <c r="H83" i="18"/>
  <c r="AH82" i="18"/>
  <c r="AF82" i="18"/>
  <c r="AE82" i="18"/>
  <c r="AC82" i="18"/>
  <c r="AB82" i="18"/>
  <c r="Y82" i="18"/>
  <c r="Z82" i="18" s="1"/>
  <c r="AA82" i="18" s="1"/>
  <c r="U82" i="18"/>
  <c r="V82" i="18" s="1"/>
  <c r="W82" i="18" s="1"/>
  <c r="Q82" i="18"/>
  <c r="R82" i="18" s="1"/>
  <c r="S82" i="18" s="1"/>
  <c r="N82" i="18"/>
  <c r="O82" i="18" s="1"/>
  <c r="M82" i="18"/>
  <c r="I82" i="18"/>
  <c r="J82" i="18" s="1"/>
  <c r="AF81" i="18"/>
  <c r="AE81" i="18"/>
  <c r="AB81" i="18"/>
  <c r="AC81" i="18" s="1"/>
  <c r="Y81" i="18"/>
  <c r="Z81" i="18" s="1"/>
  <c r="AA81" i="18" s="1"/>
  <c r="V81" i="18"/>
  <c r="W81" i="18" s="1"/>
  <c r="U81" i="18"/>
  <c r="Q81" i="18"/>
  <c r="R81" i="18" s="1"/>
  <c r="S81" i="18" s="1"/>
  <c r="M81" i="18"/>
  <c r="N81" i="18" s="1"/>
  <c r="O81" i="18" s="1"/>
  <c r="K81" i="18"/>
  <c r="J81" i="18"/>
  <c r="I81" i="18"/>
  <c r="AH80" i="18"/>
  <c r="AE80" i="18"/>
  <c r="AC80" i="18"/>
  <c r="AB80" i="18"/>
  <c r="AF80" i="18" s="1"/>
  <c r="Y80" i="18"/>
  <c r="Z80" i="18" s="1"/>
  <c r="AA80" i="18" s="1"/>
  <c r="V80" i="18"/>
  <c r="W80" i="18" s="1"/>
  <c r="U80" i="18"/>
  <c r="S80" i="18"/>
  <c r="R80" i="18"/>
  <c r="Q80" i="18"/>
  <c r="N80" i="18"/>
  <c r="O80" i="18" s="1"/>
  <c r="M80" i="18"/>
  <c r="I80" i="18"/>
  <c r="J80" i="18" s="1"/>
  <c r="AH79" i="18"/>
  <c r="AF79" i="18"/>
  <c r="AE79" i="18"/>
  <c r="AB79" i="18"/>
  <c r="AC79" i="18" s="1"/>
  <c r="AA79" i="18"/>
  <c r="Z79" i="18"/>
  <c r="Y79" i="18"/>
  <c r="V79" i="18"/>
  <c r="W79" i="18" s="1"/>
  <c r="U79" i="18"/>
  <c r="Q79" i="18"/>
  <c r="R79" i="18" s="1"/>
  <c r="S79" i="18" s="1"/>
  <c r="M79" i="18"/>
  <c r="N79" i="18" s="1"/>
  <c r="O79" i="18" s="1"/>
  <c r="I79" i="18"/>
  <c r="J79" i="18" s="1"/>
  <c r="AH78" i="18"/>
  <c r="AF78" i="18"/>
  <c r="AE78" i="18"/>
  <c r="AC78" i="18"/>
  <c r="AB78" i="18"/>
  <c r="Y78" i="18"/>
  <c r="Z78" i="18" s="1"/>
  <c r="AA78" i="18" s="1"/>
  <c r="U78" i="18"/>
  <c r="V78" i="18" s="1"/>
  <c r="W78" i="18" s="1"/>
  <c r="S78" i="18"/>
  <c r="Q78" i="18"/>
  <c r="R78" i="18" s="1"/>
  <c r="N78" i="18"/>
  <c r="O78" i="18" s="1"/>
  <c r="M78" i="18"/>
  <c r="I78" i="18"/>
  <c r="J78" i="18" s="1"/>
  <c r="AF77" i="18"/>
  <c r="AE77" i="18"/>
  <c r="AB77" i="18"/>
  <c r="AC77" i="18" s="1"/>
  <c r="AA77" i="18"/>
  <c r="Y77" i="18"/>
  <c r="Z77" i="18" s="1"/>
  <c r="V77" i="18"/>
  <c r="W77" i="18" s="1"/>
  <c r="U77" i="18"/>
  <c r="Q77" i="18"/>
  <c r="R77" i="18" s="1"/>
  <c r="S77" i="18" s="1"/>
  <c r="M77" i="18"/>
  <c r="N77" i="18" s="1"/>
  <c r="O77" i="18" s="1"/>
  <c r="K77" i="18"/>
  <c r="J77" i="18"/>
  <c r="I77" i="18"/>
  <c r="AH76" i="18"/>
  <c r="AE76" i="18"/>
  <c r="AC76" i="18"/>
  <c r="AB76" i="18"/>
  <c r="AF76" i="18" s="1"/>
  <c r="Y76" i="18"/>
  <c r="Z76" i="18" s="1"/>
  <c r="AA76" i="18" s="1"/>
  <c r="W76" i="18"/>
  <c r="V76" i="18"/>
  <c r="U76" i="18"/>
  <c r="S76" i="18"/>
  <c r="R76" i="18"/>
  <c r="Q76" i="18"/>
  <c r="N76" i="18"/>
  <c r="O76" i="18" s="1"/>
  <c r="M76" i="18"/>
  <c r="I76" i="18"/>
  <c r="J76" i="18" s="1"/>
  <c r="AH75" i="18"/>
  <c r="AF75" i="18"/>
  <c r="AE75" i="18"/>
  <c r="AB75" i="18"/>
  <c r="AC75" i="18" s="1"/>
  <c r="AA75" i="18"/>
  <c r="Z75" i="18"/>
  <c r="Y75" i="18"/>
  <c r="V75" i="18"/>
  <c r="W75" i="18" s="1"/>
  <c r="U75" i="18"/>
  <c r="Q75" i="18"/>
  <c r="R75" i="18" s="1"/>
  <c r="S75" i="18" s="1"/>
  <c r="M75" i="18"/>
  <c r="N75" i="18" s="1"/>
  <c r="K75" i="18"/>
  <c r="J75" i="18"/>
  <c r="I75" i="18"/>
  <c r="AH74" i="18"/>
  <c r="AF74" i="18"/>
  <c r="AE74" i="18"/>
  <c r="AC74" i="18"/>
  <c r="AB74" i="18"/>
  <c r="Y74" i="18"/>
  <c r="Z74" i="18" s="1"/>
  <c r="U74" i="18"/>
  <c r="V74" i="18" s="1"/>
  <c r="W74" i="18" s="1"/>
  <c r="S74" i="18"/>
  <c r="R74" i="18"/>
  <c r="Q74" i="18"/>
  <c r="N74" i="18"/>
  <c r="O74" i="18" s="1"/>
  <c r="M74" i="18"/>
  <c r="I74" i="18"/>
  <c r="J74" i="18" s="1"/>
  <c r="AF73" i="18"/>
  <c r="AF83" i="18" s="1"/>
  <c r="AE73" i="18"/>
  <c r="AE83" i="18" s="1"/>
  <c r="AB73" i="18"/>
  <c r="AB83" i="18" s="1"/>
  <c r="AA73" i="18"/>
  <c r="Z73" i="18"/>
  <c r="Y73" i="18"/>
  <c r="V73" i="18"/>
  <c r="W73" i="18" s="1"/>
  <c r="W83" i="18" s="1"/>
  <c r="U73" i="18"/>
  <c r="U83" i="18" s="1"/>
  <c r="Q73" i="18"/>
  <c r="O73" i="18"/>
  <c r="N73" i="18"/>
  <c r="M73" i="18"/>
  <c r="M83" i="18" s="1"/>
  <c r="K73" i="18"/>
  <c r="J73" i="18"/>
  <c r="I73" i="18"/>
  <c r="I83" i="18" s="1"/>
  <c r="AD70" i="18"/>
  <c r="X70" i="18"/>
  <c r="T70" i="18"/>
  <c r="P70" i="18"/>
  <c r="L70" i="18"/>
  <c r="H70" i="18"/>
  <c r="AH69" i="18"/>
  <c r="AF69" i="18"/>
  <c r="AE69" i="18"/>
  <c r="AC69" i="18"/>
  <c r="AB69" i="18"/>
  <c r="Y69" i="18"/>
  <c r="Z69" i="18" s="1"/>
  <c r="AA69" i="18" s="1"/>
  <c r="U69" i="18"/>
  <c r="V69" i="18" s="1"/>
  <c r="W69" i="18" s="1"/>
  <c r="Q69" i="18"/>
  <c r="R69" i="18" s="1"/>
  <c r="S69" i="18" s="1"/>
  <c r="N69" i="18"/>
  <c r="O69" i="18" s="1"/>
  <c r="M69" i="18"/>
  <c r="I69" i="18"/>
  <c r="J69" i="18" s="1"/>
  <c r="AF68" i="18"/>
  <c r="AE68" i="18"/>
  <c r="AB68" i="18"/>
  <c r="AC68" i="18" s="1"/>
  <c r="Y68" i="18"/>
  <c r="Z68" i="18" s="1"/>
  <c r="AA68" i="18" s="1"/>
  <c r="V68" i="18"/>
  <c r="W68" i="18" s="1"/>
  <c r="U68" i="18"/>
  <c r="Q68" i="18"/>
  <c r="R68" i="18" s="1"/>
  <c r="S68" i="18" s="1"/>
  <c r="N68" i="18"/>
  <c r="O68" i="18" s="1"/>
  <c r="M68" i="18"/>
  <c r="K68" i="18"/>
  <c r="I68" i="18"/>
  <c r="J68" i="18" s="1"/>
  <c r="AH67" i="18"/>
  <c r="AF67" i="18"/>
  <c r="AE67" i="18"/>
  <c r="AC67" i="18"/>
  <c r="AB67" i="18"/>
  <c r="Y67" i="18"/>
  <c r="Z67" i="18" s="1"/>
  <c r="AA67" i="18" s="1"/>
  <c r="V67" i="18"/>
  <c r="W67" i="18" s="1"/>
  <c r="U67" i="18"/>
  <c r="S67" i="18"/>
  <c r="Q67" i="18"/>
  <c r="R67" i="18" s="1"/>
  <c r="N67" i="18"/>
  <c r="O67" i="18" s="1"/>
  <c r="M67" i="18"/>
  <c r="I67" i="18"/>
  <c r="J67" i="18" s="1"/>
  <c r="AH66" i="18"/>
  <c r="AF66" i="18"/>
  <c r="AE66" i="18"/>
  <c r="AC66" i="18"/>
  <c r="AB66" i="18"/>
  <c r="Y66" i="18"/>
  <c r="Z66" i="18" s="1"/>
  <c r="AA66" i="18" s="1"/>
  <c r="V66" i="18"/>
  <c r="W66" i="18" s="1"/>
  <c r="U66" i="18"/>
  <c r="Q66" i="18"/>
  <c r="R66" i="18" s="1"/>
  <c r="S66" i="18" s="1"/>
  <c r="M66" i="18"/>
  <c r="N66" i="18" s="1"/>
  <c r="O66" i="18" s="1"/>
  <c r="K66" i="18"/>
  <c r="I66" i="18"/>
  <c r="J66" i="18" s="1"/>
  <c r="AH65" i="18"/>
  <c r="AF65" i="18"/>
  <c r="AE65" i="18"/>
  <c r="AC65" i="18"/>
  <c r="AB65" i="18"/>
  <c r="Y65" i="18"/>
  <c r="Z65" i="18" s="1"/>
  <c r="AA65" i="18" s="1"/>
  <c r="U65" i="18"/>
  <c r="V65" i="18" s="1"/>
  <c r="W65" i="18" s="1"/>
  <c r="Q65" i="18"/>
  <c r="R65" i="18" s="1"/>
  <c r="S65" i="18" s="1"/>
  <c r="N65" i="18"/>
  <c r="O65" i="18" s="1"/>
  <c r="M65" i="18"/>
  <c r="I65" i="18"/>
  <c r="J65" i="18" s="1"/>
  <c r="AF64" i="18"/>
  <c r="AE64" i="18"/>
  <c r="AB64" i="18"/>
  <c r="AC64" i="18" s="1"/>
  <c r="Y64" i="18"/>
  <c r="Z64" i="18" s="1"/>
  <c r="AA64" i="18" s="1"/>
  <c r="V64" i="18"/>
  <c r="W64" i="18" s="1"/>
  <c r="U64" i="18"/>
  <c r="Q64" i="18"/>
  <c r="R64" i="18" s="1"/>
  <c r="S64" i="18" s="1"/>
  <c r="N64" i="18"/>
  <c r="O64" i="18" s="1"/>
  <c r="M64" i="18"/>
  <c r="K64" i="18"/>
  <c r="I64" i="18"/>
  <c r="J64" i="18" s="1"/>
  <c r="AH63" i="18"/>
  <c r="AF63" i="18"/>
  <c r="AE63" i="18"/>
  <c r="AC63" i="18"/>
  <c r="AB63" i="18"/>
  <c r="Y63" i="18"/>
  <c r="Z63" i="18" s="1"/>
  <c r="AA63" i="18" s="1"/>
  <c r="V63" i="18"/>
  <c r="W63" i="18" s="1"/>
  <c r="U63" i="18"/>
  <c r="S63" i="18"/>
  <c r="Q63" i="18"/>
  <c r="R63" i="18" s="1"/>
  <c r="N63" i="18"/>
  <c r="O63" i="18" s="1"/>
  <c r="M63" i="18"/>
  <c r="I63" i="18"/>
  <c r="J63" i="18" s="1"/>
  <c r="AH62" i="18"/>
  <c r="AF62" i="18"/>
  <c r="AE62" i="18"/>
  <c r="AC62" i="18"/>
  <c r="AB62" i="18"/>
  <c r="Y62" i="18"/>
  <c r="Z62" i="18" s="1"/>
  <c r="AA62" i="18" s="1"/>
  <c r="V62" i="18"/>
  <c r="W62" i="18" s="1"/>
  <c r="U62" i="18"/>
  <c r="Q62" i="18"/>
  <c r="R62" i="18" s="1"/>
  <c r="S62" i="18" s="1"/>
  <c r="M62" i="18"/>
  <c r="N62" i="18" s="1"/>
  <c r="O62" i="18" s="1"/>
  <c r="K62" i="18"/>
  <c r="I62" i="18"/>
  <c r="J62" i="18" s="1"/>
  <c r="AH61" i="18"/>
  <c r="AF61" i="18"/>
  <c r="AE61" i="18"/>
  <c r="AC61" i="18"/>
  <c r="AB61" i="18"/>
  <c r="Y61" i="18"/>
  <c r="Z61" i="18" s="1"/>
  <c r="AA61" i="18" s="1"/>
  <c r="U61" i="18"/>
  <c r="V61" i="18" s="1"/>
  <c r="W61" i="18" s="1"/>
  <c r="S61" i="18"/>
  <c r="Q61" i="18"/>
  <c r="R61" i="18" s="1"/>
  <c r="N61" i="18"/>
  <c r="O61" i="18" s="1"/>
  <c r="M61" i="18"/>
  <c r="I61" i="18"/>
  <c r="J61" i="18" s="1"/>
  <c r="AF60" i="18"/>
  <c r="AE60" i="18"/>
  <c r="AB60" i="18"/>
  <c r="AC60" i="18" s="1"/>
  <c r="AA60" i="18"/>
  <c r="Y60" i="18"/>
  <c r="Z60" i="18" s="1"/>
  <c r="W60" i="18"/>
  <c r="V60" i="18"/>
  <c r="U60" i="18"/>
  <c r="Q60" i="18"/>
  <c r="R60" i="18" s="1"/>
  <c r="S60" i="18" s="1"/>
  <c r="M60" i="18"/>
  <c r="N60" i="18" s="1"/>
  <c r="O60" i="18" s="1"/>
  <c r="K60" i="18"/>
  <c r="I60" i="18"/>
  <c r="J60" i="18" s="1"/>
  <c r="AH59" i="18"/>
  <c r="AF59" i="18"/>
  <c r="AE59" i="18"/>
  <c r="AC59" i="18"/>
  <c r="AB59" i="18"/>
  <c r="Y59" i="18"/>
  <c r="Z59" i="18" s="1"/>
  <c r="AA59" i="18" s="1"/>
  <c r="U59" i="18"/>
  <c r="V59" i="18" s="1"/>
  <c r="W59" i="18" s="1"/>
  <c r="S59" i="18"/>
  <c r="Q59" i="18"/>
  <c r="R59" i="18" s="1"/>
  <c r="N59" i="18"/>
  <c r="O59" i="18" s="1"/>
  <c r="M59" i="18"/>
  <c r="J59" i="18"/>
  <c r="I59" i="18"/>
  <c r="AF58" i="18"/>
  <c r="AE58" i="18"/>
  <c r="AB58" i="18"/>
  <c r="Y58" i="18"/>
  <c r="Z58" i="18" s="1"/>
  <c r="AA58" i="18" s="1"/>
  <c r="V58" i="18"/>
  <c r="W58" i="18" s="1"/>
  <c r="U58" i="18"/>
  <c r="Q58" i="18"/>
  <c r="R58" i="18" s="1"/>
  <c r="S58" i="18" s="1"/>
  <c r="M58" i="18"/>
  <c r="N58" i="18" s="1"/>
  <c r="O58" i="18" s="1"/>
  <c r="K58" i="18"/>
  <c r="I58" i="18"/>
  <c r="J58" i="18" s="1"/>
  <c r="AH57" i="18"/>
  <c r="AF57" i="18"/>
  <c r="AE57" i="18"/>
  <c r="AC57" i="18"/>
  <c r="AB57" i="18"/>
  <c r="Z57" i="18"/>
  <c r="AA57" i="18" s="1"/>
  <c r="Y57" i="18"/>
  <c r="U57" i="18"/>
  <c r="V57" i="18" s="1"/>
  <c r="W57" i="18" s="1"/>
  <c r="Q57" i="18"/>
  <c r="R57" i="18" s="1"/>
  <c r="S57" i="18" s="1"/>
  <c r="N57" i="18"/>
  <c r="O57" i="18" s="1"/>
  <c r="M57" i="18"/>
  <c r="J57" i="18"/>
  <c r="I57" i="18"/>
  <c r="AI56" i="18"/>
  <c r="AE56" i="18"/>
  <c r="AB56" i="18"/>
  <c r="Z56" i="18"/>
  <c r="AA56" i="18" s="1"/>
  <c r="Y56" i="18"/>
  <c r="W56" i="18"/>
  <c r="V56" i="18"/>
  <c r="U56" i="18"/>
  <c r="Q56" i="18"/>
  <c r="R56" i="18" s="1"/>
  <c r="S56" i="18" s="1"/>
  <c r="M56" i="18"/>
  <c r="N56" i="18" s="1"/>
  <c r="O56" i="18" s="1"/>
  <c r="I56" i="18"/>
  <c r="J56" i="18" s="1"/>
  <c r="AG56" i="18" s="1"/>
  <c r="AH55" i="18"/>
  <c r="AF55" i="18"/>
  <c r="AE55" i="18"/>
  <c r="AC55" i="18"/>
  <c r="AB55" i="18"/>
  <c r="Z55" i="18"/>
  <c r="AA55" i="18" s="1"/>
  <c r="Y55" i="18"/>
  <c r="U55" i="18"/>
  <c r="V55" i="18" s="1"/>
  <c r="W55" i="18" s="1"/>
  <c r="S55" i="18"/>
  <c r="Q55" i="18"/>
  <c r="R55" i="18" s="1"/>
  <c r="O55" i="18"/>
  <c r="N55" i="18"/>
  <c r="M55" i="18"/>
  <c r="I55" i="18"/>
  <c r="J55" i="18" s="1"/>
  <c r="AH54" i="18"/>
  <c r="AF54" i="18"/>
  <c r="AE54" i="18"/>
  <c r="AB54" i="18"/>
  <c r="AC54" i="18" s="1"/>
  <c r="Y54" i="18"/>
  <c r="Z54" i="18" s="1"/>
  <c r="AA54" i="18" s="1"/>
  <c r="U54" i="18"/>
  <c r="V54" i="18" s="1"/>
  <c r="W54" i="18" s="1"/>
  <c r="Q54" i="18"/>
  <c r="R54" i="18" s="1"/>
  <c r="S54" i="18" s="1"/>
  <c r="M54" i="18"/>
  <c r="N54" i="18" s="1"/>
  <c r="O54" i="18" s="1"/>
  <c r="K54" i="18"/>
  <c r="J54" i="18"/>
  <c r="I54" i="18"/>
  <c r="AE53" i="18"/>
  <c r="AB53" i="18"/>
  <c r="Z53" i="18"/>
  <c r="AA53" i="18" s="1"/>
  <c r="Y53" i="18"/>
  <c r="U53" i="18"/>
  <c r="V53" i="18" s="1"/>
  <c r="W53" i="18" s="1"/>
  <c r="Q53" i="18"/>
  <c r="R53" i="18" s="1"/>
  <c r="S53" i="18" s="1"/>
  <c r="N53" i="18"/>
  <c r="AI53" i="18" s="1"/>
  <c r="M53" i="18"/>
  <c r="J53" i="18"/>
  <c r="I53" i="18"/>
  <c r="AH52" i="18"/>
  <c r="AF52" i="18"/>
  <c r="AE52" i="18"/>
  <c r="AB52" i="18"/>
  <c r="AC52" i="18" s="1"/>
  <c r="Z52" i="18"/>
  <c r="AA52" i="18" s="1"/>
  <c r="Y52" i="18"/>
  <c r="U52" i="18"/>
  <c r="V52" i="18" s="1"/>
  <c r="W52" i="18" s="1"/>
  <c r="R52" i="18"/>
  <c r="S52" i="18" s="1"/>
  <c r="Q52" i="18"/>
  <c r="N52" i="18"/>
  <c r="M52" i="18"/>
  <c r="J52" i="18"/>
  <c r="I52" i="18"/>
  <c r="AF51" i="18"/>
  <c r="AE51" i="18"/>
  <c r="AC51" i="18"/>
  <c r="AB51" i="18"/>
  <c r="AH51" i="18" s="1"/>
  <c r="Z51" i="18"/>
  <c r="AA51" i="18" s="1"/>
  <c r="Y51" i="18"/>
  <c r="U51" i="18"/>
  <c r="V51" i="18" s="1"/>
  <c r="W51" i="18" s="1"/>
  <c r="R51" i="18"/>
  <c r="S51" i="18" s="1"/>
  <c r="Q51" i="18"/>
  <c r="M51" i="18"/>
  <c r="N51" i="18" s="1"/>
  <c r="O51" i="18" s="1"/>
  <c r="I51" i="18"/>
  <c r="J51" i="18" s="1"/>
  <c r="AE50" i="18"/>
  <c r="AC50" i="18"/>
  <c r="AB50" i="18"/>
  <c r="Z50" i="18"/>
  <c r="AA50" i="18" s="1"/>
  <c r="Y50" i="18"/>
  <c r="U50" i="18"/>
  <c r="V50" i="18" s="1"/>
  <c r="W50" i="18" s="1"/>
  <c r="Q50" i="18"/>
  <c r="R50" i="18" s="1"/>
  <c r="S50" i="18" s="1"/>
  <c r="O50" i="18"/>
  <c r="M50" i="18"/>
  <c r="N50" i="18" s="1"/>
  <c r="I50" i="18"/>
  <c r="J50" i="18" s="1"/>
  <c r="AH49" i="18"/>
  <c r="AE49" i="18"/>
  <c r="AB49" i="18"/>
  <c r="Y49" i="18"/>
  <c r="Z49" i="18" s="1"/>
  <c r="AA49" i="18" s="1"/>
  <c r="U49" i="18"/>
  <c r="V49" i="18" s="1"/>
  <c r="W49" i="18" s="1"/>
  <c r="Q49" i="18"/>
  <c r="R49" i="18" s="1"/>
  <c r="S49" i="18" s="1"/>
  <c r="M49" i="18"/>
  <c r="N49" i="18" s="1"/>
  <c r="J49" i="18"/>
  <c r="K49" i="18" s="1"/>
  <c r="I49" i="18"/>
  <c r="AH48" i="18"/>
  <c r="AF48" i="18"/>
  <c r="AE48" i="18"/>
  <c r="AB48" i="18"/>
  <c r="AC48" i="18" s="1"/>
  <c r="Y48" i="18"/>
  <c r="Z48" i="18" s="1"/>
  <c r="AA48" i="18" s="1"/>
  <c r="U48" i="18"/>
  <c r="V48" i="18" s="1"/>
  <c r="W48" i="18" s="1"/>
  <c r="R48" i="18"/>
  <c r="S48" i="18" s="1"/>
  <c r="Q48" i="18"/>
  <c r="M48" i="18"/>
  <c r="N48" i="18" s="1"/>
  <c r="K48" i="18"/>
  <c r="J48" i="18"/>
  <c r="I48" i="18"/>
  <c r="AE47" i="18"/>
  <c r="AB47" i="18"/>
  <c r="AH47" i="18" s="1"/>
  <c r="Z47" i="18"/>
  <c r="AA47" i="18" s="1"/>
  <c r="Y47" i="18"/>
  <c r="W47" i="18"/>
  <c r="V47" i="18"/>
  <c r="U47" i="18"/>
  <c r="R47" i="18"/>
  <c r="S47" i="18" s="1"/>
  <c r="Q47" i="18"/>
  <c r="M47" i="18"/>
  <c r="N47" i="18" s="1"/>
  <c r="O47" i="18" s="1"/>
  <c r="J47" i="18"/>
  <c r="AI47" i="18" s="1"/>
  <c r="I47" i="18"/>
  <c r="AE46" i="18"/>
  <c r="AB46" i="18"/>
  <c r="AA46" i="18"/>
  <c r="Z46" i="18"/>
  <c r="Y46" i="18"/>
  <c r="U46" i="18"/>
  <c r="V46" i="18" s="1"/>
  <c r="W46" i="18" s="1"/>
  <c r="Q46" i="18"/>
  <c r="R46" i="18" s="1"/>
  <c r="S46" i="18" s="1"/>
  <c r="M46" i="18"/>
  <c r="N46" i="18" s="1"/>
  <c r="O46" i="18" s="1"/>
  <c r="I46" i="18"/>
  <c r="J46" i="18" s="1"/>
  <c r="AE45" i="18"/>
  <c r="AB45" i="18"/>
  <c r="Y45" i="18"/>
  <c r="Z45" i="18" s="1"/>
  <c r="AA45" i="18" s="1"/>
  <c r="W45" i="18"/>
  <c r="U45" i="18"/>
  <c r="V45" i="18" s="1"/>
  <c r="Q45" i="18"/>
  <c r="R45" i="18" s="1"/>
  <c r="S45" i="18" s="1"/>
  <c r="N45" i="18"/>
  <c r="M45" i="18"/>
  <c r="J45" i="18"/>
  <c r="K45" i="18" s="1"/>
  <c r="I45" i="18"/>
  <c r="AH44" i="18"/>
  <c r="AF44" i="18"/>
  <c r="AE44" i="18"/>
  <c r="AB44" i="18"/>
  <c r="AC44" i="18" s="1"/>
  <c r="Z44" i="18"/>
  <c r="AA44" i="18" s="1"/>
  <c r="Y44" i="18"/>
  <c r="U44" i="18"/>
  <c r="V44" i="18" s="1"/>
  <c r="W44" i="18" s="1"/>
  <c r="R44" i="18"/>
  <c r="S44" i="18" s="1"/>
  <c r="Q44" i="18"/>
  <c r="N44" i="18"/>
  <c r="M44" i="18"/>
  <c r="J44" i="18"/>
  <c r="I44" i="18"/>
  <c r="AF43" i="18"/>
  <c r="AE43" i="18"/>
  <c r="AC43" i="18"/>
  <c r="AB43" i="18"/>
  <c r="AH43" i="18" s="1"/>
  <c r="Z43" i="18"/>
  <c r="AA43" i="18" s="1"/>
  <c r="Y43" i="18"/>
  <c r="U43" i="18"/>
  <c r="V43" i="18" s="1"/>
  <c r="W43" i="18" s="1"/>
  <c r="R43" i="18"/>
  <c r="S43" i="18" s="1"/>
  <c r="Q43" i="18"/>
  <c r="M43" i="18"/>
  <c r="N43" i="18" s="1"/>
  <c r="O43" i="18" s="1"/>
  <c r="I43" i="18"/>
  <c r="J43" i="18" s="1"/>
  <c r="AE42" i="18"/>
  <c r="AC42" i="18"/>
  <c r="AB42" i="18"/>
  <c r="Z42" i="18"/>
  <c r="AA42" i="18" s="1"/>
  <c r="Y42" i="18"/>
  <c r="U42" i="18"/>
  <c r="V42" i="18" s="1"/>
  <c r="W42" i="18" s="1"/>
  <c r="Q42" i="18"/>
  <c r="R42" i="18" s="1"/>
  <c r="O42" i="18"/>
  <c r="M42" i="18"/>
  <c r="N42" i="18" s="1"/>
  <c r="I42" i="18"/>
  <c r="J42" i="18" s="1"/>
  <c r="AH41" i="18"/>
  <c r="AF41" i="18"/>
  <c r="Y41" i="18"/>
  <c r="U41" i="18"/>
  <c r="S41" i="18"/>
  <c r="R41" i="18"/>
  <c r="Q41" i="18"/>
  <c r="N41" i="18"/>
  <c r="O41" i="18" s="1"/>
  <c r="M41" i="18"/>
  <c r="I41" i="18"/>
  <c r="AD38" i="18"/>
  <c r="X38" i="18"/>
  <c r="T38" i="18"/>
  <c r="P38" i="18"/>
  <c r="L38" i="18"/>
  <c r="H38" i="18"/>
  <c r="AH37" i="18"/>
  <c r="AF37" i="18"/>
  <c r="AE37" i="18"/>
  <c r="AB37" i="18"/>
  <c r="AC37" i="18" s="1"/>
  <c r="Y37" i="18"/>
  <c r="Z37" i="18" s="1"/>
  <c r="AA37" i="18" s="1"/>
  <c r="W37" i="18"/>
  <c r="V37" i="18"/>
  <c r="U37" i="18"/>
  <c r="Q37" i="18"/>
  <c r="R37" i="18" s="1"/>
  <c r="S37" i="18" s="1"/>
  <c r="M37" i="18"/>
  <c r="N37" i="18" s="1"/>
  <c r="O37" i="18" s="1"/>
  <c r="I37" i="18"/>
  <c r="J37" i="18" s="1"/>
  <c r="AH36" i="18"/>
  <c r="AF36" i="18"/>
  <c r="AE36" i="18"/>
  <c r="AC36" i="18"/>
  <c r="AB36" i="18"/>
  <c r="Y36" i="18"/>
  <c r="Z36" i="18" s="1"/>
  <c r="AA36" i="18" s="1"/>
  <c r="U36" i="18"/>
  <c r="V36" i="18" s="1"/>
  <c r="W36" i="18" s="1"/>
  <c r="S36" i="18"/>
  <c r="Q36" i="18"/>
  <c r="R36" i="18" s="1"/>
  <c r="M36" i="18"/>
  <c r="N36" i="18" s="1"/>
  <c r="J36" i="18"/>
  <c r="I36" i="18"/>
  <c r="AF35" i="18"/>
  <c r="AE35" i="18"/>
  <c r="AB35" i="18"/>
  <c r="AH35" i="18" s="1"/>
  <c r="Y35" i="18"/>
  <c r="Z35" i="18" s="1"/>
  <c r="AA35" i="18" s="1"/>
  <c r="V35" i="18"/>
  <c r="W35" i="18" s="1"/>
  <c r="U35" i="18"/>
  <c r="S35" i="18"/>
  <c r="R35" i="18"/>
  <c r="Q35" i="18"/>
  <c r="M35" i="18"/>
  <c r="N35" i="18" s="1"/>
  <c r="O35" i="18" s="1"/>
  <c r="I35" i="18"/>
  <c r="J35" i="18" s="1"/>
  <c r="AH34" i="18"/>
  <c r="AE34" i="18"/>
  <c r="AB34" i="18"/>
  <c r="AF34" i="18" s="1"/>
  <c r="Y34" i="18"/>
  <c r="Z34" i="18" s="1"/>
  <c r="AA34" i="18" s="1"/>
  <c r="V34" i="18"/>
  <c r="W34" i="18" s="1"/>
  <c r="U34" i="18"/>
  <c r="Q34" i="18"/>
  <c r="R34" i="18" s="1"/>
  <c r="S34" i="18" s="1"/>
  <c r="N34" i="18"/>
  <c r="O34" i="18" s="1"/>
  <c r="M34" i="18"/>
  <c r="I34" i="18"/>
  <c r="J34" i="18" s="1"/>
  <c r="AH33" i="18"/>
  <c r="AF33" i="18"/>
  <c r="AE33" i="18"/>
  <c r="AC33" i="18"/>
  <c r="AB33" i="18"/>
  <c r="Z33" i="18"/>
  <c r="AA33" i="18" s="1"/>
  <c r="Y33" i="18"/>
  <c r="V33" i="18"/>
  <c r="W33" i="18" s="1"/>
  <c r="U33" i="18"/>
  <c r="Q33" i="18"/>
  <c r="R33" i="18" s="1"/>
  <c r="S33" i="18" s="1"/>
  <c r="M33" i="18"/>
  <c r="N33" i="18" s="1"/>
  <c r="K33" i="18"/>
  <c r="I33" i="18"/>
  <c r="J33" i="18" s="1"/>
  <c r="AH32" i="18"/>
  <c r="AF32" i="18"/>
  <c r="AE32" i="18"/>
  <c r="AC32" i="18"/>
  <c r="AB32" i="18"/>
  <c r="Y32" i="18"/>
  <c r="Z32" i="18" s="1"/>
  <c r="AA32" i="18" s="1"/>
  <c r="U32" i="18"/>
  <c r="V32" i="18" s="1"/>
  <c r="W32" i="18" s="1"/>
  <c r="Q32" i="18"/>
  <c r="R32" i="18" s="1"/>
  <c r="S32" i="18" s="1"/>
  <c r="M32" i="18"/>
  <c r="N32" i="18" s="1"/>
  <c r="O32" i="18" s="1"/>
  <c r="I32" i="18"/>
  <c r="J32" i="18" s="1"/>
  <c r="AE31" i="18"/>
  <c r="AC31" i="18"/>
  <c r="AB31" i="18"/>
  <c r="AH31" i="18" s="1"/>
  <c r="AA31" i="18"/>
  <c r="Y31" i="18"/>
  <c r="Z31" i="18" s="1"/>
  <c r="U31" i="18"/>
  <c r="V31" i="18" s="1"/>
  <c r="W31" i="18" s="1"/>
  <c r="Q31" i="18"/>
  <c r="R31" i="18" s="1"/>
  <c r="S31" i="18" s="1"/>
  <c r="N31" i="18"/>
  <c r="O31" i="18" s="1"/>
  <c r="M31" i="18"/>
  <c r="I31" i="18"/>
  <c r="J31" i="18" s="1"/>
  <c r="AE30" i="18"/>
  <c r="AB30" i="18"/>
  <c r="AF30" i="18" s="1"/>
  <c r="Y30" i="18"/>
  <c r="Z30" i="18" s="1"/>
  <c r="AA30" i="18" s="1"/>
  <c r="V30" i="18"/>
  <c r="W30" i="18" s="1"/>
  <c r="U30" i="18"/>
  <c r="Q30" i="18"/>
  <c r="R30" i="18" s="1"/>
  <c r="S30" i="18" s="1"/>
  <c r="O30" i="18"/>
  <c r="N30" i="18"/>
  <c r="M30" i="18"/>
  <c r="I30" i="18"/>
  <c r="J30" i="18" s="1"/>
  <c r="AH29" i="18"/>
  <c r="AF29" i="18"/>
  <c r="AE29" i="18"/>
  <c r="AC29" i="18"/>
  <c r="AB29" i="18"/>
  <c r="Y29" i="18"/>
  <c r="Z29" i="18" s="1"/>
  <c r="AA29" i="18" s="1"/>
  <c r="V29" i="18"/>
  <c r="W29" i="18" s="1"/>
  <c r="U29" i="18"/>
  <c r="Q29" i="18"/>
  <c r="R29" i="18" s="1"/>
  <c r="S29" i="18" s="1"/>
  <c r="M29" i="18"/>
  <c r="N29" i="18" s="1"/>
  <c r="O29" i="18" s="1"/>
  <c r="K29" i="18"/>
  <c r="I29" i="18"/>
  <c r="J29" i="18" s="1"/>
  <c r="AH28" i="18"/>
  <c r="AF28" i="18"/>
  <c r="AE28" i="18"/>
  <c r="AC28" i="18"/>
  <c r="AB28" i="18"/>
  <c r="Y28" i="18"/>
  <c r="Z28" i="18" s="1"/>
  <c r="AA28" i="18" s="1"/>
  <c r="V28" i="18"/>
  <c r="W28" i="18" s="1"/>
  <c r="U28" i="18"/>
  <c r="S28" i="18"/>
  <c r="R28" i="18"/>
  <c r="Q28" i="18"/>
  <c r="M28" i="18"/>
  <c r="N28" i="18" s="1"/>
  <c r="O28" i="18" s="1"/>
  <c r="J28" i="18"/>
  <c r="I28" i="18"/>
  <c r="AE27" i="18"/>
  <c r="AB27" i="18"/>
  <c r="AH27" i="18" s="1"/>
  <c r="AA27" i="18"/>
  <c r="Y27" i="18"/>
  <c r="Z27" i="18" s="1"/>
  <c r="V27" i="18"/>
  <c r="W27" i="18" s="1"/>
  <c r="U27" i="18"/>
  <c r="Q27" i="18"/>
  <c r="R27" i="18" s="1"/>
  <c r="S27" i="18" s="1"/>
  <c r="M27" i="18"/>
  <c r="N27" i="18" s="1"/>
  <c r="O27" i="18" s="1"/>
  <c r="I27" i="18"/>
  <c r="J27" i="18" s="1"/>
  <c r="AE26" i="18"/>
  <c r="AB26" i="18"/>
  <c r="AF26" i="18" s="1"/>
  <c r="Y26" i="18"/>
  <c r="Z26" i="18" s="1"/>
  <c r="AA26" i="18" s="1"/>
  <c r="V26" i="18"/>
  <c r="W26" i="18" s="1"/>
  <c r="U26" i="18"/>
  <c r="Q26" i="18"/>
  <c r="R26" i="18" s="1"/>
  <c r="S26" i="18" s="1"/>
  <c r="O26" i="18"/>
  <c r="N26" i="18"/>
  <c r="M26" i="18"/>
  <c r="I26" i="18"/>
  <c r="J26" i="18" s="1"/>
  <c r="AH25" i="18"/>
  <c r="AF25" i="18"/>
  <c r="AE25" i="18"/>
  <c r="AC25" i="18"/>
  <c r="AB25" i="18"/>
  <c r="Y25" i="18"/>
  <c r="Z25" i="18" s="1"/>
  <c r="AA25" i="18" s="1"/>
  <c r="V25" i="18"/>
  <c r="W25" i="18" s="1"/>
  <c r="U25" i="18"/>
  <c r="Q25" i="18"/>
  <c r="R25" i="18" s="1"/>
  <c r="S25" i="18" s="1"/>
  <c r="O25" i="18"/>
  <c r="N25" i="18"/>
  <c r="M25" i="18"/>
  <c r="I25" i="18"/>
  <c r="J25" i="18" s="1"/>
  <c r="AH24" i="18"/>
  <c r="AF24" i="18"/>
  <c r="AE24" i="18"/>
  <c r="AC24" i="18"/>
  <c r="AB24" i="18"/>
  <c r="Y24" i="18"/>
  <c r="Z24" i="18" s="1"/>
  <c r="AA24" i="18" s="1"/>
  <c r="U24" i="18"/>
  <c r="V24" i="18" s="1"/>
  <c r="W24" i="18" s="1"/>
  <c r="Q24" i="18"/>
  <c r="R24" i="18" s="1"/>
  <c r="S24" i="18" s="1"/>
  <c r="N24" i="18"/>
  <c r="O24" i="18" s="1"/>
  <c r="M24" i="18"/>
  <c r="I24" i="18"/>
  <c r="J24" i="18" s="1"/>
  <c r="AF23" i="18"/>
  <c r="AE23" i="18"/>
  <c r="AC23" i="18"/>
  <c r="AB23" i="18"/>
  <c r="AH23" i="18" s="1"/>
  <c r="Y23" i="18"/>
  <c r="Z23" i="18" s="1"/>
  <c r="AA23" i="18" s="1"/>
  <c r="U23" i="18"/>
  <c r="V23" i="18" s="1"/>
  <c r="W23" i="18" s="1"/>
  <c r="Q23" i="18"/>
  <c r="R23" i="18" s="1"/>
  <c r="S23" i="18" s="1"/>
  <c r="M23" i="18"/>
  <c r="N23" i="18" s="1"/>
  <c r="O23" i="18" s="1"/>
  <c r="I23" i="18"/>
  <c r="J23" i="18" s="1"/>
  <c r="AH22" i="18"/>
  <c r="AE22" i="18"/>
  <c r="AC22" i="18"/>
  <c r="AB22" i="18"/>
  <c r="AF22" i="18" s="1"/>
  <c r="Y22" i="18"/>
  <c r="Z22" i="18" s="1"/>
  <c r="AA22" i="18" s="1"/>
  <c r="V22" i="18"/>
  <c r="W22" i="18" s="1"/>
  <c r="U22" i="18"/>
  <c r="R22" i="18"/>
  <c r="S22" i="18" s="1"/>
  <c r="Q22" i="18"/>
  <c r="N22" i="18"/>
  <c r="O22" i="18" s="1"/>
  <c r="M22" i="18"/>
  <c r="I22" i="18"/>
  <c r="J22" i="18" s="1"/>
  <c r="AH21" i="18"/>
  <c r="AF21" i="18"/>
  <c r="AE21" i="18"/>
  <c r="AC21" i="18"/>
  <c r="AB21" i="18"/>
  <c r="Z21" i="18"/>
  <c r="AA21" i="18" s="1"/>
  <c r="Y21" i="18"/>
  <c r="W21" i="18"/>
  <c r="V21" i="18"/>
  <c r="U21" i="18"/>
  <c r="Q21" i="18"/>
  <c r="R21" i="18" s="1"/>
  <c r="S21" i="18" s="1"/>
  <c r="M21" i="18"/>
  <c r="N21" i="18" s="1"/>
  <c r="O21" i="18" s="1"/>
  <c r="I21" i="18"/>
  <c r="J21" i="18" s="1"/>
  <c r="AI21" i="18" s="1"/>
  <c r="AH20" i="18"/>
  <c r="AF20" i="18"/>
  <c r="AE20" i="18"/>
  <c r="AC20" i="18"/>
  <c r="AB20" i="18"/>
  <c r="Y20" i="18"/>
  <c r="Z20" i="18" s="1"/>
  <c r="AA20" i="18" s="1"/>
  <c r="W20" i="18"/>
  <c r="V20" i="18"/>
  <c r="U20" i="18"/>
  <c r="Q20" i="18"/>
  <c r="R20" i="18" s="1"/>
  <c r="S20" i="18" s="1"/>
  <c r="M20" i="18"/>
  <c r="N20" i="18" s="1"/>
  <c r="O20" i="18" s="1"/>
  <c r="J20" i="18"/>
  <c r="I20" i="18"/>
  <c r="AE19" i="18"/>
  <c r="AB19" i="18"/>
  <c r="AH19" i="18" s="1"/>
  <c r="AA19" i="18"/>
  <c r="Y19" i="18"/>
  <c r="Z19" i="18" s="1"/>
  <c r="V19" i="18"/>
  <c r="W19" i="18" s="1"/>
  <c r="U19" i="18"/>
  <c r="Q19" i="18"/>
  <c r="R19" i="18" s="1"/>
  <c r="S19" i="18" s="1"/>
  <c r="N19" i="18"/>
  <c r="O19" i="18" s="1"/>
  <c r="M19" i="18"/>
  <c r="J19" i="18"/>
  <c r="I19" i="18"/>
  <c r="AE18" i="18"/>
  <c r="AB18" i="18"/>
  <c r="AF18" i="18" s="1"/>
  <c r="Z18" i="18"/>
  <c r="AA18" i="18" s="1"/>
  <c r="Y18" i="18"/>
  <c r="V18" i="18"/>
  <c r="W18" i="18" s="1"/>
  <c r="U18" i="18"/>
  <c r="Q18" i="18"/>
  <c r="R18" i="18" s="1"/>
  <c r="S18" i="18" s="1"/>
  <c r="N18" i="18"/>
  <c r="O18" i="18" s="1"/>
  <c r="M18" i="18"/>
  <c r="I18" i="18"/>
  <c r="J18" i="18" s="1"/>
  <c r="AH17" i="18"/>
  <c r="AF17" i="18"/>
  <c r="AE17" i="18"/>
  <c r="AC17" i="18"/>
  <c r="AB17" i="18"/>
  <c r="Y17" i="18"/>
  <c r="Z17" i="18" s="1"/>
  <c r="AA17" i="18" s="1"/>
  <c r="U17" i="18"/>
  <c r="V17" i="18" s="1"/>
  <c r="W17" i="18" s="1"/>
  <c r="Q17" i="18"/>
  <c r="R17" i="18" s="1"/>
  <c r="S17" i="18" s="1"/>
  <c r="M17" i="18"/>
  <c r="N17" i="18" s="1"/>
  <c r="O17" i="18" s="1"/>
  <c r="J17" i="18"/>
  <c r="I17" i="18"/>
  <c r="AE16" i="18"/>
  <c r="AB16" i="18"/>
  <c r="AH16" i="18" s="1"/>
  <c r="Y16" i="18"/>
  <c r="Z16" i="18" s="1"/>
  <c r="AA16" i="18" s="1"/>
  <c r="U16" i="18"/>
  <c r="V16" i="18" s="1"/>
  <c r="W16" i="18" s="1"/>
  <c r="R16" i="18"/>
  <c r="S16" i="18" s="1"/>
  <c r="Q16" i="18"/>
  <c r="M16" i="18"/>
  <c r="N16" i="18" s="1"/>
  <c r="O16" i="18" s="1"/>
  <c r="J16" i="18"/>
  <c r="I16" i="18"/>
  <c r="AE15" i="18"/>
  <c r="AB15" i="18"/>
  <c r="AH15" i="18" s="1"/>
  <c r="Z15" i="18"/>
  <c r="AA15" i="18" s="1"/>
  <c r="Y15" i="18"/>
  <c r="U15" i="18"/>
  <c r="V15" i="18" s="1"/>
  <c r="W15" i="18" s="1"/>
  <c r="R15" i="18"/>
  <c r="S15" i="18" s="1"/>
  <c r="Q15" i="18"/>
  <c r="O15" i="18"/>
  <c r="N15" i="18"/>
  <c r="M15" i="18"/>
  <c r="I15" i="18"/>
  <c r="J15" i="18" s="1"/>
  <c r="AH14" i="18"/>
  <c r="AE14" i="18"/>
  <c r="AB14" i="18"/>
  <c r="AF14" i="18" s="1"/>
  <c r="Z14" i="18"/>
  <c r="AA14" i="18" s="1"/>
  <c r="Y14" i="18"/>
  <c r="W14" i="18"/>
  <c r="V14" i="18"/>
  <c r="U14" i="18"/>
  <c r="Q14" i="18"/>
  <c r="R14" i="18" s="1"/>
  <c r="S14" i="18" s="1"/>
  <c r="M14" i="18"/>
  <c r="N14" i="18" s="1"/>
  <c r="O14" i="18" s="1"/>
  <c r="I14" i="18"/>
  <c r="J14" i="18" s="1"/>
  <c r="AH13" i="18"/>
  <c r="AF13" i="18"/>
  <c r="AE13" i="18"/>
  <c r="AC13" i="18"/>
  <c r="AB13" i="18"/>
  <c r="Y13" i="18"/>
  <c r="Z13" i="18" s="1"/>
  <c r="AA13" i="18" s="1"/>
  <c r="U13" i="18"/>
  <c r="V13" i="18" s="1"/>
  <c r="W13" i="18" s="1"/>
  <c r="Q13" i="18"/>
  <c r="R13" i="18" s="1"/>
  <c r="S13" i="18" s="1"/>
  <c r="M13" i="18"/>
  <c r="N13" i="18" s="1"/>
  <c r="O13" i="18" s="1"/>
  <c r="J13" i="18"/>
  <c r="AI13" i="18" s="1"/>
  <c r="I13" i="18"/>
  <c r="AE12" i="18"/>
  <c r="AB12" i="18"/>
  <c r="AH12" i="18" s="1"/>
  <c r="Y12" i="18"/>
  <c r="Z12" i="18" s="1"/>
  <c r="AA12" i="18" s="1"/>
  <c r="U12" i="18"/>
  <c r="V12" i="18" s="1"/>
  <c r="W12" i="18" s="1"/>
  <c r="R12" i="18"/>
  <c r="S12" i="18" s="1"/>
  <c r="Q12" i="18"/>
  <c r="M12" i="18"/>
  <c r="N12" i="18" s="1"/>
  <c r="O12" i="18" s="1"/>
  <c r="J12" i="18"/>
  <c r="AI12" i="18" s="1"/>
  <c r="I12" i="18"/>
  <c r="AE11" i="18"/>
  <c r="AB11" i="18"/>
  <c r="AH11" i="18" s="1"/>
  <c r="Z11" i="18"/>
  <c r="AA11" i="18" s="1"/>
  <c r="Y11" i="18"/>
  <c r="U11" i="18"/>
  <c r="V11" i="18" s="1"/>
  <c r="W11" i="18" s="1"/>
  <c r="R11" i="18"/>
  <c r="S11" i="18" s="1"/>
  <c r="Q11" i="18"/>
  <c r="O11" i="18"/>
  <c r="N11" i="18"/>
  <c r="M11" i="18"/>
  <c r="I11" i="18"/>
  <c r="J11" i="18" s="1"/>
  <c r="AH10" i="18"/>
  <c r="AE10" i="18"/>
  <c r="AB10" i="18"/>
  <c r="AF10" i="18" s="1"/>
  <c r="Z10" i="18"/>
  <c r="AA10" i="18" s="1"/>
  <c r="Y10" i="18"/>
  <c r="W10" i="18"/>
  <c r="V10" i="18"/>
  <c r="U10" i="18"/>
  <c r="Q10" i="18"/>
  <c r="R10" i="18" s="1"/>
  <c r="S10" i="18" s="1"/>
  <c r="M10" i="18"/>
  <c r="N10" i="18" s="1"/>
  <c r="O10" i="18" s="1"/>
  <c r="I10" i="18"/>
  <c r="J10" i="18" s="1"/>
  <c r="AH9" i="18"/>
  <c r="AF9" i="18"/>
  <c r="AE9" i="18"/>
  <c r="AC9" i="18"/>
  <c r="AB9" i="18"/>
  <c r="Y9" i="18"/>
  <c r="Z9" i="18" s="1"/>
  <c r="AA9" i="18" s="1"/>
  <c r="U9" i="18"/>
  <c r="V9" i="18" s="1"/>
  <c r="W9" i="18" s="1"/>
  <c r="Q9" i="18"/>
  <c r="R9" i="18" s="1"/>
  <c r="S9" i="18" s="1"/>
  <c r="M9" i="18"/>
  <c r="N9" i="18" s="1"/>
  <c r="O9" i="18" s="1"/>
  <c r="J9" i="18"/>
  <c r="AI9" i="18" s="1"/>
  <c r="I9" i="18"/>
  <c r="AE8" i="18"/>
  <c r="AE38" i="18" s="1"/>
  <c r="AB8" i="18"/>
  <c r="AH8" i="18" s="1"/>
  <c r="Y8" i="18"/>
  <c r="Z8" i="18" s="1"/>
  <c r="AA8" i="18" s="1"/>
  <c r="U8" i="18"/>
  <c r="V8" i="18" s="1"/>
  <c r="W8" i="18" s="1"/>
  <c r="R8" i="18"/>
  <c r="S8" i="18" s="1"/>
  <c r="Q8" i="18"/>
  <c r="M8" i="18"/>
  <c r="N8" i="18" s="1"/>
  <c r="O8" i="18" s="1"/>
  <c r="J8" i="18"/>
  <c r="AI8" i="18" s="1"/>
  <c r="I8" i="18"/>
  <c r="AE7" i="18"/>
  <c r="AB7" i="18"/>
  <c r="AH7" i="18" s="1"/>
  <c r="Z7" i="18"/>
  <c r="AA7" i="18" s="1"/>
  <c r="Y7" i="18"/>
  <c r="U7" i="18"/>
  <c r="V7" i="18" s="1"/>
  <c r="R7" i="18"/>
  <c r="S7" i="18" s="1"/>
  <c r="Q7" i="18"/>
  <c r="O7" i="18"/>
  <c r="N7" i="18"/>
  <c r="M7" i="18"/>
  <c r="I7" i="18"/>
  <c r="J7" i="18" s="1"/>
  <c r="AH6" i="18"/>
  <c r="AE6" i="18"/>
  <c r="AB6" i="18"/>
  <c r="AB38" i="18" s="1"/>
  <c r="Z6" i="18"/>
  <c r="Y6" i="18"/>
  <c r="W6" i="18"/>
  <c r="V6" i="18"/>
  <c r="U6" i="18"/>
  <c r="Q6" i="18"/>
  <c r="M6" i="18"/>
  <c r="M38" i="18" s="1"/>
  <c r="I6" i="18"/>
  <c r="M108" i="15"/>
  <c r="M107" i="15"/>
  <c r="M106" i="15"/>
  <c r="M105" i="15"/>
  <c r="M104" i="15"/>
  <c r="M103" i="15"/>
  <c r="M102" i="15"/>
  <c r="M101" i="15"/>
  <c r="M100" i="15"/>
  <c r="M99" i="15"/>
  <c r="M98" i="15"/>
  <c r="M97" i="15"/>
  <c r="M96" i="15"/>
  <c r="M95" i="15"/>
  <c r="M94" i="15"/>
  <c r="M93" i="15"/>
  <c r="M92" i="15"/>
  <c r="M91" i="15"/>
  <c r="M90" i="15"/>
  <c r="M89" i="15"/>
  <c r="M88" i="15"/>
  <c r="M87" i="15"/>
  <c r="M86" i="15"/>
  <c r="AH107" i="15"/>
  <c r="AH102" i="15"/>
  <c r="AF99" i="15"/>
  <c r="AH98" i="15"/>
  <c r="AH92" i="15"/>
  <c r="P82" i="14"/>
  <c r="P81" i="14"/>
  <c r="P80" i="14"/>
  <c r="P79" i="14"/>
  <c r="P78" i="14"/>
  <c r="P77" i="14"/>
  <c r="P76" i="14"/>
  <c r="P75" i="14"/>
  <c r="P74" i="14"/>
  <c r="P73" i="14"/>
  <c r="P69" i="14"/>
  <c r="P68" i="14"/>
  <c r="P67" i="14"/>
  <c r="P66" i="14"/>
  <c r="P65" i="14"/>
  <c r="P64" i="14"/>
  <c r="P63" i="14"/>
  <c r="P62" i="14"/>
  <c r="P61" i="14"/>
  <c r="P60" i="14"/>
  <c r="P59" i="14"/>
  <c r="P58" i="14"/>
  <c r="P57" i="14"/>
  <c r="P56" i="14"/>
  <c r="P55" i="14"/>
  <c r="P54" i="14"/>
  <c r="P53" i="14"/>
  <c r="P52" i="14"/>
  <c r="P51" i="14"/>
  <c r="P50" i="14"/>
  <c r="P49" i="14"/>
  <c r="P48" i="14"/>
  <c r="P47" i="14"/>
  <c r="P46" i="14"/>
  <c r="P45" i="14"/>
  <c r="P44" i="14"/>
  <c r="P43" i="14"/>
  <c r="P42" i="14"/>
  <c r="P41" i="14"/>
  <c r="P37" i="14"/>
  <c r="P36" i="14"/>
  <c r="P35" i="14"/>
  <c r="P34" i="14"/>
  <c r="P33" i="14"/>
  <c r="P32" i="14"/>
  <c r="P31" i="14"/>
  <c r="P30" i="14"/>
  <c r="P29" i="14"/>
  <c r="P28" i="14"/>
  <c r="P27" i="14"/>
  <c r="P26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P12" i="14"/>
  <c r="P11" i="14"/>
  <c r="P10" i="14"/>
  <c r="P9" i="14"/>
  <c r="P8" i="14"/>
  <c r="P7" i="14"/>
  <c r="P6" i="14"/>
  <c r="N82" i="14"/>
  <c r="N81" i="14"/>
  <c r="N80" i="14"/>
  <c r="N79" i="14"/>
  <c r="N78" i="14"/>
  <c r="N77" i="14"/>
  <c r="N76" i="14"/>
  <c r="N75" i="14"/>
  <c r="N74" i="14"/>
  <c r="N73" i="14"/>
  <c r="N69" i="14"/>
  <c r="N68" i="14"/>
  <c r="N67" i="14"/>
  <c r="N66" i="14"/>
  <c r="N65" i="14"/>
  <c r="N64" i="14"/>
  <c r="R64" i="14" s="1"/>
  <c r="N63" i="14"/>
  <c r="N62" i="14"/>
  <c r="N61" i="14"/>
  <c r="N60" i="14"/>
  <c r="N59" i="14"/>
  <c r="N58" i="14"/>
  <c r="N57" i="14"/>
  <c r="N56" i="14"/>
  <c r="N55" i="14"/>
  <c r="N54" i="14"/>
  <c r="N53" i="14"/>
  <c r="N52" i="14"/>
  <c r="N51" i="14"/>
  <c r="N50" i="14"/>
  <c r="N49" i="14"/>
  <c r="N48" i="14"/>
  <c r="R48" i="14" s="1"/>
  <c r="N47" i="14"/>
  <c r="N46" i="14"/>
  <c r="N45" i="14"/>
  <c r="N44" i="14"/>
  <c r="N43" i="14"/>
  <c r="N42" i="14"/>
  <c r="N41" i="14"/>
  <c r="N37" i="14"/>
  <c r="N36" i="14"/>
  <c r="N35" i="14"/>
  <c r="N34" i="14"/>
  <c r="N33" i="14"/>
  <c r="N32" i="14"/>
  <c r="R32" i="14" s="1"/>
  <c r="N31" i="14"/>
  <c r="N30" i="14"/>
  <c r="N29" i="14"/>
  <c r="N28" i="14"/>
  <c r="N27" i="14"/>
  <c r="N26" i="14"/>
  <c r="N25" i="14"/>
  <c r="N24" i="14"/>
  <c r="N23" i="14"/>
  <c r="N22" i="14"/>
  <c r="N21" i="14"/>
  <c r="N20" i="14"/>
  <c r="N19" i="14"/>
  <c r="N18" i="14"/>
  <c r="N17" i="14"/>
  <c r="N16" i="14"/>
  <c r="N15" i="14"/>
  <c r="N14" i="14"/>
  <c r="N13" i="14"/>
  <c r="N12" i="14"/>
  <c r="N11" i="14"/>
  <c r="N10" i="14"/>
  <c r="N9" i="14"/>
  <c r="N8" i="14"/>
  <c r="N7" i="14"/>
  <c r="N6" i="14"/>
  <c r="AD109" i="15"/>
  <c r="X109" i="15"/>
  <c r="T109" i="15"/>
  <c r="P109" i="15"/>
  <c r="N109" i="15"/>
  <c r="H109" i="15"/>
  <c r="AI108" i="15"/>
  <c r="AH108" i="15"/>
  <c r="AE108" i="15"/>
  <c r="AC108" i="15"/>
  <c r="AB108" i="15"/>
  <c r="Z108" i="15"/>
  <c r="AA108" i="15" s="1"/>
  <c r="Y108" i="15"/>
  <c r="V108" i="15"/>
  <c r="W108" i="15" s="1"/>
  <c r="U108" i="15"/>
  <c r="S108" i="15"/>
  <c r="Q108" i="15"/>
  <c r="R108" i="15" s="1"/>
  <c r="O108" i="15"/>
  <c r="I108" i="15"/>
  <c r="J108" i="15" s="1"/>
  <c r="AE107" i="15"/>
  <c r="AC107" i="15"/>
  <c r="AB107" i="15"/>
  <c r="Y107" i="15"/>
  <c r="Z107" i="15" s="1"/>
  <c r="AA107" i="15" s="1"/>
  <c r="W107" i="15"/>
  <c r="V107" i="15"/>
  <c r="U107" i="15"/>
  <c r="Q107" i="15"/>
  <c r="R107" i="15" s="1"/>
  <c r="S107" i="15" s="1"/>
  <c r="O107" i="15"/>
  <c r="K107" i="15"/>
  <c r="I107" i="15"/>
  <c r="J107" i="15" s="1"/>
  <c r="AE106" i="15"/>
  <c r="AC106" i="15"/>
  <c r="AB106" i="15"/>
  <c r="Y106" i="15"/>
  <c r="Z106" i="15" s="1"/>
  <c r="AA106" i="15" s="1"/>
  <c r="V106" i="15"/>
  <c r="W106" i="15" s="1"/>
  <c r="U106" i="15"/>
  <c r="Q106" i="15"/>
  <c r="R106" i="15" s="1"/>
  <c r="S106" i="15" s="1"/>
  <c r="O106" i="15"/>
  <c r="I106" i="15"/>
  <c r="J106" i="15" s="1"/>
  <c r="AE105" i="15"/>
  <c r="AB105" i="15"/>
  <c r="AC105" i="15" s="1"/>
  <c r="Y105" i="15"/>
  <c r="Z105" i="15" s="1"/>
  <c r="AA105" i="15" s="1"/>
  <c r="V105" i="15"/>
  <c r="W105" i="15" s="1"/>
  <c r="U105" i="15"/>
  <c r="Q105" i="15"/>
  <c r="R105" i="15" s="1"/>
  <c r="S105" i="15" s="1"/>
  <c r="O105" i="15"/>
  <c r="K105" i="15"/>
  <c r="I105" i="15"/>
  <c r="J105" i="15" s="1"/>
  <c r="AE104" i="15"/>
  <c r="AC104" i="15"/>
  <c r="AB104" i="15"/>
  <c r="Z104" i="15"/>
  <c r="AA104" i="15" s="1"/>
  <c r="Y104" i="15"/>
  <c r="V104" i="15"/>
  <c r="W104" i="15" s="1"/>
  <c r="U104" i="15"/>
  <c r="Q104" i="15"/>
  <c r="R104" i="15" s="1"/>
  <c r="S104" i="15" s="1"/>
  <c r="O104" i="15"/>
  <c r="I104" i="15"/>
  <c r="J104" i="15" s="1"/>
  <c r="AE103" i="15"/>
  <c r="AC103" i="15"/>
  <c r="AB103" i="15"/>
  <c r="Y103" i="15"/>
  <c r="Z103" i="15" s="1"/>
  <c r="AA103" i="15" s="1"/>
  <c r="V103" i="15"/>
  <c r="W103" i="15" s="1"/>
  <c r="U103" i="15"/>
  <c r="Q103" i="15"/>
  <c r="R103" i="15" s="1"/>
  <c r="S103" i="15" s="1"/>
  <c r="O103" i="15"/>
  <c r="K103" i="15"/>
  <c r="I103" i="15"/>
  <c r="J103" i="15" s="1"/>
  <c r="AE102" i="15"/>
  <c r="AC102" i="15"/>
  <c r="AB102" i="15"/>
  <c r="Y102" i="15"/>
  <c r="Z102" i="15" s="1"/>
  <c r="AA102" i="15" s="1"/>
  <c r="V102" i="15"/>
  <c r="W102" i="15" s="1"/>
  <c r="U102" i="15"/>
  <c r="S102" i="15"/>
  <c r="Q102" i="15"/>
  <c r="R102" i="15" s="1"/>
  <c r="O102" i="15"/>
  <c r="J102" i="15"/>
  <c r="I102" i="15"/>
  <c r="AE101" i="15"/>
  <c r="AC101" i="15"/>
  <c r="AB101" i="15"/>
  <c r="Y101" i="15"/>
  <c r="Z101" i="15" s="1"/>
  <c r="AA101" i="15" s="1"/>
  <c r="V101" i="15"/>
  <c r="W101" i="15" s="1"/>
  <c r="U101" i="15"/>
  <c r="R101" i="15"/>
  <c r="S101" i="15" s="1"/>
  <c r="Q101" i="15"/>
  <c r="O101" i="15"/>
  <c r="AH101" i="15"/>
  <c r="I101" i="15"/>
  <c r="J101" i="15" s="1"/>
  <c r="AE100" i="15"/>
  <c r="AC100" i="15"/>
  <c r="AB100" i="15"/>
  <c r="Y100" i="15"/>
  <c r="Z100" i="15" s="1"/>
  <c r="V100" i="15"/>
  <c r="W100" i="15" s="1"/>
  <c r="U100" i="15"/>
  <c r="S100" i="15"/>
  <c r="Q100" i="15"/>
  <c r="R100" i="15" s="1"/>
  <c r="O100" i="15"/>
  <c r="AF100" i="15"/>
  <c r="I100" i="15"/>
  <c r="J100" i="15" s="1"/>
  <c r="AH99" i="15"/>
  <c r="AE99" i="15"/>
  <c r="AC99" i="15"/>
  <c r="AB99" i="15"/>
  <c r="Y99" i="15"/>
  <c r="Z99" i="15" s="1"/>
  <c r="AA99" i="15" s="1"/>
  <c r="V99" i="15"/>
  <c r="W99" i="15" s="1"/>
  <c r="U99" i="15"/>
  <c r="Q99" i="15"/>
  <c r="R99" i="15" s="1"/>
  <c r="S99" i="15" s="1"/>
  <c r="O99" i="15"/>
  <c r="K99" i="15"/>
  <c r="I99" i="15"/>
  <c r="J99" i="15" s="1"/>
  <c r="AE98" i="15"/>
  <c r="AC98" i="15"/>
  <c r="AB98" i="15"/>
  <c r="Y98" i="15"/>
  <c r="Z98" i="15" s="1"/>
  <c r="AA98" i="15" s="1"/>
  <c r="U98" i="15"/>
  <c r="V98" i="15" s="1"/>
  <c r="W98" i="15" s="1"/>
  <c r="S98" i="15"/>
  <c r="Q98" i="15"/>
  <c r="R98" i="15" s="1"/>
  <c r="O98" i="15"/>
  <c r="I98" i="15"/>
  <c r="J98" i="15" s="1"/>
  <c r="AF97" i="15"/>
  <c r="AE97" i="15"/>
  <c r="AB97" i="15"/>
  <c r="AC97" i="15" s="1"/>
  <c r="AA97" i="15"/>
  <c r="Y97" i="15"/>
  <c r="Z97" i="15" s="1"/>
  <c r="V97" i="15"/>
  <c r="W97" i="15" s="1"/>
  <c r="U97" i="15"/>
  <c r="R97" i="15"/>
  <c r="S97" i="15" s="1"/>
  <c r="Q97" i="15"/>
  <c r="O97" i="15"/>
  <c r="I97" i="15"/>
  <c r="J97" i="15" s="1"/>
  <c r="AI96" i="15"/>
  <c r="AH96" i="15"/>
  <c r="AE96" i="15"/>
  <c r="AC96" i="15"/>
  <c r="AB96" i="15"/>
  <c r="Y96" i="15"/>
  <c r="Z96" i="15" s="1"/>
  <c r="AA96" i="15" s="1"/>
  <c r="V96" i="15"/>
  <c r="W96" i="15" s="1"/>
  <c r="U96" i="15"/>
  <c r="S96" i="15"/>
  <c r="Q96" i="15"/>
  <c r="R96" i="15" s="1"/>
  <c r="O96" i="15"/>
  <c r="AF96" i="15"/>
  <c r="I96" i="15"/>
  <c r="J96" i="15" s="1"/>
  <c r="AG95" i="15"/>
  <c r="AE95" i="15"/>
  <c r="AC95" i="15"/>
  <c r="AB95" i="15"/>
  <c r="AA95" i="15"/>
  <c r="Y95" i="15"/>
  <c r="Z95" i="15" s="1"/>
  <c r="V95" i="15"/>
  <c r="W95" i="15" s="1"/>
  <c r="U95" i="15"/>
  <c r="Q95" i="15"/>
  <c r="R95" i="15" s="1"/>
  <c r="S95" i="15" s="1"/>
  <c r="O95" i="15"/>
  <c r="AH95" i="15"/>
  <c r="I95" i="15"/>
  <c r="J95" i="15" s="1"/>
  <c r="AH94" i="15"/>
  <c r="AF94" i="15"/>
  <c r="AE94" i="15"/>
  <c r="AC94" i="15"/>
  <c r="AB94" i="15"/>
  <c r="Y94" i="15"/>
  <c r="Z94" i="15" s="1"/>
  <c r="AA94" i="15" s="1"/>
  <c r="U94" i="15"/>
  <c r="V94" i="15" s="1"/>
  <c r="W94" i="15" s="1"/>
  <c r="Q94" i="15"/>
  <c r="R94" i="15" s="1"/>
  <c r="S94" i="15" s="1"/>
  <c r="O94" i="15"/>
  <c r="K94" i="15"/>
  <c r="J94" i="15"/>
  <c r="I94" i="15"/>
  <c r="AE93" i="15"/>
  <c r="AB93" i="15"/>
  <c r="AF93" i="15" s="1"/>
  <c r="Y93" i="15"/>
  <c r="Z93" i="15" s="1"/>
  <c r="AA93" i="15" s="1"/>
  <c r="V93" i="15"/>
  <c r="W93" i="15" s="1"/>
  <c r="U93" i="15"/>
  <c r="Q93" i="15"/>
  <c r="R93" i="15" s="1"/>
  <c r="S93" i="15" s="1"/>
  <c r="O93" i="15"/>
  <c r="K93" i="15"/>
  <c r="I93" i="15"/>
  <c r="J93" i="15" s="1"/>
  <c r="AE92" i="15"/>
  <c r="AC92" i="15"/>
  <c r="AB92" i="15"/>
  <c r="Z92" i="15"/>
  <c r="AA92" i="15" s="1"/>
  <c r="Y92" i="15"/>
  <c r="V92" i="15"/>
  <c r="W92" i="15" s="1"/>
  <c r="U92" i="15"/>
  <c r="Q92" i="15"/>
  <c r="R92" i="15" s="1"/>
  <c r="S92" i="15" s="1"/>
  <c r="O92" i="15"/>
  <c r="I92" i="15"/>
  <c r="J92" i="15" s="1"/>
  <c r="AI92" i="15" s="1"/>
  <c r="AE91" i="15"/>
  <c r="AC91" i="15"/>
  <c r="AB91" i="15"/>
  <c r="Y91" i="15"/>
  <c r="Z91" i="15" s="1"/>
  <c r="AA91" i="15" s="1"/>
  <c r="W91" i="15"/>
  <c r="V91" i="15"/>
  <c r="U91" i="15"/>
  <c r="Q91" i="15"/>
  <c r="R91" i="15" s="1"/>
  <c r="S91" i="15" s="1"/>
  <c r="O91" i="15"/>
  <c r="K91" i="15"/>
  <c r="I91" i="15"/>
  <c r="J91" i="15" s="1"/>
  <c r="AE90" i="15"/>
  <c r="AC90" i="15"/>
  <c r="AB90" i="15"/>
  <c r="Y90" i="15"/>
  <c r="Z90" i="15" s="1"/>
  <c r="AA90" i="15" s="1"/>
  <c r="U90" i="15"/>
  <c r="V90" i="15" s="1"/>
  <c r="W90" i="15" s="1"/>
  <c r="Q90" i="15"/>
  <c r="R90" i="15" s="1"/>
  <c r="S90" i="15" s="1"/>
  <c r="O90" i="15"/>
  <c r="K90" i="15"/>
  <c r="I90" i="15"/>
  <c r="J90" i="15" s="1"/>
  <c r="AE89" i="15"/>
  <c r="AB89" i="15"/>
  <c r="AC89" i="15" s="1"/>
  <c r="Y89" i="15"/>
  <c r="Z89" i="15" s="1"/>
  <c r="AA89" i="15" s="1"/>
  <c r="V89" i="15"/>
  <c r="W89" i="15" s="1"/>
  <c r="U89" i="15"/>
  <c r="Q89" i="15"/>
  <c r="R89" i="15" s="1"/>
  <c r="S89" i="15" s="1"/>
  <c r="O89" i="15"/>
  <c r="K89" i="15"/>
  <c r="I89" i="15"/>
  <c r="J89" i="15" s="1"/>
  <c r="AE88" i="15"/>
  <c r="AC88" i="15"/>
  <c r="AB88" i="15"/>
  <c r="AA88" i="15"/>
  <c r="Z88" i="15"/>
  <c r="Y88" i="15"/>
  <c r="V88" i="15"/>
  <c r="W88" i="15" s="1"/>
  <c r="U88" i="15"/>
  <c r="Q88" i="15"/>
  <c r="R88" i="15" s="1"/>
  <c r="S88" i="15" s="1"/>
  <c r="O88" i="15"/>
  <c r="O109" i="15" s="1"/>
  <c r="I88" i="15"/>
  <c r="J88" i="15" s="1"/>
  <c r="AE87" i="15"/>
  <c r="AC87" i="15"/>
  <c r="AB87" i="15"/>
  <c r="Y87" i="15"/>
  <c r="Z87" i="15" s="1"/>
  <c r="AA87" i="15" s="1"/>
  <c r="V87" i="15"/>
  <c r="W87" i="15" s="1"/>
  <c r="U87" i="15"/>
  <c r="Q87" i="15"/>
  <c r="R87" i="15" s="1"/>
  <c r="S87" i="15" s="1"/>
  <c r="O87" i="15"/>
  <c r="K87" i="15"/>
  <c r="I87" i="15"/>
  <c r="J87" i="15" s="1"/>
  <c r="AE86" i="15"/>
  <c r="AE109" i="15" s="1"/>
  <c r="AC86" i="15"/>
  <c r="AB86" i="15"/>
  <c r="Y86" i="15"/>
  <c r="V86" i="15"/>
  <c r="W86" i="15" s="1"/>
  <c r="U86" i="15"/>
  <c r="S86" i="15"/>
  <c r="Q86" i="15"/>
  <c r="R86" i="15" s="1"/>
  <c r="O86" i="15"/>
  <c r="I86" i="15"/>
  <c r="AD83" i="15"/>
  <c r="X83" i="15"/>
  <c r="U83" i="15"/>
  <c r="T83" i="15"/>
  <c r="P83" i="15"/>
  <c r="L83" i="15"/>
  <c r="H83" i="15"/>
  <c r="AH82" i="15"/>
  <c r="AF82" i="15"/>
  <c r="AE82" i="15"/>
  <c r="AC82" i="15"/>
  <c r="AB82" i="15"/>
  <c r="Y82" i="15"/>
  <c r="Z82" i="15" s="1"/>
  <c r="AA82" i="15" s="1"/>
  <c r="V82" i="15"/>
  <c r="W82" i="15" s="1"/>
  <c r="U82" i="15"/>
  <c r="Q82" i="15"/>
  <c r="R82" i="15" s="1"/>
  <c r="S82" i="15" s="1"/>
  <c r="N82" i="15"/>
  <c r="O82" i="15" s="1"/>
  <c r="M82" i="15"/>
  <c r="I82" i="15"/>
  <c r="J82" i="15" s="1"/>
  <c r="AH81" i="15"/>
  <c r="AF81" i="15"/>
  <c r="AE81" i="15"/>
  <c r="AC81" i="15"/>
  <c r="AB81" i="15"/>
  <c r="Y81" i="15"/>
  <c r="Z81" i="15" s="1"/>
  <c r="AA81" i="15" s="1"/>
  <c r="U81" i="15"/>
  <c r="V81" i="15" s="1"/>
  <c r="W81" i="15" s="1"/>
  <c r="S81" i="15"/>
  <c r="Q81" i="15"/>
  <c r="R81" i="15" s="1"/>
  <c r="N81" i="15"/>
  <c r="O81" i="15" s="1"/>
  <c r="M81" i="15"/>
  <c r="K81" i="15"/>
  <c r="J81" i="15"/>
  <c r="I81" i="15"/>
  <c r="AE80" i="15"/>
  <c r="AC80" i="15"/>
  <c r="AB80" i="15"/>
  <c r="Y80" i="15"/>
  <c r="Z80" i="15" s="1"/>
  <c r="AA80" i="15" s="1"/>
  <c r="V80" i="15"/>
  <c r="W80" i="15" s="1"/>
  <c r="U80" i="15"/>
  <c r="Q80" i="15"/>
  <c r="R80" i="15" s="1"/>
  <c r="S80" i="15" s="1"/>
  <c r="N80" i="15"/>
  <c r="O80" i="15" s="1"/>
  <c r="M80" i="15"/>
  <c r="I80" i="15"/>
  <c r="J80" i="15" s="1"/>
  <c r="AH79" i="15"/>
  <c r="AF79" i="15"/>
  <c r="AE79" i="15"/>
  <c r="AC79" i="15"/>
  <c r="AB79" i="15"/>
  <c r="Z79" i="15"/>
  <c r="AA79" i="15" s="1"/>
  <c r="Y79" i="15"/>
  <c r="V79" i="15"/>
  <c r="W79" i="15" s="1"/>
  <c r="U79" i="15"/>
  <c r="S79" i="15"/>
  <c r="Q79" i="15"/>
  <c r="R79" i="15" s="1"/>
  <c r="N79" i="15"/>
  <c r="O79" i="15" s="1"/>
  <c r="M79" i="15"/>
  <c r="I79" i="15"/>
  <c r="J79" i="15" s="1"/>
  <c r="AH78" i="15"/>
  <c r="AF78" i="15"/>
  <c r="AE78" i="15"/>
  <c r="AC78" i="15"/>
  <c r="AB78" i="15"/>
  <c r="AA78" i="15"/>
  <c r="Y78" i="15"/>
  <c r="Z78" i="15" s="1"/>
  <c r="V78" i="15"/>
  <c r="W78" i="15" s="1"/>
  <c r="U78" i="15"/>
  <c r="Q78" i="15"/>
  <c r="R78" i="15" s="1"/>
  <c r="S78" i="15" s="1"/>
  <c r="M78" i="15"/>
  <c r="N78" i="15" s="1"/>
  <c r="O78" i="15" s="1"/>
  <c r="K78" i="15"/>
  <c r="I78" i="15"/>
  <c r="J78" i="15" s="1"/>
  <c r="AH77" i="15"/>
  <c r="AF77" i="15"/>
  <c r="AE77" i="15"/>
  <c r="AC77" i="15"/>
  <c r="AB77" i="15"/>
  <c r="Y77" i="15"/>
  <c r="Z77" i="15" s="1"/>
  <c r="AA77" i="15" s="1"/>
  <c r="V77" i="15"/>
  <c r="W77" i="15" s="1"/>
  <c r="U77" i="15"/>
  <c r="Q77" i="15"/>
  <c r="R77" i="15" s="1"/>
  <c r="S77" i="15" s="1"/>
  <c r="N77" i="15"/>
  <c r="O77" i="15" s="1"/>
  <c r="M77" i="15"/>
  <c r="I77" i="15"/>
  <c r="J77" i="15" s="1"/>
  <c r="AE76" i="15"/>
  <c r="AC76" i="15"/>
  <c r="AB76" i="15"/>
  <c r="AA76" i="15"/>
  <c r="Y76" i="15"/>
  <c r="Z76" i="15" s="1"/>
  <c r="V76" i="15"/>
  <c r="W76" i="15" s="1"/>
  <c r="U76" i="15"/>
  <c r="Q76" i="15"/>
  <c r="R76" i="15" s="1"/>
  <c r="S76" i="15" s="1"/>
  <c r="N76" i="15"/>
  <c r="O76" i="15" s="1"/>
  <c r="M76" i="15"/>
  <c r="I76" i="15"/>
  <c r="J76" i="15" s="1"/>
  <c r="AH75" i="15"/>
  <c r="AF75" i="15"/>
  <c r="AE75" i="15"/>
  <c r="AC75" i="15"/>
  <c r="AB75" i="15"/>
  <c r="Z75" i="15"/>
  <c r="AA75" i="15" s="1"/>
  <c r="Y75" i="15"/>
  <c r="V75" i="15"/>
  <c r="W75" i="15" s="1"/>
  <c r="U75" i="15"/>
  <c r="S75" i="15"/>
  <c r="Q75" i="15"/>
  <c r="R75" i="15" s="1"/>
  <c r="O75" i="15"/>
  <c r="N75" i="15"/>
  <c r="M75" i="15"/>
  <c r="I75" i="15"/>
  <c r="J75" i="15" s="1"/>
  <c r="AH74" i="15"/>
  <c r="AF74" i="15"/>
  <c r="AE74" i="15"/>
  <c r="AC74" i="15"/>
  <c r="AB74" i="15"/>
  <c r="Y74" i="15"/>
  <c r="Z74" i="15" s="1"/>
  <c r="AA74" i="15" s="1"/>
  <c r="V74" i="15"/>
  <c r="W74" i="15" s="1"/>
  <c r="U74" i="15"/>
  <c r="Q74" i="15"/>
  <c r="R74" i="15" s="1"/>
  <c r="S74" i="15" s="1"/>
  <c r="N74" i="15"/>
  <c r="M74" i="15"/>
  <c r="M83" i="15" s="1"/>
  <c r="I74" i="15"/>
  <c r="J74" i="15" s="1"/>
  <c r="AH73" i="15"/>
  <c r="AF73" i="15"/>
  <c r="AE73" i="15"/>
  <c r="AC73" i="15"/>
  <c r="AB73" i="15"/>
  <c r="Y73" i="15"/>
  <c r="U73" i="15"/>
  <c r="V73" i="15" s="1"/>
  <c r="W73" i="15" s="1"/>
  <c r="Q73" i="15"/>
  <c r="R73" i="15" s="1"/>
  <c r="N73" i="15"/>
  <c r="M73" i="15"/>
  <c r="I73" i="15"/>
  <c r="I83" i="15" s="1"/>
  <c r="AD70" i="15"/>
  <c r="AB70" i="15"/>
  <c r="X70" i="15"/>
  <c r="T70" i="15"/>
  <c r="P70" i="15"/>
  <c r="L70" i="15"/>
  <c r="H70" i="15"/>
  <c r="AH69" i="15"/>
  <c r="AF69" i="15"/>
  <c r="AE69" i="15"/>
  <c r="AC69" i="15"/>
  <c r="AB69" i="15"/>
  <c r="Y69" i="15"/>
  <c r="Z69" i="15" s="1"/>
  <c r="AA69" i="15" s="1"/>
  <c r="V69" i="15"/>
  <c r="W69" i="15" s="1"/>
  <c r="U69" i="15"/>
  <c r="S69" i="15"/>
  <c r="Q69" i="15"/>
  <c r="R69" i="15" s="1"/>
  <c r="N69" i="15"/>
  <c r="O69" i="15" s="1"/>
  <c r="M69" i="15"/>
  <c r="I69" i="15"/>
  <c r="J69" i="15" s="1"/>
  <c r="AG69" i="15" s="1"/>
  <c r="AH68" i="15"/>
  <c r="AF68" i="15"/>
  <c r="AE68" i="15"/>
  <c r="AC68" i="15"/>
  <c r="AB68" i="15"/>
  <c r="Y68" i="15"/>
  <c r="Z68" i="15" s="1"/>
  <c r="AA68" i="15" s="1"/>
  <c r="U68" i="15"/>
  <c r="V68" i="15" s="1"/>
  <c r="W68" i="15" s="1"/>
  <c r="Q68" i="15"/>
  <c r="R68" i="15" s="1"/>
  <c r="S68" i="15" s="1"/>
  <c r="N68" i="15"/>
  <c r="O68" i="15" s="1"/>
  <c r="M68" i="15"/>
  <c r="I68" i="15"/>
  <c r="J68" i="15" s="1"/>
  <c r="AE67" i="15"/>
  <c r="AB67" i="15"/>
  <c r="Y67" i="15"/>
  <c r="Z67" i="15" s="1"/>
  <c r="AA67" i="15" s="1"/>
  <c r="V67" i="15"/>
  <c r="W67" i="15" s="1"/>
  <c r="U67" i="15"/>
  <c r="Q67" i="15"/>
  <c r="R67" i="15" s="1"/>
  <c r="S67" i="15" s="1"/>
  <c r="N67" i="15"/>
  <c r="O67" i="15" s="1"/>
  <c r="M67" i="15"/>
  <c r="I67" i="15"/>
  <c r="J67" i="15" s="1"/>
  <c r="AH66" i="15"/>
  <c r="AF66" i="15"/>
  <c r="AE66" i="15"/>
  <c r="AC66" i="15"/>
  <c r="AB66" i="15"/>
  <c r="Y66" i="15"/>
  <c r="Z66" i="15" s="1"/>
  <c r="AA66" i="15" s="1"/>
  <c r="V66" i="15"/>
  <c r="W66" i="15" s="1"/>
  <c r="U66" i="15"/>
  <c r="Q66" i="15"/>
  <c r="R66" i="15" s="1"/>
  <c r="S66" i="15" s="1"/>
  <c r="N66" i="15"/>
  <c r="O66" i="15" s="1"/>
  <c r="M66" i="15"/>
  <c r="I66" i="15"/>
  <c r="J66" i="15" s="1"/>
  <c r="AH65" i="15"/>
  <c r="AF65" i="15"/>
  <c r="AE65" i="15"/>
  <c r="AC65" i="15"/>
  <c r="AB65" i="15"/>
  <c r="Y65" i="15"/>
  <c r="Z65" i="15" s="1"/>
  <c r="AA65" i="15" s="1"/>
  <c r="V65" i="15"/>
  <c r="W65" i="15" s="1"/>
  <c r="U65" i="15"/>
  <c r="Q65" i="15"/>
  <c r="R65" i="15" s="1"/>
  <c r="S65" i="15" s="1"/>
  <c r="M65" i="15"/>
  <c r="N65" i="15" s="1"/>
  <c r="O65" i="15" s="1"/>
  <c r="I65" i="15"/>
  <c r="J65" i="15" s="1"/>
  <c r="AH64" i="15"/>
  <c r="AF64" i="15"/>
  <c r="AE64" i="15"/>
  <c r="AC64" i="15"/>
  <c r="AB64" i="15"/>
  <c r="Y64" i="15"/>
  <c r="Z64" i="15" s="1"/>
  <c r="AA64" i="15" s="1"/>
  <c r="U64" i="15"/>
  <c r="V64" i="15" s="1"/>
  <c r="W64" i="15" s="1"/>
  <c r="S64" i="15"/>
  <c r="Q64" i="15"/>
  <c r="R64" i="15" s="1"/>
  <c r="M64" i="15"/>
  <c r="N64" i="15" s="1"/>
  <c r="O64" i="15" s="1"/>
  <c r="I64" i="15"/>
  <c r="J64" i="15" s="1"/>
  <c r="AH63" i="15"/>
  <c r="AF63" i="15"/>
  <c r="AE63" i="15"/>
  <c r="AB63" i="15"/>
  <c r="AC63" i="15" s="1"/>
  <c r="Y63" i="15"/>
  <c r="Z63" i="15" s="1"/>
  <c r="AA63" i="15" s="1"/>
  <c r="V63" i="15"/>
  <c r="W63" i="15" s="1"/>
  <c r="U63" i="15"/>
  <c r="Q63" i="15"/>
  <c r="R63" i="15" s="1"/>
  <c r="S63" i="15" s="1"/>
  <c r="N63" i="15"/>
  <c r="O63" i="15" s="1"/>
  <c r="M63" i="15"/>
  <c r="I63" i="15"/>
  <c r="J63" i="15" s="1"/>
  <c r="AH62" i="15"/>
  <c r="AF62" i="15"/>
  <c r="AE62" i="15"/>
  <c r="AC62" i="15"/>
  <c r="AB62" i="15"/>
  <c r="Y62" i="15"/>
  <c r="Z62" i="15" s="1"/>
  <c r="AA62" i="15" s="1"/>
  <c r="U62" i="15"/>
  <c r="V62" i="15" s="1"/>
  <c r="W62" i="15" s="1"/>
  <c r="Q62" i="15"/>
  <c r="R62" i="15" s="1"/>
  <c r="S62" i="15" s="1"/>
  <c r="M62" i="15"/>
  <c r="N62" i="15" s="1"/>
  <c r="O62" i="15" s="1"/>
  <c r="J62" i="15"/>
  <c r="I62" i="15"/>
  <c r="AE61" i="15"/>
  <c r="AC61" i="15"/>
  <c r="AB61" i="15"/>
  <c r="Y61" i="15"/>
  <c r="Z61" i="15" s="1"/>
  <c r="AA61" i="15" s="1"/>
  <c r="U61" i="15"/>
  <c r="V61" i="15" s="1"/>
  <c r="W61" i="15" s="1"/>
  <c r="Q61" i="15"/>
  <c r="R61" i="15" s="1"/>
  <c r="S61" i="15" s="1"/>
  <c r="M61" i="15"/>
  <c r="N61" i="15" s="1"/>
  <c r="O61" i="15" s="1"/>
  <c r="I61" i="15"/>
  <c r="J61" i="15" s="1"/>
  <c r="AH60" i="15"/>
  <c r="AE60" i="15"/>
  <c r="AB60" i="15"/>
  <c r="AF60" i="15" s="1"/>
  <c r="Y60" i="15"/>
  <c r="Z60" i="15" s="1"/>
  <c r="AA60" i="15" s="1"/>
  <c r="U60" i="15"/>
  <c r="V60" i="15" s="1"/>
  <c r="W60" i="15" s="1"/>
  <c r="Q60" i="15"/>
  <c r="R60" i="15" s="1"/>
  <c r="S60" i="15" s="1"/>
  <c r="O60" i="15"/>
  <c r="N60" i="15"/>
  <c r="M60" i="15"/>
  <c r="I60" i="15"/>
  <c r="J60" i="15" s="1"/>
  <c r="AH59" i="15"/>
  <c r="AF59" i="15"/>
  <c r="AE59" i="15"/>
  <c r="AB59" i="15"/>
  <c r="AC59" i="15" s="1"/>
  <c r="Y59" i="15"/>
  <c r="Z59" i="15" s="1"/>
  <c r="AA59" i="15" s="1"/>
  <c r="W59" i="15"/>
  <c r="V59" i="15"/>
  <c r="U59" i="15"/>
  <c r="Q59" i="15"/>
  <c r="R59" i="15" s="1"/>
  <c r="S59" i="15" s="1"/>
  <c r="M59" i="15"/>
  <c r="N59" i="15" s="1"/>
  <c r="K59" i="15"/>
  <c r="I59" i="15"/>
  <c r="J59" i="15" s="1"/>
  <c r="AH58" i="15"/>
  <c r="AF58" i="15"/>
  <c r="AE58" i="15"/>
  <c r="AC58" i="15"/>
  <c r="AB58" i="15"/>
  <c r="Y58" i="15"/>
  <c r="Z58" i="15" s="1"/>
  <c r="AA58" i="15" s="1"/>
  <c r="V58" i="15"/>
  <c r="W58" i="15" s="1"/>
  <c r="U58" i="15"/>
  <c r="S58" i="15"/>
  <c r="Q58" i="15"/>
  <c r="R58" i="15" s="1"/>
  <c r="M58" i="15"/>
  <c r="N58" i="15" s="1"/>
  <c r="O58" i="15" s="1"/>
  <c r="I58" i="15"/>
  <c r="J58" i="15" s="1"/>
  <c r="AE57" i="15"/>
  <c r="AB57" i="15"/>
  <c r="Y57" i="15"/>
  <c r="Z57" i="15" s="1"/>
  <c r="AA57" i="15" s="1"/>
  <c r="U57" i="15"/>
  <c r="V57" i="15" s="1"/>
  <c r="W57" i="15" s="1"/>
  <c r="Q57" i="15"/>
  <c r="R57" i="15" s="1"/>
  <c r="S57" i="15" s="1"/>
  <c r="M57" i="15"/>
  <c r="N57" i="15" s="1"/>
  <c r="O57" i="15" s="1"/>
  <c r="I57" i="15"/>
  <c r="J57" i="15" s="1"/>
  <c r="AH56" i="15"/>
  <c r="AE56" i="15"/>
  <c r="AB56" i="15"/>
  <c r="AF56" i="15" s="1"/>
  <c r="Z56" i="15"/>
  <c r="AA56" i="15" s="1"/>
  <c r="Y56" i="15"/>
  <c r="U56" i="15"/>
  <c r="V56" i="15" s="1"/>
  <c r="W56" i="15" s="1"/>
  <c r="Q56" i="15"/>
  <c r="R56" i="15" s="1"/>
  <c r="S56" i="15" s="1"/>
  <c r="N56" i="15"/>
  <c r="O56" i="15" s="1"/>
  <c r="M56" i="15"/>
  <c r="I56" i="15"/>
  <c r="J56" i="15" s="1"/>
  <c r="AH55" i="15"/>
  <c r="AF55" i="15"/>
  <c r="AE55" i="15"/>
  <c r="AB55" i="15"/>
  <c r="AC55" i="15" s="1"/>
  <c r="Y55" i="15"/>
  <c r="Z55" i="15" s="1"/>
  <c r="AA55" i="15" s="1"/>
  <c r="V55" i="15"/>
  <c r="W55" i="15" s="1"/>
  <c r="U55" i="15"/>
  <c r="Q55" i="15"/>
  <c r="R55" i="15" s="1"/>
  <c r="S55" i="15" s="1"/>
  <c r="N55" i="15"/>
  <c r="O55" i="15" s="1"/>
  <c r="M55" i="15"/>
  <c r="I55" i="15"/>
  <c r="J55" i="15" s="1"/>
  <c r="AH54" i="15"/>
  <c r="AF54" i="15"/>
  <c r="AE54" i="15"/>
  <c r="AC54" i="15"/>
  <c r="AB54" i="15"/>
  <c r="Y54" i="15"/>
  <c r="Z54" i="15" s="1"/>
  <c r="AA54" i="15" s="1"/>
  <c r="U54" i="15"/>
  <c r="V54" i="15" s="1"/>
  <c r="W54" i="15" s="1"/>
  <c r="Q54" i="15"/>
  <c r="R54" i="15" s="1"/>
  <c r="S54" i="15" s="1"/>
  <c r="M54" i="15"/>
  <c r="N54" i="15" s="1"/>
  <c r="O54" i="15" s="1"/>
  <c r="J54" i="15"/>
  <c r="I54" i="15"/>
  <c r="AE53" i="15"/>
  <c r="AC53" i="15"/>
  <c r="AB53" i="15"/>
  <c r="Y53" i="15"/>
  <c r="Z53" i="15" s="1"/>
  <c r="AA53" i="15" s="1"/>
  <c r="U53" i="15"/>
  <c r="V53" i="15" s="1"/>
  <c r="W53" i="15" s="1"/>
  <c r="Q53" i="15"/>
  <c r="R53" i="15" s="1"/>
  <c r="S53" i="15" s="1"/>
  <c r="M53" i="15"/>
  <c r="N53" i="15" s="1"/>
  <c r="O53" i="15" s="1"/>
  <c r="I53" i="15"/>
  <c r="J53" i="15" s="1"/>
  <c r="AH52" i="15"/>
  <c r="AE52" i="15"/>
  <c r="AB52" i="15"/>
  <c r="AF52" i="15" s="1"/>
  <c r="Y52" i="15"/>
  <c r="Z52" i="15" s="1"/>
  <c r="AA52" i="15" s="1"/>
  <c r="U52" i="15"/>
  <c r="V52" i="15" s="1"/>
  <c r="W52" i="15" s="1"/>
  <c r="Q52" i="15"/>
  <c r="R52" i="15" s="1"/>
  <c r="S52" i="15" s="1"/>
  <c r="O52" i="15"/>
  <c r="N52" i="15"/>
  <c r="M52" i="15"/>
  <c r="I52" i="15"/>
  <c r="J52" i="15" s="1"/>
  <c r="AH51" i="15"/>
  <c r="AF51" i="15"/>
  <c r="AE51" i="15"/>
  <c r="AB51" i="15"/>
  <c r="AC51" i="15" s="1"/>
  <c r="Y51" i="15"/>
  <c r="Z51" i="15" s="1"/>
  <c r="AA51" i="15" s="1"/>
  <c r="W51" i="15"/>
  <c r="V51" i="15"/>
  <c r="U51" i="15"/>
  <c r="Q51" i="15"/>
  <c r="R51" i="15" s="1"/>
  <c r="S51" i="15" s="1"/>
  <c r="M51" i="15"/>
  <c r="N51" i="15" s="1"/>
  <c r="K51" i="15"/>
  <c r="I51" i="15"/>
  <c r="J51" i="15" s="1"/>
  <c r="AH50" i="15"/>
  <c r="AF50" i="15"/>
  <c r="AE50" i="15"/>
  <c r="AC50" i="15"/>
  <c r="AB50" i="15"/>
  <c r="Y50" i="15"/>
  <c r="Z50" i="15" s="1"/>
  <c r="AA50" i="15" s="1"/>
  <c r="V50" i="15"/>
  <c r="W50" i="15" s="1"/>
  <c r="U50" i="15"/>
  <c r="S50" i="15"/>
  <c r="R50" i="15"/>
  <c r="Q50" i="15"/>
  <c r="M50" i="15"/>
  <c r="N50" i="15" s="1"/>
  <c r="O50" i="15" s="1"/>
  <c r="I50" i="15"/>
  <c r="J50" i="15" s="1"/>
  <c r="AE49" i="15"/>
  <c r="AC49" i="15"/>
  <c r="AB49" i="15"/>
  <c r="Y49" i="15"/>
  <c r="Z49" i="15" s="1"/>
  <c r="AA49" i="15" s="1"/>
  <c r="U49" i="15"/>
  <c r="V49" i="15" s="1"/>
  <c r="W49" i="15" s="1"/>
  <c r="R49" i="15"/>
  <c r="S49" i="15" s="1"/>
  <c r="Q49" i="15"/>
  <c r="M49" i="15"/>
  <c r="N49" i="15" s="1"/>
  <c r="O49" i="15" s="1"/>
  <c r="I49" i="15"/>
  <c r="J49" i="15" s="1"/>
  <c r="AH48" i="15"/>
  <c r="AE48" i="15"/>
  <c r="AC48" i="15"/>
  <c r="AB48" i="15"/>
  <c r="AF48" i="15" s="1"/>
  <c r="Z48" i="15"/>
  <c r="AA48" i="15" s="1"/>
  <c r="Y48" i="15"/>
  <c r="U48" i="15"/>
  <c r="V48" i="15" s="1"/>
  <c r="W48" i="15" s="1"/>
  <c r="Q48" i="15"/>
  <c r="R48" i="15" s="1"/>
  <c r="S48" i="15" s="1"/>
  <c r="N48" i="15"/>
  <c r="AI48" i="15" s="1"/>
  <c r="M48" i="15"/>
  <c r="I48" i="15"/>
  <c r="J48" i="15" s="1"/>
  <c r="AH47" i="15"/>
  <c r="AF47" i="15"/>
  <c r="AE47" i="15"/>
  <c r="AB47" i="15"/>
  <c r="AC47" i="15" s="1"/>
  <c r="Y47" i="15"/>
  <c r="Z47" i="15" s="1"/>
  <c r="AA47" i="15" s="1"/>
  <c r="W47" i="15"/>
  <c r="V47" i="15"/>
  <c r="U47" i="15"/>
  <c r="Q47" i="15"/>
  <c r="R47" i="15" s="1"/>
  <c r="S47" i="15" s="1"/>
  <c r="M47" i="15"/>
  <c r="N47" i="15" s="1"/>
  <c r="K47" i="15"/>
  <c r="J47" i="15"/>
  <c r="I47" i="15"/>
  <c r="AH46" i="15"/>
  <c r="AF46" i="15"/>
  <c r="AE46" i="15"/>
  <c r="AC46" i="15"/>
  <c r="AB46" i="15"/>
  <c r="Y46" i="15"/>
  <c r="Z46" i="15" s="1"/>
  <c r="AA46" i="15" s="1"/>
  <c r="U46" i="15"/>
  <c r="V46" i="15" s="1"/>
  <c r="W46" i="15" s="1"/>
  <c r="S46" i="15"/>
  <c r="R46" i="15"/>
  <c r="Q46" i="15"/>
  <c r="N46" i="15"/>
  <c r="O46" i="15" s="1"/>
  <c r="M46" i="15"/>
  <c r="I46" i="15"/>
  <c r="J46" i="15" s="1"/>
  <c r="AE45" i="15"/>
  <c r="AC45" i="15"/>
  <c r="AB45" i="15"/>
  <c r="AA45" i="15"/>
  <c r="Z45" i="15"/>
  <c r="Y45" i="15"/>
  <c r="V45" i="15"/>
  <c r="W45" i="15" s="1"/>
  <c r="U45" i="15"/>
  <c r="R45" i="15"/>
  <c r="S45" i="15" s="1"/>
  <c r="Q45" i="15"/>
  <c r="M45" i="15"/>
  <c r="N45" i="15" s="1"/>
  <c r="O45" i="15" s="1"/>
  <c r="I45" i="15"/>
  <c r="J45" i="15" s="1"/>
  <c r="AH44" i="15"/>
  <c r="AE44" i="15"/>
  <c r="AC44" i="15"/>
  <c r="AB44" i="15"/>
  <c r="AF44" i="15" s="1"/>
  <c r="Y44" i="15"/>
  <c r="Z44" i="15" s="1"/>
  <c r="AA44" i="15" s="1"/>
  <c r="U44" i="15"/>
  <c r="V44" i="15" s="1"/>
  <c r="W44" i="15" s="1"/>
  <c r="Q44" i="15"/>
  <c r="R44" i="15" s="1"/>
  <c r="S44" i="15" s="1"/>
  <c r="O44" i="15"/>
  <c r="N44" i="15"/>
  <c r="M44" i="15"/>
  <c r="I44" i="15"/>
  <c r="J44" i="15" s="1"/>
  <c r="AH43" i="15"/>
  <c r="AF43" i="15"/>
  <c r="AE43" i="15"/>
  <c r="AB43" i="15"/>
  <c r="AC43" i="15" s="1"/>
  <c r="Y43" i="15"/>
  <c r="Z43" i="15" s="1"/>
  <c r="AA43" i="15" s="1"/>
  <c r="W43" i="15"/>
  <c r="V43" i="15"/>
  <c r="U43" i="15"/>
  <c r="Q43" i="15"/>
  <c r="R43" i="15" s="1"/>
  <c r="S43" i="15" s="1"/>
  <c r="M43" i="15"/>
  <c r="M70" i="15" s="1"/>
  <c r="K43" i="15"/>
  <c r="I43" i="15"/>
  <c r="J43" i="15" s="1"/>
  <c r="AH42" i="15"/>
  <c r="AF42" i="15"/>
  <c r="AE42" i="15"/>
  <c r="AC42" i="15"/>
  <c r="AB42" i="15"/>
  <c r="Y42" i="15"/>
  <c r="Z42" i="15" s="1"/>
  <c r="AA42" i="15" s="1"/>
  <c r="V42" i="15"/>
  <c r="W42" i="15" s="1"/>
  <c r="U42" i="15"/>
  <c r="S42" i="15"/>
  <c r="Q42" i="15"/>
  <c r="R42" i="15" s="1"/>
  <c r="N42" i="15"/>
  <c r="O42" i="15" s="1"/>
  <c r="M42" i="15"/>
  <c r="I42" i="15"/>
  <c r="J42" i="15" s="1"/>
  <c r="AH41" i="15"/>
  <c r="AF41" i="15"/>
  <c r="Y41" i="15"/>
  <c r="W41" i="15"/>
  <c r="U41" i="15"/>
  <c r="V41" i="15" s="1"/>
  <c r="R41" i="15"/>
  <c r="S41" i="15" s="1"/>
  <c r="Q41" i="15"/>
  <c r="N41" i="15"/>
  <c r="O41" i="15" s="1"/>
  <c r="M41" i="15"/>
  <c r="J41" i="15"/>
  <c r="I41" i="15"/>
  <c r="AD38" i="15"/>
  <c r="X38" i="15"/>
  <c r="T38" i="15"/>
  <c r="P38" i="15"/>
  <c r="L38" i="15"/>
  <c r="H38" i="15"/>
  <c r="AE37" i="15"/>
  <c r="AB37" i="15"/>
  <c r="AA37" i="15"/>
  <c r="Z37" i="15"/>
  <c r="Y37" i="15"/>
  <c r="U37" i="15"/>
  <c r="V37" i="15" s="1"/>
  <c r="W37" i="15" s="1"/>
  <c r="Q37" i="15"/>
  <c r="R37" i="15" s="1"/>
  <c r="S37" i="15" s="1"/>
  <c r="M37" i="15"/>
  <c r="N37" i="15" s="1"/>
  <c r="O37" i="15" s="1"/>
  <c r="J37" i="15"/>
  <c r="I37" i="15"/>
  <c r="AE36" i="15"/>
  <c r="AB36" i="15"/>
  <c r="Y36" i="15"/>
  <c r="Z36" i="15" s="1"/>
  <c r="AA36" i="15" s="1"/>
  <c r="U36" i="15"/>
  <c r="V36" i="15" s="1"/>
  <c r="W36" i="15" s="1"/>
  <c r="R36" i="15"/>
  <c r="S36" i="15" s="1"/>
  <c r="Q36" i="15"/>
  <c r="M36" i="15"/>
  <c r="N36" i="15" s="1"/>
  <c r="J36" i="15"/>
  <c r="K36" i="15" s="1"/>
  <c r="I36" i="15"/>
  <c r="AH35" i="15"/>
  <c r="AF35" i="15"/>
  <c r="AE35" i="15"/>
  <c r="AB35" i="15"/>
  <c r="AC35" i="15" s="1"/>
  <c r="Z35" i="15"/>
  <c r="AA35" i="15" s="1"/>
  <c r="Y35" i="15"/>
  <c r="U35" i="15"/>
  <c r="V35" i="15" s="1"/>
  <c r="W35" i="15" s="1"/>
  <c r="S35" i="15"/>
  <c r="R35" i="15"/>
  <c r="Q35" i="15"/>
  <c r="M35" i="15"/>
  <c r="N35" i="15" s="1"/>
  <c r="O35" i="15" s="1"/>
  <c r="I35" i="15"/>
  <c r="J35" i="15" s="1"/>
  <c r="AF34" i="15"/>
  <c r="AE34" i="15"/>
  <c r="AC34" i="15"/>
  <c r="AB34" i="15"/>
  <c r="AH34" i="15" s="1"/>
  <c r="Z34" i="15"/>
  <c r="AA34" i="15" s="1"/>
  <c r="Y34" i="15"/>
  <c r="V34" i="15"/>
  <c r="W34" i="15" s="1"/>
  <c r="U34" i="15"/>
  <c r="Q34" i="15"/>
  <c r="R34" i="15" s="1"/>
  <c r="S34" i="15" s="1"/>
  <c r="M34" i="15"/>
  <c r="N34" i="15" s="1"/>
  <c r="O34" i="15" s="1"/>
  <c r="I34" i="15"/>
  <c r="J34" i="15" s="1"/>
  <c r="AH33" i="15"/>
  <c r="AF33" i="15"/>
  <c r="AE33" i="15"/>
  <c r="AC33" i="15"/>
  <c r="AB33" i="15"/>
  <c r="Y33" i="15"/>
  <c r="Z33" i="15" s="1"/>
  <c r="AA33" i="15" s="1"/>
  <c r="U33" i="15"/>
  <c r="V33" i="15" s="1"/>
  <c r="W33" i="15" s="1"/>
  <c r="Q33" i="15"/>
  <c r="R33" i="15" s="1"/>
  <c r="S33" i="15" s="1"/>
  <c r="M33" i="15"/>
  <c r="N33" i="15" s="1"/>
  <c r="O33" i="15" s="1"/>
  <c r="I33" i="15"/>
  <c r="J33" i="15" s="1"/>
  <c r="AE32" i="15"/>
  <c r="AB32" i="15"/>
  <c r="AH32" i="15" s="1"/>
  <c r="Y32" i="15"/>
  <c r="Z32" i="15" s="1"/>
  <c r="AA32" i="15" s="1"/>
  <c r="U32" i="15"/>
  <c r="V32" i="15" s="1"/>
  <c r="W32" i="15" s="1"/>
  <c r="Q32" i="15"/>
  <c r="R32" i="15" s="1"/>
  <c r="S32" i="15" s="1"/>
  <c r="N32" i="15"/>
  <c r="O32" i="15" s="1"/>
  <c r="M32" i="15"/>
  <c r="J32" i="15"/>
  <c r="AI32" i="15" s="1"/>
  <c r="I32" i="15"/>
  <c r="AH31" i="15"/>
  <c r="AE31" i="15"/>
  <c r="AB31" i="15"/>
  <c r="AF31" i="15" s="1"/>
  <c r="Y31" i="15"/>
  <c r="Z31" i="15" s="1"/>
  <c r="AA31" i="15" s="1"/>
  <c r="V31" i="15"/>
  <c r="W31" i="15" s="1"/>
  <c r="U31" i="15"/>
  <c r="R31" i="15"/>
  <c r="S31" i="15" s="1"/>
  <c r="Q31" i="15"/>
  <c r="N31" i="15"/>
  <c r="O31" i="15" s="1"/>
  <c r="M31" i="15"/>
  <c r="I31" i="15"/>
  <c r="J31" i="15" s="1"/>
  <c r="AH30" i="15"/>
  <c r="AF30" i="15"/>
  <c r="AE30" i="15"/>
  <c r="AC30" i="15"/>
  <c r="AB30" i="15"/>
  <c r="Z30" i="15"/>
  <c r="AA30" i="15" s="1"/>
  <c r="Y30" i="15"/>
  <c r="V30" i="15"/>
  <c r="W30" i="15" s="1"/>
  <c r="U30" i="15"/>
  <c r="Q30" i="15"/>
  <c r="R30" i="15" s="1"/>
  <c r="S30" i="15" s="1"/>
  <c r="M30" i="15"/>
  <c r="N30" i="15" s="1"/>
  <c r="O30" i="15" s="1"/>
  <c r="I30" i="15"/>
  <c r="J30" i="15" s="1"/>
  <c r="AH29" i="15"/>
  <c r="AF29" i="15"/>
  <c r="AE29" i="15"/>
  <c r="AC29" i="15"/>
  <c r="AB29" i="15"/>
  <c r="Y29" i="15"/>
  <c r="Z29" i="15" s="1"/>
  <c r="AA29" i="15" s="1"/>
  <c r="U29" i="15"/>
  <c r="V29" i="15" s="1"/>
  <c r="W29" i="15" s="1"/>
  <c r="Q29" i="15"/>
  <c r="R29" i="15" s="1"/>
  <c r="S29" i="15" s="1"/>
  <c r="M29" i="15"/>
  <c r="N29" i="15" s="1"/>
  <c r="O29" i="15" s="1"/>
  <c r="I29" i="15"/>
  <c r="J29" i="15" s="1"/>
  <c r="AE28" i="15"/>
  <c r="AB28" i="15"/>
  <c r="AH28" i="15" s="1"/>
  <c r="Y28" i="15"/>
  <c r="Z28" i="15" s="1"/>
  <c r="AA28" i="15" s="1"/>
  <c r="U28" i="15"/>
  <c r="V28" i="15" s="1"/>
  <c r="W28" i="15" s="1"/>
  <c r="Q28" i="15"/>
  <c r="R28" i="15" s="1"/>
  <c r="S28" i="15" s="1"/>
  <c r="N28" i="15"/>
  <c r="O28" i="15" s="1"/>
  <c r="M28" i="15"/>
  <c r="J28" i="15"/>
  <c r="AI28" i="15" s="1"/>
  <c r="I28" i="15"/>
  <c r="AH27" i="15"/>
  <c r="AE27" i="15"/>
  <c r="AB27" i="15"/>
  <c r="AF27" i="15" s="1"/>
  <c r="Y27" i="15"/>
  <c r="Z27" i="15" s="1"/>
  <c r="AA27" i="15" s="1"/>
  <c r="V27" i="15"/>
  <c r="W27" i="15" s="1"/>
  <c r="U27" i="15"/>
  <c r="R27" i="15"/>
  <c r="S27" i="15" s="1"/>
  <c r="Q27" i="15"/>
  <c r="N27" i="15"/>
  <c r="O27" i="15" s="1"/>
  <c r="M27" i="15"/>
  <c r="I27" i="15"/>
  <c r="J27" i="15" s="1"/>
  <c r="AH26" i="15"/>
  <c r="AF26" i="15"/>
  <c r="AE26" i="15"/>
  <c r="AC26" i="15"/>
  <c r="AB26" i="15"/>
  <c r="Z26" i="15"/>
  <c r="AA26" i="15" s="1"/>
  <c r="Y26" i="15"/>
  <c r="V26" i="15"/>
  <c r="W26" i="15" s="1"/>
  <c r="U26" i="15"/>
  <c r="Q26" i="15"/>
  <c r="R26" i="15" s="1"/>
  <c r="S26" i="15" s="1"/>
  <c r="M26" i="15"/>
  <c r="N26" i="15" s="1"/>
  <c r="O26" i="15" s="1"/>
  <c r="I26" i="15"/>
  <c r="J26" i="15" s="1"/>
  <c r="AH25" i="15"/>
  <c r="AF25" i="15"/>
  <c r="AE25" i="15"/>
  <c r="AC25" i="15"/>
  <c r="AB25" i="15"/>
  <c r="Y25" i="15"/>
  <c r="Z25" i="15" s="1"/>
  <c r="AA25" i="15" s="1"/>
  <c r="U25" i="15"/>
  <c r="V25" i="15" s="1"/>
  <c r="W25" i="15" s="1"/>
  <c r="Q25" i="15"/>
  <c r="R25" i="15" s="1"/>
  <c r="S25" i="15" s="1"/>
  <c r="M25" i="15"/>
  <c r="N25" i="15" s="1"/>
  <c r="O25" i="15" s="1"/>
  <c r="I25" i="15"/>
  <c r="J25" i="15" s="1"/>
  <c r="AE24" i="15"/>
  <c r="AB24" i="15"/>
  <c r="AH24" i="15" s="1"/>
  <c r="Y24" i="15"/>
  <c r="Z24" i="15" s="1"/>
  <c r="AA24" i="15" s="1"/>
  <c r="U24" i="15"/>
  <c r="V24" i="15" s="1"/>
  <c r="W24" i="15" s="1"/>
  <c r="Q24" i="15"/>
  <c r="R24" i="15" s="1"/>
  <c r="S24" i="15" s="1"/>
  <c r="N24" i="15"/>
  <c r="O24" i="15" s="1"/>
  <c r="M24" i="15"/>
  <c r="J24" i="15"/>
  <c r="I24" i="15"/>
  <c r="AH23" i="15"/>
  <c r="AE23" i="15"/>
  <c r="AB23" i="15"/>
  <c r="AF23" i="15" s="1"/>
  <c r="Y23" i="15"/>
  <c r="Z23" i="15" s="1"/>
  <c r="AA23" i="15" s="1"/>
  <c r="V23" i="15"/>
  <c r="W23" i="15" s="1"/>
  <c r="U23" i="15"/>
  <c r="R23" i="15"/>
  <c r="S23" i="15" s="1"/>
  <c r="Q23" i="15"/>
  <c r="N23" i="15"/>
  <c r="O23" i="15" s="1"/>
  <c r="M23" i="15"/>
  <c r="I23" i="15"/>
  <c r="J23" i="15" s="1"/>
  <c r="AH22" i="15"/>
  <c r="AF22" i="15"/>
  <c r="AE22" i="15"/>
  <c r="AC22" i="15"/>
  <c r="AB22" i="15"/>
  <c r="Z22" i="15"/>
  <c r="AA22" i="15" s="1"/>
  <c r="Y22" i="15"/>
  <c r="V22" i="15"/>
  <c r="W22" i="15" s="1"/>
  <c r="U22" i="15"/>
  <c r="Q22" i="15"/>
  <c r="R22" i="15" s="1"/>
  <c r="S22" i="15" s="1"/>
  <c r="M22" i="15"/>
  <c r="N22" i="15" s="1"/>
  <c r="O22" i="15" s="1"/>
  <c r="I22" i="15"/>
  <c r="J22" i="15" s="1"/>
  <c r="AH21" i="15"/>
  <c r="AF21" i="15"/>
  <c r="AE21" i="15"/>
  <c r="AC21" i="15"/>
  <c r="AB21" i="15"/>
  <c r="Y21" i="15"/>
  <c r="Z21" i="15" s="1"/>
  <c r="AA21" i="15" s="1"/>
  <c r="U21" i="15"/>
  <c r="V21" i="15" s="1"/>
  <c r="W21" i="15" s="1"/>
  <c r="Q21" i="15"/>
  <c r="R21" i="15" s="1"/>
  <c r="S21" i="15" s="1"/>
  <c r="M21" i="15"/>
  <c r="N21" i="15" s="1"/>
  <c r="O21" i="15" s="1"/>
  <c r="I21" i="15"/>
  <c r="J21" i="15" s="1"/>
  <c r="AE20" i="15"/>
  <c r="AB20" i="15"/>
  <c r="AH20" i="15" s="1"/>
  <c r="Y20" i="15"/>
  <c r="Z20" i="15" s="1"/>
  <c r="AA20" i="15" s="1"/>
  <c r="U20" i="15"/>
  <c r="V20" i="15" s="1"/>
  <c r="W20" i="15" s="1"/>
  <c r="Q20" i="15"/>
  <c r="R20" i="15" s="1"/>
  <c r="S20" i="15" s="1"/>
  <c r="N20" i="15"/>
  <c r="O20" i="15" s="1"/>
  <c r="M20" i="15"/>
  <c r="J20" i="15"/>
  <c r="I20" i="15"/>
  <c r="AH19" i="15"/>
  <c r="AE19" i="15"/>
  <c r="AB19" i="15"/>
  <c r="AF19" i="15" s="1"/>
  <c r="Y19" i="15"/>
  <c r="Z19" i="15" s="1"/>
  <c r="AA19" i="15" s="1"/>
  <c r="V19" i="15"/>
  <c r="W19" i="15" s="1"/>
  <c r="U19" i="15"/>
  <c r="R19" i="15"/>
  <c r="S19" i="15" s="1"/>
  <c r="Q19" i="15"/>
  <c r="N19" i="15"/>
  <c r="O19" i="15" s="1"/>
  <c r="M19" i="15"/>
  <c r="I19" i="15"/>
  <c r="J19" i="15" s="1"/>
  <c r="AH18" i="15"/>
  <c r="AF18" i="15"/>
  <c r="AE18" i="15"/>
  <c r="AC18" i="15"/>
  <c r="AB18" i="15"/>
  <c r="Z18" i="15"/>
  <c r="AA18" i="15" s="1"/>
  <c r="Y18" i="15"/>
  <c r="V18" i="15"/>
  <c r="W18" i="15" s="1"/>
  <c r="U18" i="15"/>
  <c r="Q18" i="15"/>
  <c r="R18" i="15" s="1"/>
  <c r="S18" i="15" s="1"/>
  <c r="M18" i="15"/>
  <c r="N18" i="15" s="1"/>
  <c r="O18" i="15" s="1"/>
  <c r="I18" i="15"/>
  <c r="J18" i="15" s="1"/>
  <c r="AH17" i="15"/>
  <c r="AF17" i="15"/>
  <c r="AE17" i="15"/>
  <c r="AC17" i="15"/>
  <c r="AB17" i="15"/>
  <c r="Y17" i="15"/>
  <c r="Z17" i="15" s="1"/>
  <c r="AA17" i="15" s="1"/>
  <c r="U17" i="15"/>
  <c r="V17" i="15" s="1"/>
  <c r="W17" i="15" s="1"/>
  <c r="Q17" i="15"/>
  <c r="R17" i="15" s="1"/>
  <c r="S17" i="15" s="1"/>
  <c r="M17" i="15"/>
  <c r="N17" i="15" s="1"/>
  <c r="O17" i="15" s="1"/>
  <c r="I17" i="15"/>
  <c r="J17" i="15" s="1"/>
  <c r="AE16" i="15"/>
  <c r="AB16" i="15"/>
  <c r="AH16" i="15" s="1"/>
  <c r="Y16" i="15"/>
  <c r="Z16" i="15" s="1"/>
  <c r="AA16" i="15" s="1"/>
  <c r="U16" i="15"/>
  <c r="V16" i="15" s="1"/>
  <c r="W16" i="15" s="1"/>
  <c r="Q16" i="15"/>
  <c r="R16" i="15" s="1"/>
  <c r="S16" i="15" s="1"/>
  <c r="N16" i="15"/>
  <c r="O16" i="15" s="1"/>
  <c r="M16" i="15"/>
  <c r="J16" i="15"/>
  <c r="AI16" i="15" s="1"/>
  <c r="I16" i="15"/>
  <c r="AH15" i="15"/>
  <c r="AE15" i="15"/>
  <c r="AB15" i="15"/>
  <c r="AF15" i="15" s="1"/>
  <c r="Y15" i="15"/>
  <c r="Z15" i="15" s="1"/>
  <c r="AA15" i="15" s="1"/>
  <c r="V15" i="15"/>
  <c r="W15" i="15" s="1"/>
  <c r="U15" i="15"/>
  <c r="R15" i="15"/>
  <c r="S15" i="15" s="1"/>
  <c r="Q15" i="15"/>
  <c r="N15" i="15"/>
  <c r="O15" i="15" s="1"/>
  <c r="M15" i="15"/>
  <c r="I15" i="15"/>
  <c r="J15" i="15" s="1"/>
  <c r="AH14" i="15"/>
  <c r="AF14" i="15"/>
  <c r="AE14" i="15"/>
  <c r="AC14" i="15"/>
  <c r="AB14" i="15"/>
  <c r="Z14" i="15"/>
  <c r="AA14" i="15" s="1"/>
  <c r="Y14" i="15"/>
  <c r="V14" i="15"/>
  <c r="W14" i="15" s="1"/>
  <c r="U14" i="15"/>
  <c r="Q14" i="15"/>
  <c r="R14" i="15" s="1"/>
  <c r="S14" i="15" s="1"/>
  <c r="M14" i="15"/>
  <c r="N14" i="15" s="1"/>
  <c r="O14" i="15" s="1"/>
  <c r="I14" i="15"/>
  <c r="J14" i="15" s="1"/>
  <c r="AH13" i="15"/>
  <c r="AF13" i="15"/>
  <c r="AE13" i="15"/>
  <c r="AC13" i="15"/>
  <c r="AB13" i="15"/>
  <c r="Y13" i="15"/>
  <c r="Z13" i="15" s="1"/>
  <c r="AA13" i="15" s="1"/>
  <c r="U13" i="15"/>
  <c r="V13" i="15" s="1"/>
  <c r="W13" i="15" s="1"/>
  <c r="Q13" i="15"/>
  <c r="R13" i="15" s="1"/>
  <c r="S13" i="15" s="1"/>
  <c r="M13" i="15"/>
  <c r="N13" i="15" s="1"/>
  <c r="O13" i="15" s="1"/>
  <c r="I13" i="15"/>
  <c r="J13" i="15" s="1"/>
  <c r="AE12" i="15"/>
  <c r="AB12" i="15"/>
  <c r="AH12" i="15" s="1"/>
  <c r="Y12" i="15"/>
  <c r="Z12" i="15" s="1"/>
  <c r="AA12" i="15" s="1"/>
  <c r="U12" i="15"/>
  <c r="V12" i="15" s="1"/>
  <c r="W12" i="15" s="1"/>
  <c r="Q12" i="15"/>
  <c r="R12" i="15" s="1"/>
  <c r="S12" i="15" s="1"/>
  <c r="N12" i="15"/>
  <c r="O12" i="15" s="1"/>
  <c r="M12" i="15"/>
  <c r="J12" i="15"/>
  <c r="AI12" i="15" s="1"/>
  <c r="I12" i="15"/>
  <c r="AH11" i="15"/>
  <c r="AE11" i="15"/>
  <c r="AB11" i="15"/>
  <c r="AF11" i="15" s="1"/>
  <c r="Y11" i="15"/>
  <c r="Z11" i="15" s="1"/>
  <c r="AA11" i="15" s="1"/>
  <c r="V11" i="15"/>
  <c r="W11" i="15" s="1"/>
  <c r="U11" i="15"/>
  <c r="R11" i="15"/>
  <c r="S11" i="15" s="1"/>
  <c r="Q11" i="15"/>
  <c r="N11" i="15"/>
  <c r="O11" i="15" s="1"/>
  <c r="M11" i="15"/>
  <c r="I11" i="15"/>
  <c r="J11" i="15" s="1"/>
  <c r="AH10" i="15"/>
  <c r="AF10" i="15"/>
  <c r="AE10" i="15"/>
  <c r="AC10" i="15"/>
  <c r="AB10" i="15"/>
  <c r="Z10" i="15"/>
  <c r="AA10" i="15" s="1"/>
  <c r="Y10" i="15"/>
  <c r="V10" i="15"/>
  <c r="W10" i="15" s="1"/>
  <c r="U10" i="15"/>
  <c r="Q10" i="15"/>
  <c r="R10" i="15" s="1"/>
  <c r="S10" i="15" s="1"/>
  <c r="M10" i="15"/>
  <c r="N10" i="15" s="1"/>
  <c r="O10" i="15" s="1"/>
  <c r="I10" i="15"/>
  <c r="J10" i="15" s="1"/>
  <c r="AH9" i="15"/>
  <c r="AF9" i="15"/>
  <c r="AE9" i="15"/>
  <c r="AC9" i="15"/>
  <c r="AB9" i="15"/>
  <c r="Y9" i="15"/>
  <c r="Z9" i="15" s="1"/>
  <c r="AA9" i="15" s="1"/>
  <c r="U9" i="15"/>
  <c r="V9" i="15" s="1"/>
  <c r="W9" i="15" s="1"/>
  <c r="Q9" i="15"/>
  <c r="R9" i="15" s="1"/>
  <c r="S9" i="15" s="1"/>
  <c r="M9" i="15"/>
  <c r="N9" i="15" s="1"/>
  <c r="O9" i="15" s="1"/>
  <c r="I9" i="15"/>
  <c r="J9" i="15" s="1"/>
  <c r="AE8" i="15"/>
  <c r="AE38" i="15" s="1"/>
  <c r="AB8" i="15"/>
  <c r="AH8" i="15" s="1"/>
  <c r="Y8" i="15"/>
  <c r="Z8" i="15" s="1"/>
  <c r="AA8" i="15" s="1"/>
  <c r="U8" i="15"/>
  <c r="V8" i="15" s="1"/>
  <c r="W8" i="15" s="1"/>
  <c r="Q8" i="15"/>
  <c r="R8" i="15" s="1"/>
  <c r="S8" i="15" s="1"/>
  <c r="N8" i="15"/>
  <c r="O8" i="15" s="1"/>
  <c r="M8" i="15"/>
  <c r="J8" i="15"/>
  <c r="I8" i="15"/>
  <c r="AH7" i="15"/>
  <c r="AE7" i="15"/>
  <c r="AB7" i="15"/>
  <c r="AF7" i="15" s="1"/>
  <c r="Y7" i="15"/>
  <c r="Z7" i="15" s="1"/>
  <c r="AA7" i="15" s="1"/>
  <c r="V7" i="15"/>
  <c r="W7" i="15" s="1"/>
  <c r="U7" i="15"/>
  <c r="R7" i="15"/>
  <c r="S7" i="15" s="1"/>
  <c r="Q7" i="15"/>
  <c r="N7" i="15"/>
  <c r="O7" i="15" s="1"/>
  <c r="M7" i="15"/>
  <c r="I7" i="15"/>
  <c r="J7" i="15" s="1"/>
  <c r="AH6" i="15"/>
  <c r="AF6" i="15"/>
  <c r="AE6" i="15"/>
  <c r="AC6" i="15"/>
  <c r="AB6" i="15"/>
  <c r="Z6" i="15"/>
  <c r="Y6" i="15"/>
  <c r="Y38" i="15" s="1"/>
  <c r="V6" i="15"/>
  <c r="U6" i="15"/>
  <c r="Q6" i="15"/>
  <c r="R6" i="15" s="1"/>
  <c r="M6" i="15"/>
  <c r="M38" i="15" s="1"/>
  <c r="I6" i="15"/>
  <c r="J6" i="15" s="1"/>
  <c r="H70" i="14"/>
  <c r="H38" i="14"/>
  <c r="Q7" i="14" l="1"/>
  <c r="P38" i="14"/>
  <c r="P84" i="14" s="1"/>
  <c r="P70" i="14"/>
  <c r="N38" i="14"/>
  <c r="N70" i="14"/>
  <c r="R16" i="14"/>
  <c r="R11" i="14"/>
  <c r="R14" i="14"/>
  <c r="R30" i="14"/>
  <c r="R76" i="14"/>
  <c r="R12" i="14"/>
  <c r="R74" i="14"/>
  <c r="R13" i="14"/>
  <c r="Q8" i="14"/>
  <c r="Q15" i="14"/>
  <c r="Q31" i="14"/>
  <c r="Q11" i="14"/>
  <c r="Q19" i="14"/>
  <c r="Q28" i="14"/>
  <c r="R29" i="14"/>
  <c r="R75" i="14"/>
  <c r="Q59" i="14"/>
  <c r="R80" i="14"/>
  <c r="R77" i="14"/>
  <c r="R55" i="14"/>
  <c r="Q56" i="14"/>
  <c r="R49" i="14"/>
  <c r="R57" i="14"/>
  <c r="R43" i="14"/>
  <c r="Q50" i="14"/>
  <c r="Q58" i="14"/>
  <c r="R65" i="14"/>
  <c r="R51" i="14"/>
  <c r="R66" i="14"/>
  <c r="R54" i="14"/>
  <c r="R59" i="14"/>
  <c r="R67" i="14"/>
  <c r="Q35" i="14"/>
  <c r="R24" i="14"/>
  <c r="Q32" i="14"/>
  <c r="R19" i="14"/>
  <c r="R27" i="14"/>
  <c r="R34" i="14"/>
  <c r="R6" i="14"/>
  <c r="AG15" i="18"/>
  <c r="K15" i="18"/>
  <c r="AI15" i="18"/>
  <c r="O33" i="18"/>
  <c r="AI33" i="18"/>
  <c r="AI31" i="18"/>
  <c r="AG31" i="18"/>
  <c r="K31" i="18"/>
  <c r="K10" i="18"/>
  <c r="AI10" i="18"/>
  <c r="AG10" i="18"/>
  <c r="AI24" i="18"/>
  <c r="K24" i="18"/>
  <c r="AG24" i="18"/>
  <c r="AG46" i="18"/>
  <c r="K46" i="18"/>
  <c r="AI46" i="18"/>
  <c r="O48" i="18"/>
  <c r="AI48" i="18"/>
  <c r="AG48" i="18"/>
  <c r="AI52" i="18"/>
  <c r="AG7" i="18"/>
  <c r="K7" i="18"/>
  <c r="AI7" i="18"/>
  <c r="AI16" i="18"/>
  <c r="AI29" i="18"/>
  <c r="AI32" i="18"/>
  <c r="K32" i="18"/>
  <c r="AG32" i="18"/>
  <c r="AI37" i="18"/>
  <c r="AI45" i="18"/>
  <c r="K14" i="18"/>
  <c r="AI14" i="18"/>
  <c r="AG14" i="18"/>
  <c r="AI17" i="18"/>
  <c r="AI27" i="18"/>
  <c r="AG27" i="18"/>
  <c r="K27" i="18"/>
  <c r="AI35" i="18"/>
  <c r="AG35" i="18"/>
  <c r="K35" i="18"/>
  <c r="AI44" i="18"/>
  <c r="AG50" i="18"/>
  <c r="K50" i="18"/>
  <c r="AI50" i="18"/>
  <c r="AG52" i="18"/>
  <c r="W7" i="18"/>
  <c r="W38" i="18" s="1"/>
  <c r="V38" i="18"/>
  <c r="AI23" i="18"/>
  <c r="AG23" i="18"/>
  <c r="K23" i="18"/>
  <c r="O36" i="18"/>
  <c r="AG36" i="18"/>
  <c r="AG11" i="18"/>
  <c r="K11" i="18"/>
  <c r="AI11" i="18"/>
  <c r="AI25" i="18"/>
  <c r="AG33" i="18"/>
  <c r="O49" i="18"/>
  <c r="AI49" i="18"/>
  <c r="AG49" i="18"/>
  <c r="AI43" i="18"/>
  <c r="K43" i="18"/>
  <c r="AG43" i="18"/>
  <c r="R70" i="18"/>
  <c r="S42" i="18"/>
  <c r="S70" i="18" s="1"/>
  <c r="AG42" i="18"/>
  <c r="K42" i="18"/>
  <c r="AI42" i="18"/>
  <c r="AG44" i="18"/>
  <c r="AI51" i="18"/>
  <c r="K51" i="18"/>
  <c r="AG51" i="18"/>
  <c r="AI19" i="18"/>
  <c r="AG19" i="18"/>
  <c r="AI20" i="18"/>
  <c r="AG21" i="18"/>
  <c r="AI28" i="18"/>
  <c r="R73" i="18"/>
  <c r="Q83" i="18"/>
  <c r="AA74" i="18"/>
  <c r="Z83" i="18"/>
  <c r="V83" i="18"/>
  <c r="AG97" i="18"/>
  <c r="K97" i="18"/>
  <c r="AI97" i="18"/>
  <c r="N6" i="18"/>
  <c r="Y38" i="18"/>
  <c r="AH38" i="18"/>
  <c r="AC8" i="18"/>
  <c r="K9" i="18"/>
  <c r="AC12" i="18"/>
  <c r="K13" i="18"/>
  <c r="AC16" i="18"/>
  <c r="K17" i="18"/>
  <c r="K19" i="18"/>
  <c r="K20" i="18"/>
  <c r="K21" i="18"/>
  <c r="K28" i="18"/>
  <c r="AG29" i="18"/>
  <c r="AC30" i="18"/>
  <c r="AG34" i="18"/>
  <c r="K34" i="18"/>
  <c r="AI34" i="18"/>
  <c r="AG37" i="18"/>
  <c r="AE70" i="18"/>
  <c r="O44" i="18"/>
  <c r="O70" i="18" s="1"/>
  <c r="K47" i="18"/>
  <c r="O52" i="18"/>
  <c r="AG74" i="18"/>
  <c r="K74" i="18"/>
  <c r="AI74" i="18"/>
  <c r="J83" i="18"/>
  <c r="AI75" i="18"/>
  <c r="O75" i="18"/>
  <c r="O83" i="18" s="1"/>
  <c r="AG75" i="18"/>
  <c r="AI92" i="18"/>
  <c r="AI107" i="18"/>
  <c r="AG107" i="18"/>
  <c r="K107" i="18"/>
  <c r="H110" i="18"/>
  <c r="Z38" i="18"/>
  <c r="AG9" i="18"/>
  <c r="AG13" i="18"/>
  <c r="AG17" i="18"/>
  <c r="AI36" i="18"/>
  <c r="AH53" i="18"/>
  <c r="AF53" i="18"/>
  <c r="AG57" i="18"/>
  <c r="K57" i="18"/>
  <c r="N70" i="18"/>
  <c r="AI79" i="18"/>
  <c r="AG79" i="18"/>
  <c r="AI91" i="18"/>
  <c r="AG91" i="18"/>
  <c r="K91" i="18"/>
  <c r="AI103" i="18"/>
  <c r="AG103" i="18"/>
  <c r="K103" i="18"/>
  <c r="Q38" i="18"/>
  <c r="AA6" i="18"/>
  <c r="AA38" i="18" s="1"/>
  <c r="AC7" i="18"/>
  <c r="K8" i="18"/>
  <c r="AF8" i="18"/>
  <c r="AC11" i="18"/>
  <c r="K12" i="18"/>
  <c r="AF12" i="18"/>
  <c r="AC15" i="18"/>
  <c r="K16" i="18"/>
  <c r="AF16" i="18"/>
  <c r="AC18" i="18"/>
  <c r="AG22" i="18"/>
  <c r="K22" i="18"/>
  <c r="AI22" i="18"/>
  <c r="AH30" i="18"/>
  <c r="K36" i="18"/>
  <c r="K37" i="18"/>
  <c r="U38" i="18"/>
  <c r="O45" i="18"/>
  <c r="AF45" i="18"/>
  <c r="AF70" i="18" s="1"/>
  <c r="AC45" i="18"/>
  <c r="AC70" i="18" s="1"/>
  <c r="AH46" i="18"/>
  <c r="AH70" i="18" s="1"/>
  <c r="AF46" i="18"/>
  <c r="O53" i="18"/>
  <c r="AC53" i="18"/>
  <c r="AG54" i="18"/>
  <c r="AI73" i="18"/>
  <c r="Y83" i="18"/>
  <c r="AI77" i="18"/>
  <c r="K79" i="18"/>
  <c r="U109" i="18"/>
  <c r="U110" i="18" s="1"/>
  <c r="AI87" i="18"/>
  <c r="AG87" i="18"/>
  <c r="K87" i="18"/>
  <c r="AA93" i="18"/>
  <c r="AI93" i="18"/>
  <c r="AG105" i="18"/>
  <c r="K105" i="18"/>
  <c r="AI105" i="18"/>
  <c r="R6" i="18"/>
  <c r="AG8" i="18"/>
  <c r="AG12" i="18"/>
  <c r="AG16" i="18"/>
  <c r="AC19" i="18"/>
  <c r="AG25" i="18"/>
  <c r="AC26" i="18"/>
  <c r="AC27" i="18"/>
  <c r="AG30" i="18"/>
  <c r="K30" i="18"/>
  <c r="AI30" i="18"/>
  <c r="AF31" i="18"/>
  <c r="I70" i="18"/>
  <c r="U70" i="18"/>
  <c r="AC46" i="18"/>
  <c r="AC47" i="18"/>
  <c r="K56" i="18"/>
  <c r="AI63" i="18"/>
  <c r="AG63" i="18"/>
  <c r="K63" i="18"/>
  <c r="AG65" i="18"/>
  <c r="K65" i="18"/>
  <c r="AI65" i="18"/>
  <c r="AI67" i="18"/>
  <c r="AG67" i="18"/>
  <c r="K67" i="18"/>
  <c r="AG69" i="18"/>
  <c r="K69" i="18"/>
  <c r="AI69" i="18"/>
  <c r="N83" i="18"/>
  <c r="I110" i="18"/>
  <c r="V109" i="18"/>
  <c r="AG89" i="18"/>
  <c r="K89" i="18"/>
  <c r="AI89" i="18"/>
  <c r="AG98" i="18"/>
  <c r="P110" i="18"/>
  <c r="I38" i="18"/>
  <c r="AC6" i="18"/>
  <c r="AF7" i="18"/>
  <c r="AC10" i="18"/>
  <c r="AF11" i="18"/>
  <c r="AC14" i="18"/>
  <c r="AF15" i="18"/>
  <c r="AG18" i="18"/>
  <c r="AH18" i="18"/>
  <c r="K25" i="18"/>
  <c r="J41" i="18"/>
  <c r="V41" i="18"/>
  <c r="AG45" i="18"/>
  <c r="AI55" i="18"/>
  <c r="K55" i="18"/>
  <c r="AG55" i="18"/>
  <c r="J109" i="18"/>
  <c r="W109" i="18"/>
  <c r="J6" i="18"/>
  <c r="K18" i="18"/>
  <c r="AI18" i="18"/>
  <c r="AF19" i="18"/>
  <c r="AG20" i="18"/>
  <c r="AH26" i="18"/>
  <c r="AF27" i="18"/>
  <c r="AC34" i="18"/>
  <c r="AC35" i="18"/>
  <c r="K44" i="18"/>
  <c r="AH45" i="18"/>
  <c r="AF47" i="18"/>
  <c r="K52" i="18"/>
  <c r="AC56" i="18"/>
  <c r="AH56" i="18"/>
  <c r="AF56" i="18"/>
  <c r="AI57" i="18"/>
  <c r="Y109" i="18"/>
  <c r="AI99" i="18"/>
  <c r="AG99" i="18"/>
  <c r="K99" i="18"/>
  <c r="AA102" i="18"/>
  <c r="AG102" i="18"/>
  <c r="AF6" i="18"/>
  <c r="AG26" i="18"/>
  <c r="K26" i="18"/>
  <c r="AI26" i="18"/>
  <c r="AG28" i="18"/>
  <c r="M70" i="18"/>
  <c r="Y70" i="18"/>
  <c r="Z41" i="18"/>
  <c r="AB70" i="18"/>
  <c r="AH42" i="18"/>
  <c r="AF42" i="18"/>
  <c r="AG47" i="18"/>
  <c r="AF49" i="18"/>
  <c r="AC49" i="18"/>
  <c r="AH50" i="18"/>
  <c r="AF50" i="18"/>
  <c r="AI54" i="18"/>
  <c r="AI58" i="18"/>
  <c r="AG58" i="18"/>
  <c r="AH58" i="18"/>
  <c r="AC58" i="18"/>
  <c r="AI60" i="18"/>
  <c r="AG60" i="18"/>
  <c r="AI62" i="18"/>
  <c r="AG62" i="18"/>
  <c r="AI80" i="18"/>
  <c r="AG80" i="18"/>
  <c r="K80" i="18"/>
  <c r="AG82" i="18"/>
  <c r="K82" i="18"/>
  <c r="AI82" i="18"/>
  <c r="M109" i="18"/>
  <c r="M110" i="18" s="1"/>
  <c r="Z109" i="18"/>
  <c r="AI95" i="18"/>
  <c r="AG95" i="18"/>
  <c r="K95" i="18"/>
  <c r="AI96" i="18"/>
  <c r="AA101" i="18"/>
  <c r="AI101" i="18"/>
  <c r="AF102" i="18"/>
  <c r="AC102" i="18"/>
  <c r="AH102" i="18"/>
  <c r="AI64" i="18"/>
  <c r="AG64" i="18"/>
  <c r="AI66" i="18"/>
  <c r="AG66" i="18"/>
  <c r="K83" i="18"/>
  <c r="AI76" i="18"/>
  <c r="AG76" i="18"/>
  <c r="K76" i="18"/>
  <c r="O109" i="18"/>
  <c r="AF86" i="18"/>
  <c r="AB109" i="18"/>
  <c r="AB110" i="18" s="1"/>
  <c r="AC86" i="18"/>
  <c r="AH86" i="18"/>
  <c r="AF94" i="18"/>
  <c r="AC94" i="18"/>
  <c r="AH94" i="18"/>
  <c r="AI106" i="18"/>
  <c r="AG106" i="18"/>
  <c r="AI108" i="18"/>
  <c r="T110" i="18"/>
  <c r="Q70" i="18"/>
  <c r="AG53" i="18"/>
  <c r="AI59" i="18"/>
  <c r="AG59" i="18"/>
  <c r="K59" i="18"/>
  <c r="AA83" i="18"/>
  <c r="AI81" i="18"/>
  <c r="Q109" i="18"/>
  <c r="AE109" i="18"/>
  <c r="AE110" i="18" s="1"/>
  <c r="AI90" i="18"/>
  <c r="AG92" i="18"/>
  <c r="K92" i="18"/>
  <c r="AI98" i="18"/>
  <c r="AG100" i="18"/>
  <c r="K100" i="18"/>
  <c r="AG104" i="18"/>
  <c r="K104" i="18"/>
  <c r="K106" i="18"/>
  <c r="AH106" i="18"/>
  <c r="AF106" i="18"/>
  <c r="AC106" i="18"/>
  <c r="X110" i="18"/>
  <c r="K53" i="18"/>
  <c r="AG61" i="18"/>
  <c r="K61" i="18"/>
  <c r="AI61" i="18"/>
  <c r="AI68" i="18"/>
  <c r="AG68" i="18"/>
  <c r="AG78" i="18"/>
  <c r="K78" i="18"/>
  <c r="AI78" i="18"/>
  <c r="S86" i="18"/>
  <c r="S109" i="18" s="1"/>
  <c r="R109" i="18"/>
  <c r="AG86" i="18"/>
  <c r="AG88" i="18"/>
  <c r="K88" i="18"/>
  <c r="K109" i="18" s="1"/>
  <c r="K90" i="18"/>
  <c r="AH90" i="18"/>
  <c r="AF90" i="18"/>
  <c r="AC90" i="18"/>
  <c r="AG94" i="18"/>
  <c r="AG96" i="18"/>
  <c r="K96" i="18"/>
  <c r="K98" i="18"/>
  <c r="AH98" i="18"/>
  <c r="AF98" i="18"/>
  <c r="AC98" i="18"/>
  <c r="AD110" i="18"/>
  <c r="AG73" i="18"/>
  <c r="AG77" i="18"/>
  <c r="AG81" i="18"/>
  <c r="AF88" i="18"/>
  <c r="AF96" i="18"/>
  <c r="AF104" i="18"/>
  <c r="AH60" i="18"/>
  <c r="AH64" i="18"/>
  <c r="AH68" i="18"/>
  <c r="AH73" i="18"/>
  <c r="AH77" i="18"/>
  <c r="AH81" i="18"/>
  <c r="AI86" i="18"/>
  <c r="AH91" i="18"/>
  <c r="AH99" i="18"/>
  <c r="AH107" i="18"/>
  <c r="AA86" i="18"/>
  <c r="K93" i="18"/>
  <c r="K101" i="18"/>
  <c r="AC73" i="18"/>
  <c r="AC83" i="18" s="1"/>
  <c r="K108" i="18"/>
  <c r="AG108" i="18"/>
  <c r="R60" i="14"/>
  <c r="R61" i="14"/>
  <c r="R8" i="14"/>
  <c r="R35" i="14"/>
  <c r="Q67" i="14"/>
  <c r="Q9" i="14"/>
  <c r="Q17" i="14"/>
  <c r="R18" i="14"/>
  <c r="Q24" i="14"/>
  <c r="Q43" i="14"/>
  <c r="Q80" i="14"/>
  <c r="R20" i="14"/>
  <c r="R26" i="14"/>
  <c r="R36" i="14"/>
  <c r="R45" i="14"/>
  <c r="Q51" i="14"/>
  <c r="R63" i="14"/>
  <c r="Q77" i="14"/>
  <c r="R82" i="14"/>
  <c r="R10" i="14"/>
  <c r="R21" i="14"/>
  <c r="R37" i="14"/>
  <c r="R46" i="14"/>
  <c r="R68" i="14"/>
  <c r="Q6" i="14"/>
  <c r="Q16" i="14"/>
  <c r="R22" i="14"/>
  <c r="Q27" i="14"/>
  <c r="R41" i="14"/>
  <c r="R47" i="14"/>
  <c r="R52" i="14"/>
  <c r="Q64" i="14"/>
  <c r="R69" i="14"/>
  <c r="Q78" i="14"/>
  <c r="Q10" i="14"/>
  <c r="R25" i="14"/>
  <c r="R44" i="14"/>
  <c r="R56" i="14"/>
  <c r="R62" i="14"/>
  <c r="Q81" i="14"/>
  <c r="Q23" i="14"/>
  <c r="R33" i="14"/>
  <c r="Q42" i="14"/>
  <c r="Q48" i="14"/>
  <c r="R53" i="14"/>
  <c r="R73" i="14"/>
  <c r="R79" i="14"/>
  <c r="AF102" i="15"/>
  <c r="AF107" i="15"/>
  <c r="AF92" i="15"/>
  <c r="AF98" i="15"/>
  <c r="AF108" i="15"/>
  <c r="R78" i="14"/>
  <c r="Q76" i="14"/>
  <c r="Q79" i="14"/>
  <c r="R81" i="14"/>
  <c r="Q74" i="14"/>
  <c r="Q82" i="14"/>
  <c r="Q75" i="14"/>
  <c r="Q73" i="14"/>
  <c r="Q65" i="14"/>
  <c r="Q66" i="14"/>
  <c r="R42" i="14"/>
  <c r="Q45" i="14"/>
  <c r="R50" i="14"/>
  <c r="Q53" i="14"/>
  <c r="R58" i="14"/>
  <c r="Q61" i="14"/>
  <c r="Q69" i="14"/>
  <c r="Q46" i="14"/>
  <c r="Q54" i="14"/>
  <c r="Q62" i="14"/>
  <c r="Q49" i="14"/>
  <c r="Q57" i="14"/>
  <c r="Q44" i="14"/>
  <c r="Q52" i="14"/>
  <c r="Q60" i="14"/>
  <c r="Q68" i="14"/>
  <c r="Q47" i="14"/>
  <c r="Q55" i="14"/>
  <c r="Q63" i="14"/>
  <c r="Q41" i="14"/>
  <c r="Q22" i="14"/>
  <c r="Q30" i="14"/>
  <c r="Q25" i="14"/>
  <c r="R9" i="14"/>
  <c r="Q12" i="14"/>
  <c r="R17" i="14"/>
  <c r="Q20" i="14"/>
  <c r="Q36" i="14"/>
  <c r="R28" i="14"/>
  <c r="R7" i="14"/>
  <c r="R15" i="14"/>
  <c r="Q18" i="14"/>
  <c r="R23" i="14"/>
  <c r="Q26" i="14"/>
  <c r="R31" i="14"/>
  <c r="Q34" i="14"/>
  <c r="Q13" i="14"/>
  <c r="Q21" i="14"/>
  <c r="Q29" i="14"/>
  <c r="Q37" i="14"/>
  <c r="Q14" i="14"/>
  <c r="Q33" i="14"/>
  <c r="AI14" i="15"/>
  <c r="AG14" i="15"/>
  <c r="K14" i="15"/>
  <c r="AI17" i="15"/>
  <c r="AG17" i="15"/>
  <c r="K17" i="15"/>
  <c r="AI33" i="15"/>
  <c r="AG33" i="15"/>
  <c r="K33" i="15"/>
  <c r="AI10" i="15"/>
  <c r="AG10" i="15"/>
  <c r="K10" i="15"/>
  <c r="AI13" i="15"/>
  <c r="AG13" i="15"/>
  <c r="K13" i="15"/>
  <c r="AG11" i="15"/>
  <c r="K11" i="15"/>
  <c r="AI11" i="15"/>
  <c r="AI18" i="15"/>
  <c r="AG18" i="15"/>
  <c r="K18" i="15"/>
  <c r="AI20" i="15"/>
  <c r="AI21" i="15"/>
  <c r="AG21" i="15"/>
  <c r="K21" i="15"/>
  <c r="AG27" i="15"/>
  <c r="K27" i="15"/>
  <c r="AI27" i="15"/>
  <c r="AI34" i="15"/>
  <c r="AG34" i="15"/>
  <c r="K34" i="15"/>
  <c r="O51" i="15"/>
  <c r="AG51" i="15"/>
  <c r="AG19" i="15"/>
  <c r="K19" i="15"/>
  <c r="AI19" i="15"/>
  <c r="AG7" i="15"/>
  <c r="K7" i="15"/>
  <c r="AI7" i="15"/>
  <c r="AG23" i="15"/>
  <c r="K23" i="15"/>
  <c r="AI23" i="15"/>
  <c r="AI30" i="15"/>
  <c r="AG30" i="15"/>
  <c r="K30" i="15"/>
  <c r="AI36" i="15"/>
  <c r="AG36" i="15"/>
  <c r="O36" i="15"/>
  <c r="AI50" i="15"/>
  <c r="AG50" i="15"/>
  <c r="K50" i="15"/>
  <c r="O59" i="15"/>
  <c r="AG59" i="15"/>
  <c r="J38" i="15"/>
  <c r="AI6" i="15"/>
  <c r="AI38" i="15" s="1"/>
  <c r="K6" i="15"/>
  <c r="AI8" i="15"/>
  <c r="AI9" i="15"/>
  <c r="AG9" i="15"/>
  <c r="K9" i="15"/>
  <c r="AG15" i="15"/>
  <c r="K15" i="15"/>
  <c r="AI15" i="15"/>
  <c r="AI22" i="15"/>
  <c r="AG22" i="15"/>
  <c r="K22" i="15"/>
  <c r="AI24" i="15"/>
  <c r="AI25" i="15"/>
  <c r="AG25" i="15"/>
  <c r="K25" i="15"/>
  <c r="AG31" i="15"/>
  <c r="K31" i="15"/>
  <c r="AI31" i="15"/>
  <c r="AA100" i="15"/>
  <c r="AI100" i="15"/>
  <c r="R38" i="15"/>
  <c r="S6" i="15"/>
  <c r="S38" i="15" s="1"/>
  <c r="AI26" i="15"/>
  <c r="AG26" i="15"/>
  <c r="K26" i="15"/>
  <c r="AI29" i="15"/>
  <c r="AG29" i="15"/>
  <c r="K29" i="15"/>
  <c r="AI35" i="15"/>
  <c r="K35" i="15"/>
  <c r="AG35" i="15"/>
  <c r="AI42" i="15"/>
  <c r="AG42" i="15"/>
  <c r="K42" i="15"/>
  <c r="AI46" i="15"/>
  <c r="AG46" i="15"/>
  <c r="K46" i="15"/>
  <c r="AI47" i="15"/>
  <c r="O47" i="15"/>
  <c r="AG47" i="15"/>
  <c r="AI58" i="15"/>
  <c r="AG58" i="15"/>
  <c r="K58" i="15"/>
  <c r="V38" i="15"/>
  <c r="AG37" i="15"/>
  <c r="K37" i="15"/>
  <c r="AI64" i="15"/>
  <c r="AG64" i="15"/>
  <c r="K64" i="15"/>
  <c r="W83" i="15"/>
  <c r="AI106" i="15"/>
  <c r="AG106" i="15"/>
  <c r="W6" i="15"/>
  <c r="W38" i="15" s="1"/>
  <c r="AH37" i="15"/>
  <c r="AF37" i="15"/>
  <c r="AC37" i="15"/>
  <c r="S70" i="15"/>
  <c r="AI52" i="15"/>
  <c r="AG56" i="15"/>
  <c r="K56" i="15"/>
  <c r="AI60" i="15"/>
  <c r="AI68" i="15"/>
  <c r="AG68" i="15"/>
  <c r="K68" i="15"/>
  <c r="O74" i="15"/>
  <c r="AG74" i="15"/>
  <c r="V83" i="15"/>
  <c r="R109" i="15"/>
  <c r="AH91" i="15"/>
  <c r="AF91" i="15"/>
  <c r="AI98" i="15"/>
  <c r="AG98" i="15"/>
  <c r="K98" i="15"/>
  <c r="AI101" i="15"/>
  <c r="AG101" i="15"/>
  <c r="AG104" i="15"/>
  <c r="K104" i="15"/>
  <c r="AI104" i="15"/>
  <c r="K106" i="15"/>
  <c r="N6" i="15"/>
  <c r="AC8" i="15"/>
  <c r="AC38" i="15" s="1"/>
  <c r="AC12" i="15"/>
  <c r="AC16" i="15"/>
  <c r="AC20" i="15"/>
  <c r="AC24" i="15"/>
  <c r="AC28" i="15"/>
  <c r="AC32" i="15"/>
  <c r="AF36" i="15"/>
  <c r="AC36" i="15"/>
  <c r="Q38" i="15"/>
  <c r="V70" i="15"/>
  <c r="N43" i="15"/>
  <c r="AI44" i="15"/>
  <c r="O48" i="15"/>
  <c r="AI53" i="15"/>
  <c r="AG53" i="15"/>
  <c r="K53" i="15"/>
  <c r="AH53" i="15"/>
  <c r="AF53" i="15"/>
  <c r="AI61" i="15"/>
  <c r="AG61" i="15"/>
  <c r="K61" i="15"/>
  <c r="AH61" i="15"/>
  <c r="AF61" i="15"/>
  <c r="AH76" i="15"/>
  <c r="AH83" i="15" s="1"/>
  <c r="AB83" i="15"/>
  <c r="AF76" i="15"/>
  <c r="AF83" i="15" s="1"/>
  <c r="AG82" i="15"/>
  <c r="AC93" i="15"/>
  <c r="AG99" i="15"/>
  <c r="K101" i="15"/>
  <c r="AF104" i="15"/>
  <c r="AH104" i="15"/>
  <c r="AF106" i="15"/>
  <c r="AH106" i="15"/>
  <c r="T110" i="15"/>
  <c r="Z38" i="15"/>
  <c r="AI37" i="15"/>
  <c r="W70" i="15"/>
  <c r="AI45" i="15"/>
  <c r="AG45" i="15"/>
  <c r="K45" i="15"/>
  <c r="AI55" i="15"/>
  <c r="AI63" i="15"/>
  <c r="AG63" i="15"/>
  <c r="AC83" i="15"/>
  <c r="AH87" i="15"/>
  <c r="AF87" i="15"/>
  <c r="AG107" i="15"/>
  <c r="V109" i="15"/>
  <c r="V110" i="15" s="1"/>
  <c r="AA6" i="15"/>
  <c r="AA38" i="15" s="1"/>
  <c r="AC7" i="15"/>
  <c r="K8" i="15"/>
  <c r="AF8" i="15"/>
  <c r="AF38" i="15" s="1"/>
  <c r="AC11" i="15"/>
  <c r="K12" i="15"/>
  <c r="AF12" i="15"/>
  <c r="AC15" i="15"/>
  <c r="K16" i="15"/>
  <c r="AF16" i="15"/>
  <c r="AC19" i="15"/>
  <c r="K20" i="15"/>
  <c r="AF20" i="15"/>
  <c r="AC23" i="15"/>
  <c r="K24" i="15"/>
  <c r="AF24" i="15"/>
  <c r="AC27" i="15"/>
  <c r="K28" i="15"/>
  <c r="AF28" i="15"/>
  <c r="AC31" i="15"/>
  <c r="K32" i="15"/>
  <c r="AF32" i="15"/>
  <c r="J70" i="15"/>
  <c r="Y70" i="15"/>
  <c r="AE70" i="15"/>
  <c r="K55" i="15"/>
  <c r="K63" i="15"/>
  <c r="AI65" i="15"/>
  <c r="K65" i="15"/>
  <c r="AE83" i="15"/>
  <c r="AE110" i="15" s="1"/>
  <c r="I109" i="15"/>
  <c r="W109" i="15"/>
  <c r="W110" i="15" s="1"/>
  <c r="AH89" i="15"/>
  <c r="AF89" i="15"/>
  <c r="AG100" i="15"/>
  <c r="K100" i="15"/>
  <c r="AB38" i="15"/>
  <c r="AG8" i="15"/>
  <c r="AG12" i="15"/>
  <c r="AG16" i="15"/>
  <c r="AG20" i="15"/>
  <c r="AG24" i="15"/>
  <c r="AG28" i="15"/>
  <c r="AG32" i="15"/>
  <c r="AH36" i="15"/>
  <c r="AH38" i="15" s="1"/>
  <c r="I38" i="15"/>
  <c r="Z41" i="15"/>
  <c r="AG44" i="15"/>
  <c r="K44" i="15"/>
  <c r="AH45" i="15"/>
  <c r="AF45" i="15"/>
  <c r="AI49" i="15"/>
  <c r="AG49" i="15"/>
  <c r="K49" i="15"/>
  <c r="AH49" i="15"/>
  <c r="AH70" i="15" s="1"/>
  <c r="AF49" i="15"/>
  <c r="AF70" i="15" s="1"/>
  <c r="AG52" i="15"/>
  <c r="K52" i="15"/>
  <c r="AI56" i="15"/>
  <c r="AG60" i="15"/>
  <c r="K60" i="15"/>
  <c r="AI77" i="15"/>
  <c r="AG77" i="15"/>
  <c r="K77" i="15"/>
  <c r="AG78" i="15"/>
  <c r="AH80" i="15"/>
  <c r="AF80" i="15"/>
  <c r="J86" i="15"/>
  <c r="Z86" i="15"/>
  <c r="Y109" i="15"/>
  <c r="AI90" i="15"/>
  <c r="AG90" i="15"/>
  <c r="AF95" i="15"/>
  <c r="AI99" i="15"/>
  <c r="AI54" i="15"/>
  <c r="AG54" i="15"/>
  <c r="AI57" i="15"/>
  <c r="AG57" i="15"/>
  <c r="K57" i="15"/>
  <c r="AH57" i="15"/>
  <c r="AF57" i="15"/>
  <c r="AI62" i="15"/>
  <c r="AG62" i="15"/>
  <c r="AH67" i="15"/>
  <c r="AF67" i="15"/>
  <c r="O73" i="15"/>
  <c r="O83" i="15" s="1"/>
  <c r="N83" i="15"/>
  <c r="AB109" i="15"/>
  <c r="AG88" i="15"/>
  <c r="K88" i="15"/>
  <c r="AI88" i="15"/>
  <c r="AI102" i="15"/>
  <c r="AG102" i="15"/>
  <c r="AH103" i="15"/>
  <c r="AF103" i="15"/>
  <c r="U38" i="15"/>
  <c r="AI43" i="15"/>
  <c r="AG48" i="15"/>
  <c r="K48" i="15"/>
  <c r="AI51" i="15"/>
  <c r="K54" i="15"/>
  <c r="AG55" i="15"/>
  <c r="AC57" i="15"/>
  <c r="AI59" i="15"/>
  <c r="K62" i="15"/>
  <c r="AG65" i="15"/>
  <c r="AC67" i="15"/>
  <c r="AF88" i="15"/>
  <c r="AH88" i="15"/>
  <c r="AH90" i="15"/>
  <c r="AF90" i="15"/>
  <c r="AG91" i="15"/>
  <c r="K102" i="15"/>
  <c r="AH105" i="15"/>
  <c r="AF105" i="15"/>
  <c r="Q70" i="15"/>
  <c r="AG66" i="15"/>
  <c r="R83" i="15"/>
  <c r="AI82" i="15"/>
  <c r="H110" i="15"/>
  <c r="X110" i="15"/>
  <c r="AC109" i="15"/>
  <c r="AI95" i="15"/>
  <c r="AI97" i="15"/>
  <c r="AG97" i="15"/>
  <c r="AC52" i="15"/>
  <c r="AC70" i="15" s="1"/>
  <c r="AC56" i="15"/>
  <c r="AC60" i="15"/>
  <c r="K66" i="15"/>
  <c r="AI66" i="15"/>
  <c r="R70" i="15"/>
  <c r="S73" i="15"/>
  <c r="S83" i="15" s="1"/>
  <c r="AI78" i="15"/>
  <c r="AG79" i="15"/>
  <c r="K79" i="15"/>
  <c r="AI79" i="15"/>
  <c r="K82" i="15"/>
  <c r="K95" i="15"/>
  <c r="AG96" i="15"/>
  <c r="K96" i="15"/>
  <c r="K97" i="15"/>
  <c r="AI107" i="15"/>
  <c r="AG108" i="15"/>
  <c r="K108" i="15"/>
  <c r="I70" i="15"/>
  <c r="AG41" i="15"/>
  <c r="AI67" i="15"/>
  <c r="AG67" i="15"/>
  <c r="AI69" i="15"/>
  <c r="AI74" i="15"/>
  <c r="AG75" i="15"/>
  <c r="K75" i="15"/>
  <c r="AI75" i="15"/>
  <c r="AI80" i="15"/>
  <c r="AG80" i="15"/>
  <c r="AI81" i="15"/>
  <c r="AG81" i="15"/>
  <c r="AI91" i="15"/>
  <c r="AI93" i="15"/>
  <c r="AG93" i="15"/>
  <c r="AI94" i="15"/>
  <c r="AG94" i="15"/>
  <c r="AH97" i="15"/>
  <c r="AD110" i="15"/>
  <c r="K67" i="15"/>
  <c r="K69" i="15"/>
  <c r="U70" i="15"/>
  <c r="K74" i="15"/>
  <c r="AI76" i="15"/>
  <c r="AG76" i="15"/>
  <c r="K80" i="15"/>
  <c r="S109" i="15"/>
  <c r="AG87" i="15"/>
  <c r="AG92" i="15"/>
  <c r="K92" i="15"/>
  <c r="AG103" i="15"/>
  <c r="K41" i="15"/>
  <c r="K70" i="15" s="1"/>
  <c r="J73" i="15"/>
  <c r="Y83" i="15"/>
  <c r="Z73" i="15"/>
  <c r="K76" i="15"/>
  <c r="P110" i="15"/>
  <c r="U109" i="15"/>
  <c r="U110" i="15" s="1"/>
  <c r="AI87" i="15"/>
  <c r="AI89" i="15"/>
  <c r="AG89" i="15"/>
  <c r="AH93" i="15"/>
  <c r="AH100" i="15"/>
  <c r="AF101" i="15"/>
  <c r="AI103" i="15"/>
  <c r="AI105" i="15"/>
  <c r="AG105" i="15"/>
  <c r="Q109" i="15"/>
  <c r="Q83" i="15"/>
  <c r="N84" i="14" l="1"/>
  <c r="R70" i="14"/>
  <c r="Q38" i="14"/>
  <c r="Q70" i="14"/>
  <c r="R38" i="14"/>
  <c r="R84" i="14" s="1"/>
  <c r="N110" i="18"/>
  <c r="AC38" i="18"/>
  <c r="Q110" i="18"/>
  <c r="AC109" i="18"/>
  <c r="AC110" i="18" s="1"/>
  <c r="Y110" i="18"/>
  <c r="N38" i="18"/>
  <c r="O6" i="18"/>
  <c r="O38" i="18" s="1"/>
  <c r="S73" i="18"/>
  <c r="S83" i="18" s="1"/>
  <c r="R83" i="18"/>
  <c r="AA41" i="18"/>
  <c r="AA70" i="18" s="1"/>
  <c r="Z70" i="18"/>
  <c r="Z110" i="18" s="1"/>
  <c r="W110" i="18"/>
  <c r="AI83" i="18"/>
  <c r="AH83" i="18"/>
  <c r="AG109" i="18"/>
  <c r="V70" i="18"/>
  <c r="W41" i="18"/>
  <c r="W70" i="18" s="1"/>
  <c r="R38" i="18"/>
  <c r="S6" i="18"/>
  <c r="S38" i="18" s="1"/>
  <c r="S110" i="18"/>
  <c r="AH109" i="18"/>
  <c r="AH110" i="18" s="1"/>
  <c r="AI109" i="18"/>
  <c r="AF109" i="18"/>
  <c r="O110" i="18"/>
  <c r="AA109" i="18"/>
  <c r="AA110" i="18" s="1"/>
  <c r="AG83" i="18"/>
  <c r="R110" i="18"/>
  <c r="AF38" i="18"/>
  <c r="J38" i="18"/>
  <c r="K6" i="18"/>
  <c r="K38" i="18" s="1"/>
  <c r="AI6" i="18"/>
  <c r="AI38" i="18" s="1"/>
  <c r="AG6" i="18"/>
  <c r="AG38" i="18" s="1"/>
  <c r="K41" i="18"/>
  <c r="K70" i="18" s="1"/>
  <c r="K110" i="18" s="1"/>
  <c r="AI41" i="18"/>
  <c r="AI70" i="18" s="1"/>
  <c r="AG41" i="18"/>
  <c r="AG70" i="18" s="1"/>
  <c r="J70" i="18"/>
  <c r="J110" i="18" s="1"/>
  <c r="V110" i="18"/>
  <c r="Y110" i="15"/>
  <c r="I110" i="15"/>
  <c r="AI86" i="15"/>
  <c r="AI109" i="15" s="1"/>
  <c r="AG86" i="15"/>
  <c r="AG109" i="15" s="1"/>
  <c r="J109" i="15"/>
  <c r="J110" i="15" s="1"/>
  <c r="K86" i="15"/>
  <c r="K109" i="15" s="1"/>
  <c r="R110" i="15"/>
  <c r="AA41" i="15"/>
  <c r="AA70" i="15" s="1"/>
  <c r="Z70" i="15"/>
  <c r="Z83" i="15"/>
  <c r="AA73" i="15"/>
  <c r="AA83" i="15" s="1"/>
  <c r="N38" i="15"/>
  <c r="O6" i="15"/>
  <c r="O38" i="15" s="1"/>
  <c r="AC110" i="15"/>
  <c r="S110" i="15"/>
  <c r="AB110" i="15"/>
  <c r="J83" i="15"/>
  <c r="AI73" i="15"/>
  <c r="AI83" i="15" s="1"/>
  <c r="AG73" i="15"/>
  <c r="AG83" i="15" s="1"/>
  <c r="K73" i="15"/>
  <c r="K83" i="15" s="1"/>
  <c r="K38" i="15"/>
  <c r="AA86" i="15"/>
  <c r="AA109" i="15" s="1"/>
  <c r="Z109" i="15"/>
  <c r="Z110" i="15" s="1"/>
  <c r="Q110" i="15"/>
  <c r="AI41" i="15"/>
  <c r="AI70" i="15" s="1"/>
  <c r="O43" i="15"/>
  <c r="O70" i="15" s="1"/>
  <c r="O110" i="15" s="1"/>
  <c r="N70" i="15"/>
  <c r="N110" i="15" s="1"/>
  <c r="AG43" i="15"/>
  <c r="AG70" i="15" s="1"/>
  <c r="AG6" i="15"/>
  <c r="AG38" i="15" s="1"/>
  <c r="Q84" i="14" l="1"/>
  <c r="AF110" i="18"/>
  <c r="AI110" i="18"/>
  <c r="AG110" i="18"/>
  <c r="AG110" i="15"/>
  <c r="K110" i="15"/>
  <c r="AI110" i="15"/>
  <c r="AA110" i="15"/>
  <c r="AB109" i="13" l="1"/>
  <c r="AB83" i="13"/>
  <c r="AB70" i="13"/>
  <c r="AB38" i="13"/>
  <c r="O108" i="13"/>
  <c r="O107" i="13"/>
  <c r="O106" i="13"/>
  <c r="O105" i="13"/>
  <c r="O104" i="13"/>
  <c r="O103" i="13"/>
  <c r="O102" i="13"/>
  <c r="O101" i="13"/>
  <c r="O100" i="13"/>
  <c r="O99" i="13"/>
  <c r="O98" i="13"/>
  <c r="O97" i="13"/>
  <c r="O96" i="13"/>
  <c r="O95" i="13"/>
  <c r="O94" i="13"/>
  <c r="O93" i="13"/>
  <c r="O92" i="13"/>
  <c r="O91" i="13"/>
  <c r="O90" i="13"/>
  <c r="O89" i="13"/>
  <c r="O88" i="13"/>
  <c r="O87" i="13"/>
  <c r="O86" i="13"/>
  <c r="M108" i="13"/>
  <c r="L108" i="13"/>
  <c r="M107" i="13"/>
  <c r="L107" i="13" s="1"/>
  <c r="M106" i="13"/>
  <c r="L106" i="13" s="1"/>
  <c r="M105" i="13"/>
  <c r="L105" i="13" s="1"/>
  <c r="M104" i="13"/>
  <c r="L104" i="13"/>
  <c r="M103" i="13"/>
  <c r="L103" i="13" s="1"/>
  <c r="M102" i="13"/>
  <c r="L102" i="13"/>
  <c r="M101" i="13"/>
  <c r="L101" i="13"/>
  <c r="M100" i="13"/>
  <c r="L100" i="13" s="1"/>
  <c r="M99" i="13"/>
  <c r="L99" i="13" s="1"/>
  <c r="M98" i="13"/>
  <c r="L98" i="13"/>
  <c r="M97" i="13"/>
  <c r="L97" i="13"/>
  <c r="M96" i="13"/>
  <c r="L96" i="13" s="1"/>
  <c r="M95" i="13"/>
  <c r="L95" i="13" s="1"/>
  <c r="M94" i="13"/>
  <c r="L94" i="13" s="1"/>
  <c r="M93" i="13"/>
  <c r="L93" i="13"/>
  <c r="M92" i="13"/>
  <c r="L92" i="13"/>
  <c r="M91" i="13"/>
  <c r="L91" i="13" s="1"/>
  <c r="M90" i="13"/>
  <c r="L90" i="13" s="1"/>
  <c r="M89" i="13"/>
  <c r="L89" i="13" s="1"/>
  <c r="M88" i="13"/>
  <c r="L88" i="13" s="1"/>
  <c r="M87" i="13"/>
  <c r="L87" i="13" s="1"/>
  <c r="M86" i="13"/>
  <c r="L86" i="13" s="1"/>
  <c r="O109" i="13" l="1"/>
  <c r="AB110" i="13"/>
  <c r="M82" i="13"/>
  <c r="N82" i="13" s="1"/>
  <c r="O82" i="13" s="1"/>
  <c r="M81" i="13"/>
  <c r="N81" i="13" s="1"/>
  <c r="O81" i="13" s="1"/>
  <c r="M80" i="13"/>
  <c r="N80" i="13" s="1"/>
  <c r="O80" i="13" s="1"/>
  <c r="M79" i="13"/>
  <c r="N79" i="13" s="1"/>
  <c r="O79" i="13" s="1"/>
  <c r="M78" i="13"/>
  <c r="N78" i="13" s="1"/>
  <c r="O78" i="13" s="1"/>
  <c r="M77" i="13"/>
  <c r="N77" i="13" s="1"/>
  <c r="O77" i="13" s="1"/>
  <c r="M76" i="13"/>
  <c r="N76" i="13" s="1"/>
  <c r="O76" i="13" s="1"/>
  <c r="M75" i="13"/>
  <c r="N75" i="13" s="1"/>
  <c r="O75" i="13" s="1"/>
  <c r="M74" i="13"/>
  <c r="N74" i="13" s="1"/>
  <c r="O74" i="13" s="1"/>
  <c r="M73" i="13"/>
  <c r="N73" i="13" s="1"/>
  <c r="O73" i="13" s="1"/>
  <c r="O69" i="13"/>
  <c r="O64" i="13"/>
  <c r="O56" i="13"/>
  <c r="O48" i="13"/>
  <c r="M69" i="13"/>
  <c r="N69" i="13" s="1"/>
  <c r="M68" i="13"/>
  <c r="N68" i="13" s="1"/>
  <c r="O68" i="13" s="1"/>
  <c r="M67" i="13"/>
  <c r="N67" i="13" s="1"/>
  <c r="O67" i="13" s="1"/>
  <c r="M66" i="13"/>
  <c r="N66" i="13" s="1"/>
  <c r="O66" i="13" s="1"/>
  <c r="M65" i="13"/>
  <c r="N65" i="13" s="1"/>
  <c r="O65" i="13" s="1"/>
  <c r="M64" i="13"/>
  <c r="N64" i="13" s="1"/>
  <c r="M63" i="13"/>
  <c r="N63" i="13" s="1"/>
  <c r="O63" i="13" s="1"/>
  <c r="M62" i="13"/>
  <c r="N62" i="13" s="1"/>
  <c r="O62" i="13" s="1"/>
  <c r="M61" i="13"/>
  <c r="N61" i="13" s="1"/>
  <c r="O61" i="13" s="1"/>
  <c r="M60" i="13"/>
  <c r="N60" i="13" s="1"/>
  <c r="O60" i="13" s="1"/>
  <c r="M59" i="13"/>
  <c r="N59" i="13" s="1"/>
  <c r="O59" i="13" s="1"/>
  <c r="M58" i="13"/>
  <c r="N58" i="13" s="1"/>
  <c r="O58" i="13" s="1"/>
  <c r="M57" i="13"/>
  <c r="N57" i="13" s="1"/>
  <c r="O57" i="13" s="1"/>
  <c r="M56" i="13"/>
  <c r="N56" i="13" s="1"/>
  <c r="M55" i="13"/>
  <c r="N55" i="13" s="1"/>
  <c r="O55" i="13" s="1"/>
  <c r="M54" i="13"/>
  <c r="N54" i="13" s="1"/>
  <c r="O54" i="13" s="1"/>
  <c r="M53" i="13"/>
  <c r="N53" i="13" s="1"/>
  <c r="O53" i="13" s="1"/>
  <c r="M52" i="13"/>
  <c r="N52" i="13" s="1"/>
  <c r="O52" i="13" s="1"/>
  <c r="M51" i="13"/>
  <c r="N51" i="13" s="1"/>
  <c r="O51" i="13" s="1"/>
  <c r="M50" i="13"/>
  <c r="N50" i="13" s="1"/>
  <c r="O50" i="13" s="1"/>
  <c r="M49" i="13"/>
  <c r="N49" i="13" s="1"/>
  <c r="O49" i="13" s="1"/>
  <c r="M48" i="13"/>
  <c r="N48" i="13" s="1"/>
  <c r="M47" i="13"/>
  <c r="N47" i="13" s="1"/>
  <c r="O47" i="13" s="1"/>
  <c r="M46" i="13"/>
  <c r="N46" i="13" s="1"/>
  <c r="O46" i="13" s="1"/>
  <c r="M45" i="13"/>
  <c r="N45" i="13" s="1"/>
  <c r="O45" i="13" s="1"/>
  <c r="M44" i="13"/>
  <c r="N44" i="13" s="1"/>
  <c r="O44" i="13" s="1"/>
  <c r="M43" i="13"/>
  <c r="N43" i="13" s="1"/>
  <c r="O43" i="13" s="1"/>
  <c r="M42" i="13"/>
  <c r="N42" i="13" s="1"/>
  <c r="O42" i="13" s="1"/>
  <c r="M41" i="13"/>
  <c r="N41" i="13" s="1"/>
  <c r="O41" i="13" s="1"/>
  <c r="M37" i="13"/>
  <c r="N37" i="13" s="1"/>
  <c r="O37" i="13" s="1"/>
  <c r="M36" i="13"/>
  <c r="N36" i="13" s="1"/>
  <c r="O36" i="13" s="1"/>
  <c r="M35" i="13"/>
  <c r="N35" i="13" s="1"/>
  <c r="O35" i="13" s="1"/>
  <c r="M34" i="13"/>
  <c r="N34" i="13" s="1"/>
  <c r="O34" i="13" s="1"/>
  <c r="M33" i="13"/>
  <c r="N33" i="13" s="1"/>
  <c r="O33" i="13" s="1"/>
  <c r="M32" i="13"/>
  <c r="N32" i="13" s="1"/>
  <c r="O32" i="13" s="1"/>
  <c r="M31" i="13"/>
  <c r="N31" i="13" s="1"/>
  <c r="O31" i="13" s="1"/>
  <c r="M30" i="13"/>
  <c r="N30" i="13" s="1"/>
  <c r="O30" i="13" s="1"/>
  <c r="M29" i="13"/>
  <c r="N29" i="13" s="1"/>
  <c r="O29" i="13" s="1"/>
  <c r="M28" i="13"/>
  <c r="N28" i="13" s="1"/>
  <c r="O28" i="13" s="1"/>
  <c r="M27" i="13"/>
  <c r="N27" i="13" s="1"/>
  <c r="O27" i="13" s="1"/>
  <c r="M26" i="13"/>
  <c r="N26" i="13" s="1"/>
  <c r="O26" i="13" s="1"/>
  <c r="M25" i="13"/>
  <c r="N25" i="13" s="1"/>
  <c r="O25" i="13" s="1"/>
  <c r="M24" i="13"/>
  <c r="N24" i="13" s="1"/>
  <c r="O24" i="13" s="1"/>
  <c r="M23" i="13"/>
  <c r="N23" i="13" s="1"/>
  <c r="O23" i="13" s="1"/>
  <c r="M22" i="13"/>
  <c r="N22" i="13" s="1"/>
  <c r="O22" i="13" s="1"/>
  <c r="M21" i="13"/>
  <c r="N21" i="13" s="1"/>
  <c r="O21" i="13" s="1"/>
  <c r="M20" i="13"/>
  <c r="N20" i="13" s="1"/>
  <c r="O20" i="13" s="1"/>
  <c r="M19" i="13"/>
  <c r="N19" i="13" s="1"/>
  <c r="O19" i="13" s="1"/>
  <c r="M18" i="13"/>
  <c r="N18" i="13" s="1"/>
  <c r="O18" i="13" s="1"/>
  <c r="M17" i="13"/>
  <c r="N17" i="13" s="1"/>
  <c r="O17" i="13" s="1"/>
  <c r="M16" i="13"/>
  <c r="N16" i="13" s="1"/>
  <c r="O16" i="13" s="1"/>
  <c r="M15" i="13"/>
  <c r="N15" i="13" s="1"/>
  <c r="O15" i="13" s="1"/>
  <c r="M14" i="13"/>
  <c r="N14" i="13" s="1"/>
  <c r="O14" i="13" s="1"/>
  <c r="M13" i="13"/>
  <c r="N13" i="13" s="1"/>
  <c r="O13" i="13" s="1"/>
  <c r="M12" i="13"/>
  <c r="N12" i="13" s="1"/>
  <c r="O12" i="13" s="1"/>
  <c r="M11" i="13"/>
  <c r="N11" i="13" s="1"/>
  <c r="O11" i="13" s="1"/>
  <c r="M10" i="13"/>
  <c r="N10" i="13" s="1"/>
  <c r="O10" i="13" s="1"/>
  <c r="M9" i="13"/>
  <c r="N9" i="13" s="1"/>
  <c r="O9" i="13" s="1"/>
  <c r="M8" i="13"/>
  <c r="N8" i="13" s="1"/>
  <c r="M7" i="13"/>
  <c r="N7" i="13" s="1"/>
  <c r="M6" i="13"/>
  <c r="N6" i="13" s="1"/>
  <c r="O83" i="13" l="1"/>
  <c r="O70" i="13"/>
  <c r="Y108" i="13"/>
  <c r="Z108" i="13" s="1"/>
  <c r="AA108" i="13" s="1"/>
  <c r="Y107" i="13"/>
  <c r="Z107" i="13" s="1"/>
  <c r="AA107" i="13" s="1"/>
  <c r="Y106" i="13"/>
  <c r="Z106" i="13" s="1"/>
  <c r="AA106" i="13" s="1"/>
  <c r="Y105" i="13"/>
  <c r="Z105" i="13" s="1"/>
  <c r="AA105" i="13" s="1"/>
  <c r="Y104" i="13"/>
  <c r="Z104" i="13" s="1"/>
  <c r="AA104" i="13" s="1"/>
  <c r="Y103" i="13"/>
  <c r="Z103" i="13" s="1"/>
  <c r="AA103" i="13" s="1"/>
  <c r="Y102" i="13"/>
  <c r="Z102" i="13" s="1"/>
  <c r="AA102" i="13" s="1"/>
  <c r="Y101" i="13"/>
  <c r="Z101" i="13" s="1"/>
  <c r="AA101" i="13" s="1"/>
  <c r="Y100" i="13"/>
  <c r="Z100" i="13" s="1"/>
  <c r="AA100" i="13" s="1"/>
  <c r="Y99" i="13"/>
  <c r="Z99" i="13" s="1"/>
  <c r="AA99" i="13" s="1"/>
  <c r="Y98" i="13"/>
  <c r="Z98" i="13" s="1"/>
  <c r="AA98" i="13" s="1"/>
  <c r="Y97" i="13"/>
  <c r="Z97" i="13" s="1"/>
  <c r="AA97" i="13" s="1"/>
  <c r="Y96" i="13"/>
  <c r="Z96" i="13" s="1"/>
  <c r="AA96" i="13" s="1"/>
  <c r="Y95" i="13"/>
  <c r="Z95" i="13" s="1"/>
  <c r="AA95" i="13" s="1"/>
  <c r="Y94" i="13"/>
  <c r="Z94" i="13" s="1"/>
  <c r="AA94" i="13" s="1"/>
  <c r="Y93" i="13"/>
  <c r="Z93" i="13" s="1"/>
  <c r="AA93" i="13" s="1"/>
  <c r="Y92" i="13"/>
  <c r="Z92" i="13" s="1"/>
  <c r="AA92" i="13" s="1"/>
  <c r="Y91" i="13"/>
  <c r="Z91" i="13" s="1"/>
  <c r="AA91" i="13" s="1"/>
  <c r="Y90" i="13"/>
  <c r="Z90" i="13" s="1"/>
  <c r="AA90" i="13" s="1"/>
  <c r="Y89" i="13"/>
  <c r="Z89" i="13" s="1"/>
  <c r="AA89" i="13" s="1"/>
  <c r="Y88" i="13"/>
  <c r="Z88" i="13" s="1"/>
  <c r="AA88" i="13" s="1"/>
  <c r="Y87" i="13"/>
  <c r="Z87" i="13" s="1"/>
  <c r="AA87" i="13" s="1"/>
  <c r="Y86" i="13"/>
  <c r="Z86" i="13" s="1"/>
  <c r="AA86" i="13" s="1"/>
  <c r="Y82" i="13"/>
  <c r="Z82" i="13" s="1"/>
  <c r="AA82" i="13" s="1"/>
  <c r="Y81" i="13"/>
  <c r="Z81" i="13" s="1"/>
  <c r="AA81" i="13" s="1"/>
  <c r="Y80" i="13"/>
  <c r="Z80" i="13" s="1"/>
  <c r="AA80" i="13" s="1"/>
  <c r="Y79" i="13"/>
  <c r="Z79" i="13" s="1"/>
  <c r="AA79" i="13" s="1"/>
  <c r="Y78" i="13"/>
  <c r="Z78" i="13" s="1"/>
  <c r="AA78" i="13" s="1"/>
  <c r="Y77" i="13"/>
  <c r="Z77" i="13" s="1"/>
  <c r="AA77" i="13" s="1"/>
  <c r="Y76" i="13"/>
  <c r="Z76" i="13" s="1"/>
  <c r="AA76" i="13" s="1"/>
  <c r="Y75" i="13"/>
  <c r="Z75" i="13" s="1"/>
  <c r="AA75" i="13" s="1"/>
  <c r="Y74" i="13"/>
  <c r="Z74" i="13" s="1"/>
  <c r="AA74" i="13" s="1"/>
  <c r="Y73" i="13"/>
  <c r="Z73" i="13" s="1"/>
  <c r="AA73" i="13" s="1"/>
  <c r="AA63" i="13"/>
  <c r="AA58" i="13"/>
  <c r="Y69" i="13"/>
  <c r="Z69" i="13" s="1"/>
  <c r="AA69" i="13" s="1"/>
  <c r="Y68" i="13"/>
  <c r="Z68" i="13" s="1"/>
  <c r="AA68" i="13" s="1"/>
  <c r="Y67" i="13"/>
  <c r="Z67" i="13" s="1"/>
  <c r="AA67" i="13" s="1"/>
  <c r="Y66" i="13"/>
  <c r="Z66" i="13" s="1"/>
  <c r="AA66" i="13" s="1"/>
  <c r="Y65" i="13"/>
  <c r="Z65" i="13" s="1"/>
  <c r="AA65" i="13" s="1"/>
  <c r="Y64" i="13"/>
  <c r="Z64" i="13" s="1"/>
  <c r="AA64" i="13" s="1"/>
  <c r="Y63" i="13"/>
  <c r="Z63" i="13" s="1"/>
  <c r="Y62" i="13"/>
  <c r="Z62" i="13" s="1"/>
  <c r="AA62" i="13" s="1"/>
  <c r="Y61" i="13"/>
  <c r="Z61" i="13" s="1"/>
  <c r="AA61" i="13" s="1"/>
  <c r="Y60" i="13"/>
  <c r="Z60" i="13" s="1"/>
  <c r="AA60" i="13" s="1"/>
  <c r="Y59" i="13"/>
  <c r="Z59" i="13" s="1"/>
  <c r="AA59" i="13" s="1"/>
  <c r="Y58" i="13"/>
  <c r="Z58" i="13" s="1"/>
  <c r="Y57" i="13"/>
  <c r="Z57" i="13" s="1"/>
  <c r="AA57" i="13" s="1"/>
  <c r="Y56" i="13"/>
  <c r="Z56" i="13" s="1"/>
  <c r="AA56" i="13" s="1"/>
  <c r="Y55" i="13"/>
  <c r="Z55" i="13" s="1"/>
  <c r="AA55" i="13" s="1"/>
  <c r="Y54" i="13"/>
  <c r="Z54" i="13" s="1"/>
  <c r="AA54" i="13" s="1"/>
  <c r="Y53" i="13"/>
  <c r="Z53" i="13" s="1"/>
  <c r="AA53" i="13" s="1"/>
  <c r="Y52" i="13"/>
  <c r="Z52" i="13" s="1"/>
  <c r="AA52" i="13" s="1"/>
  <c r="Y51" i="13"/>
  <c r="Z51" i="13" s="1"/>
  <c r="AA51" i="13" s="1"/>
  <c r="Y50" i="13"/>
  <c r="Z50" i="13" s="1"/>
  <c r="AA50" i="13" s="1"/>
  <c r="Y49" i="13"/>
  <c r="Z49" i="13" s="1"/>
  <c r="AA49" i="13" s="1"/>
  <c r="Y48" i="13"/>
  <c r="Z48" i="13" s="1"/>
  <c r="AA48" i="13" s="1"/>
  <c r="Y47" i="13"/>
  <c r="Z47" i="13" s="1"/>
  <c r="AA47" i="13" s="1"/>
  <c r="Y46" i="13"/>
  <c r="Z46" i="13" s="1"/>
  <c r="AA46" i="13" s="1"/>
  <c r="Y45" i="13"/>
  <c r="Z45" i="13" s="1"/>
  <c r="AA45" i="13" s="1"/>
  <c r="Y44" i="13"/>
  <c r="Z44" i="13" s="1"/>
  <c r="AA44" i="13" s="1"/>
  <c r="Y43" i="13"/>
  <c r="Z43" i="13" s="1"/>
  <c r="AA43" i="13" s="1"/>
  <c r="Y42" i="13"/>
  <c r="Z42" i="13" s="1"/>
  <c r="AA42" i="13" s="1"/>
  <c r="Y41" i="13"/>
  <c r="Z41" i="13" s="1"/>
  <c r="AA41" i="13" s="1"/>
  <c r="AA11" i="13"/>
  <c r="Y37" i="13"/>
  <c r="Z37" i="13" s="1"/>
  <c r="AA37" i="13" s="1"/>
  <c r="Y36" i="13"/>
  <c r="Z36" i="13" s="1"/>
  <c r="AA36" i="13" s="1"/>
  <c r="Y35" i="13"/>
  <c r="Z35" i="13" s="1"/>
  <c r="AA35" i="13" s="1"/>
  <c r="Y34" i="13"/>
  <c r="Z34" i="13" s="1"/>
  <c r="AA34" i="13" s="1"/>
  <c r="Y33" i="13"/>
  <c r="Z33" i="13" s="1"/>
  <c r="AA33" i="13" s="1"/>
  <c r="Y32" i="13"/>
  <c r="Z32" i="13" s="1"/>
  <c r="AA32" i="13" s="1"/>
  <c r="Y31" i="13"/>
  <c r="Z31" i="13" s="1"/>
  <c r="AA31" i="13" s="1"/>
  <c r="Y30" i="13"/>
  <c r="Z30" i="13" s="1"/>
  <c r="AA30" i="13" s="1"/>
  <c r="Y29" i="13"/>
  <c r="Z29" i="13" s="1"/>
  <c r="AA29" i="13" s="1"/>
  <c r="Y28" i="13"/>
  <c r="Z28" i="13" s="1"/>
  <c r="AA28" i="13" s="1"/>
  <c r="Y27" i="13"/>
  <c r="Z27" i="13" s="1"/>
  <c r="AA27" i="13" s="1"/>
  <c r="Y26" i="13"/>
  <c r="Z26" i="13" s="1"/>
  <c r="AA26" i="13" s="1"/>
  <c r="Y25" i="13"/>
  <c r="Z25" i="13" s="1"/>
  <c r="AA25" i="13" s="1"/>
  <c r="Y24" i="13"/>
  <c r="Z24" i="13" s="1"/>
  <c r="AA24" i="13" s="1"/>
  <c r="Y23" i="13"/>
  <c r="Z23" i="13" s="1"/>
  <c r="AA23" i="13" s="1"/>
  <c r="Y22" i="13"/>
  <c r="Z22" i="13" s="1"/>
  <c r="AA22" i="13" s="1"/>
  <c r="Y21" i="13"/>
  <c r="Z21" i="13" s="1"/>
  <c r="AA21" i="13" s="1"/>
  <c r="Y20" i="13"/>
  <c r="Z20" i="13" s="1"/>
  <c r="AA20" i="13" s="1"/>
  <c r="Y19" i="13"/>
  <c r="Z19" i="13" s="1"/>
  <c r="AA19" i="13" s="1"/>
  <c r="Y18" i="13"/>
  <c r="Z18" i="13" s="1"/>
  <c r="AA18" i="13" s="1"/>
  <c r="Y17" i="13"/>
  <c r="Z17" i="13" s="1"/>
  <c r="AA17" i="13" s="1"/>
  <c r="Y16" i="13"/>
  <c r="Z16" i="13" s="1"/>
  <c r="AA16" i="13" s="1"/>
  <c r="Y15" i="13"/>
  <c r="Z15" i="13" s="1"/>
  <c r="AA15" i="13" s="1"/>
  <c r="Y14" i="13"/>
  <c r="Z14" i="13" s="1"/>
  <c r="AA14" i="13" s="1"/>
  <c r="Y13" i="13"/>
  <c r="Z13" i="13" s="1"/>
  <c r="AA13" i="13" s="1"/>
  <c r="Y12" i="13"/>
  <c r="Z12" i="13" s="1"/>
  <c r="AA12" i="13" s="1"/>
  <c r="Y11" i="13"/>
  <c r="Z11" i="13" s="1"/>
  <c r="Y10" i="13"/>
  <c r="Z10" i="13" s="1"/>
  <c r="AA10" i="13" s="1"/>
  <c r="Y9" i="13"/>
  <c r="Z9" i="13" s="1"/>
  <c r="AA9" i="13" s="1"/>
  <c r="Y8" i="13"/>
  <c r="Z8" i="13" s="1"/>
  <c r="AA8" i="13" s="1"/>
  <c r="Y7" i="13"/>
  <c r="Z7" i="13" s="1"/>
  <c r="AA7" i="13" s="1"/>
  <c r="Y6" i="13"/>
  <c r="Z6" i="13" s="1"/>
  <c r="AA6" i="13" s="1"/>
  <c r="W106" i="13"/>
  <c r="W105" i="13"/>
  <c r="U108" i="13"/>
  <c r="V108" i="13" s="1"/>
  <c r="W108" i="13" s="1"/>
  <c r="U107" i="13"/>
  <c r="V107" i="13" s="1"/>
  <c r="W107" i="13" s="1"/>
  <c r="U106" i="13"/>
  <c r="V106" i="13" s="1"/>
  <c r="U105" i="13"/>
  <c r="V105" i="13" s="1"/>
  <c r="U104" i="13"/>
  <c r="V104" i="13" s="1"/>
  <c r="W104" i="13" s="1"/>
  <c r="U103" i="13"/>
  <c r="V103" i="13" s="1"/>
  <c r="W103" i="13" s="1"/>
  <c r="U102" i="13"/>
  <c r="V102" i="13" s="1"/>
  <c r="W102" i="13" s="1"/>
  <c r="U101" i="13"/>
  <c r="V101" i="13" s="1"/>
  <c r="W101" i="13" s="1"/>
  <c r="U100" i="13"/>
  <c r="V100" i="13" s="1"/>
  <c r="W100" i="13" s="1"/>
  <c r="U99" i="13"/>
  <c r="V99" i="13" s="1"/>
  <c r="W99" i="13" s="1"/>
  <c r="U98" i="13"/>
  <c r="V98" i="13" s="1"/>
  <c r="W98" i="13" s="1"/>
  <c r="U97" i="13"/>
  <c r="V97" i="13" s="1"/>
  <c r="W97" i="13" s="1"/>
  <c r="U96" i="13"/>
  <c r="V96" i="13" s="1"/>
  <c r="W96" i="13" s="1"/>
  <c r="U95" i="13"/>
  <c r="V95" i="13" s="1"/>
  <c r="W95" i="13" s="1"/>
  <c r="U94" i="13"/>
  <c r="V94" i="13" s="1"/>
  <c r="W94" i="13" s="1"/>
  <c r="U93" i="13"/>
  <c r="V93" i="13" s="1"/>
  <c r="W93" i="13" s="1"/>
  <c r="U92" i="13"/>
  <c r="V92" i="13" s="1"/>
  <c r="W92" i="13" s="1"/>
  <c r="U91" i="13"/>
  <c r="V91" i="13" s="1"/>
  <c r="W91" i="13" s="1"/>
  <c r="U90" i="13"/>
  <c r="V90" i="13" s="1"/>
  <c r="W90" i="13" s="1"/>
  <c r="U89" i="13"/>
  <c r="V89" i="13" s="1"/>
  <c r="W89" i="13" s="1"/>
  <c r="U88" i="13"/>
  <c r="V88" i="13" s="1"/>
  <c r="W88" i="13" s="1"/>
  <c r="U87" i="13"/>
  <c r="V87" i="13" s="1"/>
  <c r="W87" i="13" s="1"/>
  <c r="U86" i="13"/>
  <c r="V86" i="13" s="1"/>
  <c r="W86" i="13" s="1"/>
  <c r="U82" i="13"/>
  <c r="V82" i="13" s="1"/>
  <c r="W82" i="13" s="1"/>
  <c r="U81" i="13"/>
  <c r="V81" i="13" s="1"/>
  <c r="W81" i="13" s="1"/>
  <c r="U80" i="13"/>
  <c r="V80" i="13" s="1"/>
  <c r="W80" i="13" s="1"/>
  <c r="U79" i="13"/>
  <c r="V79" i="13" s="1"/>
  <c r="W79" i="13" s="1"/>
  <c r="U78" i="13"/>
  <c r="V78" i="13" s="1"/>
  <c r="W78" i="13" s="1"/>
  <c r="U77" i="13"/>
  <c r="V77" i="13" s="1"/>
  <c r="W77" i="13" s="1"/>
  <c r="U76" i="13"/>
  <c r="V76" i="13" s="1"/>
  <c r="W76" i="13" s="1"/>
  <c r="U75" i="13"/>
  <c r="V75" i="13" s="1"/>
  <c r="W75" i="13" s="1"/>
  <c r="U74" i="13"/>
  <c r="V74" i="13" s="1"/>
  <c r="W74" i="13" s="1"/>
  <c r="U73" i="13"/>
  <c r="V73" i="13" s="1"/>
  <c r="W73" i="13" s="1"/>
  <c r="W59" i="13"/>
  <c r="W57" i="13"/>
  <c r="W56" i="13"/>
  <c r="W43" i="13"/>
  <c r="U69" i="13"/>
  <c r="V69" i="13" s="1"/>
  <c r="W69" i="13" s="1"/>
  <c r="U68" i="13"/>
  <c r="V68" i="13" s="1"/>
  <c r="W68" i="13" s="1"/>
  <c r="U67" i="13"/>
  <c r="V67" i="13" s="1"/>
  <c r="W67" i="13" s="1"/>
  <c r="U66" i="13"/>
  <c r="V66" i="13" s="1"/>
  <c r="W66" i="13" s="1"/>
  <c r="U65" i="13"/>
  <c r="V65" i="13" s="1"/>
  <c r="W65" i="13" s="1"/>
  <c r="U64" i="13"/>
  <c r="V64" i="13" s="1"/>
  <c r="W64" i="13" s="1"/>
  <c r="U63" i="13"/>
  <c r="V63" i="13" s="1"/>
  <c r="W63" i="13" s="1"/>
  <c r="U62" i="13"/>
  <c r="V62" i="13" s="1"/>
  <c r="W62" i="13" s="1"/>
  <c r="U61" i="13"/>
  <c r="V61" i="13" s="1"/>
  <c r="W61" i="13" s="1"/>
  <c r="U60" i="13"/>
  <c r="V60" i="13" s="1"/>
  <c r="W60" i="13" s="1"/>
  <c r="U59" i="13"/>
  <c r="V59" i="13" s="1"/>
  <c r="U58" i="13"/>
  <c r="V58" i="13" s="1"/>
  <c r="W58" i="13" s="1"/>
  <c r="U57" i="13"/>
  <c r="V57" i="13" s="1"/>
  <c r="U56" i="13"/>
  <c r="V56" i="13" s="1"/>
  <c r="U55" i="13"/>
  <c r="V55" i="13" s="1"/>
  <c r="W55" i="13" s="1"/>
  <c r="U54" i="13"/>
  <c r="V54" i="13" s="1"/>
  <c r="W54" i="13" s="1"/>
  <c r="U53" i="13"/>
  <c r="V53" i="13" s="1"/>
  <c r="W53" i="13" s="1"/>
  <c r="U52" i="13"/>
  <c r="V52" i="13" s="1"/>
  <c r="W52" i="13" s="1"/>
  <c r="U51" i="13"/>
  <c r="V51" i="13" s="1"/>
  <c r="W51" i="13" s="1"/>
  <c r="U50" i="13"/>
  <c r="V50" i="13" s="1"/>
  <c r="W50" i="13" s="1"/>
  <c r="U49" i="13"/>
  <c r="V49" i="13" s="1"/>
  <c r="W49" i="13" s="1"/>
  <c r="U48" i="13"/>
  <c r="V48" i="13" s="1"/>
  <c r="W48" i="13" s="1"/>
  <c r="U47" i="13"/>
  <c r="V47" i="13" s="1"/>
  <c r="W47" i="13" s="1"/>
  <c r="U46" i="13"/>
  <c r="V46" i="13" s="1"/>
  <c r="W46" i="13" s="1"/>
  <c r="U45" i="13"/>
  <c r="V45" i="13" s="1"/>
  <c r="W45" i="13" s="1"/>
  <c r="U44" i="13"/>
  <c r="V44" i="13" s="1"/>
  <c r="W44" i="13" s="1"/>
  <c r="U43" i="13"/>
  <c r="V43" i="13" s="1"/>
  <c r="U42" i="13"/>
  <c r="V42" i="13" s="1"/>
  <c r="W42" i="13" s="1"/>
  <c r="U41" i="13"/>
  <c r="V41" i="13" s="1"/>
  <c r="W41" i="13" s="1"/>
  <c r="U37" i="13"/>
  <c r="V37" i="13" s="1"/>
  <c r="W37" i="13" s="1"/>
  <c r="U36" i="13"/>
  <c r="V36" i="13" s="1"/>
  <c r="W36" i="13" s="1"/>
  <c r="U35" i="13"/>
  <c r="V35" i="13" s="1"/>
  <c r="W35" i="13" s="1"/>
  <c r="U34" i="13"/>
  <c r="V34" i="13" s="1"/>
  <c r="W34" i="13" s="1"/>
  <c r="U33" i="13"/>
  <c r="V33" i="13" s="1"/>
  <c r="W33" i="13" s="1"/>
  <c r="U32" i="13"/>
  <c r="V32" i="13" s="1"/>
  <c r="W32" i="13" s="1"/>
  <c r="U31" i="13"/>
  <c r="V31" i="13" s="1"/>
  <c r="W31" i="13" s="1"/>
  <c r="U30" i="13"/>
  <c r="V30" i="13" s="1"/>
  <c r="W30" i="13" s="1"/>
  <c r="U29" i="13"/>
  <c r="V29" i="13" s="1"/>
  <c r="W29" i="13" s="1"/>
  <c r="U28" i="13"/>
  <c r="V28" i="13" s="1"/>
  <c r="W28" i="13" s="1"/>
  <c r="U27" i="13"/>
  <c r="V27" i="13" s="1"/>
  <c r="W27" i="13" s="1"/>
  <c r="U26" i="13"/>
  <c r="V26" i="13" s="1"/>
  <c r="W26" i="13" s="1"/>
  <c r="U25" i="13"/>
  <c r="V25" i="13" s="1"/>
  <c r="W25" i="13" s="1"/>
  <c r="U24" i="13"/>
  <c r="V24" i="13" s="1"/>
  <c r="W24" i="13" s="1"/>
  <c r="U23" i="13"/>
  <c r="V23" i="13" s="1"/>
  <c r="W23" i="13" s="1"/>
  <c r="U22" i="13"/>
  <c r="V22" i="13" s="1"/>
  <c r="W22" i="13" s="1"/>
  <c r="U21" i="13"/>
  <c r="V21" i="13" s="1"/>
  <c r="W21" i="13" s="1"/>
  <c r="U20" i="13"/>
  <c r="V20" i="13" s="1"/>
  <c r="W20" i="13" s="1"/>
  <c r="U19" i="13"/>
  <c r="V19" i="13" s="1"/>
  <c r="W19" i="13" s="1"/>
  <c r="U18" i="13"/>
  <c r="V18" i="13" s="1"/>
  <c r="W18" i="13" s="1"/>
  <c r="U17" i="13"/>
  <c r="V17" i="13" s="1"/>
  <c r="W17" i="13" s="1"/>
  <c r="U16" i="13"/>
  <c r="V16" i="13" s="1"/>
  <c r="W16" i="13" s="1"/>
  <c r="U15" i="13"/>
  <c r="V15" i="13" s="1"/>
  <c r="W15" i="13" s="1"/>
  <c r="U14" i="13"/>
  <c r="V14" i="13" s="1"/>
  <c r="W14" i="13" s="1"/>
  <c r="U13" i="13"/>
  <c r="V13" i="13" s="1"/>
  <c r="W13" i="13" s="1"/>
  <c r="U12" i="13"/>
  <c r="V12" i="13" s="1"/>
  <c r="W12" i="13" s="1"/>
  <c r="U11" i="13"/>
  <c r="V11" i="13" s="1"/>
  <c r="W11" i="13" s="1"/>
  <c r="U10" i="13"/>
  <c r="V10" i="13" s="1"/>
  <c r="W10" i="13" s="1"/>
  <c r="U9" i="13"/>
  <c r="V9" i="13" s="1"/>
  <c r="W9" i="13" s="1"/>
  <c r="U8" i="13"/>
  <c r="V8" i="13" s="1"/>
  <c r="W8" i="13" s="1"/>
  <c r="U7" i="13"/>
  <c r="V7" i="13" s="1"/>
  <c r="W7" i="13" s="1"/>
  <c r="U6" i="13"/>
  <c r="V6" i="13" s="1"/>
  <c r="W6" i="13" s="1"/>
  <c r="S96" i="13"/>
  <c r="Q108" i="13"/>
  <c r="R108" i="13" s="1"/>
  <c r="S108" i="13" s="1"/>
  <c r="Q107" i="13"/>
  <c r="R107" i="13" s="1"/>
  <c r="S107" i="13" s="1"/>
  <c r="Q106" i="13"/>
  <c r="R106" i="13" s="1"/>
  <c r="S106" i="13" s="1"/>
  <c r="Q105" i="13"/>
  <c r="R105" i="13" s="1"/>
  <c r="S105" i="13" s="1"/>
  <c r="Q104" i="13"/>
  <c r="R104" i="13" s="1"/>
  <c r="S104" i="13" s="1"/>
  <c r="Q103" i="13"/>
  <c r="R103" i="13" s="1"/>
  <c r="S103" i="13" s="1"/>
  <c r="Q102" i="13"/>
  <c r="R102" i="13" s="1"/>
  <c r="S102" i="13" s="1"/>
  <c r="Q101" i="13"/>
  <c r="R101" i="13" s="1"/>
  <c r="S101" i="13" s="1"/>
  <c r="Q100" i="13"/>
  <c r="R100" i="13" s="1"/>
  <c r="S100" i="13" s="1"/>
  <c r="Q99" i="13"/>
  <c r="R99" i="13" s="1"/>
  <c r="S99" i="13" s="1"/>
  <c r="Q98" i="13"/>
  <c r="R98" i="13" s="1"/>
  <c r="S98" i="13" s="1"/>
  <c r="Q97" i="13"/>
  <c r="R97" i="13" s="1"/>
  <c r="S97" i="13" s="1"/>
  <c r="Q96" i="13"/>
  <c r="R96" i="13" s="1"/>
  <c r="Q95" i="13"/>
  <c r="R95" i="13" s="1"/>
  <c r="S95" i="13" s="1"/>
  <c r="Q94" i="13"/>
  <c r="R94" i="13" s="1"/>
  <c r="S94" i="13" s="1"/>
  <c r="Q93" i="13"/>
  <c r="R93" i="13" s="1"/>
  <c r="S93" i="13" s="1"/>
  <c r="Q92" i="13"/>
  <c r="R92" i="13" s="1"/>
  <c r="S92" i="13" s="1"/>
  <c r="Q91" i="13"/>
  <c r="R91" i="13" s="1"/>
  <c r="S91" i="13" s="1"/>
  <c r="Q90" i="13"/>
  <c r="R90" i="13" s="1"/>
  <c r="S90" i="13" s="1"/>
  <c r="Q89" i="13"/>
  <c r="R89" i="13" s="1"/>
  <c r="S89" i="13" s="1"/>
  <c r="Q88" i="13"/>
  <c r="R88" i="13" s="1"/>
  <c r="S88" i="13" s="1"/>
  <c r="Q87" i="13"/>
  <c r="R87" i="13" s="1"/>
  <c r="S87" i="13" s="1"/>
  <c r="Q86" i="13"/>
  <c r="R86" i="13" s="1"/>
  <c r="S86" i="13" s="1"/>
  <c r="Q82" i="13"/>
  <c r="R82" i="13" s="1"/>
  <c r="S82" i="13" s="1"/>
  <c r="Q81" i="13"/>
  <c r="R81" i="13" s="1"/>
  <c r="S81" i="13" s="1"/>
  <c r="Q80" i="13"/>
  <c r="R80" i="13" s="1"/>
  <c r="S80" i="13" s="1"/>
  <c r="Q79" i="13"/>
  <c r="R79" i="13" s="1"/>
  <c r="S79" i="13" s="1"/>
  <c r="Q78" i="13"/>
  <c r="R78" i="13" s="1"/>
  <c r="S78" i="13" s="1"/>
  <c r="Q77" i="13"/>
  <c r="R77" i="13" s="1"/>
  <c r="S77" i="13" s="1"/>
  <c r="Q76" i="13"/>
  <c r="R76" i="13" s="1"/>
  <c r="S76" i="13" s="1"/>
  <c r="Q75" i="13"/>
  <c r="R75" i="13" s="1"/>
  <c r="S75" i="13" s="1"/>
  <c r="Q74" i="13"/>
  <c r="R74" i="13" s="1"/>
  <c r="S74" i="13" s="1"/>
  <c r="Q73" i="13"/>
  <c r="R73" i="13" s="1"/>
  <c r="S73" i="13" s="1"/>
  <c r="S61" i="13"/>
  <c r="Q69" i="13"/>
  <c r="R69" i="13" s="1"/>
  <c r="S69" i="13" s="1"/>
  <c r="Q68" i="13"/>
  <c r="R68" i="13" s="1"/>
  <c r="S68" i="13" s="1"/>
  <c r="Q67" i="13"/>
  <c r="R67" i="13" s="1"/>
  <c r="S67" i="13" s="1"/>
  <c r="Q66" i="13"/>
  <c r="R66" i="13" s="1"/>
  <c r="S66" i="13" s="1"/>
  <c r="Q65" i="13"/>
  <c r="R65" i="13" s="1"/>
  <c r="S65" i="13" s="1"/>
  <c r="Q64" i="13"/>
  <c r="R64" i="13" s="1"/>
  <c r="S64" i="13" s="1"/>
  <c r="Q63" i="13"/>
  <c r="R63" i="13" s="1"/>
  <c r="S63" i="13" s="1"/>
  <c r="Q62" i="13"/>
  <c r="R62" i="13" s="1"/>
  <c r="S62" i="13" s="1"/>
  <c r="Q61" i="13"/>
  <c r="R61" i="13" s="1"/>
  <c r="Q60" i="13"/>
  <c r="R60" i="13" s="1"/>
  <c r="S60" i="13" s="1"/>
  <c r="Q59" i="13"/>
  <c r="R59" i="13" s="1"/>
  <c r="S59" i="13" s="1"/>
  <c r="Q58" i="13"/>
  <c r="R58" i="13" s="1"/>
  <c r="S58" i="13" s="1"/>
  <c r="Q57" i="13"/>
  <c r="R57" i="13" s="1"/>
  <c r="S57" i="13" s="1"/>
  <c r="Q56" i="13"/>
  <c r="R56" i="13" s="1"/>
  <c r="S56" i="13" s="1"/>
  <c r="Q55" i="13"/>
  <c r="R55" i="13" s="1"/>
  <c r="S55" i="13" s="1"/>
  <c r="Q54" i="13"/>
  <c r="R54" i="13" s="1"/>
  <c r="S54" i="13" s="1"/>
  <c r="Q53" i="13"/>
  <c r="R53" i="13" s="1"/>
  <c r="S53" i="13" s="1"/>
  <c r="Q52" i="13"/>
  <c r="R52" i="13" s="1"/>
  <c r="S52" i="13" s="1"/>
  <c r="Q51" i="13"/>
  <c r="R51" i="13" s="1"/>
  <c r="S51" i="13" s="1"/>
  <c r="Q50" i="13"/>
  <c r="R50" i="13" s="1"/>
  <c r="S50" i="13" s="1"/>
  <c r="Q49" i="13"/>
  <c r="R49" i="13" s="1"/>
  <c r="S49" i="13" s="1"/>
  <c r="Q48" i="13"/>
  <c r="R48" i="13" s="1"/>
  <c r="S48" i="13" s="1"/>
  <c r="Q47" i="13"/>
  <c r="R47" i="13" s="1"/>
  <c r="S47" i="13" s="1"/>
  <c r="Q46" i="13"/>
  <c r="R46" i="13" s="1"/>
  <c r="S46" i="13" s="1"/>
  <c r="Q45" i="13"/>
  <c r="R45" i="13" s="1"/>
  <c r="S45" i="13" s="1"/>
  <c r="Q44" i="13"/>
  <c r="R44" i="13" s="1"/>
  <c r="S44" i="13" s="1"/>
  <c r="Q43" i="13"/>
  <c r="R43" i="13" s="1"/>
  <c r="S43" i="13" s="1"/>
  <c r="Q42" i="13"/>
  <c r="R42" i="13" s="1"/>
  <c r="S42" i="13" s="1"/>
  <c r="Q41" i="13"/>
  <c r="R41" i="13" s="1"/>
  <c r="S41" i="13" s="1"/>
  <c r="Q37" i="13"/>
  <c r="R37" i="13" s="1"/>
  <c r="S37" i="13" s="1"/>
  <c r="Q36" i="13"/>
  <c r="R36" i="13" s="1"/>
  <c r="S36" i="13" s="1"/>
  <c r="Q35" i="13"/>
  <c r="R35" i="13" s="1"/>
  <c r="S35" i="13" s="1"/>
  <c r="Q34" i="13"/>
  <c r="R34" i="13" s="1"/>
  <c r="S34" i="13" s="1"/>
  <c r="Q33" i="13"/>
  <c r="R33" i="13" s="1"/>
  <c r="S33" i="13" s="1"/>
  <c r="Q32" i="13"/>
  <c r="R32" i="13" s="1"/>
  <c r="S32" i="13" s="1"/>
  <c r="Q31" i="13"/>
  <c r="R31" i="13" s="1"/>
  <c r="S31" i="13" s="1"/>
  <c r="Q30" i="13"/>
  <c r="R30" i="13" s="1"/>
  <c r="S30" i="13" s="1"/>
  <c r="Q29" i="13"/>
  <c r="R29" i="13" s="1"/>
  <c r="S29" i="13" s="1"/>
  <c r="Q28" i="13"/>
  <c r="R28" i="13" s="1"/>
  <c r="S28" i="13" s="1"/>
  <c r="Q27" i="13"/>
  <c r="R27" i="13" s="1"/>
  <c r="S27" i="13" s="1"/>
  <c r="Q26" i="13"/>
  <c r="R26" i="13" s="1"/>
  <c r="S26" i="13" s="1"/>
  <c r="Q25" i="13"/>
  <c r="R25" i="13" s="1"/>
  <c r="S25" i="13" s="1"/>
  <c r="Q24" i="13"/>
  <c r="R24" i="13" s="1"/>
  <c r="S24" i="13" s="1"/>
  <c r="Q23" i="13"/>
  <c r="R23" i="13" s="1"/>
  <c r="S23" i="13" s="1"/>
  <c r="Q22" i="13"/>
  <c r="R22" i="13" s="1"/>
  <c r="S22" i="13" s="1"/>
  <c r="Q21" i="13"/>
  <c r="R21" i="13" s="1"/>
  <c r="S21" i="13" s="1"/>
  <c r="Q20" i="13"/>
  <c r="R20" i="13" s="1"/>
  <c r="S20" i="13" s="1"/>
  <c r="Q19" i="13"/>
  <c r="R19" i="13" s="1"/>
  <c r="S19" i="13" s="1"/>
  <c r="Q18" i="13"/>
  <c r="R18" i="13" s="1"/>
  <c r="S18" i="13" s="1"/>
  <c r="Q17" i="13"/>
  <c r="R17" i="13" s="1"/>
  <c r="S17" i="13" s="1"/>
  <c r="Q16" i="13"/>
  <c r="R16" i="13" s="1"/>
  <c r="S16" i="13" s="1"/>
  <c r="Q15" i="13"/>
  <c r="R15" i="13" s="1"/>
  <c r="S15" i="13" s="1"/>
  <c r="Q14" i="13"/>
  <c r="R14" i="13" s="1"/>
  <c r="S14" i="13" s="1"/>
  <c r="Q13" i="13"/>
  <c r="R13" i="13" s="1"/>
  <c r="S13" i="13" s="1"/>
  <c r="Q12" i="13"/>
  <c r="R12" i="13" s="1"/>
  <c r="S12" i="13" s="1"/>
  <c r="Q11" i="13"/>
  <c r="R11" i="13" s="1"/>
  <c r="S11" i="13" s="1"/>
  <c r="Q10" i="13"/>
  <c r="R10" i="13" s="1"/>
  <c r="S10" i="13" s="1"/>
  <c r="Q9" i="13"/>
  <c r="R9" i="13" s="1"/>
  <c r="S9" i="13" s="1"/>
  <c r="Q8" i="13"/>
  <c r="R8" i="13" s="1"/>
  <c r="S8" i="13" s="1"/>
  <c r="Q7" i="13"/>
  <c r="R7" i="13" s="1"/>
  <c r="S7" i="13" s="1"/>
  <c r="Q6" i="13"/>
  <c r="R6" i="13" s="1"/>
  <c r="S6" i="13" s="1"/>
  <c r="AA38" i="13" l="1"/>
  <c r="AA70" i="13"/>
  <c r="AA109" i="13"/>
  <c r="AA83" i="13"/>
  <c r="W38" i="13"/>
  <c r="W109" i="13"/>
  <c r="W70" i="13"/>
  <c r="W83" i="13"/>
  <c r="S109" i="13"/>
  <c r="S38" i="13"/>
  <c r="O8" i="13"/>
  <c r="O7" i="13"/>
  <c r="O6" i="13"/>
  <c r="I87" i="13"/>
  <c r="J87" i="13" s="1"/>
  <c r="K87" i="13" s="1"/>
  <c r="I88" i="13"/>
  <c r="J88" i="13" s="1"/>
  <c r="K88" i="13" s="1"/>
  <c r="I89" i="13"/>
  <c r="J89" i="13" s="1"/>
  <c r="K89" i="13" s="1"/>
  <c r="I90" i="13"/>
  <c r="J90" i="13" s="1"/>
  <c r="K90" i="13" s="1"/>
  <c r="I91" i="13"/>
  <c r="J91" i="13" s="1"/>
  <c r="K91" i="13" s="1"/>
  <c r="I92" i="13"/>
  <c r="J92" i="13" s="1"/>
  <c r="K92" i="13" s="1"/>
  <c r="I93" i="13"/>
  <c r="J93" i="13" s="1"/>
  <c r="K93" i="13" s="1"/>
  <c r="I94" i="13"/>
  <c r="J94" i="13" s="1"/>
  <c r="K94" i="13" s="1"/>
  <c r="I95" i="13"/>
  <c r="J95" i="13"/>
  <c r="K95" i="13" s="1"/>
  <c r="I96" i="13"/>
  <c r="J96" i="13" s="1"/>
  <c r="K96" i="13" s="1"/>
  <c r="I97" i="13"/>
  <c r="J97" i="13" s="1"/>
  <c r="K97" i="13" s="1"/>
  <c r="I98" i="13"/>
  <c r="J98" i="13" s="1"/>
  <c r="K98" i="13" s="1"/>
  <c r="I99" i="13"/>
  <c r="J99" i="13" s="1"/>
  <c r="K99" i="13" s="1"/>
  <c r="I100" i="13"/>
  <c r="J100" i="13" s="1"/>
  <c r="K100" i="13" s="1"/>
  <c r="I101" i="13"/>
  <c r="J101" i="13" s="1"/>
  <c r="K101" i="13" s="1"/>
  <c r="I102" i="13"/>
  <c r="J102" i="13" s="1"/>
  <c r="K102" i="13" s="1"/>
  <c r="I103" i="13"/>
  <c r="J103" i="13"/>
  <c r="K103" i="13" s="1"/>
  <c r="I104" i="13"/>
  <c r="J104" i="13" s="1"/>
  <c r="K104" i="13" s="1"/>
  <c r="I105" i="13"/>
  <c r="J105" i="13" s="1"/>
  <c r="K105" i="13" s="1"/>
  <c r="I106" i="13"/>
  <c r="J106" i="13" s="1"/>
  <c r="K106" i="13" s="1"/>
  <c r="I107" i="13"/>
  <c r="J107" i="13" s="1"/>
  <c r="K107" i="13" s="1"/>
  <c r="I108" i="13"/>
  <c r="J108" i="13" s="1"/>
  <c r="K108" i="13" s="1"/>
  <c r="I86" i="13"/>
  <c r="J86" i="13" s="1"/>
  <c r="K86" i="13" s="1"/>
  <c r="I74" i="13"/>
  <c r="J74" i="13" s="1"/>
  <c r="K74" i="13" s="1"/>
  <c r="I75" i="13"/>
  <c r="J75" i="13" s="1"/>
  <c r="K75" i="13" s="1"/>
  <c r="I76" i="13"/>
  <c r="J76" i="13" s="1"/>
  <c r="K76" i="13" s="1"/>
  <c r="I77" i="13"/>
  <c r="J77" i="13" s="1"/>
  <c r="K77" i="13" s="1"/>
  <c r="I78" i="13"/>
  <c r="J78" i="13" s="1"/>
  <c r="K78" i="13" s="1"/>
  <c r="I79" i="13"/>
  <c r="J79" i="13" s="1"/>
  <c r="K79" i="13" s="1"/>
  <c r="I80" i="13"/>
  <c r="J80" i="13"/>
  <c r="K80" i="13" s="1"/>
  <c r="I81" i="13"/>
  <c r="J81" i="13" s="1"/>
  <c r="K81" i="13" s="1"/>
  <c r="I82" i="13"/>
  <c r="J82" i="13" s="1"/>
  <c r="K82" i="13" s="1"/>
  <c r="I73" i="13"/>
  <c r="J73" i="13" s="1"/>
  <c r="K73" i="13" s="1"/>
  <c r="I42" i="13"/>
  <c r="J42" i="13" s="1"/>
  <c r="K42" i="13" s="1"/>
  <c r="I43" i="13"/>
  <c r="J43" i="13" s="1"/>
  <c r="K43" i="13" s="1"/>
  <c r="I44" i="13"/>
  <c r="J44" i="13" s="1"/>
  <c r="K44" i="13" s="1"/>
  <c r="I45" i="13"/>
  <c r="J45" i="13" s="1"/>
  <c r="K45" i="13" s="1"/>
  <c r="I46" i="13"/>
  <c r="J46" i="13" s="1"/>
  <c r="K46" i="13" s="1"/>
  <c r="I47" i="13"/>
  <c r="J47" i="13" s="1"/>
  <c r="K47" i="13" s="1"/>
  <c r="I48" i="13"/>
  <c r="J48" i="13" s="1"/>
  <c r="K48" i="13" s="1"/>
  <c r="I49" i="13"/>
  <c r="J49" i="13" s="1"/>
  <c r="K49" i="13" s="1"/>
  <c r="I50" i="13"/>
  <c r="J50" i="13" s="1"/>
  <c r="K50" i="13" s="1"/>
  <c r="I51" i="13"/>
  <c r="J51" i="13" s="1"/>
  <c r="K51" i="13" s="1"/>
  <c r="I52" i="13"/>
  <c r="J52" i="13" s="1"/>
  <c r="K52" i="13" s="1"/>
  <c r="I53" i="13"/>
  <c r="J53" i="13"/>
  <c r="K53" i="13" s="1"/>
  <c r="I54" i="13"/>
  <c r="J54" i="13" s="1"/>
  <c r="K54" i="13" s="1"/>
  <c r="I55" i="13"/>
  <c r="J55" i="13" s="1"/>
  <c r="K55" i="13" s="1"/>
  <c r="I56" i="13"/>
  <c r="J56" i="13" s="1"/>
  <c r="K56" i="13" s="1"/>
  <c r="I57" i="13"/>
  <c r="J57" i="13" s="1"/>
  <c r="K57" i="13" s="1"/>
  <c r="I58" i="13"/>
  <c r="J58" i="13" s="1"/>
  <c r="K58" i="13" s="1"/>
  <c r="I59" i="13"/>
  <c r="J59" i="13"/>
  <c r="K59" i="13"/>
  <c r="I60" i="13"/>
  <c r="J60" i="13" s="1"/>
  <c r="K60" i="13" s="1"/>
  <c r="I61" i="13"/>
  <c r="J61" i="13" s="1"/>
  <c r="K61" i="13" s="1"/>
  <c r="I62" i="13"/>
  <c r="J62" i="13" s="1"/>
  <c r="K62" i="13" s="1"/>
  <c r="I63" i="13"/>
  <c r="J63" i="13"/>
  <c r="K63" i="13" s="1"/>
  <c r="I64" i="13"/>
  <c r="J64" i="13" s="1"/>
  <c r="K64" i="13" s="1"/>
  <c r="I65" i="13"/>
  <c r="J65" i="13"/>
  <c r="K65" i="13" s="1"/>
  <c r="I66" i="13"/>
  <c r="J66" i="13" s="1"/>
  <c r="K66" i="13" s="1"/>
  <c r="I67" i="13"/>
  <c r="J67" i="13" s="1"/>
  <c r="K67" i="13" s="1"/>
  <c r="I68" i="13"/>
  <c r="J68" i="13" s="1"/>
  <c r="K68" i="13" s="1"/>
  <c r="I69" i="13"/>
  <c r="J69" i="13"/>
  <c r="K69" i="13" s="1"/>
  <c r="I41" i="13"/>
  <c r="J41" i="13" s="1"/>
  <c r="K41" i="13" s="1"/>
  <c r="I7" i="13"/>
  <c r="J7" i="13" s="1"/>
  <c r="K7" i="13" s="1"/>
  <c r="I8" i="13"/>
  <c r="J8" i="13" s="1"/>
  <c r="K8" i="13" s="1"/>
  <c r="I9" i="13"/>
  <c r="J9" i="13" s="1"/>
  <c r="K9" i="13" s="1"/>
  <c r="I10" i="13"/>
  <c r="J10" i="13" s="1"/>
  <c r="K10" i="13" s="1"/>
  <c r="I11" i="13"/>
  <c r="J11" i="13" s="1"/>
  <c r="K11" i="13" s="1"/>
  <c r="I12" i="13"/>
  <c r="J12" i="13" s="1"/>
  <c r="K12" i="13" s="1"/>
  <c r="I13" i="13"/>
  <c r="J13" i="13"/>
  <c r="K13" i="13" s="1"/>
  <c r="I14" i="13"/>
  <c r="J14" i="13" s="1"/>
  <c r="K14" i="13" s="1"/>
  <c r="I15" i="13"/>
  <c r="J15" i="13" s="1"/>
  <c r="K15" i="13" s="1"/>
  <c r="I16" i="13"/>
  <c r="J16" i="13" s="1"/>
  <c r="K16" i="13" s="1"/>
  <c r="I17" i="13"/>
  <c r="J17" i="13" s="1"/>
  <c r="K17" i="13" s="1"/>
  <c r="I18" i="13"/>
  <c r="J18" i="13" s="1"/>
  <c r="K18" i="13" s="1"/>
  <c r="I19" i="13"/>
  <c r="J19" i="13" s="1"/>
  <c r="K19" i="13" s="1"/>
  <c r="I20" i="13"/>
  <c r="J20" i="13" s="1"/>
  <c r="K20" i="13" s="1"/>
  <c r="I21" i="13"/>
  <c r="J21" i="13" s="1"/>
  <c r="K21" i="13" s="1"/>
  <c r="I22" i="13"/>
  <c r="J22" i="13" s="1"/>
  <c r="K22" i="13" s="1"/>
  <c r="I23" i="13"/>
  <c r="J23" i="13" s="1"/>
  <c r="K23" i="13" s="1"/>
  <c r="I24" i="13"/>
  <c r="J24" i="13" s="1"/>
  <c r="K24" i="13" s="1"/>
  <c r="I25" i="13"/>
  <c r="J25" i="13"/>
  <c r="K25" i="13" s="1"/>
  <c r="I26" i="13"/>
  <c r="J26" i="13" s="1"/>
  <c r="K26" i="13" s="1"/>
  <c r="I27" i="13"/>
  <c r="J27" i="13" s="1"/>
  <c r="K27" i="13" s="1"/>
  <c r="I28" i="13"/>
  <c r="J28" i="13" s="1"/>
  <c r="K28" i="13" s="1"/>
  <c r="I29" i="13"/>
  <c r="J29" i="13" s="1"/>
  <c r="K29" i="13" s="1"/>
  <c r="I30" i="13"/>
  <c r="J30" i="13" s="1"/>
  <c r="K30" i="13" s="1"/>
  <c r="I31" i="13"/>
  <c r="J31" i="13" s="1"/>
  <c r="K31" i="13" s="1"/>
  <c r="I32" i="13"/>
  <c r="J32" i="13" s="1"/>
  <c r="K32" i="13" s="1"/>
  <c r="I33" i="13"/>
  <c r="J33" i="13" s="1"/>
  <c r="K33" i="13" s="1"/>
  <c r="I34" i="13"/>
  <c r="J34" i="13" s="1"/>
  <c r="K34" i="13" s="1"/>
  <c r="I35" i="13"/>
  <c r="J35" i="13" s="1"/>
  <c r="K35" i="13" s="1"/>
  <c r="I36" i="13"/>
  <c r="J36" i="13" s="1"/>
  <c r="K36" i="13" s="1"/>
  <c r="I37" i="13"/>
  <c r="J37" i="13" s="1"/>
  <c r="K37" i="13" s="1"/>
  <c r="I6" i="13"/>
  <c r="J6" i="13" s="1"/>
  <c r="K6" i="13" s="1"/>
  <c r="O38" i="13" l="1"/>
  <c r="O110" i="13" s="1"/>
  <c r="K83" i="13"/>
  <c r="AA110" i="13"/>
  <c r="W110" i="13"/>
  <c r="K38" i="13"/>
  <c r="K109" i="13"/>
  <c r="S83" i="13"/>
  <c r="S70" i="13"/>
  <c r="K70" i="13"/>
  <c r="K110" i="13" l="1"/>
  <c r="S110" i="13"/>
  <c r="M109" i="15"/>
  <c r="M110" i="15" s="1"/>
  <c r="AF86" i="15"/>
  <c r="AF109" i="15" s="1"/>
  <c r="AF110" i="15" s="1"/>
  <c r="L109" i="15"/>
  <c r="L110" i="15" s="1"/>
  <c r="AH86" i="15"/>
  <c r="AH109" i="15" s="1"/>
  <c r="AH110" i="1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<sst xmlns="http://schemas.openxmlformats.org/spreadsheetml/2006/main" count="2816" uniqueCount="413">
  <si>
    <t>CANTIDAD</t>
  </si>
  <si>
    <t>ML</t>
  </si>
  <si>
    <t>M2</t>
  </si>
  <si>
    <t>M3</t>
  </si>
  <si>
    <t>UN</t>
  </si>
  <si>
    <t>DESMONTE DE CUBIERTAS (ASBESTO CEMENTO)</t>
  </si>
  <si>
    <t>UND</t>
  </si>
  <si>
    <t>VIDEO BEAM CON RESOLUCIÓN 1024x768, BRILLO MINIMO DE 3300 LUMENES (BLANCO Y COLOR), VIDA UTIL LAMPARA HASTA 12.000 HORAS, PUERTOS: RCA/HDMI/USB/STEREO/RS-232. ALIMENTACION 100v-240v, 50-60HZ, CUENTA CON MODO DE OPERACIÓN PARA DISMINUCIÓN DE CONSUMO ELECTRICO. INCLUYE CONTROL REMOTO.</t>
  </si>
  <si>
    <t>COMPUTADOR DE ESCRITORIO CON PROCESADOR MINIMO DE 8 NUCLEOS Y 3,4GHz DE FRECUENCIA DE RELOJ, MEMORIA RAM DDR4 DE 16 GB, 1 DISCO DURO HDD DE 1 TB Y 1 DISCO DURO SDD DE 512 GB, CON TARJETA GRAFICA Y TARJETA DE RED 100/1000 Y CONEXIÓN WIFI, SISTEMA OPERATIVO WINDOWS 10 O SUPERIOR EN LA VERSION PRO, MONITOR CON RESOLUCIÓN FULL HD Y TAMAÑO MINIMO DE 21". TECLADO Y MOUSE ESTANDAR CON CONEXIÓN USB. EL EQUIPO SE DEBE ENTREGAR TOTALMENTE ENSAMBLADO Y FUNCIONANDO. CPU, MONITOR, MOUSE Y TECLADO DEBEN SER COMPATIBLES Y DEL MISMO FABRICANTE. SE DEBE INCLUIR DISPOSITIVO EXTERNO PARA CONEXIÓN ELECTRICA CON SUPRESIÓN DE PICOS.</t>
  </si>
  <si>
    <t>IMPRESORA MULTIFUNCIONAL CON SISTEMA DE IMPRESIÓN DE INYECCIÓN TIPO TANQUE, RESOLUCIÓN DE IMPRESIÓN MINIMA DE 5760X1440 DPI, VELOCIDAD DE IMPRESIÓN DE 33PPM EN NEGRO Y 15PPM A COLOR. RESOLUCIÓN OPTICA PARA COPIAS Y ESCANER DE 600x1200 DPI. CONECTIVIDAD DE ALTA VELOCIDAD USB. COMPATIBILIDAD CON SISTEMAS OPERATIVOS WINDOWS Y MAC. VOLTAJE DE ALIMENTACIÓN DE 110V. DEBE INCLUIR UN JUEGO DE TINTAS DE CADA COLOR (NEGRO, CYAN, MAGENTA, AMARILLO).</t>
  </si>
  <si>
    <t>SILLA PLÁSTICA CON BRAZOS, RESISTENCIA MINIMA DE 115 KILOS. MEDIDAS APROXIMADAS DE 57 x 60 x 80 CM. COLOR BLANCO O CAFE.</t>
  </si>
  <si>
    <t>MESA PLÁSTICA DE 4 PUESTOS, MEDIDAS APROXIMADAS DE 80 x 80 x 72 CM. COLOR BLANCO O CAFÉ.</t>
  </si>
  <si>
    <t>ESCRITORIO LINEAL CON ESTRUCTURA EN TUBO METALICO CUADRADO O RECTANGULAR DE 2", TERMINACIÓN EN PINTURA ELECTROESTATICA, SUPERFICIE CON RECUBRIMIENTO EN MELAMINA DE 30mm. DIMENSIONES: 150 X 60 CM. INCLUYE CAJONERA EN LAMINA CALIBRE 22.</t>
  </si>
  <si>
    <t xml:space="preserve">TELEVISOR SMART TV DE 55", RESOLUCIÓN 4K- UHD (3840x2160), HDR10, TASA DE REFRESCO DE 60 Hz, CON SINTONIZADOR DVB-T2. 3 PUERTOS HDMI, 1 PUERTO ETHERNET, 1 PUERTO USB 3.0, SALIDA DE AUDIO 3,5mm, ENTRADA COAXIAL. CONEXIÓN INALAMBRICA POR BLUETOOTH Y WIFI. POTENCIA DE AUDIO MINIMO DE 20W COMPATIBLE CON DOLBY AUDIO. </t>
  </si>
  <si>
    <t>LICUADORA INDUSTRIAL CAPACIDAD 10 LITROS, ESTRUCTURA EN ACERO INOXIDABLE 304, MOTOR DE 1 HP, CUCHILLAS EN ACERO REFORZADO, VASO ABATIBLE. CONEXIÓN ELECTRICA A 110 VOLTIOS.</t>
  </si>
  <si>
    <t>CARPA PARA EXTERIORES TIPO KIOSCO DE 4 x 4 METROS, 4 AGUAS, ESTRUCTURA METALICA EN TUBO CALIBRE 18 (PARALES) y 20 (CERCHAS Y ARAÑA). LONA IMPERMEABLE PVC DE 400 MICRAS</t>
  </si>
  <si>
    <t>ARMARIO ORGANIZADOR METALICO, ESTRUCTURA EN LAMINA CALIBRE 22, TERMINACION CON PINTURA ELECTROESTATICA. DIMENSIONES MINIMAS DE 180 x 90 CM. DEBE INCLUIR 4 ENTREPAÑOS GRADUABLES Y 2 PUERTAS CON CERRADURA TIPO MANIJA QUE PERMITA ASEGURAR EN 3 PUNTOS.</t>
  </si>
  <si>
    <t xml:space="preserve">MESA PLEGABLE PLASTICA TIPO MALETIN, ESTRUCTURA EN ACERO, TABLERO EN POLIETILENO DE ALTA DENSIDAD, DIMENSIONES MINIMAS DE 180 CM DE LARGO Y 70 CM DE ANCHO </t>
  </si>
  <si>
    <t>ESCABILADERO PARA BANDEJAS DE 60 x 40 CM, FABRICADO EN ACERO INOXIDABLE, CAPACIDAD PARA ALMACENAR MINIMO 12 BANDEJAS.</t>
  </si>
  <si>
    <t>JUEGO DE OLLAS DE ALUMINIO, CAPACIDAD DE 2 A 14 LITROS, 6 UNIDADES, FABRICADAS EN ALUMINIO DE ALTA PUREZA. INCLUYE: 1 OLLA DE 2 LITROS, 1 OLLA DE 2.5 LITROS, 1 OLLA DE 4 LITROS, 1 OLLA DE 6 LITROS, 1 OLLA DE 12 LITROS Y 1 OLLA DE 14 LITROS. CADA OLLA INCLUYE TAPA.</t>
  </si>
  <si>
    <t>CALDERO MEDIANO DE 11 LITROS, FABRICADO EN ALUMINIO FUNDIDO, TAPA FUNDIDA CON POMO PLASTICO, ASAS EN ALUMINIO FUNDIDO.</t>
  </si>
  <si>
    <t>TABLA PARA PICAR/CORTAR, FABRICADA EN POLIETILENO RESISTENTE A GOLPES, DEFORMACIONES Y MANCHAS. DIMENSIONES: 60 x 40 x 2 CM.</t>
  </si>
  <si>
    <t>RODILLO PARA REPOSTERIA, FABRICADO EN PVC CON EJE EN ACERO INOXIDABLE, LARGO TOTAL DE 60 CM.</t>
  </si>
  <si>
    <t xml:space="preserve">RALLADOR EN ACERO INOXIDABLE, ALTO MINIMO DE 22 CM, CON MANGO ERGONOMICO, BASE ANTIDESLIZABLE, 4 CARAS CON DIFERENTES TIPOS DE CORTE. </t>
  </si>
  <si>
    <t>JUEGO DE BOWL'S EN ACERO INOXIDABLE DE 4 PIEZAS (14, 18, 21 Y 26 CM DE DIAMETRO).</t>
  </si>
  <si>
    <t>GRAMERA DIGITAL, CAPACIDAD HASTA 5KG, DIVISION MINIMA DE 1 GRAMO, UNIDAD DE MEDIDA EN GRAMOS Y ONZAS, PANTALLA LCD, APAGADO AUTOMATICO, INDICADOR DE SOBREPESO.</t>
  </si>
  <si>
    <t>CHAIRA DE 10" CON CUERPO EN ACERO INOXIDABLE Y MANGO EN POLIPROPILENO ANTIBACTERIAL.</t>
  </si>
  <si>
    <t>JUEGO DE 3 COLADORES REDONDOS EN ACERO INOXIDABLE, MARCO EXTERIOR RESISTENTE Y MALLA FINA EN ACERO INOXIDABLE. INCLUYE: 1 COLADOR DE 16 CM, 1 COLADOR DE 20 CM Y 1 COLADOR DE 24 CM.</t>
  </si>
  <si>
    <t>GUANTES DE PROTECCIÓN PARA ALTA TEMPERATURA, FABRICADOS EN CUERO/CARNAZA CON REFUERZOS EN PALMA Y DEDOS PARA MAYOR RESISTENCIA, FORRO INTERNO PARA MAYOR COMODIDAD. LARGO MINIMO DE 40 CM.</t>
  </si>
  <si>
    <t>JUEGO DE 3 SARTENES FABRICADOS EN ALUMINIO, ANTIADHERENTES, ESPESOR MINIMO DE 1,5 mm, ASA ERGONOMICA PARA FACIL AGARRE. INCLUYE UN SARTEN DE 20 CM, 1 SARTEN DE 26 CM Y UN SARTEN DE 30 CM. CADA SARTEN INCLUYE TAPA.</t>
  </si>
  <si>
    <t>CUCHILLO DE 3 PULGADAS, HOJA EN ACERO INOXIDABLE Y MANGO DE POLIPROPILENO</t>
  </si>
  <si>
    <t>CUCHILLO DE 6 PULGADAS, HOJA EN ACERO INOXIDABLE Y MANGO DE POLIPROPILENO</t>
  </si>
  <si>
    <t>CUCHILLO DE 10 PULGADAS, HOJA EN ACERO INOXIDABLE Y MANGO DE POLIPROPILENO</t>
  </si>
  <si>
    <t>KIT DE 6 UTENSILIOS DE COCINA PARA SERVIR, FABRICADOS EN ACERO INOXIDABLE DE ALTA CALIDAD. INCLUYE: ESPATULA, CUCHARON, PALA PLANA, TRINCHE PARA CARNE, ESPUMADOR, CUCHARA PARA SOPA. INCLUYE BASE PARA ORGANIZAR UTENSILIOS.</t>
  </si>
  <si>
    <t>JUEGO DE UTENSILIOS PARA HORNEAR, CON REVESTIMIENTO ANTIADHERENTE. INCLUYE: 1 BANDEJA PARA HORNEAR GRANDE, 1 BANDEJA OBLONGA, 1 BANDEJA PARA MUFFINS, 2 BANDEJAS REDONDAS, 1 CUCHARA DE SILICONA, 1 ESPATULA Y 1 VOLTEADOR RANURADO.</t>
  </si>
  <si>
    <t>JUEGO DE MOLDES PARA PAN, FABRICADOS EN ACERO Y/O ALUMINIO DE ALTA CALIDAD. INCLUYE: 1 MOLDE RECTANGULAR DE APROXIMADAMENTE 21 x 11 CM, 1 MOLDE RECTANGULAR DE APROXIMADAMENTE 40 x10 CM, Y ARO CUADRO DE APROXIMADAMENTE 12 x 12 CM.</t>
  </si>
  <si>
    <t>OLLA A PRESION DE 6 LITROS, FABRICADA EN ALUMINIO DE ALTA CALIDAD, SISTEMA DE APERTURA Y CIERRE CON UN SOLO CLICK, VALVULA DE SEGURIDAD DE 2 POSICIONES, MANGO Y ASA DE ALTA RESISTENCIA.</t>
  </si>
  <si>
    <t>OLLA A PRESION ELECTRICA DE 6 LITROS, ESTRUCTURA EN ACERO INOXIDABLE Y RECUBRIMIENTO INTERIOR ANTIADHERENTE, MINIMO 6 SISTEMAS DE SEGURIDAD, CONEXIÓN ELECTRICA A 120V, PANEL DE CONTROL DIGITAL CON MINIMO 13 PROGRAMAS DE COCCIÓN.</t>
  </si>
  <si>
    <t>BASE GIRATORIA REDONDA PARA DECORAR, FABRICADA EN PLASTICO RESISTENTE Y CON SUPERFICIE ANTIDESLIZANTE EN LA PARTE SUPERIOR. DIAMETRO MINIMO DE 30 CM.</t>
  </si>
  <si>
    <t>DESFIBRILADOR EXTERNO AUTOMATICO, DESCARGA ELECTRICA AUTOMATICA, ENERGÍA DE HASTA 200 JOULES. DEBE PERMITIR OPERACIÓN EN NIÑOS Y ADULTOS. METRONOMO DE FRECUENCIA INCORPORADO Y ELECTRODOS PRECONECTADOS. ALMACENAMIENTO DE MINIMO 1,5 HORAS DE DATOS DE INTERVENCIÓN. BATERÍA DE LARGA DURACIÓN. COMPROBACIÓN AUTOMATICA DEL ESTADO DE LOS ELECTRODOS Y LA BATERÍA.</t>
  </si>
  <si>
    <t>AVISO EN CAJA PARA FACHADA DE 2.5 m x 0.75 m. IMPRESO EN BANNER TRASLUCIDO FULL COLOR, LAMINADO RESISTENTE A RAYOS UV. ILUMINACIÓN INTERNA TIPO LED DE ALTA DURABILIDAD, CONEXIÓN ELECTRICA A 110 V. CANTONERAS EN ALUMINIO. SE DEBE INTRAGAR INSTALADO EN SITIO.</t>
  </si>
  <si>
    <t>PLANCHA A VAPOR USO SEMI-INDUSTRIAL, CUERPO EN ACERO INOXIDABLE, TANQUE DE AGUA DE MINIMO 4 LITROS DE ALMACENAMIENTO, SISTEMA DE ANTIGOTEO, CONTROL DE TEMPERATURA MANUAL. INCLUYE: GALON, MANGUERA Y BASE.</t>
  </si>
  <si>
    <t>COMPUTADOR PORTATIL CON PROCESADOR DE 8 NUCLEOS Y FRECUENCIA DE 3,3 GHZ, MEMORIA RAM DDR4 DE 16 GB, DISCO DE ESTADO SOLIDO DE 512 GB. PANTALLA TACTIL DE MINIMO 15", RESOLUCIÓN FHD (19020 x 1080). TARJETA GRAFICA INTEGRADA. CAMARA CON RESOLUCIÓN MINIMO 1080P. PUERTOS Y/O RANURAS: 1 PUERTO USB-C, 2 PUERTO USB-A, 1 PUERTO HDMI, 1 LECTOR DE TARJETAS SD, 1 TOMA PARA AURICURALES. SISTEMA OPERATIVO WINDOWS 11 EN CUALQUIERA DE SUS VERSIONES. INCLUYE CARGADOR.</t>
  </si>
  <si>
    <t>KIT DE TINTAS GENERICAS PARA IMPRESORAS DE INYECCIÓN. INCLUYE: 1 LITRO DE TINTA COLOR NEGRO, 1 LITRO DE TINTA COLOR MAGENTA, 1 LITRO DE TINTA COLOR AMARILLA, 1 LITRO DE TINTA COLOR CYAN.</t>
  </si>
  <si>
    <t>TABLERO ACRILICO DE 2.4 m x 1.2 m, ESTRUCTURA DE MINIMO 1 CM DE ESPESOR, FORMICA BRILLANTE DE ALTA DURABILIDAD Y FACIL LIMPIEZA, BORDES EN ALUMINIO.</t>
  </si>
  <si>
    <t xml:space="preserve">TERMOFIJADORA MULTIUSOS, PERMITE ESTAMPADO EN DIFERENTES MATERIALES: CERAMICA, VIDRIO, TEXTILES, PLASTICO, CARTON, ALUMINIO Y ACERO. CUENTA CON: 1 ESTAMPADORA DE CAMISETAS, 1 ESTAMPADORA DE GORRAS, 4 SUBLIMADOAS PARA POCILLOS O MUGS, 2 MAQUINAS PARA ESTAMPAR PLATOS. CONTROL DIGITAL DE TIEMPO Y TEMPERATURA, RESISTENCIAS INTERCAMBIABLES. ESTRUCTURA METALICA, RESISTENCIAS EN CAUCHOS SILICONADO, PROTECTORES CON TEFLON. AREA MAXIMA DE ESTAMPACIÓN DE 38 x 29 CM. CONEXIÓN ELECTRICA A 110V. </t>
  </si>
  <si>
    <t>KIT DE TINTAS PARA SUBLIMAR, INCLUYE: 1 LITRO COLOR AMARILLO, 1 LITRO COLOR CYAN,  1 LITRO COLOR MAGENTA Y 1 LITRO COLOR NEGRO.</t>
  </si>
  <si>
    <t>LICUADORA DE 2.1 LITROS, POTENCIA DE 1000 W, 4 VELOCIDADES, CUCHILLAS DESMONTABLES, CONEXIÓN ELECTRICA A 110V/120V, BASE ANTIDESLIZANTE.</t>
  </si>
  <si>
    <t>ARCHIVADOR METALICO DE 3 GAVETAS, FABRICADO EN LAMINA CALIBRE 24 O SUPERIOR, TERMINACIÓN PINTURA ELECTROESTATICA, CORREDERAS FULL EXTENSION, SISTEMA DE SEGURIDAD CON CHAPA. ALTURA MINIMA DEL MUEBLE DE 1 METRO.</t>
  </si>
  <si>
    <t>SILLA DE LACTANCIA TIPO MECEDORA ACOLCHADA, ESTRUCTURA EN MADERA MACIZA, TELA ANTIFLUIDO DE FACIL LIMPIEZA. ALTURA MINIMA DE 1 METRO.</t>
  </si>
  <si>
    <t>JUEGO DE 3 REPISAS FLOTANTES PARA DECORACIÓN, FABRICADAS EN MELAMINA AGLOMERADA DE 1,5 CM, CAPACIDAD DE CARGA DE HASTA 3 KG. USO INTERIOR. DIMENSIONES: 50 CM x 15 CM x 1.5 CM.</t>
  </si>
  <si>
    <t>TELAR PARA MOSTACILLA,EXPANSIBLE HASTA 45 CM, BASE COMPACTA PARA SU TRANSPORTE, SISTEMA CON RESORTE PARA ASEGURAR TENSIÓN UNIFORME. DIMENSIONES APROXIMADAS: 31 CM x 21 CM X 6 CM</t>
  </si>
  <si>
    <t>JUEGO DE 12 PINCELES DE CERDA PLANA. INCLUYE: 1 PINCEL DE CADA NUMERO DEL #1 AL #12.</t>
  </si>
  <si>
    <t>BASTIDOR LIENZO DE 40 CM x 50 CM, ARMAZON EN MADERA Y LIENZO 100% EN ALGODÓN BLANQUEADO.</t>
  </si>
  <si>
    <t>KIT DE MOSTACILLA CHECA #10, INCLUYE: MOSTACILLA CALIBRADA #10 DE 15 COLORES (12 GRAMOS DE CADA COLOR), ROLLO DE HILO NEGRO PARA BISUTERIA, ROLLO DE HILO BLANCO PARA BISUTERIA, 10 AGUJAS LARGAS MOSTACILLERA  #100, 10 AGUJAS CORTAS MOSTACILLERA #10.</t>
  </si>
  <si>
    <t>GUATA DE 200 GM, ANCHO DE 1.5 METROS</t>
  </si>
  <si>
    <t>TELA LIENZO 100% ALGODÓN, DIMENSIONES: 180 CM x 100 CM.</t>
  </si>
  <si>
    <t>HILO APTAN CALIBRE 60, COLOR BLANCO. PAQUETE DE 7.500 METROS.</t>
  </si>
  <si>
    <t>JUEGO DE MOLDES METALICOS, FABRICADOS EN ALUMINIO DE ALTA CALIDAD. INCLUYE: 1 MOLDE REDONDO DE APROXIMADAMENTE 25 x 8 CM, 1 MOLDE CUADRADO DE APROXIMADAMENTE 10 x 10 CM, 1 MOLDE REDONDO DE APROXIMADAMENTE 20 x 8 CM Y 1 MOLDE REDONDO DE APROXIMADAMENTE 15 x 8 CM.</t>
  </si>
  <si>
    <t>CABALLETE PLEGABLE PARA PINTURA O EXPOSICIONES, SOPORTE DE BASTIDORES HASTA DE 15 KG, REPISA REGULABLE. FABRICADO EN PINO. ALTURA MAXIMA DE 1.6 METROS.</t>
  </si>
  <si>
    <t>OVILLO DE HILO MACRAMÉ 100% ACRILICO, GROSOR DE 2 mm, PRESENTACIÓN DE OVILLO POR 100 GRAMOS. VARIEDAD DE COLORES A ELEGIR.</t>
  </si>
  <si>
    <t>VINILO ACRILICO EN PRESENTACION DE 4000 GR, VARIEDAD DE COLORES A ELEGIR (AZUL, BLANCO, NEGRO, ROJO, AMARILLO). INCLUYE UN VINILO DE 4000 GR EN ALGUNO DE LOS COLORES INDICADOS.</t>
  </si>
  <si>
    <t>ESTUFA A GAS CON 6 QUEMADORES, ESTRUCTURA FABRICADA EN ACERO INOXIDABLE, QUEMADORES Y PARRILLAS EN HIERRO FUNDIDO, BANDEJA RECOLECTORA DE RESIDUOS. CONFIGURACIÓN PARA GAS NATURAL O PROPANO.</t>
  </si>
  <si>
    <t>BANDEJA PARA PANADERIA DE 60 x 40 CM, TROQUELADA, FABRICADA EN ALUMINIO MINIMO CALIBRE 20.</t>
  </si>
  <si>
    <t>COLADOR CONICO DE 20 CM DE DIAMETRO, FABRICADO EN ACERO INOXIDABLE, MALLA FINA, MANGO EN ACERO.</t>
  </si>
  <si>
    <t xml:space="preserve">MOLDE METALICO REDONDO, FABRICADO EN ALUMINIO DE ALTA CALIDAD. DIMENSIONES EN LA BASE APROXIMADAMENTE DE 13.5 x 5 CM. </t>
  </si>
  <si>
    <t xml:space="preserve">MOLDE METALICO REDONDO CON ABERTURA EN EL CENTRO (ANGEL), FABRICADO EN ALUMINIO DE ALTA CALIDAD. DIMENSIONES EN LA BASE APROXIMADAMENTE DE 14.5 x 14.5 x 8 CM. </t>
  </si>
  <si>
    <t>JUEGO DE MOLDES METALICOS CUADRADOS, FABRICADOS EN ALUMINIO DE ALTA CALIDAD. INCLUYE: 1 MOLDE DE APROXIMADAMENTE 27 x 27 CM, 1 MOLDE DE APROXIMADAMENTE 22 x 22 CM, 1 MOLDE DE APROXIMADAMENTE 17 x 17 CM Y 1 MOLDE CUADRADO DE APROXIMADAMENTE 10 x 10 CM.</t>
  </si>
  <si>
    <t>SUMINISTRO E INSTALACIÓN DE LLAVE MANGUERA CROMADA</t>
  </si>
  <si>
    <t>SUMINISTRO E INSTALACIÓN DE CANAL EN LÁMINA GALVANIZADA CAL. 22, DS=90</t>
  </si>
  <si>
    <t>REPARACIÓN Y RESANES DE PAÑETE CON MORTERO</t>
  </si>
  <si>
    <t>SUMINISTRO E INSTALACIÓN DE SALIDA COMPLETA PARA LÁMPARA EN TUBERÍA PVC</t>
  </si>
  <si>
    <t>CABINA DE SONIDO ACTIVA DE 1000 WATTS, 2 LINEAS, AMPLIFICADOR CLASE D. ASAS ERGONOMICAS PARA COMODO AGARRE. DEBE CONTAR CON PUNTOS DE FIJACIÓN PARA INSTALACIÓN EN MODO SUSPENDIDO. DEBE INCLUIR: 1 SISTEMA DE SOPORTE TIPO TRIPO DE PLEGABLE DE ALUMINIO CON AJUSTE DE ALTURA, 1 MICROFONO ALAMBRICO, CABLE DE PODER Y CABLES PARA SU CORRECTO FUNCIONAMIENTO.</t>
  </si>
  <si>
    <t>DESMONTE DE APARATOS SANITARIOS</t>
  </si>
  <si>
    <t>RETIRO DE BALDOSA DE PISO, H=0.02 m, EN MAL ESTADO</t>
  </si>
  <si>
    <t>RETIRO DE PLACA MACIZA 0.15 m, EN MAL ESTADO</t>
  </si>
  <si>
    <t>ELABORACIÓN DE ZANJA  DE 0-2.0 m, (INCLUYE RETIRO DE SOBRANTES A UNA DISTANCIA MENOR DE 5 km)</t>
  </si>
  <si>
    <t>SUMINISTRO E INSTALACIÓN DE RECEBO COMUN COMPACTADO</t>
  </si>
  <si>
    <t>SUMINISTRO E INSTALACIÓN SANITARIO TANQUE (INCLUYE GRIFERÍA)</t>
  </si>
  <si>
    <t>SUMINISTRO E INSTALACIÓN DE RED SUMINISTRO PVC 1/2"</t>
  </si>
  <si>
    <t>SUMINISTRO E INSTALACIÓN DE LAVAMANOS DE PEDESTAL (INCLUYE GRIFERIA)</t>
  </si>
  <si>
    <t>SUMINISTRO E INSTALACIÓN DE TEJA DE FIBROCEMENTO #8</t>
  </si>
  <si>
    <t xml:space="preserve">SUMINISTRO E INSTALACIÓN DE VINILO SOBRE PAÑETE A 2 MANOS </t>
  </si>
  <si>
    <t>SUMINISTRO E INSTALACIÓN DE ESMALTE SOBRE LÁMINA LLENA</t>
  </si>
  <si>
    <t>REPARACIÓN CON PAÑETE IMPERMEABILIZADO MUROS 1:3, E=1.5 CM</t>
  </si>
  <si>
    <t>SUMINISTRO E INSTALACIÓN DE SALIDA ELECTRICA MONOFASICA COMPLETA CON TOMA DOBLE</t>
  </si>
  <si>
    <t>SUMINISTRO E INSTALACIÓN DE TUBERÍA CONDUIT EMT GALVANIZADA DE 1/2"</t>
  </si>
  <si>
    <t>SUMINISTRO E INSTALACIÓN DE CABLE  #8 AWG, DESNUDO</t>
  </si>
  <si>
    <t>SUMINISTRO E INSTALACIÓN DE CABLE #10 AWG</t>
  </si>
  <si>
    <t>REHABILITACIÓN DE ESTRUCTURAS EN CONCRETO (INCLUYE ACERO)</t>
  </si>
  <si>
    <t>REHABILITACIÓN DE PISOS EN CERÁMICA 40x40 cm, ANTIDESLIZANTE. INCLUYE ALISTADO DE PISOS 0.04 m</t>
  </si>
  <si>
    <t>GOBERNACIÓN DE CUNDINAMARCA</t>
  </si>
  <si>
    <t>SECRETARIA DE LA MUJER Y EQUIDAD DE GÉNERO</t>
  </si>
  <si>
    <t>OBJETO: ADECUACIÓN Y SUMINISTRO DE ELEMENTOS NECESARIOS PARA EL FUNCIONAMIENTO APROPIADO DE ESPACIOS Y CASAS SOCIALES DE LA MUJER, DE LOS MUNICIPIOS FOCALIZADOS EN EL DEPARTAMENTO DE CUNDINAMARCA.</t>
  </si>
  <si>
    <t>DESCRIPCIÓN PRODUCTO / SERVICIO</t>
  </si>
  <si>
    <t>ITEM</t>
  </si>
  <si>
    <t>PRODUCTO / SERVICIO</t>
  </si>
  <si>
    <t>1. SIBATE</t>
  </si>
  <si>
    <t>1.1</t>
  </si>
  <si>
    <t>3.3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</si>
  <si>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</si>
  <si>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</si>
  <si>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</si>
  <si>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</si>
  <si>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</si>
  <si>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</si>
  <si>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</si>
  <si>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</si>
  <si>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</si>
  <si>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</si>
  <si>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</si>
  <si>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</si>
  <si>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</si>
  <si>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</si>
  <si>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</si>
  <si>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</si>
  <si>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</si>
  <si>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</si>
  <si>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</si>
  <si>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</si>
  <si>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</si>
  <si>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</si>
  <si>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</si>
  <si>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</si>
  <si>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</si>
  <si>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</si>
  <si>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</si>
  <si>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</si>
  <si>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</si>
  <si>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</si>
  <si>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</si>
  <si>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ESTUFA A GAS</t>
  </si>
  <si>
    <t>MESA PLEGABLE</t>
  </si>
  <si>
    <t>SILLA PLÁSTICA</t>
  </si>
  <si>
    <t>ARMARIO ORGANIZADOR METÁLICO</t>
  </si>
  <si>
    <t>BANDEJA PARA PANADERÍA</t>
  </si>
  <si>
    <t>ESCABILADERO PARA BANDEJAS</t>
  </si>
  <si>
    <t>JUEGO DE OLLAS DE ALUMINIO</t>
  </si>
  <si>
    <t>CALDERO MEDIANO</t>
  </si>
  <si>
    <t>TABLA PARA PICAR</t>
  </si>
  <si>
    <t>RODILLO PARA REPOSTERÍA</t>
  </si>
  <si>
    <t>RALLADOR EN ACERO</t>
  </si>
  <si>
    <t>JUEGO DE 3 COLADORES</t>
  </si>
  <si>
    <t>JUEGO DE 3 SARTENES</t>
  </si>
  <si>
    <t>JUEGO DE UTENSILIOS</t>
  </si>
  <si>
    <t>JUEGO DE BOWL'S EN  ACERO</t>
  </si>
  <si>
    <t>GRAMERA DIGITAL</t>
  </si>
  <si>
    <t>CHAITA DE 10"</t>
  </si>
  <si>
    <t>COLADOR CÓNICO DE 20 CM</t>
  </si>
  <si>
    <t>GUANTES DE PROTECCIÓN</t>
  </si>
  <si>
    <t>CUCHILLOS DE 3"</t>
  </si>
  <si>
    <t>CUCHILLOS DE 6"</t>
  </si>
  <si>
    <t>CUCHILLOS DE 10"</t>
  </si>
  <si>
    <t>KIT DE 6 UTENSILOS DE COCINA</t>
  </si>
  <si>
    <t>JUEGO DE MOLDES PARA PAN</t>
  </si>
  <si>
    <t>JUEGO DE METÁLICOS</t>
  </si>
  <si>
    <t xml:space="preserve">MOLDE METÁLICO REDONDO DE BASE APRÓXIMADAMENTE  DE 13.5 x 5 CM. </t>
  </si>
  <si>
    <t xml:space="preserve">MOLDE METÁLICO REDONDO BASE APROXIMADAMENTE DE 14.5 x 14.5 x 8 CM. </t>
  </si>
  <si>
    <t>JUEGO DE MOLDES METÁLICOS</t>
  </si>
  <si>
    <t xml:space="preserve">OLLA A PRESIÓN </t>
  </si>
  <si>
    <t>BASE GIRATORIA REDONDA PLÁSTICA</t>
  </si>
  <si>
    <t>DESFIBRILADOR EXTERNO</t>
  </si>
  <si>
    <t>TOTAL SIBATE</t>
  </si>
  <si>
    <t>2. SIMIJACA</t>
  </si>
  <si>
    <t>2.1</t>
  </si>
  <si>
    <t>3. CAQUEZA</t>
  </si>
  <si>
    <t>TOTAL SIMIJACA</t>
  </si>
  <si>
    <t>AVISO EN CAJA PARA FACHADA</t>
  </si>
  <si>
    <t>PLANCHA A VAPOR SEMI-INDUSTRIAL</t>
  </si>
  <si>
    <t>CABINA DE SONIDO ACTIVA DE 1000 WATTS</t>
  </si>
  <si>
    <t>VIDEO BEAM</t>
  </si>
  <si>
    <t>COMPUTADOR PORTÁTIL</t>
  </si>
  <si>
    <t>IMPRESORA MULTIFUNCIONAL</t>
  </si>
  <si>
    <t>KIT DE TINTAS GENÉRICAS</t>
  </si>
  <si>
    <t>TABLERO ACRÍLICO</t>
  </si>
  <si>
    <t>TERMOFIJADORA MULTIUSOS</t>
  </si>
  <si>
    <t>LICUADORA DE 2.1 LITROS</t>
  </si>
  <si>
    <t>KIT DE TINTAS PARA SUBLIMAR</t>
  </si>
  <si>
    <t>ARCHIVADOR METÁLICO</t>
  </si>
  <si>
    <t>SILLA DE LACTANCÍA</t>
  </si>
  <si>
    <t>VINILO ACRILICO</t>
  </si>
  <si>
    <t>JUEGO DE 3 REPISAS FLOTANTES</t>
  </si>
  <si>
    <t>MESA PLEGABLE PLÁSTICA TIPO MALETÍN</t>
  </si>
  <si>
    <t>TRLAR PARA MOSTACILLA</t>
  </si>
  <si>
    <t>JUEGO DE 12 PINCELES</t>
  </si>
  <si>
    <t>CABALLETE PLEGABLE PARA PINTURA</t>
  </si>
  <si>
    <t>BASTIDOR LIENZO  DE 40 CM x 50 CM</t>
  </si>
  <si>
    <t>KIT DE MOSTACILLA CHECA #10</t>
  </si>
  <si>
    <t>KIT DE 22 AGUJAS PARA CROCHET</t>
  </si>
  <si>
    <t xml:space="preserve">PAÑO DE 22 AGUJAS </t>
  </si>
  <si>
    <t>PAÑO DE 22 AGUJAS PARA MOSTACILLA #10, ULTRADELGADA.</t>
  </si>
  <si>
    <t>SET DE 20 BROCHES DE 16 mm</t>
  </si>
  <si>
    <t>KIT DE BROCHES TIPO PICOLORO</t>
  </si>
  <si>
    <t>HILO APTAN CALIBRE 60, COLOR BLANCO</t>
  </si>
  <si>
    <t>OVILLO DE HILO MACRAMÉ 100% ACRILICO</t>
  </si>
  <si>
    <t>GUATA DE 200 GM</t>
  </si>
  <si>
    <t>TELA LIENZO 100% ALGODÓN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</si>
  <si>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</si>
  <si>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</si>
  <si>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</si>
  <si>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</si>
  <si>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</si>
  <si>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</si>
  <si>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</si>
  <si>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</si>
  <si>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</si>
  <si>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</si>
  <si>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</si>
  <si>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</si>
  <si>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</si>
  <si>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</si>
  <si>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</si>
  <si>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</si>
  <si>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</si>
  <si>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</si>
  <si>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</si>
  <si>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</si>
  <si>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</si>
  <si>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</si>
  <si>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</si>
  <si>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</si>
  <si>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</si>
  <si>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</si>
  <si>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</si>
  <si>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</si>
  <si>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3.1.</t>
  </si>
  <si>
    <t>TOTAL CAQUEZA</t>
  </si>
  <si>
    <t xml:space="preserve">TOTAL SAN ANTONIO DE TEQUENDAMA </t>
  </si>
  <si>
    <t>3.2</t>
  </si>
  <si>
    <t>3.4</t>
  </si>
  <si>
    <t>3.5</t>
  </si>
  <si>
    <t>3.6</t>
  </si>
  <si>
    <t>3.7</t>
  </si>
  <si>
    <t>3.8</t>
  </si>
  <si>
    <t>3.9</t>
  </si>
  <si>
    <t>3.10</t>
  </si>
  <si>
    <t>VIDEO BEAM CON RESOLUCIÓN 1024x768</t>
  </si>
  <si>
    <t>COMPUTADOR DE ESCRITORIO</t>
  </si>
  <si>
    <t>SILLA PLÁSTICA CON BRAZOS</t>
  </si>
  <si>
    <t>MESA PLÁSTICA DE 4 PUESTOS</t>
  </si>
  <si>
    <t>ESCRITORIO LINEAL CON ESTRUCTURA EN TUBO METALICO</t>
  </si>
  <si>
    <t>TELEVISOR SMART TV DE 55"</t>
  </si>
  <si>
    <t>LICUADORA INDUSTRIAL CAPACIDAD 10 LITROS</t>
  </si>
  <si>
    <t>CARPA PARA EXTERIORES TIPO KIOSCO DE 4 x 4 METROS</t>
  </si>
  <si>
    <t>4. SAN ANTONIO DE TEQUENDAMA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</si>
  <si>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</si>
  <si>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</si>
  <si>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</si>
  <si>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</si>
  <si>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</si>
  <si>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</si>
  <si>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</si>
  <si>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</si>
  <si>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</si>
  <si>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</si>
  <si>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</si>
  <si>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</si>
  <si>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</si>
  <si>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</si>
  <si>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</si>
  <si>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</si>
  <si>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</si>
  <si>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</si>
  <si>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</si>
  <si>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</si>
  <si>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</si>
  <si>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</si>
  <si>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</si>
  <si>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DESMONTE EQUIPOS SANITARIOS</t>
  </si>
  <si>
    <t>ELABORACIÓN ZANJA</t>
  </si>
  <si>
    <t>SERVICIO DE RETISO BALDOSA</t>
  </si>
  <si>
    <t>SERVICIOS DE RETIRO PLACA</t>
  </si>
  <si>
    <t xml:space="preserve">SERVICIO DE SUMINISTRO E INTALACIÓN </t>
  </si>
  <si>
    <t>REHABILITACIÓN DE ESTRUCTURAS</t>
  </si>
  <si>
    <t>SERVICIO DE SUMINISTRO E INSTALACIÓN EQUIPO SANITARIO</t>
  </si>
  <si>
    <t>SERVICIO DE SUMINISTRO E INSTALACIÓN DE RED PVC</t>
  </si>
  <si>
    <t>DESMONTE DE CUBIERTAS</t>
  </si>
  <si>
    <t>SERVICIO DE SUMINISTRO E INSTALACIÓN DE LLAVE MANGUERA</t>
  </si>
  <si>
    <t>SERVICIO DE SUMINISTRO E INSTALACIÓN DE LAVAMANOS</t>
  </si>
  <si>
    <t>SERVICIO DE SUMINISTRO E INSTALACIÓN DE TEJAS</t>
  </si>
  <si>
    <t>SERVICIO DE SUMINISTRO E INSTALACIÓN DE DE CANAL</t>
  </si>
  <si>
    <t>REHABILITACIÓN DE PISOS</t>
  </si>
  <si>
    <t>SERVICIO DE REPARACIÓN Y RESANE DE PAÑETE</t>
  </si>
  <si>
    <t xml:space="preserve">SERVICIO DE SUMINISTRO E INSTALACIÓN DE ESMALTE </t>
  </si>
  <si>
    <t>SERVICIO DE SUMINISTRO E INSTALACIÓN DE VINILO SOBRE PAÑETE</t>
  </si>
  <si>
    <t>REPARACIÓN DE PAÑE IMPERMEABILIZADO</t>
  </si>
  <si>
    <t>SERVICIO DE SUMINISTRO E INSTALACIÓN DE SALIDA LÁMPARA</t>
  </si>
  <si>
    <t>SERVICIO DE SUMINISTRO E INSTALACIÓN DE SALIDA ELÉCTRICA</t>
  </si>
  <si>
    <t>SERVICIO DE SUMINISTRO E INSTALACIÓN DE TUBERÍA</t>
  </si>
  <si>
    <t>SERVICIO DE SUMINISTRO E INSTALACIÓN DE CABLE #8</t>
  </si>
  <si>
    <t>SERVICIO DE SUMINISTRO E INSTALACIÓN DE CABLE #10</t>
  </si>
  <si>
    <t>SUMATORIA DE TOTALES (SIBATE + SIMIJACA + CAQUEZA +SAN ANTONIO DE TEQUENDAMA)</t>
  </si>
  <si>
    <t>UNIDAD DE MEDIDA</t>
  </si>
  <si>
    <t>VALOR UNITARIO SIN  IVA</t>
  </si>
  <si>
    <t>IVA</t>
  </si>
  <si>
    <t>VALOR UNITARIO CON IVA</t>
  </si>
  <si>
    <t>VALOR TOTAL (VALOR UNITARIO CON IVA X CANTIDAD)</t>
  </si>
  <si>
    <t>CABINA DE SONIDO ACTIVA DE 1000 WATTS, 2 LINEAS, AMPLIFICADOR CLASED. ASAS ERGONOMICAS PARA COMODO AGARRE. DEBE CONTAR CON PUNTOS DE FIJACIÓN PARA INSTALACIÓN EN MODO SUSPENDIDO. DEBE INCLUIR: 1 SISTEMA DE SOPORTE TIPO TRIPO DE PLEGABLE DE ALUMINIO CON AJUSTE DE ALTURA, 1 MICROFONO ALAMBRICO, CABLE DE PODER Y CABLES PARA SU CORRECTO FUNCIONAMIENTO.</t>
  </si>
  <si>
    <t>KIT DE 22 AGUJAS PARA CROCHET, FABRICADAS EN ACERO INOXIDABLE. INCLUYE: 1 AGUJA DE CADA UNO DE LOS SIGUIENTES DIAMETROS: 2.0 MM, 2.5 MM, 3.0 MM, 3.5 MM, 4.0 MM, 4.5 MM, 5.0 MM, 5.5 MM, 6.0 MM, 6.5 MM, 0.75 MM, 0.90 MM, 1.0 MM, 1.10 MM, 1.25 MM, 1.40 MM, 1.50 MM, 1.60 MM, 1.75 MM, 1.80 MM, 1.90 MM, 2.00 MM.</t>
  </si>
  <si>
    <t>SET DE 20 BROCHES DE 16 MM PARA PULSERAS Y/O COLLARES CON CIERRE MAGNETICO, ACABADO EN ACERO INOXIDABLE.</t>
  </si>
  <si>
    <t>KIT DE BROCHES TIPO PICOLORO PARA PULSARAS Y/O COLLARES, FABRICADOS EN ACERO INOXIDABLE. INCLUYE: 20 BROCHES DE 9 MM, 20 BROCHES DE 10 MM, 20 BROCHES DE 11 MM, Y 20 BROCHES DE 12 MM.</t>
  </si>
  <si>
    <t>COMTELECTRIC SAS</t>
  </si>
  <si>
    <t>ROMING SAS</t>
  </si>
  <si>
    <t>SOS SOLUCIONES Y SREVICIOS SAS</t>
  </si>
  <si>
    <t>SISELCOM SAS</t>
  </si>
  <si>
    <t>AQSERV SAS</t>
  </si>
  <si>
    <t xml:space="preserve">PRECIO HISTORICOS </t>
  </si>
  <si>
    <t>PROCESO</t>
  </si>
  <si>
    <t>LINK</t>
  </si>
  <si>
    <t>2025-0365</t>
  </si>
  <si>
    <t>https://www.secop.gov.co/CO1BusinessLine/Tendering/ContractNoticeView/Index?prevCtxLbl=Buscar+procesos&amp;prevCtxUrl=https%3a%2f%2fwww.secop.gov.co%3a443%2fCO1BusinessLine%2fTendering%2fContractNoticeManagement%2fIndex&amp;notice=CO1.NTC.8101210</t>
  </si>
  <si>
    <t>PALLOMARO</t>
  </si>
  <si>
    <t>IMUSA</t>
  </si>
  <si>
    <t>https://www.imusa.com.co/imusa/coccion/ollas-calderos-y-peroles?srsltid=AfmBOoo6wpsmz_Z3lMeZ6kDWoCeBnARSEE-UTPe14apGlOiS7UYthFEh</t>
  </si>
  <si>
    <t>HOMECENTER</t>
  </si>
  <si>
    <t>ORQUIDEA</t>
  </si>
  <si>
    <t>MERCADO LIBRE</t>
  </si>
  <si>
    <t>https://www.homecenter.com.co/homecenter-co/product/312289/chaira-tramontina-profio-de-acero-inoxidable-10-pulgadas/312289/</t>
  </si>
  <si>
    <t>PROVESI</t>
  </si>
  <si>
    <t>https://www.provesi.com.co/guantes-de-carnaza/1902-guante-carnaza-panadero-reforzado-vaqueta-5-dedos-gs-largo-48-cm.html?srsltid=AfmBOopXIk0qbvzB2wjUBrWJVTV0O8gqTqmEhqec92L_ZfOQP5OxOMyd</t>
  </si>
  <si>
    <t>https://www.imusa.com.co/imusa/coccion/sartenes?page=2</t>
  </si>
  <si>
    <t>https://articulo.mercadolibre.com.co/MCO-1733351036-cuchillo-tramontina-profesional-3-pulgadas-_JM?searchVariation=179138188145#polycard_client=search-nordic&amp;searchVariation=179138188145&amp;search_layout=grid&amp;position=5&amp;type=item&amp;tracking_id=d94ce13d-0171-4d33-bdad-ecd826204434</t>
  </si>
  <si>
    <t>https://www.orquidea.com.co/Juego-utensilios-hornear-9und</t>
  </si>
  <si>
    <t>https://www.orquidea.com.co/rectangular-aluminio-1</t>
  </si>
  <si>
    <t>https://www.orquidea.com.co/Molde-ponque-13.5x16.5x5cm</t>
  </si>
  <si>
    <t>https://www.orquidea.com.co/Molde%20angel%20de%20%2020%20x%208</t>
  </si>
  <si>
    <t>https://www.orquidea.com.co/metalicos</t>
  </si>
  <si>
    <t>UNIVERSAL</t>
  </si>
  <si>
    <t>https://www.hogaruniversal.com/olla-a-presion-electrica-6l/p?srsltid=AfmBOooz3Ilvo3yt2qGxubq84pB_lfDZepOgRgtk__FKR3T45dCCKDvO</t>
  </si>
  <si>
    <t>AUDIOCENTRO</t>
  </si>
  <si>
    <t>https://www.audiocentro.com.co/tienda/cabina-activayamaki-de-1000w-parlante/?srsltid=AfmBOooOIWmbeXqhws5MJDqw_zadGsYz5h3xwyMFaXvC_o8cKydpSYbM</t>
  </si>
  <si>
    <t>https://articulo.mercadolibre.com.co/MCO-2200834108-termofijadora-multifuncional-11-en-1-freesub-_JM?searchVariation=181672543075#polycard_client=search-nordic&amp;searchVariation=181672543075&amp;search_layout=grid&amp;position=15&amp;type=item&amp;tracking_id=eec4c501-7d3d-48c5-8bc1-06d82a335dfb</t>
  </si>
  <si>
    <t>https://tienda.gioto.com.co/brochas/pinceles/juego-pincel-de-cerda-plano-x-12-rf-579-12</t>
  </si>
  <si>
    <t>https://www.mercadolibre.com.co/bastidor-lienzo-40-x-50-cm-algodon-ideal-para-pintura/p/MCO39431756#polycard_client=search-nordic&amp;search_layout=grid&amp;position=4&amp;type=product&amp;tracking_id=e27d0bcf-de42-498c-a641-c5d087cb8970&amp;wid=MCO2794956890&amp;sid=search</t>
  </si>
  <si>
    <t>https://articulo.mercadolibre.com.co/MCO-1333869023-kit-de-mostacilla-15-colores-2-hilos-agujas-_JM?searchVariation=179702057883#is_advertising=true&amp;searchVariation=179702057883&amp;backend_model=search-backend&amp;position=2&amp;search_layout=grid&amp;type=pad&amp;tracking_id=81bff339-3ff9-4cb1-8280-3a2a06e58759&amp;is_advertising=true&amp;ad_domain=VQCATCORE_LST&amp;ad_position=2&amp;ad_click_id=NmY4ZGVmMzEtZDY2MC00MzJiLTk2NTktMmE2Yzc1OGQwOGVl</t>
  </si>
  <si>
    <t>ARTES DE OLGA</t>
  </si>
  <si>
    <t>https://artesdeolga.com/product/set-22-agujas-de-crochet-estuche-organizador/?srsltid=AfmBOoqdiOt0mNDH-Vbzgvggaq_mHmgWEcOLGht4-pztGCtEYtf-nWUe</t>
  </si>
  <si>
    <t>https://articulo.mercadolibre.com.co/MCO-2274855184-aguja-mostacilla-100-por-25-unidades-_JM?searchVariation=182146355129#polycard_client=search-nordic&amp;searchVariation=182146355129&amp;search_layout=grid&amp;position=3&amp;type=item&amp;tracking_id=91be8068-a150-4185-9494-161a63f1fe6b</t>
  </si>
  <si>
    <t>BIDECOL</t>
  </si>
  <si>
    <t>https://bidecol.me/producto/herraje-tipo-broche-picoloro-en-acero-plateado</t>
  </si>
  <si>
    <t>https://articulo.mercadolibre.com.ar/MLA-1620346806-guata-200-gramos-x-rollo-7mts-largo-x-15mts-ancho-pf-20-_JM</t>
  </si>
  <si>
    <t>https://articulo.mercadolibre.com.co/MCO-808395190-hilo-macrame-100-acrilico-2mm-grosor-kit-9-ovillos-x100gr-_JM?searchVariation=173649054662#is_advertising=true&amp;searchVariation=173649054662&amp;backend_model=search-backend&amp;position=1&amp;search_layout=grid&amp;type=pad&amp;tracking_id=c5aea8d6-082d-49af-b19b-9ac38898986f&amp;is_advertising=true&amp;ad_domain=VQCATCORE_LST&amp;ad_position=1&amp;ad_click_id=YzA2MDU5OGUtYWQ4NS00MDZlLTk5MDYtZmI4ZjYzNDFjNDRl</t>
  </si>
  <si>
    <t>2025-0301</t>
  </si>
  <si>
    <t>https://www.secop.gov.co/CO1BusinessLine/Tendering/ContractNoticeView/Index?prevCtxLbl=Buscar+procesos&amp;prevCtxUrl=https%3a%2f%2fwww.secop.gov.co%3a443%2fCO1BusinessLine%2fTendering%2fContractNoticeManagement%2fIndex&amp;notice=CO1.NTC.7973386</t>
  </si>
  <si>
    <t>PRECIOS HISTORICOS Y/O DEL MERCADO</t>
  </si>
  <si>
    <t>MEDIA GEOMÉTRICA SECRETARIA DE LA MUJER</t>
  </si>
  <si>
    <t>MEDIA ARMÓNICA SECRETARIA DE LA MUJER</t>
  </si>
  <si>
    <t>PROMEDIO</t>
  </si>
  <si>
    <t>DESVIACIÓN ESTÁNDAR</t>
  </si>
  <si>
    <t>VALOR MÍNIMO</t>
  </si>
  <si>
    <t>VALOR MÁXIMO</t>
  </si>
  <si>
    <t>PROMEDIO DESPUES DE LA PODADA</t>
  </si>
  <si>
    <t>PORCENTAJE</t>
  </si>
  <si>
    <t>MEDIA ARMONICA (APLICABLE A VARIACIONES PROMEDIO DE DATOS SUPERIORES AL 40%)</t>
  </si>
  <si>
    <r>
      <t>EMPRESA</t>
    </r>
    <r>
      <rPr>
        <b/>
        <sz val="12"/>
        <color rgb="FF000000"/>
        <rFont val="Cambria"/>
        <family val="1"/>
      </rPr>
      <t> </t>
    </r>
  </si>
  <si>
    <t>SOS SOLUCIONES Y SERVICIOS SAS</t>
  </si>
  <si>
    <r>
      <t> </t>
    </r>
    <r>
      <rPr>
        <b/>
        <sz val="12"/>
        <color rgb="FF000000"/>
        <rFont val="Geomanist Light"/>
      </rPr>
      <t>TOTAL COTIZACIONES</t>
    </r>
  </si>
  <si>
    <t>VARIACIÓN %</t>
  </si>
  <si>
    <t>PRECIOS MERCADO E HISTÓRICOS</t>
  </si>
  <si>
    <t>VALOR UNITARIO CON IVA X CANTIDAD</t>
  </si>
  <si>
    <t>https://www.secop.gov.co/CO1BusinessLine/Tendering/ContractNoticeManagement/Index</t>
  </si>
  <si>
    <t>CM-SASI-307-2025/ CLUB MILITAR</t>
  </si>
  <si>
    <t>SIMC-005-2025 / MUNICIPIO DE MARIPI</t>
  </si>
  <si>
    <t>https://listado.mercadolibre.com.co/gramera-digital-5-kg</t>
  </si>
  <si>
    <t>IESA-MA-012-2025/ INSTITUCION EDUCATIVA SANTA ANA12</t>
  </si>
  <si>
    <t>https://www.mercadolibre.com.co/bailarina-base-giratoria-wilton--decoracion-tortas/up/MCOU2430857399?pdp_filters=item_id:MCO802610352</t>
  </si>
  <si>
    <t>https://www.tecnomedics.com.co/producto/desfibrilador-externo-automatico-fred-pa-1-con-garantia-extendida-a-9-anos/</t>
  </si>
  <si>
    <t>https://orduzcolombia.com/producto/es-85af/?srsltid=AfmBOoquQGuwyens6d_qur5GB5xGvbsH9kI0X6NbcgO51Ho53FJNkDJS</t>
  </si>
  <si>
    <t>https://www.exito.com/video-beam-epson-powerlite-e20-3400-lumens-xga-1024x768-101114752-mp/p</t>
  </si>
  <si>
    <t xml:space="preserve">	ESE-HLMP-SUM-0753-2025/ ESE HOSPITAL LOCAL MUNICIPIO DE LOS PATIOS</t>
  </si>
  <si>
    <t>2025 032   /INSTITUCION EDUCATIVA DE REGENCIA</t>
  </si>
  <si>
    <t>https://articulo.mercadolibre.com.co/MCO-590103817-kit-tintas-sublimacion-x-litro-mic-colores-_JM</t>
  </si>
  <si>
    <t>2942211/ EMPRESAS PUBLICAS DE MEDELLIN E.S.P.</t>
  </si>
  <si>
    <t>MC0102025SUC/ ICBF REGIONAL SUCRE</t>
  </si>
  <si>
    <t>https://www.mercadolibre.com.co/vinilo-acrilico-payasito-4000-g-azul/up/MCOU2437729032</t>
  </si>
  <si>
    <t>MC-36-2021/ Rama Judicial – Dirección Seccional de Administración Judicial de Cartagena</t>
  </si>
  <si>
    <t>https://www.mercadolibre.com.co/telar-mostacilla-telar-bisuteria-con-bandeja/up/MCOU2433331820</t>
  </si>
  <si>
    <t>https://listado.mercadolibre.com.co/caballete-para-pintar</t>
  </si>
  <si>
    <t>https://www.mercadolibre.com.co/juego-de-20-broches-magneticos-cierre-magnetico-de-bolsa/up/MCOU2419290016</t>
  </si>
  <si>
    <t>314-CPMSSM-11-2025 /EPMSC SANTA MARTA</t>
  </si>
  <si>
    <t>20-2025/ I E MONTECARLO - GUILLERMO GAVIRIA CORREA</t>
  </si>
  <si>
    <t>AN-21-2025  /COLEGIO ANTONIO GARCIA I.E.D</t>
  </si>
  <si>
    <t>OS-020-2025 / INSTITUCION EDUCATIVA COLEGIO DE SUGAMUXI</t>
  </si>
  <si>
    <t>RESO-CV-N°04-2025 /INSTITUCION EDUCATIVA HORACIO PERDOMO</t>
  </si>
  <si>
    <t>VALOR UNITARIO SIN IVA</t>
  </si>
  <si>
    <t>2. CAQUEZA</t>
  </si>
  <si>
    <t>OK</t>
  </si>
  <si>
    <t>https://tienda.pallomaro.com/escabiladeros/escabiladero-en-acero-inox-60x40-?gad_source=1&amp;gad_campaignid=21258695233&amp;gbraid=0AAAAADdXcJTvqGnZ6ahyq55YUuF8ct2sf&amp;gclid=CjwKCAjw2brFBhBOEiwAVJX5GAuXBSpFkxpZQSokDkT26W5-tzeXuRU3jCybe1X-Hwyi7a5qgCFiPhoC9NsQAvD_BwE</t>
  </si>
  <si>
    <t>https://panchiscakes.com/productos/utensilios/rodillos/rodillo-pastelero-pvc-de-reposteria-panaderia-pizzeria-40-cm-2/</t>
  </si>
  <si>
    <t>https://www.almacenesla13.com/collections/ralladores-y-rebanadores/products/rallador-acero-inoxidable-4-caras-splendor-imusa</t>
  </si>
  <si>
    <t>https://www.crateandbarrel.com.co/crateandbarrel-co/product/770290867/-Bowls-en-Acero-inoxidable-4-piezas/770290867</t>
  </si>
  <si>
    <t>https://tienda.pallomaro.com/coladores/colador-conico-20cm-r376?srsltid=AfmBOoo9HuixvTTggp1Y4-JMpdPjH7iuqXdMHHOBeAqHDUDab54mCX9V</t>
  </si>
  <si>
    <t>https://www.mercadolibre.com.co/paquete-de-3-coladores-de-acero-inoxidable-188-5-cuartos/p/MCO2022482105?matt_tool=19390127&amp;utm_source=google_shopping&amp;utm_medium=organic&amp;pdp_filters=item_id%3AMCO2788051820&amp;from=gshop</t>
  </si>
  <si>
    <t>045-CMNC-2025/ MUNICIPIO DE SUCRE</t>
  </si>
  <si>
    <t>Número del proceso	SASI-004-2025/ MUNICIPIO DE PACHO</t>
  </si>
  <si>
    <t>VALIDADO</t>
  </si>
  <si>
    <t>https://www.ayalapublicidad.co/tienda/caja-de-luz-con-lona-panaflex/</t>
  </si>
  <si>
    <t>https://articulo.mercadolibre.com.co/MCO-2391911436-silla-mecedora-para-guarderia-sillon-de-lactancia-acolchad-_JM</t>
  </si>
  <si>
    <t>https://bidecol.me/producto/hilo-aptan-60-blanco</t>
  </si>
  <si>
    <t>https://www.alkosto.com/mesa-rimax-eterna-wengue/p/7705152078046</t>
  </si>
  <si>
    <t>ALKOSTO</t>
  </si>
  <si>
    <t>https://musicheadstore.com/producto/yamaki-sm1520-cabina-activa-1000w-15/?srsltid=AfmBOoo57mUqA-drX3a4Q-AGIaZXus0s-Cfzno1QtE3FgrAZX8zJnFm2Q5s</t>
  </si>
  <si>
    <t>SUMATORIA DE TOTALES (SIBATE + SIMIJACA + CAQUEZA)</t>
  </si>
  <si>
    <t>ACEGAS</t>
  </si>
  <si>
    <t>https://www.industriasacegas.com/producto/estufa-industrial-tipo-americana-a-gas-6-quemadores-90cm-modelo-ea6-acegas/</t>
  </si>
  <si>
    <t>ROMIL</t>
  </si>
  <si>
    <t>https://dotacionesromil.com/tienda/caldero-fundido-pomo-enstf-36-cm-universal/</t>
  </si>
  <si>
    <t>https://www.bbg.com.co/basculas/vp566/sp/tabla-para-picar-alimentos-cut-3?srsltid=AfmBOoqP7D561qtkOeFRB6XqHiUk73FhXCtDCvxB6d8o_OC3j7Cq3sZ1</t>
  </si>
  <si>
    <t>BBG</t>
  </si>
  <si>
    <t xml:space="preserve">VIDEO BEAM CON RESOLUCIÓN 1024x768, BRILLO MINIMO DE 3300 LUMENES (BLANCO Y COLOR), VIDA UTIL LAMPARA HASTA 12.000 HORAS, PUERTOS: RCA/HDMI/USB/STEREO/RS-232. ALIMENTACION 100v-240v, 50-60HZ, CUENTA CON MODO DE OPERACIÓN PARA DISMINUCIÓN DE CONSUMO ELECTRICO. INCLUYE CONTROL REMOTO. </t>
  </si>
  <si>
    <t>TELAR PARA MOSTACILLA</t>
  </si>
  <si>
    <t>SUMATORIA DE TOTALES (SIBATE + SIMIJACA + CAQUEZA )</t>
  </si>
  <si>
    <t>PRECIO UNITARIO OFICIAL ESTIMADO DE ACUERDO CON LOS CRITERIOS PARA APLICAR LA MEDIA ARMONICA RESULTADO DE ACUERDO A LA VARIACIÓN PROMEDIO DE DATOS ADMISIBLES MAYOR AL 40%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</si>
</sst>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[$$-240A]\ * #,##0.00_-;\-[$$-240A]\ * #,##0.00_-;_-[$$-240A]\ * &quot;-&quot;??_-;_-@_-"/>
    <numFmt numFmtId="166" formatCode="_-&quot;$&quot;\ * #,##0_-;\-&quot;$&quot;\ * #,##0_-;_-&quot;$&quot;\ * &quot;-&quot;??_-;_-@_-"/>
    <numFmt numFmtId="167" formatCode="&quot;$&quot;\ #,##0"/>
  </numFmts>
  <fonts count="14">
    <font>
      <sz val="10"/>
      <color rgb="FF000000"/>
      <name val="Times New Roman"/>
      <charset val="204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u/>
      <sz val="10"/>
      <color theme="1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Geomanist Light"/>
    </font>
    <font>
      <b/>
      <sz val="12"/>
      <color rgb="FF000000"/>
      <name val="Cambria"/>
      <family val="1"/>
    </font>
    <font>
      <sz val="12"/>
      <color rgb="FF000000"/>
      <name val="Geomanist Light"/>
    </font>
  </fonts>
  <fills count="22">
    <fill>
      <patternFill patternType="none"/>
    </fill>
    <fill>
      <patternFill patternType="gray125"/>
    </fill>
    <fill>
      <patternFill patternType="solid">
        <fgColor rgb="FFDBE4F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2F2F2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7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476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0" xfId="0" applyNumberFormat="1" applyFont="1" applyAlignment="1">
      <alignment horizontal="left" vertical="top"/>
    </xf>
    <xf numFmtId="0" fontId="2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 shrinkToFit="1"/>
    </xf>
    <xf numFmtId="43" fontId="2" fillId="0" borderId="16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 shrinkToFit="1"/>
    </xf>
    <xf numFmtId="43" fontId="2" fillId="0" borderId="17" xfId="1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 wrapText="1" shrinkToFit="1"/>
    </xf>
    <xf numFmtId="43" fontId="2" fillId="0" borderId="3" xfId="1" applyFont="1" applyBorder="1" applyAlignment="1">
      <alignment horizontal="center" vertical="center" wrapText="1"/>
    </xf>
    <xf numFmtId="43" fontId="3" fillId="0" borderId="16" xfId="1" applyFont="1" applyBorder="1" applyAlignment="1">
      <alignment horizontal="center" vertical="center" shrinkToFit="1"/>
    </xf>
    <xf numFmtId="43" fontId="2" fillId="0" borderId="1" xfId="1" applyFont="1" applyBorder="1" applyAlignment="1">
      <alignment horizontal="center" vertical="center" wrapText="1"/>
    </xf>
    <xf numFmtId="43" fontId="3" fillId="0" borderId="17" xfId="1" applyFont="1" applyBorder="1" applyAlignment="1">
      <alignment horizontal="center" vertical="center" shrinkToFit="1"/>
    </xf>
    <xf numFmtId="43" fontId="2" fillId="0" borderId="6" xfId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3" fontId="2" fillId="5" borderId="18" xfId="0" applyNumberFormat="1" applyFont="1" applyFill="1" applyBorder="1" applyAlignment="1">
      <alignment vertical="center"/>
    </xf>
    <xf numFmtId="43" fontId="1" fillId="5" borderId="15" xfId="0" applyNumberFormat="1" applyFont="1" applyFill="1" applyBorder="1" applyAlignment="1">
      <alignment vertical="center" wrapText="1"/>
    </xf>
    <xf numFmtId="1" fontId="1" fillId="0" borderId="25" xfId="0" applyNumberFormat="1" applyFont="1" applyBorder="1" applyAlignment="1">
      <alignment horizontal="center" vertical="center" wrapText="1"/>
    </xf>
    <xf numFmtId="1" fontId="3" fillId="0" borderId="32" xfId="0" applyNumberFormat="1" applyFont="1" applyBorder="1" applyAlignment="1">
      <alignment horizontal="center" vertical="center" wrapText="1" shrinkToFit="1"/>
    </xf>
    <xf numFmtId="1" fontId="3" fillId="0" borderId="33" xfId="0" applyNumberFormat="1" applyFont="1" applyBorder="1" applyAlignment="1">
      <alignment horizontal="center" vertical="center" wrapText="1" shrinkToFit="1"/>
    </xf>
    <xf numFmtId="1" fontId="3" fillId="0" borderId="24" xfId="0" applyNumberFormat="1" applyFont="1" applyBorder="1" applyAlignment="1">
      <alignment horizontal="center" vertical="center" wrapText="1" shrinkToFit="1"/>
    </xf>
    <xf numFmtId="1" fontId="3" fillId="0" borderId="32" xfId="0" applyNumberFormat="1" applyFont="1" applyBorder="1" applyAlignment="1">
      <alignment horizontal="center" vertical="center" shrinkToFit="1"/>
    </xf>
    <xf numFmtId="1" fontId="3" fillId="0" borderId="33" xfId="0" applyNumberFormat="1" applyFont="1" applyBorder="1" applyAlignment="1">
      <alignment horizontal="center" vertical="center" shrinkToFit="1"/>
    </xf>
    <xf numFmtId="164" fontId="3" fillId="0" borderId="33" xfId="0" applyNumberFormat="1" applyFont="1" applyBorder="1" applyAlignment="1">
      <alignment horizontal="center" vertical="center" shrinkToFit="1"/>
    </xf>
    <xf numFmtId="164" fontId="2" fillId="0" borderId="33" xfId="0" applyNumberFormat="1" applyFont="1" applyBorder="1" applyAlignment="1">
      <alignment horizontal="center" vertical="center" wrapText="1"/>
    </xf>
    <xf numFmtId="1" fontId="3" fillId="0" borderId="24" xfId="0" applyNumberFormat="1" applyFont="1" applyBorder="1" applyAlignment="1">
      <alignment horizontal="center" vertical="center" shrinkToFit="1"/>
    </xf>
    <xf numFmtId="43" fontId="3" fillId="0" borderId="2" xfId="1" applyFont="1" applyBorder="1" applyAlignment="1">
      <alignment horizontal="center" vertical="center" wrapText="1" shrinkToFit="1"/>
    </xf>
    <xf numFmtId="43" fontId="3" fillId="0" borderId="4" xfId="1" applyFont="1" applyBorder="1" applyAlignment="1">
      <alignment horizontal="center" vertical="center" wrapText="1" shrinkToFit="1"/>
    </xf>
    <xf numFmtId="43" fontId="3" fillId="0" borderId="5" xfId="1" applyFont="1" applyBorder="1" applyAlignment="1">
      <alignment horizontal="center" vertical="center" wrapText="1" shrinkToFit="1"/>
    </xf>
    <xf numFmtId="43" fontId="2" fillId="0" borderId="2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43" fontId="2" fillId="0" borderId="5" xfId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wrapText="1" shrinkToFit="1"/>
    </xf>
    <xf numFmtId="44" fontId="3" fillId="0" borderId="1" xfId="2" applyFont="1" applyBorder="1" applyAlignment="1">
      <alignment horizontal="center" vertical="center" wrapText="1" shrinkToFit="1"/>
    </xf>
    <xf numFmtId="44" fontId="3" fillId="0" borderId="6" xfId="2" applyFont="1" applyBorder="1" applyAlignment="1">
      <alignment horizontal="center" vertical="center" wrapText="1" shrinkToFit="1"/>
    </xf>
    <xf numFmtId="44" fontId="2" fillId="0" borderId="3" xfId="2" applyFont="1" applyBorder="1" applyAlignment="1">
      <alignment horizontal="right" vertical="center" wrapText="1"/>
    </xf>
    <xf numFmtId="44" fontId="2" fillId="0" borderId="1" xfId="2" applyFont="1" applyBorder="1" applyAlignment="1">
      <alignment horizontal="right" vertical="center" wrapText="1"/>
    </xf>
    <xf numFmtId="44" fontId="2" fillId="0" borderId="6" xfId="2" applyFont="1" applyBorder="1" applyAlignment="1">
      <alignment horizontal="right" vertical="center" wrapText="1"/>
    </xf>
    <xf numFmtId="43" fontId="2" fillId="5" borderId="19" xfId="0" applyNumberFormat="1" applyFont="1" applyFill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1" fontId="1" fillId="0" borderId="39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2" fillId="6" borderId="14" xfId="0" applyFont="1" applyFill="1" applyBorder="1" applyAlignment="1">
      <alignment vertical="center" wrapText="1"/>
    </xf>
    <xf numFmtId="0" fontId="2" fillId="6" borderId="25" xfId="0" applyFont="1" applyFill="1" applyBorder="1" applyAlignment="1">
      <alignment vertical="center" wrapText="1"/>
    </xf>
    <xf numFmtId="165" fontId="3" fillId="0" borderId="3" xfId="2" applyNumberFormat="1" applyFont="1" applyBorder="1" applyAlignment="1">
      <alignment horizontal="center" vertical="center" wrapText="1" shrinkToFit="1"/>
    </xf>
    <xf numFmtId="165" fontId="3" fillId="0" borderId="1" xfId="2" applyNumberFormat="1" applyFont="1" applyBorder="1" applyAlignment="1">
      <alignment horizontal="center" vertical="center" wrapText="1" shrinkToFit="1"/>
    </xf>
    <xf numFmtId="43" fontId="2" fillId="0" borderId="32" xfId="1" applyFont="1" applyBorder="1" applyAlignment="1">
      <alignment horizontal="center" vertical="center" wrapText="1"/>
    </xf>
    <xf numFmtId="43" fontId="2" fillId="0" borderId="33" xfId="1" applyFont="1" applyBorder="1" applyAlignment="1">
      <alignment horizontal="center" vertical="center" wrapText="1"/>
    </xf>
    <xf numFmtId="43" fontId="2" fillId="0" borderId="24" xfId="1" applyFont="1" applyBorder="1" applyAlignment="1">
      <alignment horizontal="center" vertical="center" wrapText="1"/>
    </xf>
    <xf numFmtId="43" fontId="3" fillId="0" borderId="41" xfId="1" applyFont="1" applyBorder="1" applyAlignment="1">
      <alignment horizontal="center" vertical="center" wrapText="1" shrinkToFit="1"/>
    </xf>
    <xf numFmtId="43" fontId="3" fillId="0" borderId="42" xfId="1" applyFont="1" applyBorder="1" applyAlignment="1">
      <alignment horizontal="center" vertical="center" wrapText="1" shrinkToFit="1"/>
    </xf>
    <xf numFmtId="43" fontId="3" fillId="0" borderId="43" xfId="1" applyFont="1" applyBorder="1" applyAlignment="1">
      <alignment horizontal="center" vertical="center" wrapText="1" shrinkToFit="1"/>
    </xf>
    <xf numFmtId="0" fontId="1" fillId="0" borderId="25" xfId="0" applyFont="1" applyBorder="1" applyAlignment="1">
      <alignment horizontal="center" vertical="center" wrapText="1"/>
    </xf>
    <xf numFmtId="165" fontId="3" fillId="0" borderId="4" xfId="2" applyNumberFormat="1" applyFont="1" applyBorder="1" applyAlignment="1">
      <alignment horizontal="center" vertical="center" wrapText="1" shrinkToFit="1"/>
    </xf>
    <xf numFmtId="43" fontId="3" fillId="0" borderId="17" xfId="1" applyFont="1" applyBorder="1" applyAlignment="1">
      <alignment horizontal="right" vertical="center" indent="1" shrinkToFit="1"/>
    </xf>
    <xf numFmtId="43" fontId="3" fillId="0" borderId="17" xfId="1" applyFont="1" applyBorder="1" applyAlignment="1">
      <alignment horizontal="left" vertical="center" indent="1" shrinkToFit="1"/>
    </xf>
    <xf numFmtId="165" fontId="3" fillId="0" borderId="47" xfId="2" applyNumberFormat="1" applyFont="1" applyBorder="1" applyAlignment="1">
      <alignment horizontal="center" vertical="center" wrapText="1" shrinkToFit="1"/>
    </xf>
    <xf numFmtId="165" fontId="3" fillId="0" borderId="48" xfId="2" applyNumberFormat="1" applyFont="1" applyBorder="1" applyAlignment="1">
      <alignment horizontal="center" vertical="center" wrapText="1" shrinkToFit="1"/>
    </xf>
    <xf numFmtId="43" fontId="3" fillId="0" borderId="49" xfId="1" applyFont="1" applyBorder="1" applyAlignment="1">
      <alignment horizontal="left" vertical="center" indent="1" shrinkToFit="1"/>
    </xf>
    <xf numFmtId="43" fontId="2" fillId="5" borderId="40" xfId="0" applyNumberFormat="1" applyFont="1" applyFill="1" applyBorder="1" applyAlignment="1">
      <alignment vertical="center" wrapText="1"/>
    </xf>
    <xf numFmtId="165" fontId="3" fillId="0" borderId="2" xfId="2" applyNumberFormat="1" applyFont="1" applyBorder="1" applyAlignment="1">
      <alignment horizontal="center" vertical="center" wrapText="1" shrinkToFit="1"/>
    </xf>
    <xf numFmtId="165" fontId="3" fillId="0" borderId="17" xfId="0" applyNumberFormat="1" applyFont="1" applyBorder="1" applyAlignment="1">
      <alignment horizontal="left" vertical="top"/>
    </xf>
    <xf numFmtId="165" fontId="3" fillId="0" borderId="49" xfId="0" applyNumberFormat="1" applyFont="1" applyBorder="1" applyAlignment="1">
      <alignment horizontal="left" vertical="top"/>
    </xf>
    <xf numFmtId="43" fontId="2" fillId="5" borderId="53" xfId="0" applyNumberFormat="1" applyFont="1" applyFill="1" applyBorder="1" applyAlignment="1">
      <alignment vertical="center" wrapText="1"/>
    </xf>
    <xf numFmtId="43" fontId="2" fillId="0" borderId="49" xfId="1" applyFont="1" applyBorder="1" applyAlignment="1">
      <alignment horizontal="center" vertical="center" wrapText="1"/>
    </xf>
    <xf numFmtId="165" fontId="2" fillId="0" borderId="3" xfId="2" applyNumberFormat="1" applyFont="1" applyBorder="1" applyAlignment="1">
      <alignment horizontal="center" vertical="center" wrapText="1"/>
    </xf>
    <xf numFmtId="165" fontId="2" fillId="0" borderId="1" xfId="2" applyNumberFormat="1" applyFont="1" applyBorder="1" applyAlignment="1">
      <alignment horizontal="center" vertical="center" wrapText="1"/>
    </xf>
    <xf numFmtId="43" fontId="3" fillId="0" borderId="32" xfId="1" applyFont="1" applyBorder="1" applyAlignment="1">
      <alignment horizontal="center" vertical="center" shrinkToFit="1"/>
    </xf>
    <xf numFmtId="43" fontId="3" fillId="0" borderId="33" xfId="1" applyFont="1" applyBorder="1" applyAlignment="1">
      <alignment horizontal="center" vertical="center" shrinkToFit="1"/>
    </xf>
    <xf numFmtId="43" fontId="3" fillId="0" borderId="24" xfId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right" vertical="center"/>
    </xf>
    <xf numFmtId="43" fontId="2" fillId="0" borderId="41" xfId="1" applyFont="1" applyBorder="1" applyAlignment="1">
      <alignment horizontal="center" vertical="center" wrapText="1"/>
    </xf>
    <xf numFmtId="43" fontId="2" fillId="0" borderId="42" xfId="1" applyFont="1" applyBorder="1" applyAlignment="1">
      <alignment horizontal="center" vertical="center" wrapText="1"/>
    </xf>
    <xf numFmtId="43" fontId="2" fillId="0" borderId="43" xfId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right" vertical="center"/>
    </xf>
    <xf numFmtId="1" fontId="3" fillId="0" borderId="3" xfId="0" applyNumberFormat="1" applyFont="1" applyBorder="1" applyAlignment="1">
      <alignment horizontal="right" vertical="center"/>
    </xf>
    <xf numFmtId="165" fontId="3" fillId="0" borderId="16" xfId="0" applyNumberFormat="1" applyFont="1" applyBorder="1" applyAlignment="1">
      <alignment horizontal="left" vertical="top"/>
    </xf>
    <xf numFmtId="1" fontId="3" fillId="0" borderId="4" xfId="0" applyNumberFormat="1" applyFont="1" applyBorder="1" applyAlignment="1">
      <alignment horizontal="right" vertical="center"/>
    </xf>
    <xf numFmtId="1" fontId="3" fillId="0" borderId="47" xfId="0" applyNumberFormat="1" applyFont="1" applyBorder="1" applyAlignment="1">
      <alignment horizontal="right" vertical="center"/>
    </xf>
    <xf numFmtId="1" fontId="3" fillId="0" borderId="48" xfId="0" applyNumberFormat="1" applyFont="1" applyBorder="1" applyAlignment="1">
      <alignment horizontal="right" vertical="center"/>
    </xf>
    <xf numFmtId="165" fontId="2" fillId="0" borderId="48" xfId="2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2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justify" vertical="center" wrapText="1"/>
    </xf>
    <xf numFmtId="0" fontId="3" fillId="4" borderId="10" xfId="0" applyFont="1" applyFill="1" applyBorder="1" applyAlignment="1">
      <alignment horizontal="left" vertical="top"/>
    </xf>
    <xf numFmtId="0" fontId="3" fillId="4" borderId="11" xfId="0" applyFont="1" applyFill="1" applyBorder="1" applyAlignment="1">
      <alignment horizontal="left" vertical="top"/>
    </xf>
    <xf numFmtId="0" fontId="3" fillId="4" borderId="31" xfId="0" applyFont="1" applyFill="1" applyBorder="1" applyAlignment="1">
      <alignment horizontal="left" vertical="top"/>
    </xf>
    <xf numFmtId="44" fontId="2" fillId="0" borderId="4" xfId="4" applyFont="1" applyBorder="1" applyAlignment="1">
      <alignment horizontal="justify" vertical="center" wrapText="1"/>
    </xf>
    <xf numFmtId="0" fontId="9" fillId="0" borderId="17" xfId="5" applyBorder="1" applyAlignment="1">
      <alignment horizontal="justify" vertical="center" wrapText="1"/>
    </xf>
    <xf numFmtId="44" fontId="2" fillId="0" borderId="47" xfId="4" applyFont="1" applyBorder="1" applyAlignment="1">
      <alignment horizontal="justify" vertical="center" wrapText="1"/>
    </xf>
    <xf numFmtId="0" fontId="2" fillId="0" borderId="48" xfId="3" applyFont="1" applyBorder="1" applyAlignment="1">
      <alignment horizontal="justify" vertical="center" wrapText="1"/>
    </xf>
    <xf numFmtId="0" fontId="9" fillId="0" borderId="49" xfId="5" applyBorder="1" applyAlignment="1">
      <alignment horizontal="justify" vertical="center" wrapText="1"/>
    </xf>
    <xf numFmtId="0" fontId="3" fillId="6" borderId="0" xfId="0" applyFont="1" applyFill="1" applyAlignment="1">
      <alignment horizontal="left" vertical="top"/>
    </xf>
    <xf numFmtId="0" fontId="1" fillId="0" borderId="39" xfId="0" applyFont="1" applyBorder="1" applyAlignment="1">
      <alignment horizontal="center" vertical="center" wrapText="1"/>
    </xf>
    <xf numFmtId="44" fontId="2" fillId="0" borderId="45" xfId="4" applyFont="1" applyBorder="1" applyAlignment="1">
      <alignment horizontal="justify" vertical="center" wrapText="1"/>
    </xf>
    <xf numFmtId="0" fontId="2" fillId="0" borderId="44" xfId="3" applyFont="1" applyBorder="1" applyAlignment="1">
      <alignment horizontal="justify" vertical="center" wrapText="1"/>
    </xf>
    <xf numFmtId="0" fontId="9" fillId="0" borderId="46" xfId="5" applyBorder="1" applyAlignment="1">
      <alignment horizontal="justify" vertical="center" wrapText="1"/>
    </xf>
    <xf numFmtId="0" fontId="1" fillId="0" borderId="9" xfId="3" applyFont="1" applyBorder="1" applyAlignment="1">
      <alignment horizontal="center" vertical="center" wrapText="1"/>
    </xf>
    <xf numFmtId="0" fontId="1" fillId="0" borderId="18" xfId="3" applyFont="1" applyBorder="1" applyAlignment="1">
      <alignment horizontal="center" vertical="center" wrapText="1"/>
    </xf>
    <xf numFmtId="43" fontId="2" fillId="5" borderId="54" xfId="0" applyNumberFormat="1" applyFont="1" applyFill="1" applyBorder="1" applyAlignment="1">
      <alignment vertical="center" wrapText="1"/>
    </xf>
    <xf numFmtId="44" fontId="2" fillId="0" borderId="4" xfId="4" applyFont="1" applyFill="1" applyBorder="1" applyAlignment="1">
      <alignment horizontal="justify" vertical="center" wrapText="1"/>
    </xf>
    <xf numFmtId="0" fontId="9" fillId="0" borderId="17" xfId="5" applyFill="1" applyBorder="1" applyAlignment="1">
      <alignment horizontal="justify" vertical="center" wrapText="1"/>
    </xf>
    <xf numFmtId="0" fontId="3" fillId="4" borderId="15" xfId="0" applyFont="1" applyFill="1" applyBorder="1" applyAlignment="1">
      <alignment horizontal="left" vertical="top"/>
    </xf>
    <xf numFmtId="166" fontId="3" fillId="0" borderId="1" xfId="2" applyNumberFormat="1" applyFont="1" applyBorder="1" applyAlignment="1">
      <alignment horizontal="center" vertical="center" wrapText="1"/>
    </xf>
    <xf numFmtId="166" fontId="3" fillId="0" borderId="48" xfId="2" applyNumberFormat="1" applyFont="1" applyBorder="1" applyAlignment="1">
      <alignment horizontal="center" vertical="center" wrapText="1"/>
    </xf>
    <xf numFmtId="166" fontId="3" fillId="0" borderId="44" xfId="2" applyNumberFormat="1" applyFont="1" applyBorder="1" applyAlignment="1">
      <alignment horizontal="center" vertical="center" wrapText="1"/>
    </xf>
    <xf numFmtId="166" fontId="3" fillId="0" borderId="3" xfId="2" applyNumberFormat="1" applyFont="1" applyBorder="1" applyAlignment="1">
      <alignment horizontal="center" vertical="center" wrapText="1"/>
    </xf>
    <xf numFmtId="166" fontId="3" fillId="0" borderId="2" xfId="2" applyNumberFormat="1" applyFont="1" applyBorder="1" applyAlignment="1">
      <alignment horizontal="center" vertical="center" wrapText="1" shrinkToFit="1"/>
    </xf>
    <xf numFmtId="166" fontId="3" fillId="0" borderId="3" xfId="2" applyNumberFormat="1" applyFont="1" applyBorder="1" applyAlignment="1">
      <alignment horizontal="center" vertical="center" wrapText="1" shrinkToFit="1"/>
    </xf>
    <xf numFmtId="166" fontId="2" fillId="0" borderId="32" xfId="2" applyNumberFormat="1" applyFont="1" applyBorder="1" applyAlignment="1">
      <alignment horizontal="center" vertical="center" wrapText="1"/>
    </xf>
    <xf numFmtId="166" fontId="3" fillId="0" borderId="45" xfId="2" applyNumberFormat="1" applyFont="1" applyBorder="1" applyAlignment="1">
      <alignment horizontal="center" vertical="center" wrapText="1" shrinkToFit="1"/>
    </xf>
    <xf numFmtId="166" fontId="3" fillId="0" borderId="44" xfId="2" applyNumberFormat="1" applyFont="1" applyBorder="1" applyAlignment="1">
      <alignment horizontal="center" vertical="center" wrapText="1" shrinkToFit="1"/>
    </xf>
    <xf numFmtId="166" fontId="2" fillId="0" borderId="46" xfId="2" applyNumberFormat="1" applyFont="1" applyBorder="1" applyAlignment="1">
      <alignment horizontal="center" vertical="center" wrapText="1"/>
    </xf>
    <xf numFmtId="166" fontId="3" fillId="0" borderId="41" xfId="2" applyNumberFormat="1" applyFont="1" applyBorder="1" applyAlignment="1">
      <alignment horizontal="center" vertical="center" wrapText="1" shrinkToFit="1"/>
    </xf>
    <xf numFmtId="166" fontId="2" fillId="0" borderId="16" xfId="2" applyNumberFormat="1" applyFont="1" applyBorder="1" applyAlignment="1">
      <alignment horizontal="center" vertical="center" wrapText="1"/>
    </xf>
    <xf numFmtId="166" fontId="3" fillId="0" borderId="4" xfId="2" applyNumberFormat="1" applyFont="1" applyBorder="1" applyAlignment="1">
      <alignment horizontal="center" vertical="center" wrapText="1" shrinkToFit="1"/>
    </xf>
    <xf numFmtId="166" fontId="3" fillId="0" borderId="1" xfId="2" applyNumberFormat="1" applyFont="1" applyBorder="1" applyAlignment="1">
      <alignment horizontal="center" vertical="center" wrapText="1" shrinkToFit="1"/>
    </xf>
    <xf numFmtId="166" fontId="2" fillId="0" borderId="33" xfId="2" applyNumberFormat="1" applyFont="1" applyBorder="1" applyAlignment="1">
      <alignment horizontal="center" vertical="center" wrapText="1"/>
    </xf>
    <xf numFmtId="166" fontId="3" fillId="0" borderId="42" xfId="2" applyNumberFormat="1" applyFont="1" applyBorder="1" applyAlignment="1">
      <alignment horizontal="center" vertical="center" wrapText="1" shrinkToFit="1"/>
    </xf>
    <xf numFmtId="166" fontId="2" fillId="0" borderId="17" xfId="2" applyNumberFormat="1" applyFont="1" applyBorder="1" applyAlignment="1">
      <alignment horizontal="center" vertical="center" wrapText="1"/>
    </xf>
    <xf numFmtId="166" fontId="3" fillId="0" borderId="5" xfId="2" applyNumberFormat="1" applyFont="1" applyBorder="1" applyAlignment="1">
      <alignment horizontal="center" vertical="center" wrapText="1" shrinkToFit="1"/>
    </xf>
    <xf numFmtId="166" fontId="3" fillId="0" borderId="6" xfId="2" applyNumberFormat="1" applyFont="1" applyBorder="1" applyAlignment="1">
      <alignment horizontal="center" vertical="center" wrapText="1" shrinkToFit="1"/>
    </xf>
    <xf numFmtId="166" fontId="2" fillId="0" borderId="24" xfId="2" applyNumberFormat="1" applyFont="1" applyBorder="1" applyAlignment="1">
      <alignment horizontal="center" vertical="center" wrapText="1"/>
    </xf>
    <xf numFmtId="166" fontId="3" fillId="0" borderId="47" xfId="2" applyNumberFormat="1" applyFont="1" applyBorder="1" applyAlignment="1">
      <alignment horizontal="center" vertical="center" wrapText="1" shrinkToFit="1"/>
    </xf>
    <xf numFmtId="166" fontId="3" fillId="0" borderId="48" xfId="2" applyNumberFormat="1" applyFont="1" applyBorder="1" applyAlignment="1">
      <alignment horizontal="center" vertical="center" wrapText="1" shrinkToFit="1"/>
    </xf>
    <xf numFmtId="166" fontId="3" fillId="0" borderId="43" xfId="2" applyNumberFormat="1" applyFont="1" applyBorder="1" applyAlignment="1">
      <alignment horizontal="center" vertical="center" wrapText="1" shrinkToFit="1"/>
    </xf>
    <xf numFmtId="166" fontId="2" fillId="0" borderId="45" xfId="2" applyNumberFormat="1" applyFont="1" applyBorder="1" applyAlignment="1">
      <alignment horizontal="center" vertical="center" wrapText="1"/>
    </xf>
    <xf numFmtId="166" fontId="2" fillId="0" borderId="44" xfId="2" applyNumberFormat="1" applyFont="1" applyBorder="1" applyAlignment="1">
      <alignment horizontal="center" vertical="center" wrapText="1"/>
    </xf>
    <xf numFmtId="166" fontId="3" fillId="0" borderId="46" xfId="2" applyNumberFormat="1" applyFont="1" applyBorder="1" applyAlignment="1">
      <alignment horizontal="center" vertical="center" wrapText="1"/>
    </xf>
    <xf numFmtId="166" fontId="3" fillId="0" borderId="17" xfId="2" applyNumberFormat="1" applyFont="1" applyBorder="1" applyAlignment="1">
      <alignment horizontal="center" vertical="center" shrinkToFit="1"/>
    </xf>
    <xf numFmtId="166" fontId="2" fillId="0" borderId="4" xfId="2" applyNumberFormat="1" applyFont="1" applyBorder="1" applyAlignment="1">
      <alignment horizontal="center" vertical="center" wrapText="1"/>
    </xf>
    <xf numFmtId="166" fontId="2" fillId="0" borderId="1" xfId="2" applyNumberFormat="1" applyFont="1" applyBorder="1" applyAlignment="1">
      <alignment horizontal="center" vertical="center" wrapText="1"/>
    </xf>
    <xf numFmtId="166" fontId="3" fillId="0" borderId="17" xfId="2" applyNumberFormat="1" applyFont="1" applyBorder="1" applyAlignment="1">
      <alignment horizontal="center" vertical="center" wrapText="1"/>
    </xf>
    <xf numFmtId="166" fontId="2" fillId="0" borderId="47" xfId="2" applyNumberFormat="1" applyFont="1" applyBorder="1" applyAlignment="1">
      <alignment horizontal="center" vertical="center" wrapText="1"/>
    </xf>
    <xf numFmtId="166" fontId="2" fillId="0" borderId="48" xfId="2" applyNumberFormat="1" applyFont="1" applyBorder="1" applyAlignment="1">
      <alignment horizontal="center" vertical="center" wrapText="1"/>
    </xf>
    <xf numFmtId="166" fontId="3" fillId="0" borderId="49" xfId="2" applyNumberFormat="1" applyFont="1" applyBorder="1" applyAlignment="1">
      <alignment horizontal="center" vertical="center" wrapText="1"/>
    </xf>
    <xf numFmtId="166" fontId="2" fillId="5" borderId="19" xfId="2" applyNumberFormat="1" applyFont="1" applyFill="1" applyBorder="1" applyAlignment="1">
      <alignment horizontal="center" vertical="center" wrapText="1"/>
    </xf>
    <xf numFmtId="166" fontId="2" fillId="0" borderId="2" xfId="2" applyNumberFormat="1" applyFont="1" applyBorder="1" applyAlignment="1">
      <alignment horizontal="center" vertical="center" wrapText="1"/>
    </xf>
    <xf numFmtId="166" fontId="3" fillId="0" borderId="3" xfId="2" applyNumberFormat="1" applyFont="1" applyBorder="1" applyAlignment="1">
      <alignment horizontal="center" vertical="top"/>
    </xf>
    <xf numFmtId="166" fontId="3" fillId="0" borderId="16" xfId="2" applyNumberFormat="1" applyFont="1" applyBorder="1" applyAlignment="1">
      <alignment horizontal="center" vertical="center" wrapText="1"/>
    </xf>
    <xf numFmtId="166" fontId="2" fillId="0" borderId="1" xfId="2" applyNumberFormat="1" applyFont="1" applyFill="1" applyBorder="1" applyAlignment="1">
      <alignment horizontal="center" vertical="center" wrapText="1"/>
    </xf>
    <xf numFmtId="166" fontId="2" fillId="0" borderId="3" xfId="2" applyNumberFormat="1" applyFont="1" applyFill="1" applyBorder="1" applyAlignment="1">
      <alignment horizontal="center" vertical="center" wrapText="1"/>
    </xf>
    <xf numFmtId="166" fontId="2" fillId="0" borderId="49" xfId="2" applyNumberFormat="1" applyFont="1" applyBorder="1" applyAlignment="1">
      <alignment horizontal="center" vertical="center" wrapText="1"/>
    </xf>
    <xf numFmtId="166" fontId="2" fillId="0" borderId="3" xfId="2" applyNumberFormat="1" applyFont="1" applyBorder="1" applyAlignment="1">
      <alignment horizontal="center" vertical="center" wrapText="1"/>
    </xf>
    <xf numFmtId="166" fontId="3" fillId="0" borderId="32" xfId="2" applyNumberFormat="1" applyFont="1" applyBorder="1" applyAlignment="1">
      <alignment horizontal="center" vertical="center" shrinkToFit="1"/>
    </xf>
    <xf numFmtId="166" fontId="3" fillId="0" borderId="2" xfId="2" applyNumberFormat="1" applyFont="1" applyBorder="1" applyAlignment="1">
      <alignment horizontal="center" vertical="center"/>
    </xf>
    <xf numFmtId="166" fontId="3" fillId="0" borderId="3" xfId="2" applyNumberFormat="1" applyFont="1" applyBorder="1" applyAlignment="1">
      <alignment horizontal="center" vertical="center"/>
    </xf>
    <xf numFmtId="166" fontId="2" fillId="0" borderId="41" xfId="2" applyNumberFormat="1" applyFont="1" applyBorder="1" applyAlignment="1">
      <alignment horizontal="center" vertical="center" wrapText="1"/>
    </xf>
    <xf numFmtId="166" fontId="3" fillId="0" borderId="16" xfId="2" applyNumberFormat="1" applyFont="1" applyBorder="1" applyAlignment="1">
      <alignment horizontal="center" vertical="center" shrinkToFit="1"/>
    </xf>
    <xf numFmtId="166" fontId="3" fillId="0" borderId="33" xfId="2" applyNumberFormat="1" applyFont="1" applyBorder="1" applyAlignment="1">
      <alignment horizontal="center" vertical="center" shrinkToFit="1"/>
    </xf>
    <xf numFmtId="166" fontId="3" fillId="0" borderId="4" xfId="2" applyNumberFormat="1" applyFont="1" applyBorder="1" applyAlignment="1">
      <alignment horizontal="center" vertical="center"/>
    </xf>
    <xf numFmtId="166" fontId="3" fillId="0" borderId="1" xfId="2" applyNumberFormat="1" applyFont="1" applyBorder="1" applyAlignment="1">
      <alignment horizontal="center" vertical="center"/>
    </xf>
    <xf numFmtId="166" fontId="2" fillId="0" borderId="42" xfId="2" applyNumberFormat="1" applyFont="1" applyBorder="1" applyAlignment="1">
      <alignment horizontal="center" vertical="center" wrapText="1"/>
    </xf>
    <xf numFmtId="166" fontId="2" fillId="0" borderId="5" xfId="2" applyNumberFormat="1" applyFont="1" applyBorder="1" applyAlignment="1">
      <alignment horizontal="center" vertical="center" wrapText="1"/>
    </xf>
    <xf numFmtId="166" fontId="2" fillId="0" borderId="6" xfId="2" applyNumberFormat="1" applyFont="1" applyBorder="1" applyAlignment="1">
      <alignment horizontal="center" vertical="center" wrapText="1"/>
    </xf>
    <xf numFmtId="166" fontId="3" fillId="0" borderId="24" xfId="2" applyNumberFormat="1" applyFont="1" applyBorder="1" applyAlignment="1">
      <alignment horizontal="center" vertical="center" shrinkToFit="1"/>
    </xf>
    <xf numFmtId="166" fontId="3" fillId="0" borderId="47" xfId="2" applyNumberFormat="1" applyFont="1" applyBorder="1" applyAlignment="1">
      <alignment horizontal="center" vertical="center"/>
    </xf>
    <xf numFmtId="166" fontId="3" fillId="0" borderId="48" xfId="2" applyNumberFormat="1" applyFont="1" applyBorder="1" applyAlignment="1">
      <alignment horizontal="center" vertical="center"/>
    </xf>
    <xf numFmtId="166" fontId="2" fillId="0" borderId="43" xfId="2" applyNumberFormat="1" applyFont="1" applyBorder="1" applyAlignment="1">
      <alignment horizontal="center" vertical="center" wrapText="1"/>
    </xf>
    <xf numFmtId="166" fontId="2" fillId="5" borderId="18" xfId="2" applyNumberFormat="1" applyFont="1" applyFill="1" applyBorder="1" applyAlignment="1">
      <alignment horizontal="center" vertical="center"/>
    </xf>
    <xf numFmtId="166" fontId="3" fillId="0" borderId="57" xfId="2" applyNumberFormat="1" applyFont="1" applyBorder="1" applyAlignment="1">
      <alignment horizontal="center" vertical="center" wrapText="1"/>
    </xf>
    <xf numFmtId="166" fontId="3" fillId="0" borderId="33" xfId="2" applyNumberFormat="1" applyFont="1" applyBorder="1" applyAlignment="1">
      <alignment horizontal="center" vertical="center" wrapText="1"/>
    </xf>
    <xf numFmtId="166" fontId="3" fillId="0" borderId="58" xfId="2" applyNumberFormat="1" applyFont="1" applyBorder="1" applyAlignment="1">
      <alignment horizontal="center" vertical="center" wrapText="1"/>
    </xf>
    <xf numFmtId="166" fontId="3" fillId="0" borderId="4" xfId="2" applyNumberFormat="1" applyFont="1" applyBorder="1" applyAlignment="1">
      <alignment horizontal="center" vertical="center" wrapText="1"/>
    </xf>
    <xf numFmtId="166" fontId="3" fillId="0" borderId="47" xfId="2" applyNumberFormat="1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166" fontId="3" fillId="0" borderId="45" xfId="2" applyNumberFormat="1" applyFont="1" applyBorder="1" applyAlignment="1">
      <alignment horizontal="center" vertical="center" wrapText="1"/>
    </xf>
    <xf numFmtId="166" fontId="2" fillId="5" borderId="63" xfId="2" applyNumberFormat="1" applyFont="1" applyFill="1" applyBorder="1" applyAlignment="1">
      <alignment horizontal="center" vertical="center" wrapText="1"/>
    </xf>
    <xf numFmtId="166" fontId="2" fillId="5" borderId="30" xfId="2" applyNumberFormat="1" applyFont="1" applyFill="1" applyBorder="1" applyAlignment="1">
      <alignment horizontal="center" vertical="center" wrapText="1"/>
    </xf>
    <xf numFmtId="166" fontId="2" fillId="5" borderId="28" xfId="2" applyNumberFormat="1" applyFont="1" applyFill="1" applyBorder="1" applyAlignment="1">
      <alignment horizontal="center" vertical="center" wrapText="1"/>
    </xf>
    <xf numFmtId="166" fontId="2" fillId="5" borderId="60" xfId="2" applyNumberFormat="1" applyFont="1" applyFill="1" applyBorder="1" applyAlignment="1">
      <alignment horizontal="center" vertical="center" wrapText="1"/>
    </xf>
    <xf numFmtId="166" fontId="2" fillId="5" borderId="53" xfId="2" applyNumberFormat="1" applyFont="1" applyFill="1" applyBorder="1" applyAlignment="1">
      <alignment horizontal="center" vertical="center" wrapText="1"/>
    </xf>
    <xf numFmtId="166" fontId="3" fillId="0" borderId="32" xfId="2" applyNumberFormat="1" applyFont="1" applyBorder="1" applyAlignment="1">
      <alignment horizontal="center" vertical="center" wrapText="1"/>
    </xf>
    <xf numFmtId="166" fontId="2" fillId="5" borderId="25" xfId="2" applyNumberFormat="1" applyFont="1" applyFill="1" applyBorder="1" applyAlignment="1">
      <alignment horizontal="center" vertical="center" wrapText="1"/>
    </xf>
    <xf numFmtId="166" fontId="3" fillId="0" borderId="5" xfId="2" applyNumberFormat="1" applyFont="1" applyBorder="1" applyAlignment="1">
      <alignment horizontal="center" vertical="center" wrapText="1"/>
    </xf>
    <xf numFmtId="166" fontId="2" fillId="5" borderId="7" xfId="2" applyNumberFormat="1" applyFont="1" applyFill="1" applyBorder="1" applyAlignment="1">
      <alignment horizontal="center" vertical="center" wrapText="1"/>
    </xf>
    <xf numFmtId="166" fontId="2" fillId="5" borderId="18" xfId="2" applyNumberFormat="1" applyFont="1" applyFill="1" applyBorder="1" applyAlignment="1">
      <alignment horizontal="center" vertical="center" wrapText="1"/>
    </xf>
    <xf numFmtId="166" fontId="2" fillId="5" borderId="53" xfId="2" applyNumberFormat="1" applyFont="1" applyFill="1" applyBorder="1" applyAlignment="1">
      <alignment horizontal="center" vertical="center"/>
    </xf>
    <xf numFmtId="166" fontId="3" fillId="0" borderId="2" xfId="2" applyNumberFormat="1" applyFont="1" applyBorder="1" applyAlignment="1">
      <alignment horizontal="center" vertical="center" wrapText="1"/>
    </xf>
    <xf numFmtId="166" fontId="3" fillId="0" borderId="60" xfId="2" applyNumberFormat="1" applyFont="1" applyBorder="1" applyAlignment="1">
      <alignment horizontal="center" vertical="center" wrapText="1"/>
    </xf>
    <xf numFmtId="166" fontId="3" fillId="0" borderId="53" xfId="2" applyNumberFormat="1" applyFont="1" applyBorder="1" applyAlignment="1">
      <alignment horizontal="center" vertical="center" wrapText="1"/>
    </xf>
    <xf numFmtId="166" fontId="2" fillId="5" borderId="40" xfId="2" applyNumberFormat="1" applyFont="1" applyFill="1" applyBorder="1" applyAlignment="1">
      <alignment horizontal="center" vertical="center" wrapText="1"/>
    </xf>
    <xf numFmtId="166" fontId="3" fillId="0" borderId="24" xfId="2" applyNumberFormat="1" applyFont="1" applyBorder="1" applyAlignment="1">
      <alignment horizontal="center" vertical="center" wrapText="1"/>
    </xf>
    <xf numFmtId="166" fontId="2" fillId="5" borderId="15" xfId="2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6" fontId="3" fillId="0" borderId="22" xfId="2" applyNumberFormat="1" applyFont="1" applyBorder="1" applyAlignment="1">
      <alignment horizontal="center" vertical="center" wrapText="1" shrinkToFit="1"/>
    </xf>
    <xf numFmtId="0" fontId="1" fillId="0" borderId="6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166" fontId="3" fillId="0" borderId="20" xfId="2" applyNumberFormat="1" applyFont="1" applyBorder="1" applyAlignment="1">
      <alignment horizontal="center" vertical="center" wrapText="1" shrinkToFit="1"/>
    </xf>
    <xf numFmtId="166" fontId="3" fillId="0" borderId="34" xfId="2" applyNumberFormat="1" applyFont="1" applyBorder="1" applyAlignment="1">
      <alignment horizontal="center" vertical="center" wrapText="1" shrinkToFit="1"/>
    </xf>
    <xf numFmtId="0" fontId="4" fillId="9" borderId="30" xfId="0" applyFont="1" applyFill="1" applyBorder="1" applyAlignment="1">
      <alignment horizontal="center" vertical="center" wrapText="1"/>
    </xf>
    <xf numFmtId="0" fontId="1" fillId="11" borderId="60" xfId="0" applyFont="1" applyFill="1" applyBorder="1" applyAlignment="1">
      <alignment horizontal="center" vertical="center" wrapText="1"/>
    </xf>
    <xf numFmtId="166" fontId="2" fillId="12" borderId="45" xfId="2" applyNumberFormat="1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horizontal="center" vertical="center" wrapText="1"/>
    </xf>
    <xf numFmtId="0" fontId="1" fillId="13" borderId="36" xfId="0" applyFont="1" applyFill="1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166" fontId="3" fillId="15" borderId="22" xfId="2" applyNumberFormat="1" applyFont="1" applyFill="1" applyBorder="1" applyAlignment="1">
      <alignment horizontal="center" vertical="center" wrapText="1" shrinkToFit="1"/>
    </xf>
    <xf numFmtId="166" fontId="3" fillId="15" borderId="64" xfId="2" applyNumberFormat="1" applyFont="1" applyFill="1" applyBorder="1" applyAlignment="1">
      <alignment horizontal="center" vertical="center" wrapText="1" shrinkToFit="1"/>
    </xf>
    <xf numFmtId="166" fontId="3" fillId="15" borderId="65" xfId="2" applyNumberFormat="1" applyFont="1" applyFill="1" applyBorder="1" applyAlignment="1">
      <alignment horizontal="center" vertical="center" wrapText="1" shrinkToFit="1"/>
    </xf>
    <xf numFmtId="166" fontId="3" fillId="15" borderId="42" xfId="2" applyNumberFormat="1" applyFont="1" applyFill="1" applyBorder="1" applyAlignment="1">
      <alignment horizontal="center" vertical="center" wrapText="1" shrinkToFit="1"/>
    </xf>
    <xf numFmtId="166" fontId="3" fillId="15" borderId="4" xfId="2" applyNumberFormat="1" applyFont="1" applyFill="1" applyBorder="1" applyAlignment="1">
      <alignment horizontal="center" vertical="center" wrapText="1" shrinkToFit="1"/>
    </xf>
    <xf numFmtId="166" fontId="3" fillId="15" borderId="47" xfId="2" applyNumberFormat="1" applyFont="1" applyFill="1" applyBorder="1" applyAlignment="1">
      <alignment horizontal="center" vertical="center" wrapText="1" shrinkToFit="1"/>
    </xf>
    <xf numFmtId="166" fontId="3" fillId="0" borderId="72" xfId="2" applyNumberFormat="1" applyFont="1" applyBorder="1" applyAlignment="1">
      <alignment horizontal="center" vertical="top"/>
    </xf>
    <xf numFmtId="166" fontId="3" fillId="0" borderId="73" xfId="2" applyNumberFormat="1" applyFont="1" applyBorder="1" applyAlignment="1">
      <alignment horizontal="center" vertical="top"/>
    </xf>
    <xf numFmtId="166" fontId="3" fillId="0" borderId="74" xfId="2" applyNumberFormat="1" applyFont="1" applyBorder="1" applyAlignment="1">
      <alignment horizontal="center" vertical="top"/>
    </xf>
    <xf numFmtId="0" fontId="1" fillId="19" borderId="68" xfId="0" applyFont="1" applyFill="1" applyBorder="1" applyAlignment="1">
      <alignment horizontal="center" vertical="center" wrapText="1"/>
    </xf>
    <xf numFmtId="0" fontId="1" fillId="19" borderId="63" xfId="0" applyFont="1" applyFill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6" fontId="3" fillId="0" borderId="47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9" fontId="3" fillId="0" borderId="0" xfId="6" applyFont="1" applyAlignment="1">
      <alignment horizontal="left" vertical="top"/>
    </xf>
    <xf numFmtId="44" fontId="3" fillId="0" borderId="0" xfId="2" applyFont="1" applyAlignment="1">
      <alignment horizontal="left" vertical="top"/>
    </xf>
    <xf numFmtId="10" fontId="3" fillId="0" borderId="0" xfId="6" applyNumberFormat="1" applyFont="1" applyAlignment="1">
      <alignment horizontal="left" vertical="top"/>
    </xf>
    <xf numFmtId="0" fontId="11" fillId="0" borderId="1" xfId="0" applyFont="1" applyBorder="1" applyAlignment="1">
      <alignment horizontal="center" vertical="center" wrapText="1"/>
    </xf>
    <xf numFmtId="10" fontId="3" fillId="0" borderId="1" xfId="6" applyNumberFormat="1" applyFont="1" applyBorder="1" applyAlignment="1">
      <alignment horizontal="center" vertical="center"/>
    </xf>
    <xf numFmtId="0" fontId="1" fillId="4" borderId="11" xfId="0" applyFont="1" applyFill="1" applyBorder="1" applyAlignment="1">
      <alignment vertical="top" wrapText="1"/>
    </xf>
    <xf numFmtId="0" fontId="1" fillId="4" borderId="31" xfId="0" applyFont="1" applyFill="1" applyBorder="1" applyAlignment="1">
      <alignment vertical="top" wrapText="1"/>
    </xf>
    <xf numFmtId="0" fontId="1" fillId="4" borderId="26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31" xfId="0" applyFont="1" applyFill="1" applyBorder="1" applyAlignment="1">
      <alignment vertical="center" wrapText="1"/>
    </xf>
    <xf numFmtId="0" fontId="1" fillId="7" borderId="11" xfId="0" applyFont="1" applyFill="1" applyBorder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1" fillId="7" borderId="31" xfId="0" applyFont="1" applyFill="1" applyBorder="1" applyAlignment="1">
      <alignment vertical="center" wrapText="1"/>
    </xf>
    <xf numFmtId="0" fontId="1" fillId="4" borderId="51" xfId="0" applyFont="1" applyFill="1" applyBorder="1" applyAlignment="1">
      <alignment vertical="top" wrapText="1"/>
    </xf>
    <xf numFmtId="44" fontId="3" fillId="0" borderId="1" xfId="4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68" xfId="3" applyFont="1" applyBorder="1" applyAlignment="1">
      <alignment horizontal="center" vertical="center" wrapText="1"/>
    </xf>
    <xf numFmtId="0" fontId="9" fillId="0" borderId="17" xfId="5" applyBorder="1" applyAlignment="1">
      <alignment horizontal="left" vertical="top" wrapText="1"/>
    </xf>
    <xf numFmtId="166" fontId="9" fillId="0" borderId="17" xfId="5" applyNumberForma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justify" vertical="center" wrapText="1"/>
    </xf>
    <xf numFmtId="1" fontId="3" fillId="0" borderId="58" xfId="0" applyNumberFormat="1" applyFont="1" applyBorder="1" applyAlignment="1">
      <alignment horizontal="center" vertical="center" wrapText="1" shrinkToFit="1"/>
    </xf>
    <xf numFmtId="43" fontId="3" fillId="0" borderId="47" xfId="1" applyFont="1" applyBorder="1" applyAlignment="1">
      <alignment horizontal="center" vertical="center" wrapText="1" shrinkToFit="1"/>
    </xf>
    <xf numFmtId="43" fontId="3" fillId="0" borderId="48" xfId="1" applyFont="1" applyBorder="1" applyAlignment="1">
      <alignment horizontal="center" vertical="center" wrapText="1" shrinkToFit="1"/>
    </xf>
    <xf numFmtId="43" fontId="2" fillId="0" borderId="58" xfId="1" applyFont="1" applyBorder="1" applyAlignment="1">
      <alignment horizontal="center" vertical="center" wrapText="1"/>
    </xf>
    <xf numFmtId="43" fontId="3" fillId="0" borderId="71" xfId="1" applyFont="1" applyBorder="1" applyAlignment="1">
      <alignment horizontal="center" vertical="center" wrapText="1" shrinkToFit="1"/>
    </xf>
    <xf numFmtId="44" fontId="3" fillId="0" borderId="48" xfId="2" applyFont="1" applyBorder="1" applyAlignment="1">
      <alignment horizontal="center" vertical="center" wrapText="1" shrinkToFit="1"/>
    </xf>
    <xf numFmtId="166" fontId="9" fillId="0" borderId="49" xfId="5" applyNumberForma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16" xfId="5" applyBorder="1" applyAlignment="1">
      <alignment horizontal="left" vertical="top" wrapText="1"/>
    </xf>
    <xf numFmtId="44" fontId="3" fillId="0" borderId="2" xfId="4" applyFont="1" applyBorder="1" applyAlignment="1">
      <alignment horizontal="center" vertical="center" wrapText="1"/>
    </xf>
    <xf numFmtId="44" fontId="3" fillId="0" borderId="4" xfId="4" applyFont="1" applyBorder="1" applyAlignment="1">
      <alignment horizontal="center" vertical="center" wrapText="1"/>
    </xf>
    <xf numFmtId="44" fontId="3" fillId="0" borderId="4" xfId="4" applyFont="1" applyFill="1" applyBorder="1" applyAlignment="1">
      <alignment horizontal="center" vertical="center" wrapText="1"/>
    </xf>
    <xf numFmtId="44" fontId="3" fillId="3" borderId="4" xfId="4" applyFont="1" applyFill="1" applyBorder="1" applyAlignment="1">
      <alignment horizontal="center" vertical="center" wrapText="1"/>
    </xf>
    <xf numFmtId="0" fontId="1" fillId="0" borderId="14" xfId="3" applyFont="1" applyBorder="1" applyAlignment="1">
      <alignment horizontal="center" vertical="center" wrapText="1"/>
    </xf>
    <xf numFmtId="0" fontId="1" fillId="0" borderId="19" xfId="3" applyFont="1" applyBorder="1" applyAlignment="1">
      <alignment horizontal="center" vertical="center" wrapText="1"/>
    </xf>
    <xf numFmtId="0" fontId="1" fillId="0" borderId="29" xfId="3" applyFont="1" applyBorder="1" applyAlignment="1">
      <alignment horizontal="center" vertical="center" wrapText="1"/>
    </xf>
    <xf numFmtId="0" fontId="2" fillId="0" borderId="33" xfId="3" applyFont="1" applyBorder="1" applyAlignment="1">
      <alignment horizontal="justify" vertical="center" wrapText="1"/>
    </xf>
    <xf numFmtId="0" fontId="2" fillId="0" borderId="58" xfId="3" applyFont="1" applyBorder="1" applyAlignment="1">
      <alignment horizontal="justify" vertical="center" wrapText="1"/>
    </xf>
    <xf numFmtId="0" fontId="1" fillId="0" borderId="25" xfId="3" applyFont="1" applyBorder="1" applyAlignment="1">
      <alignment horizontal="center" vertical="center" wrapText="1"/>
    </xf>
    <xf numFmtId="0" fontId="1" fillId="0" borderId="75" xfId="3" applyFont="1" applyBorder="1" applyAlignment="1">
      <alignment horizontal="center" vertical="center" wrapText="1"/>
    </xf>
    <xf numFmtId="0" fontId="2" fillId="0" borderId="57" xfId="3" applyFont="1" applyBorder="1" applyAlignment="1">
      <alignment horizontal="justify" vertical="center" wrapText="1"/>
    </xf>
    <xf numFmtId="44" fontId="3" fillId="0" borderId="32" xfId="2" applyFont="1" applyBorder="1" applyAlignment="1">
      <alignment horizontal="center" vertical="center" wrapText="1"/>
    </xf>
    <xf numFmtId="44" fontId="3" fillId="0" borderId="33" xfId="2" applyFont="1" applyBorder="1" applyAlignment="1">
      <alignment horizontal="center" vertical="center" wrapText="1"/>
    </xf>
    <xf numFmtId="44" fontId="2" fillId="0" borderId="58" xfId="2" applyFont="1" applyBorder="1" applyAlignment="1">
      <alignment horizontal="justify" vertical="center" wrapText="1"/>
    </xf>
    <xf numFmtId="44" fontId="2" fillId="0" borderId="33" xfId="2" applyFont="1" applyBorder="1" applyAlignment="1">
      <alignment horizontal="center" vertical="center" wrapText="1"/>
    </xf>
    <xf numFmtId="44" fontId="2" fillId="0" borderId="58" xfId="2" applyFont="1" applyBorder="1" applyAlignment="1">
      <alignment horizontal="center" vertical="center" wrapText="1"/>
    </xf>
    <xf numFmtId="166" fontId="3" fillId="0" borderId="69" xfId="2" applyNumberFormat="1" applyFont="1" applyFill="1" applyBorder="1" applyAlignment="1">
      <alignment horizontal="center" vertical="center" wrapText="1" shrinkToFit="1"/>
    </xf>
    <xf numFmtId="166" fontId="3" fillId="0" borderId="41" xfId="2" applyNumberFormat="1" applyFont="1" applyFill="1" applyBorder="1" applyAlignment="1">
      <alignment horizontal="center" vertical="center" wrapText="1" shrinkToFit="1"/>
    </xf>
    <xf numFmtId="166" fontId="2" fillId="0" borderId="45" xfId="2" applyNumberFormat="1" applyFont="1" applyFill="1" applyBorder="1" applyAlignment="1">
      <alignment horizontal="center" vertical="center" wrapText="1"/>
    </xf>
    <xf numFmtId="166" fontId="3" fillId="0" borderId="22" xfId="2" applyNumberFormat="1" applyFont="1" applyFill="1" applyBorder="1" applyAlignment="1">
      <alignment horizontal="center" vertical="center" wrapText="1" shrinkToFit="1"/>
    </xf>
    <xf numFmtId="166" fontId="3" fillId="0" borderId="64" xfId="2" applyNumberFormat="1" applyFont="1" applyFill="1" applyBorder="1" applyAlignment="1">
      <alignment horizontal="center" vertical="center" wrapText="1" shrinkToFit="1"/>
    </xf>
    <xf numFmtId="166" fontId="3" fillId="0" borderId="42" xfId="2" applyNumberFormat="1" applyFont="1" applyFill="1" applyBorder="1" applyAlignment="1">
      <alignment horizontal="center" vertical="center" wrapText="1" shrinkToFit="1"/>
    </xf>
    <xf numFmtId="166" fontId="2" fillId="0" borderId="4" xfId="2" applyNumberFormat="1" applyFont="1" applyFill="1" applyBorder="1" applyAlignment="1">
      <alignment horizontal="center" vertical="center" wrapText="1"/>
    </xf>
    <xf numFmtId="166" fontId="3" fillId="0" borderId="70" xfId="2" applyNumberFormat="1" applyFont="1" applyFill="1" applyBorder="1" applyAlignment="1">
      <alignment horizontal="center" vertical="center" wrapText="1" shrinkToFit="1"/>
    </xf>
    <xf numFmtId="166" fontId="3" fillId="0" borderId="43" xfId="2" applyNumberFormat="1" applyFont="1" applyFill="1" applyBorder="1" applyAlignment="1">
      <alignment horizontal="center" vertical="center" wrapText="1" shrinkToFit="1"/>
    </xf>
    <xf numFmtId="166" fontId="2" fillId="0" borderId="42" xfId="2" applyNumberFormat="1" applyFont="1" applyFill="1" applyBorder="1" applyAlignment="1">
      <alignment horizontal="center" vertical="center" wrapText="1"/>
    </xf>
    <xf numFmtId="166" fontId="3" fillId="0" borderId="65" xfId="2" applyNumberFormat="1" applyFont="1" applyFill="1" applyBorder="1" applyAlignment="1">
      <alignment horizontal="center" vertical="center" wrapText="1" shrinkToFit="1"/>
    </xf>
    <xf numFmtId="166" fontId="2" fillId="0" borderId="71" xfId="2" applyNumberFormat="1" applyFont="1" applyFill="1" applyBorder="1" applyAlignment="1">
      <alignment horizontal="center" vertical="center" wrapText="1"/>
    </xf>
    <xf numFmtId="166" fontId="3" fillId="0" borderId="3" xfId="2" applyNumberFormat="1" applyFont="1" applyFill="1" applyBorder="1" applyAlignment="1">
      <alignment horizontal="center" vertical="center" wrapText="1" shrinkToFit="1"/>
    </xf>
    <xf numFmtId="166" fontId="2" fillId="0" borderId="2" xfId="2" applyNumberFormat="1" applyFont="1" applyFill="1" applyBorder="1" applyAlignment="1">
      <alignment horizontal="center" vertical="center" wrapText="1"/>
    </xf>
    <xf numFmtId="166" fontId="3" fillId="0" borderId="4" xfId="2" applyNumberFormat="1" applyFont="1" applyFill="1" applyBorder="1" applyAlignment="1">
      <alignment horizontal="center" vertical="center" wrapText="1" shrinkToFit="1"/>
    </xf>
    <xf numFmtId="166" fontId="3" fillId="0" borderId="1" xfId="2" applyNumberFormat="1" applyFont="1" applyFill="1" applyBorder="1" applyAlignment="1">
      <alignment horizontal="center" vertical="center" wrapText="1" shrinkToFit="1"/>
    </xf>
    <xf numFmtId="166" fontId="3" fillId="0" borderId="6" xfId="2" applyNumberFormat="1" applyFont="1" applyFill="1" applyBorder="1" applyAlignment="1">
      <alignment horizontal="center" vertical="center" wrapText="1" shrinkToFit="1"/>
    </xf>
    <xf numFmtId="166" fontId="3" fillId="15" borderId="2" xfId="2" applyNumberFormat="1" applyFont="1" applyFill="1" applyBorder="1" applyAlignment="1">
      <alignment horizontal="center" vertical="center" wrapText="1" shrinkToFit="1"/>
    </xf>
    <xf numFmtId="166" fontId="2" fillId="0" borderId="58" xfId="2" applyNumberFormat="1" applyFont="1" applyBorder="1" applyAlignment="1">
      <alignment horizontal="center" vertical="center" wrapText="1"/>
    </xf>
    <xf numFmtId="0" fontId="1" fillId="13" borderId="10" xfId="0" applyFont="1" applyFill="1" applyBorder="1" applyAlignment="1">
      <alignment horizontal="center" vertical="center" wrapText="1"/>
    </xf>
    <xf numFmtId="9" fontId="3" fillId="0" borderId="1" xfId="6" applyFont="1" applyBorder="1" applyAlignment="1">
      <alignment horizontal="center" vertical="center" wrapText="1"/>
    </xf>
    <xf numFmtId="9" fontId="3" fillId="0" borderId="3" xfId="6" applyFont="1" applyBorder="1" applyAlignment="1">
      <alignment horizontal="center" vertical="center" wrapText="1"/>
    </xf>
    <xf numFmtId="9" fontId="3" fillId="0" borderId="48" xfId="6" applyFont="1" applyBorder="1" applyAlignment="1">
      <alignment horizontal="center" vertical="center" wrapText="1"/>
    </xf>
    <xf numFmtId="9" fontId="3" fillId="0" borderId="32" xfId="6" applyFont="1" applyBorder="1" applyAlignment="1">
      <alignment horizontal="center" vertical="center" wrapText="1"/>
    </xf>
    <xf numFmtId="9" fontId="3" fillId="0" borderId="33" xfId="6" applyFont="1" applyBorder="1" applyAlignment="1">
      <alignment horizontal="center" vertical="center" wrapText="1"/>
    </xf>
    <xf numFmtId="9" fontId="3" fillId="0" borderId="58" xfId="6" applyFont="1" applyBorder="1" applyAlignment="1">
      <alignment horizontal="center" vertical="center" wrapText="1"/>
    </xf>
    <xf numFmtId="9" fontId="3" fillId="15" borderId="3" xfId="6" applyFont="1" applyFill="1" applyBorder="1" applyAlignment="1">
      <alignment horizontal="center" vertical="center" wrapText="1"/>
    </xf>
    <xf numFmtId="9" fontId="3" fillId="15" borderId="1" xfId="6" applyFont="1" applyFill="1" applyBorder="1" applyAlignment="1">
      <alignment horizontal="center" vertical="center" wrapText="1"/>
    </xf>
    <xf numFmtId="9" fontId="3" fillId="15" borderId="48" xfId="6" applyFont="1" applyFill="1" applyBorder="1" applyAlignment="1">
      <alignment horizontal="center" vertical="center" wrapText="1"/>
    </xf>
    <xf numFmtId="44" fontId="3" fillId="0" borderId="2" xfId="2" applyFont="1" applyBorder="1" applyAlignment="1">
      <alignment horizontal="center" vertical="center"/>
    </xf>
    <xf numFmtId="44" fontId="3" fillId="0" borderId="4" xfId="2" applyFont="1" applyBorder="1" applyAlignment="1">
      <alignment horizontal="center" vertical="center"/>
    </xf>
    <xf numFmtId="44" fontId="3" fillId="0" borderId="47" xfId="2" applyFont="1" applyBorder="1" applyAlignment="1">
      <alignment horizontal="center" vertical="center"/>
    </xf>
    <xf numFmtId="44" fontId="3" fillId="0" borderId="69" xfId="2" applyFont="1" applyBorder="1" applyAlignment="1">
      <alignment horizontal="center" vertical="center" wrapText="1"/>
    </xf>
    <xf numFmtId="44" fontId="3" fillId="0" borderId="64" xfId="2" applyFont="1" applyBorder="1" applyAlignment="1">
      <alignment horizontal="center" vertical="center" wrapText="1"/>
    </xf>
    <xf numFmtId="44" fontId="3" fillId="0" borderId="65" xfId="2" applyFont="1" applyBorder="1" applyAlignment="1">
      <alignment horizontal="center" vertical="center" wrapText="1"/>
    </xf>
    <xf numFmtId="166" fontId="2" fillId="5" borderId="39" xfId="2" applyNumberFormat="1" applyFont="1" applyFill="1" applyBorder="1" applyAlignment="1">
      <alignment horizontal="center" vertical="center" wrapText="1"/>
    </xf>
    <xf numFmtId="44" fontId="3" fillId="0" borderId="2" xfId="0" applyNumberFormat="1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wrapText="1"/>
    </xf>
    <xf numFmtId="44" fontId="3" fillId="0" borderId="16" xfId="2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horizontal="center" vertical="center" wrapText="1"/>
    </xf>
    <xf numFmtId="44" fontId="3" fillId="0" borderId="1" xfId="2" applyFont="1" applyBorder="1" applyAlignment="1">
      <alignment horizontal="center" vertical="center" wrapText="1"/>
    </xf>
    <xf numFmtId="44" fontId="3" fillId="0" borderId="17" xfId="0" applyNumberFormat="1" applyFont="1" applyBorder="1" applyAlignment="1">
      <alignment horizontal="right" vertical="center" wrapText="1"/>
    </xf>
    <xf numFmtId="44" fontId="3" fillId="0" borderId="17" xfId="2" applyFont="1" applyBorder="1" applyAlignment="1">
      <alignment horizontal="center" vertical="center" wrapText="1"/>
    </xf>
    <xf numFmtId="44" fontId="3" fillId="0" borderId="47" xfId="0" applyNumberFormat="1" applyFont="1" applyBorder="1" applyAlignment="1">
      <alignment horizontal="center" vertical="center" wrapText="1"/>
    </xf>
    <xf numFmtId="44" fontId="3" fillId="0" borderId="48" xfId="2" applyFont="1" applyBorder="1" applyAlignment="1">
      <alignment horizontal="center" vertical="center" wrapText="1"/>
    </xf>
    <xf numFmtId="44" fontId="3" fillId="0" borderId="49" xfId="2" applyFont="1" applyBorder="1" applyAlignment="1">
      <alignment horizontal="center" vertical="center" wrapText="1"/>
    </xf>
    <xf numFmtId="44" fontId="1" fillId="5" borderId="54" xfId="2" applyFont="1" applyFill="1" applyBorder="1" applyAlignment="1">
      <alignment horizontal="center" wrapText="1"/>
    </xf>
    <xf numFmtId="44" fontId="1" fillId="5" borderId="59" xfId="2" applyFont="1" applyFill="1" applyBorder="1" applyAlignment="1">
      <alignment horizontal="center" wrapText="1"/>
    </xf>
    <xf numFmtId="44" fontId="3" fillId="0" borderId="4" xfId="0" applyNumberFormat="1" applyFont="1" applyBorder="1" applyAlignment="1">
      <alignment horizontal="center" vertical="center"/>
    </xf>
    <xf numFmtId="44" fontId="3" fillId="0" borderId="47" xfId="0" applyNumberFormat="1" applyFont="1" applyBorder="1" applyAlignment="1">
      <alignment horizontal="center" vertical="center"/>
    </xf>
    <xf numFmtId="44" fontId="1" fillId="5" borderId="15" xfId="0" applyNumberFormat="1" applyFont="1" applyFill="1" applyBorder="1" applyAlignment="1">
      <alignment vertical="center" wrapText="1"/>
    </xf>
    <xf numFmtId="0" fontId="2" fillId="0" borderId="1" xfId="3" applyFont="1" applyBorder="1" applyAlignment="1">
      <alignment horizontal="center" vertical="center" wrapText="1"/>
    </xf>
    <xf numFmtId="0" fontId="3" fillId="15" borderId="0" xfId="0" applyFont="1" applyFill="1" applyAlignment="1">
      <alignment horizontal="left" vertical="top" wrapText="1"/>
    </xf>
    <xf numFmtId="0" fontId="3" fillId="15" borderId="0" xfId="0" applyFont="1" applyFill="1" applyAlignment="1">
      <alignment horizontal="left" vertical="top"/>
    </xf>
    <xf numFmtId="0" fontId="1" fillId="9" borderId="54" xfId="0" applyFont="1" applyFill="1" applyBorder="1" applyAlignment="1">
      <alignment horizontal="center" vertical="center" wrapText="1"/>
    </xf>
    <xf numFmtId="166" fontId="3" fillId="0" borderId="66" xfId="2" applyNumberFormat="1" applyFont="1" applyFill="1" applyBorder="1" applyAlignment="1">
      <alignment horizontal="center" vertical="center" wrapText="1" shrinkToFit="1"/>
    </xf>
    <xf numFmtId="166" fontId="2" fillId="0" borderId="47" xfId="2" applyNumberFormat="1" applyFont="1" applyFill="1" applyBorder="1" applyAlignment="1">
      <alignment horizontal="center" vertical="center" wrapText="1"/>
    </xf>
    <xf numFmtId="166" fontId="3" fillId="15" borderId="67" xfId="2" applyNumberFormat="1" applyFont="1" applyFill="1" applyBorder="1" applyAlignment="1">
      <alignment horizontal="center" vertical="center" wrapText="1" shrinkToFit="1"/>
    </xf>
    <xf numFmtId="166" fontId="2" fillId="0" borderId="41" xfId="2" applyNumberFormat="1" applyFont="1" applyFill="1" applyBorder="1" applyAlignment="1">
      <alignment horizontal="center" vertical="center" wrapText="1"/>
    </xf>
    <xf numFmtId="44" fontId="3" fillId="0" borderId="0" xfId="2" applyFont="1" applyAlignment="1">
      <alignment horizontal="center" vertical="center" wrapText="1"/>
    </xf>
    <xf numFmtId="0" fontId="1" fillId="17" borderId="12" xfId="0" applyFont="1" applyFill="1" applyBorder="1" applyAlignment="1">
      <alignment horizontal="center" vertical="center" wrapText="1"/>
    </xf>
    <xf numFmtId="0" fontId="1" fillId="18" borderId="12" xfId="0" applyFont="1" applyFill="1" applyBorder="1" applyAlignment="1">
      <alignment horizontal="center" vertical="center" wrapText="1"/>
    </xf>
    <xf numFmtId="0" fontId="1" fillId="18" borderId="68" xfId="0" applyFont="1" applyFill="1" applyBorder="1" applyAlignment="1">
      <alignment horizontal="center" vertical="center" wrapText="1"/>
    </xf>
    <xf numFmtId="0" fontId="1" fillId="17" borderId="2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3" borderId="30" xfId="0" applyFont="1" applyFill="1" applyBorder="1" applyAlignment="1">
      <alignment horizontal="center" vertical="center" wrapText="1"/>
    </xf>
    <xf numFmtId="44" fontId="3" fillId="0" borderId="4" xfId="0" applyNumberFormat="1" applyFont="1" applyBorder="1" applyAlignment="1">
      <alignment horizontal="center" vertical="top" wrapText="1"/>
    </xf>
    <xf numFmtId="44" fontId="3" fillId="0" borderId="47" xfId="2" applyFont="1" applyBorder="1" applyAlignment="1">
      <alignment horizontal="center" vertical="center" wrapText="1"/>
    </xf>
    <xf numFmtId="9" fontId="3" fillId="0" borderId="1" xfId="6" applyFont="1" applyFill="1" applyBorder="1" applyAlignment="1">
      <alignment horizontal="center" vertical="center" wrapText="1"/>
    </xf>
    <xf numFmtId="0" fontId="1" fillId="18" borderId="32" xfId="0" applyFont="1" applyFill="1" applyBorder="1" applyAlignment="1">
      <alignment horizontal="center" vertical="center" wrapText="1"/>
    </xf>
    <xf numFmtId="0" fontId="1" fillId="18" borderId="29" xfId="0" applyFont="1" applyFill="1" applyBorder="1" applyAlignment="1">
      <alignment horizontal="center" vertical="center" wrapText="1"/>
    </xf>
    <xf numFmtId="0" fontId="1" fillId="18" borderId="69" xfId="0" applyFont="1" applyFill="1" applyBorder="1" applyAlignment="1">
      <alignment horizontal="center" vertical="center" wrapText="1"/>
    </xf>
    <xf numFmtId="9" fontId="3" fillId="0" borderId="64" xfId="0" applyNumberFormat="1" applyFont="1" applyBorder="1" applyAlignment="1">
      <alignment horizontal="center" vertical="center" wrapText="1"/>
    </xf>
    <xf numFmtId="9" fontId="3" fillId="0" borderId="64" xfId="0" applyNumberFormat="1" applyFont="1" applyBorder="1" applyAlignment="1">
      <alignment horizontal="center" vertical="top" wrapText="1"/>
    </xf>
    <xf numFmtId="9" fontId="3" fillId="0" borderId="65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left" vertical="top" wrapText="1"/>
    </xf>
    <xf numFmtId="0" fontId="3" fillId="0" borderId="63" xfId="0" applyFont="1" applyBorder="1" applyAlignment="1">
      <alignment horizontal="left" vertical="top"/>
    </xf>
    <xf numFmtId="9" fontId="3" fillId="0" borderId="64" xfId="0" applyNumberFormat="1" applyFont="1" applyBorder="1" applyAlignment="1">
      <alignment horizontal="center" vertical="center"/>
    </xf>
    <xf numFmtId="9" fontId="3" fillId="0" borderId="65" xfId="0" applyNumberFormat="1" applyFont="1" applyBorder="1" applyAlignment="1">
      <alignment horizontal="center" vertical="center"/>
    </xf>
    <xf numFmtId="9" fontId="3" fillId="0" borderId="69" xfId="0" applyNumberFormat="1" applyFont="1" applyBorder="1" applyAlignment="1">
      <alignment horizontal="center" vertical="center"/>
    </xf>
    <xf numFmtId="44" fontId="3" fillId="0" borderId="0" xfId="2" applyFont="1" applyAlignment="1">
      <alignment horizontal="center" vertical="top"/>
    </xf>
    <xf numFmtId="44" fontId="3" fillId="0" borderId="0" xfId="2" applyFont="1" applyAlignment="1">
      <alignment horizontal="center" vertical="center"/>
    </xf>
    <xf numFmtId="44" fontId="1" fillId="5" borderId="28" xfId="4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justify" vertical="center" wrapText="1"/>
    </xf>
    <xf numFmtId="0" fontId="1" fillId="19" borderId="15" xfId="0" applyFont="1" applyFill="1" applyBorder="1" applyAlignment="1">
      <alignment horizontal="center" vertical="center" wrapText="1"/>
    </xf>
    <xf numFmtId="1" fontId="1" fillId="0" borderId="7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4" fontId="3" fillId="0" borderId="16" xfId="2" applyFont="1" applyBorder="1" applyAlignment="1">
      <alignment horizontal="center" vertical="center"/>
    </xf>
    <xf numFmtId="44" fontId="3" fillId="0" borderId="17" xfId="2" applyFont="1" applyBorder="1" applyAlignment="1">
      <alignment horizontal="center" vertical="center"/>
    </xf>
    <xf numFmtId="44" fontId="3" fillId="0" borderId="49" xfId="2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1" fontId="3" fillId="0" borderId="57" xfId="0" applyNumberFormat="1" applyFont="1" applyBorder="1" applyAlignment="1">
      <alignment horizontal="center" vertical="center" wrapText="1" shrinkToFit="1"/>
    </xf>
    <xf numFmtId="44" fontId="3" fillId="0" borderId="45" xfId="0" applyNumberFormat="1" applyFont="1" applyBorder="1" applyAlignment="1">
      <alignment horizontal="center" vertical="center"/>
    </xf>
    <xf numFmtId="44" fontId="3" fillId="0" borderId="44" xfId="2" applyFont="1" applyBorder="1" applyAlignment="1">
      <alignment horizontal="center" vertical="center" wrapText="1"/>
    </xf>
    <xf numFmtId="44" fontId="3" fillId="0" borderId="46" xfId="2" applyFont="1" applyBorder="1" applyAlignment="1">
      <alignment horizontal="center" vertical="center"/>
    </xf>
    <xf numFmtId="9" fontId="3" fillId="0" borderId="0" xfId="0" applyNumberFormat="1" applyFont="1" applyAlignment="1">
      <alignment horizontal="left" vertical="top"/>
    </xf>
    <xf numFmtId="0" fontId="4" fillId="8" borderId="29" xfId="0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horizontal="center" vertical="top" wrapText="1"/>
    </xf>
    <xf numFmtId="167" fontId="4" fillId="8" borderId="55" xfId="0" applyNumberFormat="1" applyFont="1" applyFill="1" applyBorder="1" applyAlignment="1">
      <alignment horizontal="center" vertical="center" wrapText="1"/>
    </xf>
    <xf numFmtId="167" fontId="4" fillId="8" borderId="56" xfId="0" applyNumberFormat="1" applyFont="1" applyFill="1" applyBorder="1" applyAlignment="1">
      <alignment horizontal="center" vertical="center" wrapText="1"/>
    </xf>
    <xf numFmtId="167" fontId="4" fillId="8" borderId="30" xfId="0" applyNumberFormat="1" applyFont="1" applyFill="1" applyBorder="1" applyAlignment="1">
      <alignment horizontal="center" vertical="center" wrapText="1"/>
    </xf>
    <xf numFmtId="167" fontId="4" fillId="8" borderId="0" xfId="0" applyNumberFormat="1" applyFont="1" applyFill="1" applyAlignment="1">
      <alignment horizontal="center" vertical="center" wrapText="1"/>
    </xf>
    <xf numFmtId="167" fontId="4" fillId="8" borderId="29" xfId="0" applyNumberFormat="1" applyFont="1" applyFill="1" applyBorder="1" applyAlignment="1">
      <alignment horizontal="center" vertical="center" wrapText="1"/>
    </xf>
    <xf numFmtId="167" fontId="4" fillId="8" borderId="27" xfId="0" applyNumberFormat="1" applyFont="1" applyFill="1" applyBorder="1" applyAlignment="1">
      <alignment horizontal="center" vertical="center" wrapText="1"/>
    </xf>
    <xf numFmtId="167" fontId="4" fillId="8" borderId="28" xfId="0" applyNumberFormat="1" applyFont="1" applyFill="1" applyBorder="1" applyAlignment="1">
      <alignment horizontal="center" vertical="center" wrapText="1"/>
    </xf>
    <xf numFmtId="167" fontId="4" fillId="8" borderId="50" xfId="0" applyNumberFormat="1" applyFont="1" applyFill="1" applyBorder="1" applyAlignment="1">
      <alignment horizontal="center" vertical="center" wrapText="1"/>
    </xf>
    <xf numFmtId="167" fontId="4" fillId="8" borderId="59" xfId="0" applyNumberFormat="1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7" borderId="31" xfId="0" applyFont="1" applyFill="1" applyBorder="1" applyAlignment="1">
      <alignment horizontal="center" vertical="center" wrapText="1"/>
    </xf>
    <xf numFmtId="0" fontId="1" fillId="4" borderId="51" xfId="0" applyFont="1" applyFill="1" applyBorder="1" applyAlignment="1">
      <alignment horizontal="center" vertical="top" wrapText="1"/>
    </xf>
    <xf numFmtId="0" fontId="1" fillId="4" borderId="3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1" fillId="21" borderId="1" xfId="0" applyFont="1" applyFill="1" applyBorder="1" applyAlignment="1">
      <alignment horizontal="center" vertical="center" wrapText="1"/>
    </xf>
    <xf numFmtId="8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31" xfId="0" applyFont="1" applyFill="1" applyBorder="1" applyAlignment="1">
      <alignment horizontal="center" vertical="top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2" fillId="5" borderId="50" xfId="0" applyFont="1" applyFill="1" applyBorder="1" applyAlignment="1">
      <alignment horizontal="center" vertical="center" wrapText="1"/>
    </xf>
    <xf numFmtId="0" fontId="2" fillId="5" borderId="51" xfId="0" applyFont="1" applyFill="1" applyBorder="1" applyAlignment="1">
      <alignment horizontal="center" vertical="center" wrapText="1"/>
    </xf>
    <xf numFmtId="0" fontId="2" fillId="5" borderId="52" xfId="0" applyFont="1" applyFill="1" applyBorder="1" applyAlignment="1">
      <alignment horizontal="center" vertical="center" wrapText="1"/>
    </xf>
    <xf numFmtId="0" fontId="1" fillId="9" borderId="68" xfId="0" applyFont="1" applyFill="1" applyBorder="1" applyAlignment="1">
      <alignment horizontal="center" vertical="center" wrapText="1"/>
    </xf>
    <xf numFmtId="0" fontId="1" fillId="9" borderId="63" xfId="0" applyFont="1" applyFill="1" applyBorder="1" applyAlignment="1">
      <alignment horizontal="center" vertical="center" wrapText="1"/>
    </xf>
    <xf numFmtId="0" fontId="1" fillId="9" borderId="54" xfId="0" applyFont="1" applyFill="1" applyBorder="1" applyAlignment="1">
      <alignment horizontal="center" vertical="center" wrapText="1"/>
    </xf>
    <xf numFmtId="0" fontId="4" fillId="14" borderId="30" xfId="0" applyFont="1" applyFill="1" applyBorder="1" applyAlignment="1">
      <alignment horizontal="center" vertical="center" wrapText="1"/>
    </xf>
    <xf numFmtId="0" fontId="4" fillId="14" borderId="0" xfId="0" applyFont="1" applyFill="1" applyAlignment="1">
      <alignment horizontal="center" vertical="center" wrapText="1"/>
    </xf>
    <xf numFmtId="0" fontId="4" fillId="14" borderId="28" xfId="0" applyFont="1" applyFill="1" applyBorder="1" applyAlignment="1">
      <alignment horizontal="center" vertical="center" wrapText="1"/>
    </xf>
    <xf numFmtId="0" fontId="4" fillId="14" borderId="50" xfId="0" applyFont="1" applyFill="1" applyBorder="1" applyAlignment="1">
      <alignment horizontal="center" vertical="center" wrapText="1"/>
    </xf>
    <xf numFmtId="0" fontId="4" fillId="14" borderId="51" xfId="0" applyFont="1" applyFill="1" applyBorder="1" applyAlignment="1">
      <alignment horizontal="center" vertical="center" wrapText="1"/>
    </xf>
    <xf numFmtId="0" fontId="4" fillId="14" borderId="59" xfId="0" applyFont="1" applyFill="1" applyBorder="1" applyAlignment="1">
      <alignment horizontal="center" vertical="center" wrapText="1"/>
    </xf>
    <xf numFmtId="0" fontId="4" fillId="10" borderId="29" xfId="0" applyFont="1" applyFill="1" applyBorder="1" applyAlignment="1">
      <alignment horizontal="center" vertical="center" wrapText="1"/>
    </xf>
    <xf numFmtId="0" fontId="4" fillId="10" borderId="30" xfId="0" applyFont="1" applyFill="1" applyBorder="1" applyAlignment="1">
      <alignment horizontal="center" vertical="center" wrapText="1"/>
    </xf>
    <xf numFmtId="0" fontId="1" fillId="9" borderId="30" xfId="0" applyFont="1" applyFill="1" applyBorder="1" applyAlignment="1">
      <alignment horizontal="center" vertical="center" wrapText="1"/>
    </xf>
    <xf numFmtId="0" fontId="1" fillId="9" borderId="50" xfId="0" applyFont="1" applyFill="1" applyBorder="1" applyAlignment="1">
      <alignment horizontal="center" vertical="center" wrapText="1"/>
    </xf>
    <xf numFmtId="0" fontId="4" fillId="16" borderId="29" xfId="0" applyFont="1" applyFill="1" applyBorder="1" applyAlignment="1">
      <alignment horizontal="center" vertical="center" wrapText="1"/>
    </xf>
    <xf numFmtId="0" fontId="4" fillId="16" borderId="30" xfId="0" applyFont="1" applyFill="1" applyBorder="1" applyAlignment="1">
      <alignment horizontal="center" vertical="center" wrapText="1"/>
    </xf>
    <xf numFmtId="0" fontId="4" fillId="20" borderId="68" xfId="0" applyFont="1" applyFill="1" applyBorder="1" applyAlignment="1">
      <alignment horizontal="center" vertical="center" wrapText="1"/>
    </xf>
    <xf numFmtId="0" fontId="4" fillId="20" borderId="63" xfId="0" applyFont="1" applyFill="1" applyBorder="1" applyAlignment="1">
      <alignment horizontal="center" vertical="center" wrapText="1"/>
    </xf>
    <xf numFmtId="0" fontId="4" fillId="20" borderId="54" xfId="0" applyFont="1" applyFill="1" applyBorder="1" applyAlignment="1">
      <alignment horizontal="center" vertical="center" wrapText="1"/>
    </xf>
    <xf numFmtId="0" fontId="4" fillId="8" borderId="68" xfId="0" applyFont="1" applyFill="1" applyBorder="1" applyAlignment="1">
      <alignment horizontal="center" vertical="center" wrapText="1"/>
    </xf>
    <xf numFmtId="0" fontId="4" fillId="8" borderId="6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4" fillId="20" borderId="29" xfId="0" applyFont="1" applyFill="1" applyBorder="1" applyAlignment="1">
      <alignment horizontal="center" vertical="center" wrapText="1"/>
    </xf>
    <xf numFmtId="0" fontId="4" fillId="20" borderId="26" xfId="0" applyFont="1" applyFill="1" applyBorder="1" applyAlignment="1">
      <alignment horizontal="center" vertical="center" wrapText="1"/>
    </xf>
    <xf numFmtId="0" fontId="4" fillId="20" borderId="27" xfId="0" applyFont="1" applyFill="1" applyBorder="1" applyAlignment="1">
      <alignment horizontal="center" vertical="center" wrapText="1"/>
    </xf>
    <xf numFmtId="0" fontId="4" fillId="20" borderId="30" xfId="0" applyFont="1" applyFill="1" applyBorder="1" applyAlignment="1">
      <alignment horizontal="center" vertical="center" wrapText="1"/>
    </xf>
    <xf numFmtId="0" fontId="4" fillId="20" borderId="0" xfId="0" applyFont="1" applyFill="1" applyAlignment="1">
      <alignment horizontal="center" vertical="center" wrapText="1"/>
    </xf>
    <xf numFmtId="0" fontId="4" fillId="20" borderId="28" xfId="0" applyFont="1" applyFill="1" applyBorder="1" applyAlignment="1">
      <alignment horizontal="center" vertical="center" wrapText="1"/>
    </xf>
  </cellXfs>
  <cellStyles count="7">
    <cellStyle name="Hipervínculo" xfId="5" builtinId="8"/>
    <cellStyle name="Millares" xfId="1" builtinId="3"/>
    <cellStyle name="Moneda" xfId="2" builtinId="4"/>
    <cellStyle name="Moneda 2" xfId="4" xr:uid="{F3EB7AD8-E540-4429-B6CB-3EC2DD03B044}"/>
    <cellStyle name="Normal" xfId="0" builtinId="0"/>
    <cellStyle name="Normal 2" xfId="3" xr:uid="{BA33A7E0-5A5D-432E-AB19-CF0BC1FCD21D}"/>
    <cellStyle name="Porcentaje" xfId="6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IANA%20CAROLINA\Downloads\PRECIOS%20HISTORICOS%20CASAS%20SOCIALES%20(1).xlsx" TargetMode="External"/><Relationship Id="rId1" Type="http://schemas.openxmlformats.org/officeDocument/2006/relationships/externalLinkPath" Target="file:///C:\Users\DIANA%20CAROLINA\Downloads\PRECIOS%20HISTORICOS%20CASAS%20SOCIALES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d412b308999fb310/Desktop/SECRE.MUJER/SECRE.MUJER/SEC.MUJER/CASAS%20SOCIALES/COTIZACIONES%20SOLICITADAS/INVESTIGACION%20PRECIOS%20PARA%20MINIMA.xlsx" TargetMode="External"/><Relationship Id="rId1" Type="http://schemas.openxmlformats.org/officeDocument/2006/relationships/externalLinkPath" Target="https://d.docs.live.net/d412b308999fb310/Desktop/SECRE.MUJER/SECRE.MUJER/SEC.MUJER/CASAS%20SOCIALES/COTIZACIONES%20SOLICITADAS/INVESTIGACION%20PRECIOS%20PARA%20MINI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SA SOCIALES"/>
    </sheetNames>
    <sheetDataSet>
      <sheetData sheetId="0">
        <row r="7">
          <cell r="F7">
            <v>1054000</v>
          </cell>
        </row>
        <row r="11">
          <cell r="F11">
            <v>938256</v>
          </cell>
        </row>
        <row r="20">
          <cell r="F20">
            <v>53312</v>
          </cell>
        </row>
        <row r="44">
          <cell r="F44">
            <v>2580000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TUDIO MERCADO"/>
      <sheetName val="Hoja1"/>
    </sheetNames>
    <sheetDataSet>
      <sheetData sheetId="0">
        <row r="15">
          <cell r="J15">
            <v>110000.03</v>
          </cell>
        </row>
        <row r="16">
          <cell r="J16">
            <v>44076.41</v>
          </cell>
        </row>
        <row r="17">
          <cell r="J17">
            <v>158989.95000000001</v>
          </cell>
        </row>
        <row r="21">
          <cell r="J21">
            <v>134794.87</v>
          </cell>
        </row>
        <row r="25">
          <cell r="N25">
            <v>13000</v>
          </cell>
        </row>
        <row r="26">
          <cell r="N26">
            <v>41250</v>
          </cell>
        </row>
        <row r="27">
          <cell r="N27">
            <v>70000</v>
          </cell>
        </row>
        <row r="29">
          <cell r="J29">
            <v>172699.94</v>
          </cell>
        </row>
        <row r="41">
          <cell r="J41">
            <v>1299998.8400000001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cop.gov.co/CO1BusinessLine/Tendering/ContractNoticeManagement/Index" TargetMode="External"/><Relationship Id="rId18" Type="http://schemas.openxmlformats.org/officeDocument/2006/relationships/hyperlink" Target="https://www.orquidea.com.co/Molde%20angel%20de%20%2020%20x%208" TargetMode="External"/><Relationship Id="rId26" Type="http://schemas.openxmlformats.org/officeDocument/2006/relationships/hyperlink" Target="https://www.mercadolibre.com.co/bastidor-lienzo-40-x-50-cm-algodon-ideal-para-pintura/p/MCO39431756" TargetMode="External"/><Relationship Id="rId39" Type="http://schemas.openxmlformats.org/officeDocument/2006/relationships/hyperlink" Target="https://listado.mercadolibre.com.co/gramera-digital-5-kg" TargetMode="External"/><Relationship Id="rId21" Type="http://schemas.openxmlformats.org/officeDocument/2006/relationships/hyperlink" Target="https://www.secop.gov.co/CO1BusinessLine/Tendering/ContractNoticeManagement/Index" TargetMode="External"/><Relationship Id="rId34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42" Type="http://schemas.openxmlformats.org/officeDocument/2006/relationships/hyperlink" Target="https://orduzcolombia.com/producto/es-85af/?srsltid=AfmBOoquQGuwyens6d_qur5GB5xGvbsH9kI0X6NbcgO51Ho53FJNkDJS" TargetMode="External"/><Relationship Id="rId47" Type="http://schemas.openxmlformats.org/officeDocument/2006/relationships/hyperlink" Target="https://listado.mercadolibre.com.co/caballete-para-pintar" TargetMode="External"/><Relationship Id="rId50" Type="http://schemas.openxmlformats.org/officeDocument/2006/relationships/hyperlink" Target="https://dotacionesromil.com/tienda/caldero-fundido-pomo-enstf-36-cm-universal/" TargetMode="External"/><Relationship Id="rId55" Type="http://schemas.openxmlformats.org/officeDocument/2006/relationships/hyperlink" Target="https://www.ayalapublicidad.co/tienda/caja-de-luz-con-lona-panaflex/" TargetMode="External"/><Relationship Id="rId7" Type="http://schemas.openxmlformats.org/officeDocument/2006/relationships/hyperlink" Target="https://www.mercadolibre.com.co/paquete-de-3-coladores-de-acero-inoxidable-188-5-cuartos/p/MCO2022482105?matt_tool=19390127&amp;utm_source=google_shopping&amp;utm_medium=organic&amp;pdp_filters=item_id%3AMCO2788051820&amp;from=gshop" TargetMode="External"/><Relationship Id="rId2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16" Type="http://schemas.openxmlformats.org/officeDocument/2006/relationships/hyperlink" Target="https://www.orquidea.com.co/rectangular-aluminio-1" TargetMode="External"/><Relationship Id="rId29" Type="http://schemas.openxmlformats.org/officeDocument/2006/relationships/hyperlink" Target="https://articulo.mercadolibre.com.co/MCO-2274855184-aguja-mostacilla-100-por-25-unidades-_JM?searchVariation=182146355129" TargetMode="External"/><Relationship Id="rId11" Type="http://schemas.openxmlformats.org/officeDocument/2006/relationships/hyperlink" Target="https://www.secop.gov.co/CO1BusinessLine/Tendering/ContractNoticeManagement/Index" TargetMode="External"/><Relationship Id="rId24" Type="http://schemas.openxmlformats.org/officeDocument/2006/relationships/hyperlink" Target="https://articulo.mercadolibre.com.co/MCO-2200834108-termofijadora-multifuncional-11-en-1-freesub-_JM?searchVariation=181672543075" TargetMode="External"/><Relationship Id="rId32" Type="http://schemas.openxmlformats.org/officeDocument/2006/relationships/hyperlink" Target="https://bidecol.me/producto/hilo-aptan-60-blanco" TargetMode="External"/><Relationship Id="rId37" Type="http://schemas.openxmlformats.org/officeDocument/2006/relationships/hyperlink" Target="https://www.industriasacegas.com/producto/estufa-industrial-tipo-americana-a-gas-6-quemadores-90cm-modelo-ea6-acegas/" TargetMode="External"/><Relationship Id="rId40" Type="http://schemas.openxmlformats.org/officeDocument/2006/relationships/hyperlink" Target="https://www.mercadolibre.com.co/bailarina-base-giratoria-wilton--decoracion-tortas/up/MCOU2430857399?pdp_filters=item_id:MCO802610352" TargetMode="External"/><Relationship Id="rId45" Type="http://schemas.openxmlformats.org/officeDocument/2006/relationships/hyperlink" Target="https://www.mercadolibre.com.co/vinilo-acrilico-payasito-4000-g-azul/up/MCOU2437729032" TargetMode="External"/><Relationship Id="rId53" Type="http://schemas.openxmlformats.org/officeDocument/2006/relationships/hyperlink" Target="https://www.crateandbarrel.com.co/crateandbarrel-co/product/770290867/-Bowls-en-Acero-inoxidable-4-piezas/770290867" TargetMode="External"/><Relationship Id="rId58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5" Type="http://schemas.openxmlformats.org/officeDocument/2006/relationships/hyperlink" Target="https://www.bbg.com.co/basculas/vp566/sp/tabla-para-picar-alimentos-cut-3?srsltid=AfmBOoqP7D561qtkOeFRB6XqHiUk73FhXCtDCvxB6d8o_OC3j7Cq3sZ1" TargetMode="External"/><Relationship Id="rId19" Type="http://schemas.openxmlformats.org/officeDocument/2006/relationships/hyperlink" Target="https://www.orquidea.com.co/metalicos" TargetMode="External"/><Relationship Id="rId4" Type="http://schemas.openxmlformats.org/officeDocument/2006/relationships/hyperlink" Target="https://www.imusa.com.co/imusa/coccion/ollas-calderos-y-peroles?srsltid=AfmBOoo6wpsmz_Z3lMeZ6kDWoCeBnARSEE-UTPe14apGlOiS7UYthFEh" TargetMode="External"/><Relationship Id="rId9" Type="http://schemas.openxmlformats.org/officeDocument/2006/relationships/hyperlink" Target="https://www.imusa.com.co/imusa/coccion/sartenes?page=2" TargetMode="External"/><Relationship Id="rId14" Type="http://schemas.openxmlformats.org/officeDocument/2006/relationships/hyperlink" Target="https://www.orquidea.com.co/Juego-utensilios-hornear-9und" TargetMode="External"/><Relationship Id="rId22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27" Type="http://schemas.openxmlformats.org/officeDocument/2006/relationships/hyperlink" Target="https://articulo.mercadolibre.com.co/MCO-1333869023-kit-de-mostacilla-15-colores-2-hilos-agujas-_JM?searchVariation=179702057883" TargetMode="External"/><Relationship Id="rId30" Type="http://schemas.openxmlformats.org/officeDocument/2006/relationships/hyperlink" Target="https://bidecol.me/producto/herraje-tipo-broche-picoloro-en-acero-plateado" TargetMode="External"/><Relationship Id="rId35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43" Type="http://schemas.openxmlformats.org/officeDocument/2006/relationships/hyperlink" Target="https://www.exito.com/video-beam-epson-powerlite-e20-3400-lumens-xga-1024x768-101114752-mp/p" TargetMode="External"/><Relationship Id="rId48" Type="http://schemas.openxmlformats.org/officeDocument/2006/relationships/hyperlink" Target="https://www.mercadolibre.com.co/juego-de-20-broches-magneticos-cierre-magnetico-de-bolsa/up/MCOU2419290016" TargetMode="External"/><Relationship Id="rId56" Type="http://schemas.openxmlformats.org/officeDocument/2006/relationships/hyperlink" Target="https://articulo.mercadolibre.com.co/MCO-2391911436-silla-mecedora-para-guarderia-sillon-de-lactancia-acolchad-_JM" TargetMode="External"/><Relationship Id="rId8" Type="http://schemas.openxmlformats.org/officeDocument/2006/relationships/hyperlink" Target="https://www.provesi.com.co/guantes-de-carnaza/1902-guante-carnaza-panadero-reforzado-vaqueta-5-dedos-gs-largo-48-cm.html?srsltid=AfmBOopXIk0qbvzB2wjUBrWJVTV0O8gqTqmEhqec92L_ZfOQP5OxOMyd" TargetMode="External"/><Relationship Id="rId51" Type="http://schemas.openxmlformats.org/officeDocument/2006/relationships/hyperlink" Target="https://panchiscakes.com/productos/utensilios/rodillos/rodillo-pastelero-pvc-de-reposteria-panaderia-pizzeria-40-cm-2/" TargetMode="External"/><Relationship Id="rId3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12" Type="http://schemas.openxmlformats.org/officeDocument/2006/relationships/hyperlink" Target="https://articulo.mercadolibre.com.co/MCO-1733351036-cuchillo-tramontina-profesional-3-pulgadas-_JM?searchVariation=179138188145" TargetMode="External"/><Relationship Id="rId17" Type="http://schemas.openxmlformats.org/officeDocument/2006/relationships/hyperlink" Target="https://www.orquidea.com.co/Molde-ponque-13.5x16.5x5cm" TargetMode="External"/><Relationship Id="rId25" Type="http://schemas.openxmlformats.org/officeDocument/2006/relationships/hyperlink" Target="https://tienda.gioto.com.co/brochas/pinceles/juego-pincel-de-cerda-plano-x-12-rf-579-12" TargetMode="External"/><Relationship Id="rId33" Type="http://schemas.openxmlformats.org/officeDocument/2006/relationships/hyperlink" Target="https://articulo.mercadolibre.com.co/MCO-808395190-hilo-macrame-100-acrilico-2mm-grosor-kit-9-ovillos-x100gr-_JM?searchVariation=173649054662" TargetMode="External"/><Relationship Id="rId38" Type="http://schemas.openxmlformats.org/officeDocument/2006/relationships/hyperlink" Target="https://tienda.pallomaro.com/escabiladeros/escabiladero-en-acero-inox-60x40-?gad_source=1&amp;gad_campaignid=21258695233&amp;gbraid=0AAAAADdXcJTvqGnZ6ahyq55YUuF8ct2sf&amp;gclid=CjwKCAjw2brFBhBOEiwAVJX5GAuXBSpFkxpZQSokDkT26W5-tzeXuRU3jCybe1X-Hwyi7a5qgCFiPhoC9NsQAvD_BwE" TargetMode="External"/><Relationship Id="rId46" Type="http://schemas.openxmlformats.org/officeDocument/2006/relationships/hyperlink" Target="https://www.mercadolibre.com.co/telar-mostacilla-telar-bisuteria-con-bandeja/up/MCOU2433331820" TargetMode="External"/><Relationship Id="rId59" Type="http://schemas.openxmlformats.org/officeDocument/2006/relationships/hyperlink" Target="https://www.alkosto.com/mesa-rimax-eterna-wengue/p/7705152078046" TargetMode="External"/><Relationship Id="rId20" Type="http://schemas.openxmlformats.org/officeDocument/2006/relationships/hyperlink" Target="https://www.hogaruniversal.com/olla-a-presion-electrica-6l/p?srsltid=AfmBOooz3Ilvo3yt2qGxubq84pB_lfDZepOgRgtk__FKR3T45dCCKDvO" TargetMode="External"/><Relationship Id="rId41" Type="http://schemas.openxmlformats.org/officeDocument/2006/relationships/hyperlink" Target="https://www.tecnomedics.com.co/producto/desfibrilador-externo-automatico-fred-pa-1-con-garantia-extendida-a-9-anos/" TargetMode="External"/><Relationship Id="rId54" Type="http://schemas.openxmlformats.org/officeDocument/2006/relationships/hyperlink" Target="https://tienda.pallomaro.com/coladores/colador-conico-20cm-r376?srsltid=AfmBOoo9HuixvTTggp1Y4-JMpdPjH7iuqXdMHHOBeAqHDUDab54mCX9V" TargetMode="External"/><Relationship Id="rId1" Type="http://schemas.openxmlformats.org/officeDocument/2006/relationships/hyperlink" Target="https://www.onelab.com.co/desfibrilador-dea-externo-automatico-modelo-fred-pa-1-schiller?srsltid=AfmBOormZrvjvUTjwop-wtynIEqWk3Z7Ry6cHxgQjEkULO1waXLL2-l8" TargetMode="External"/><Relationship Id="rId6" Type="http://schemas.openxmlformats.org/officeDocument/2006/relationships/hyperlink" Target="https://www.homecenter.com.co/homecenter-co/product/312289/chaira-tramontina-profio-de-acero-inoxidable-10-pulgadas/312289/" TargetMode="External"/><Relationship Id="rId15" Type="http://schemas.openxmlformats.org/officeDocument/2006/relationships/hyperlink" Target="https://www.orquidea.com.co/rectangular-aluminio-1" TargetMode="External"/><Relationship Id="rId23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28" Type="http://schemas.openxmlformats.org/officeDocument/2006/relationships/hyperlink" Target="https://artesdeolga.com/product/set-22-agujas-de-crochet-estuche-organizador/?srsltid=AfmBOoqdiOt0mNDH-Vbzgvggaq_mHmgWEcOLGht4-pztGCtEYtf-nWUe" TargetMode="External"/><Relationship Id="rId36" Type="http://schemas.openxmlformats.org/officeDocument/2006/relationships/hyperlink" Target="https://www.secop.gov.co/CO1BusinessLine/Tendering/ContractNoticeView/Index?prevCtxLbl=Buscar+procesos&amp;prevCtxUrl=https%3a%2f%2fwww.secop.gov.co%3a443%2fCO1BusinessLine%2fTendering%2fContractNoticeManagement%2fIndex&amp;notice=CO1.NTC.8101210" TargetMode="External"/><Relationship Id="rId49" Type="http://schemas.openxmlformats.org/officeDocument/2006/relationships/hyperlink" Target="https://musicheadstore.com/producto/yamaki-sm1520-cabina-activa-1000w-15/?srsltid=AfmBOoo57mUqA-drX3a4Q-AGIaZXus0s-Cfzno1QtE3FgrAZX8zJnFm2Q5s" TargetMode="External"/><Relationship Id="rId57" Type="http://schemas.openxmlformats.org/officeDocument/2006/relationships/hyperlink" Target="https://www.secop.gov.co/CO1BusinessLine/Tendering/ContractNoticeManagement/Index" TargetMode="External"/><Relationship Id="rId10" Type="http://schemas.openxmlformats.org/officeDocument/2006/relationships/hyperlink" Target="https://www.secop.gov.co/CO1BusinessLine/Tendering/ContractNoticeManagement/Index" TargetMode="External"/><Relationship Id="rId31" Type="http://schemas.openxmlformats.org/officeDocument/2006/relationships/hyperlink" Target="https://articulo.mercadolibre.com.ar/MLA-1620346806-guata-200-gramos-x-rollo-7mts-largo-x-15mts-ancho-pf-20-_JM" TargetMode="External"/><Relationship Id="rId44" Type="http://schemas.openxmlformats.org/officeDocument/2006/relationships/hyperlink" Target="https://articulo.mercadolibre.com.co/MCO-590103817-kit-tintas-sublimacion-x-litro-mic-colores-_JM" TargetMode="External"/><Relationship Id="rId52" Type="http://schemas.openxmlformats.org/officeDocument/2006/relationships/hyperlink" Target="https://www.almacenesla13.com/collections/ralladores-y-rebanadores/products/rallador-acero-inoxidable-4-caras-splendor-imusa" TargetMode="External"/><Relationship Id="rId60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204E4-A080-4331-993B-5322454D6017}">
  <dimension ref="A1:AI110"/>
  <sheetViews>
    <sheetView showGridLines="0" topLeftCell="L1" zoomScale="80" zoomScaleNormal="80" workbookViewId="0">
      <selection activeCell="Y11" sqref="Y11"/>
    </sheetView>
  </sheetViews>
  <sheetFormatPr baseColWidth="10" defaultColWidth="8.83203125" defaultRowHeight="12.75"/>
  <cols>
    <col min="1" max="2" width="8.83203125" style="3" customWidth="1"/>
    <col min="3" max="3" width="16" style="3" bestFit="1" customWidth="1"/>
    <col min="4" max="4" width="66.1640625" style="3" bestFit="1" customWidth="1"/>
    <col min="5" max="5" width="67.33203125" style="3" customWidth="1"/>
    <col min="6" max="6" width="14.6640625" style="3" customWidth="1"/>
    <col min="7" max="7" width="14.6640625" style="12" customWidth="1"/>
    <col min="8" max="10" width="14.6640625" style="3" customWidth="1"/>
    <col min="11" max="11" width="25" style="3" customWidth="1"/>
    <col min="12" max="14" width="14.6640625" style="3" customWidth="1"/>
    <col min="15" max="15" width="25" style="3" customWidth="1"/>
    <col min="16" max="18" width="14.6640625" style="3" customWidth="1"/>
    <col min="19" max="19" width="25" style="3" customWidth="1"/>
    <col min="20" max="22" width="14.83203125" style="3" customWidth="1"/>
    <col min="23" max="23" width="25" style="3" customWidth="1"/>
    <col min="24" max="26" width="14.83203125" style="3" customWidth="1"/>
    <col min="27" max="27" width="25.1640625" style="3" customWidth="1"/>
    <col min="28" max="30" width="14.83203125" style="3" customWidth="1"/>
    <col min="31" max="31" width="25.1640625" style="3" customWidth="1"/>
    <col min="32" max="33" width="16.1640625" style="3" customWidth="1"/>
    <col min="34" max="34" width="16.33203125" style="3" customWidth="1"/>
    <col min="35" max="35" width="16.1640625" style="3" customWidth="1"/>
    <col min="36" max="16384" width="8.83203125" style="3"/>
  </cols>
  <sheetData>
    <row r="1" spans="1:35" ht="13.15" customHeight="1">
      <c r="C1" s="403" t="s">
        <v>91</v>
      </c>
      <c r="D1" s="404"/>
      <c r="E1" s="404"/>
      <c r="F1" s="404"/>
      <c r="G1" s="404"/>
      <c r="H1" s="382" t="s">
        <v>301</v>
      </c>
      <c r="I1" s="383"/>
      <c r="J1" s="383"/>
      <c r="K1" s="384"/>
      <c r="L1" s="382" t="s">
        <v>302</v>
      </c>
      <c r="M1" s="383"/>
      <c r="N1" s="383"/>
      <c r="O1" s="384"/>
      <c r="P1" s="382" t="s">
        <v>303</v>
      </c>
      <c r="Q1" s="383"/>
      <c r="R1" s="383"/>
      <c r="S1" s="384"/>
      <c r="T1" s="382" t="s">
        <v>304</v>
      </c>
      <c r="U1" s="383"/>
      <c r="V1" s="383"/>
      <c r="W1" s="384"/>
      <c r="X1" s="382" t="s">
        <v>305</v>
      </c>
      <c r="Y1" s="383"/>
      <c r="Z1" s="383"/>
      <c r="AA1" s="384"/>
      <c r="AB1" s="382" t="s">
        <v>344</v>
      </c>
      <c r="AC1" s="383"/>
      <c r="AD1" s="383"/>
      <c r="AE1" s="384"/>
      <c r="AF1" s="390" t="s">
        <v>345</v>
      </c>
      <c r="AG1" s="391"/>
      <c r="AH1" s="394" t="s">
        <v>346</v>
      </c>
      <c r="AI1" s="395"/>
    </row>
    <row r="2" spans="1:35" ht="13.15" customHeight="1">
      <c r="C2" s="399" t="s">
        <v>92</v>
      </c>
      <c r="D2" s="400"/>
      <c r="E2" s="400"/>
      <c r="F2" s="400"/>
      <c r="G2" s="400"/>
      <c r="H2" s="385"/>
      <c r="I2" s="386"/>
      <c r="J2" s="386"/>
      <c r="K2" s="387"/>
      <c r="L2" s="385"/>
      <c r="M2" s="386"/>
      <c r="N2" s="386"/>
      <c r="O2" s="387"/>
      <c r="P2" s="385"/>
      <c r="Q2" s="386"/>
      <c r="R2" s="386"/>
      <c r="S2" s="387"/>
      <c r="T2" s="385"/>
      <c r="U2" s="386"/>
      <c r="V2" s="386"/>
      <c r="W2" s="387"/>
      <c r="X2" s="385"/>
      <c r="Y2" s="386"/>
      <c r="Z2" s="386"/>
      <c r="AA2" s="387"/>
      <c r="AB2" s="385"/>
      <c r="AC2" s="386"/>
      <c r="AD2" s="386"/>
      <c r="AE2" s="387"/>
      <c r="AF2" s="392"/>
      <c r="AG2" s="393"/>
      <c r="AH2" s="392"/>
      <c r="AI2" s="396"/>
    </row>
    <row r="3" spans="1:35" ht="41.25" customHeight="1" thickBot="1">
      <c r="C3" s="401" t="s">
        <v>93</v>
      </c>
      <c r="D3" s="402"/>
      <c r="E3" s="402"/>
      <c r="F3" s="402"/>
      <c r="G3" s="402"/>
      <c r="H3" s="385"/>
      <c r="I3" s="386"/>
      <c r="J3" s="386"/>
      <c r="K3" s="387"/>
      <c r="L3" s="385"/>
      <c r="M3" s="386"/>
      <c r="N3" s="386"/>
      <c r="O3" s="387"/>
      <c r="P3" s="385"/>
      <c r="Q3" s="386"/>
      <c r="R3" s="386"/>
      <c r="S3" s="387"/>
      <c r="T3" s="385"/>
      <c r="U3" s="386"/>
      <c r="V3" s="386"/>
      <c r="W3" s="387"/>
      <c r="X3" s="385"/>
      <c r="Y3" s="386"/>
      <c r="Z3" s="386"/>
      <c r="AA3" s="387"/>
      <c r="AB3" s="385"/>
      <c r="AC3" s="386"/>
      <c r="AD3" s="386"/>
      <c r="AE3" s="387"/>
      <c r="AF3" s="392"/>
      <c r="AG3" s="393"/>
      <c r="AH3" s="397"/>
      <c r="AI3" s="398"/>
    </row>
    <row r="4" spans="1:35" ht="13.5" thickBot="1">
      <c r="C4" s="388" t="s">
        <v>97</v>
      </c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242"/>
      <c r="AC4" s="242"/>
      <c r="AD4" s="242"/>
      <c r="AE4" s="242"/>
      <c r="AF4" s="242"/>
      <c r="AG4" s="242"/>
      <c r="AH4" s="242"/>
      <c r="AI4" s="243"/>
    </row>
    <row r="5" spans="1:35" ht="47.25" customHeight="1" thickBot="1">
      <c r="A5" s="5"/>
      <c r="B5" s="5"/>
      <c r="C5" s="59" t="s">
        <v>95</v>
      </c>
      <c r="D5" s="60" t="s">
        <v>96</v>
      </c>
      <c r="E5" s="59" t="s">
        <v>94</v>
      </c>
      <c r="F5" s="61" t="s">
        <v>292</v>
      </c>
      <c r="G5" s="62" t="s">
        <v>0</v>
      </c>
      <c r="H5" s="59" t="s">
        <v>293</v>
      </c>
      <c r="I5" s="61" t="s">
        <v>294</v>
      </c>
      <c r="J5" s="61" t="s">
        <v>295</v>
      </c>
      <c r="K5" s="115" t="s">
        <v>296</v>
      </c>
      <c r="L5" s="187" t="s">
        <v>293</v>
      </c>
      <c r="M5" s="188" t="s">
        <v>294</v>
      </c>
      <c r="N5" s="188" t="s">
        <v>295</v>
      </c>
      <c r="O5" s="189" t="s">
        <v>296</v>
      </c>
      <c r="P5" s="60" t="s">
        <v>293</v>
      </c>
      <c r="Q5" s="61" t="s">
        <v>294</v>
      </c>
      <c r="R5" s="61" t="s">
        <v>295</v>
      </c>
      <c r="S5" s="63" t="s">
        <v>296</v>
      </c>
      <c r="T5" s="59" t="s">
        <v>293</v>
      </c>
      <c r="U5" s="61" t="s">
        <v>294</v>
      </c>
      <c r="V5" s="61" t="s">
        <v>295</v>
      </c>
      <c r="W5" s="63" t="s">
        <v>296</v>
      </c>
      <c r="X5" s="59" t="s">
        <v>293</v>
      </c>
      <c r="Y5" s="61" t="s">
        <v>294</v>
      </c>
      <c r="Z5" s="61" t="s">
        <v>295</v>
      </c>
      <c r="AA5" s="115" t="s">
        <v>296</v>
      </c>
      <c r="AB5" s="187" t="s">
        <v>293</v>
      </c>
      <c r="AC5" s="188" t="s">
        <v>294</v>
      </c>
      <c r="AD5" s="188" t="s">
        <v>295</v>
      </c>
      <c r="AE5" s="190" t="s">
        <v>296</v>
      </c>
      <c r="AF5" s="32" t="s">
        <v>293</v>
      </c>
      <c r="AG5" s="51" t="s">
        <v>295</v>
      </c>
      <c r="AH5" s="32" t="s">
        <v>293</v>
      </c>
      <c r="AI5" s="51" t="s">
        <v>295</v>
      </c>
    </row>
    <row r="6" spans="1:35" s="4" customFormat="1" ht="63.75">
      <c r="C6" s="9" t="s">
        <v>98</v>
      </c>
      <c r="D6" s="10" t="s">
        <v>131</v>
      </c>
      <c r="E6" s="13" t="s">
        <v>62</v>
      </c>
      <c r="F6" s="10" t="s">
        <v>4</v>
      </c>
      <c r="G6" s="37">
        <v>1</v>
      </c>
      <c r="H6" s="129">
        <v>7360000</v>
      </c>
      <c r="I6" s="130">
        <f>H6*19%</f>
        <v>1398400</v>
      </c>
      <c r="J6" s="130">
        <f>H6+I6</f>
        <v>8758400</v>
      </c>
      <c r="K6" s="131">
        <f>G6*J6</f>
        <v>8758400</v>
      </c>
      <c r="L6" s="132">
        <v>6806722.6890756302</v>
      </c>
      <c r="M6" s="133">
        <f t="shared" ref="M6:M37" si="0">L6*19%</f>
        <v>1293277.3109243698</v>
      </c>
      <c r="N6" s="133">
        <f t="shared" ref="N6:N37" si="1">L6+M6</f>
        <v>8100000</v>
      </c>
      <c r="O6" s="134">
        <f>+G6*N6</f>
        <v>8100000</v>
      </c>
      <c r="P6" s="135">
        <v>7234110</v>
      </c>
      <c r="Q6" s="130">
        <f>+P6*0.19</f>
        <v>1374480.9</v>
      </c>
      <c r="R6" s="130">
        <f>+P6+Q6</f>
        <v>8608590.9000000004</v>
      </c>
      <c r="S6" s="136">
        <f>+G6*R6</f>
        <v>8608590.9000000004</v>
      </c>
      <c r="T6" s="130">
        <v>7604171</v>
      </c>
      <c r="U6" s="130">
        <f>T6*19%</f>
        <v>1444792.49</v>
      </c>
      <c r="V6" s="130">
        <f>T6+U6</f>
        <v>9048963.4900000002</v>
      </c>
      <c r="W6" s="136">
        <f>+G6*V6</f>
        <v>9048963.4900000002</v>
      </c>
      <c r="X6" s="130">
        <v>6935933</v>
      </c>
      <c r="Y6" s="130">
        <f>+X6*0.19</f>
        <v>1317827.27</v>
      </c>
      <c r="Z6" s="130">
        <f>+X6+Y6</f>
        <v>8253760.2699999996</v>
      </c>
      <c r="AA6" s="131">
        <f>+G6*Z6</f>
        <v>8253760.2699999996</v>
      </c>
      <c r="AB6" s="148">
        <f>+AD6/1.19</f>
        <v>2000000</v>
      </c>
      <c r="AC6" s="127">
        <f>+AD6-AB6</f>
        <v>380000</v>
      </c>
      <c r="AD6" s="149">
        <v>2380000</v>
      </c>
      <c r="AE6" s="182">
        <f>+G6*AD6</f>
        <v>2380000</v>
      </c>
      <c r="AF6" s="191">
        <f>+GEOMEAN(H6,L6,P6,T6,X6,AB6)</f>
        <v>5804051.9357137429</v>
      </c>
      <c r="AG6" s="150">
        <f>+GEOMEAN(J6,N6,R6,V6,Z6,AD6)</f>
        <v>6906821.8034993531</v>
      </c>
      <c r="AH6" s="203">
        <f>+HARMEAN(H6,L6,P6,T6,X6,AB6)</f>
        <v>5013785.2562284498</v>
      </c>
      <c r="AI6" s="161">
        <f>+HARMEAN(J6,N6,R6,V6,Z6,AD6)</f>
        <v>5966404.454911856</v>
      </c>
    </row>
    <row r="7" spans="1:35" s="4" customFormat="1" ht="76.5">
      <c r="C7" s="2" t="s">
        <v>100</v>
      </c>
      <c r="D7" s="1" t="s">
        <v>134</v>
      </c>
      <c r="E7" s="15" t="s">
        <v>16</v>
      </c>
      <c r="F7" s="1" t="s">
        <v>4</v>
      </c>
      <c r="G7" s="38">
        <v>3</v>
      </c>
      <c r="H7" s="137">
        <v>2510367</v>
      </c>
      <c r="I7" s="138">
        <f t="shared" ref="I7:I37" si="2">H7*19%</f>
        <v>476969.73</v>
      </c>
      <c r="J7" s="138">
        <f t="shared" ref="J7:J37" si="3">H7+I7</f>
        <v>2987336.73</v>
      </c>
      <c r="K7" s="139">
        <f t="shared" ref="K7:K37" si="4">G7*J7</f>
        <v>8962010.1899999995</v>
      </c>
      <c r="L7" s="137">
        <v>1662605.042016807</v>
      </c>
      <c r="M7" s="138">
        <f t="shared" si="0"/>
        <v>315894.95798319334</v>
      </c>
      <c r="N7" s="138">
        <f t="shared" si="1"/>
        <v>1978500.0000000005</v>
      </c>
      <c r="O7" s="134">
        <f>+G7*N7</f>
        <v>5935500.0000000019</v>
      </c>
      <c r="P7" s="140">
        <v>2506736</v>
      </c>
      <c r="Q7" s="138">
        <f t="shared" ref="Q7:Q37" si="5">+P7*0.19</f>
        <v>476279.84</v>
      </c>
      <c r="R7" s="138">
        <f t="shared" ref="R7:R37" si="6">+P7+Q7</f>
        <v>2983015.84</v>
      </c>
      <c r="S7" s="141">
        <f>+G7*R7</f>
        <v>8949047.5199999996</v>
      </c>
      <c r="T7" s="138">
        <v>2401067</v>
      </c>
      <c r="U7" s="138">
        <f t="shared" ref="U7:U37" si="7">T7*19%</f>
        <v>456202.73</v>
      </c>
      <c r="V7" s="138">
        <f t="shared" ref="V7:V37" si="8">T7+U7</f>
        <v>2857269.73</v>
      </c>
      <c r="W7" s="141">
        <f>+G7*V7</f>
        <v>8571809.1899999995</v>
      </c>
      <c r="X7" s="138">
        <v>2384780</v>
      </c>
      <c r="Y7" s="138">
        <f t="shared" ref="Y7:Y37" si="9">+X7*0.19</f>
        <v>453108.2</v>
      </c>
      <c r="Z7" s="138">
        <f t="shared" ref="Z7:Z37" si="10">+X7+Y7</f>
        <v>2837888.2</v>
      </c>
      <c r="AA7" s="139">
        <f>+G7*Z7</f>
        <v>8513664.6000000015</v>
      </c>
      <c r="AB7" s="152">
        <f t="shared" ref="AB7:AB37" si="11">+AD7/1.19</f>
        <v>885714.2857142858</v>
      </c>
      <c r="AC7" s="125">
        <f t="shared" ref="AC7:AC37" si="12">+AD7-AB7</f>
        <v>168285.7142857142</v>
      </c>
      <c r="AD7" s="153">
        <v>1054000</v>
      </c>
      <c r="AE7" s="183">
        <f t="shared" ref="AE7:AE37" si="13">+G7*AD7</f>
        <v>3162000</v>
      </c>
      <c r="AF7" s="185">
        <f>+GEOMEAN(H7,L7,P7,T7,X7,AB7)</f>
        <v>1938489.8273638887</v>
      </c>
      <c r="AG7" s="154">
        <f t="shared" ref="AG7:AG37" si="14">+GEOMEAN(J7,N7,R7,V7,Z7,AD7)</f>
        <v>2306802.8945630277</v>
      </c>
      <c r="AH7" s="191">
        <f t="shared" ref="AH7:AH37" si="15">+HARMEAN(H7,L7,P7,T7,X7,AB7)</f>
        <v>1783814.3754614801</v>
      </c>
      <c r="AI7" s="150">
        <f t="shared" ref="AI7:AI37" si="16">+HARMEAN(J7,N7,R7,V7,Z7,AD7)</f>
        <v>2122739.1067991611</v>
      </c>
    </row>
    <row r="8" spans="1:35" s="4" customFormat="1" ht="51">
      <c r="C8" s="2" t="s">
        <v>101</v>
      </c>
      <c r="D8" s="1" t="s">
        <v>132</v>
      </c>
      <c r="E8" s="15" t="s">
        <v>17</v>
      </c>
      <c r="F8" s="1" t="s">
        <v>4</v>
      </c>
      <c r="G8" s="38">
        <v>10</v>
      </c>
      <c r="H8" s="137">
        <v>348700</v>
      </c>
      <c r="I8" s="138">
        <f t="shared" si="2"/>
        <v>66253</v>
      </c>
      <c r="J8" s="138">
        <f t="shared" si="3"/>
        <v>414953</v>
      </c>
      <c r="K8" s="139">
        <f t="shared" si="4"/>
        <v>4149530</v>
      </c>
      <c r="L8" s="137">
        <v>214159.66386554623</v>
      </c>
      <c r="M8" s="138">
        <f t="shared" si="0"/>
        <v>40690.336134453784</v>
      </c>
      <c r="N8" s="138">
        <f t="shared" si="1"/>
        <v>254850</v>
      </c>
      <c r="O8" s="134">
        <f>+G8*N8</f>
        <v>2548500</v>
      </c>
      <c r="P8" s="140">
        <v>350928</v>
      </c>
      <c r="Q8" s="138">
        <f t="shared" si="5"/>
        <v>66676.320000000007</v>
      </c>
      <c r="R8" s="138">
        <f t="shared" si="6"/>
        <v>417604.32</v>
      </c>
      <c r="S8" s="141">
        <f t="shared" ref="S8:S37" si="17">+G8*R8</f>
        <v>4176043.2</v>
      </c>
      <c r="T8" s="138">
        <v>332517</v>
      </c>
      <c r="U8" s="138">
        <f t="shared" si="7"/>
        <v>63178.23</v>
      </c>
      <c r="V8" s="138">
        <f t="shared" si="8"/>
        <v>395695.23</v>
      </c>
      <c r="W8" s="141">
        <f t="shared" ref="W8:W37" si="18">+G8*V8</f>
        <v>3956952.3</v>
      </c>
      <c r="X8" s="138">
        <v>326266</v>
      </c>
      <c r="Y8" s="138">
        <f t="shared" si="9"/>
        <v>61990.54</v>
      </c>
      <c r="Z8" s="138">
        <f t="shared" si="10"/>
        <v>388256.54</v>
      </c>
      <c r="AA8" s="139">
        <f t="shared" ref="AA8:AA37" si="19">+G8*Z8</f>
        <v>3882565.4</v>
      </c>
      <c r="AB8" s="152">
        <f t="shared" si="11"/>
        <v>257142.85714285716</v>
      </c>
      <c r="AC8" s="125">
        <f t="shared" si="12"/>
        <v>48857.142857142841</v>
      </c>
      <c r="AD8" s="153">
        <v>306000</v>
      </c>
      <c r="AE8" s="183">
        <f t="shared" si="13"/>
        <v>3060000</v>
      </c>
      <c r="AF8" s="185">
        <f t="shared" ref="AF8:AF37" si="20">+GEOMEAN(H8,L8,P8,T8,X8,AB8)</f>
        <v>300142.82351898297</v>
      </c>
      <c r="AG8" s="154">
        <f t="shared" si="14"/>
        <v>357169.95998758974</v>
      </c>
      <c r="AH8" s="191">
        <f t="shared" si="15"/>
        <v>294868.79440672003</v>
      </c>
      <c r="AI8" s="150">
        <f t="shared" si="16"/>
        <v>350893.86534399691</v>
      </c>
    </row>
    <row r="9" spans="1:35" s="4" customFormat="1" ht="38.25">
      <c r="C9" s="2" t="s">
        <v>102</v>
      </c>
      <c r="D9" s="1" t="s">
        <v>133</v>
      </c>
      <c r="E9" s="15" t="s">
        <v>10</v>
      </c>
      <c r="F9" s="1" t="s">
        <v>4</v>
      </c>
      <c r="G9" s="38">
        <v>20</v>
      </c>
      <c r="H9" s="137">
        <v>75571</v>
      </c>
      <c r="I9" s="138">
        <f t="shared" si="2"/>
        <v>14358.49</v>
      </c>
      <c r="J9" s="138">
        <f t="shared" si="3"/>
        <v>89929.49</v>
      </c>
      <c r="K9" s="139">
        <f t="shared" si="4"/>
        <v>1798589.8</v>
      </c>
      <c r="L9" s="137">
        <v>75504.201680672268</v>
      </c>
      <c r="M9" s="138">
        <f t="shared" si="0"/>
        <v>14345.79831932773</v>
      </c>
      <c r="N9" s="138">
        <f t="shared" si="1"/>
        <v>89850</v>
      </c>
      <c r="O9" s="134">
        <f t="shared" ref="O9:O37" si="21">+G9*N9</f>
        <v>1797000</v>
      </c>
      <c r="P9" s="140">
        <v>88777</v>
      </c>
      <c r="Q9" s="138">
        <f t="shared" si="5"/>
        <v>16867.63</v>
      </c>
      <c r="R9" s="138">
        <f t="shared" si="6"/>
        <v>105644.63</v>
      </c>
      <c r="S9" s="141">
        <f t="shared" si="17"/>
        <v>2112892.6</v>
      </c>
      <c r="T9" s="138">
        <v>76923</v>
      </c>
      <c r="U9" s="138">
        <f t="shared" si="7"/>
        <v>14615.37</v>
      </c>
      <c r="V9" s="138">
        <f t="shared" si="8"/>
        <v>91538.37</v>
      </c>
      <c r="W9" s="141">
        <f t="shared" si="18"/>
        <v>1830767.4</v>
      </c>
      <c r="X9" s="138">
        <v>77771</v>
      </c>
      <c r="Y9" s="138">
        <f t="shared" si="9"/>
        <v>14776.49</v>
      </c>
      <c r="Z9" s="138">
        <f t="shared" si="10"/>
        <v>92547.49</v>
      </c>
      <c r="AA9" s="139">
        <f t="shared" si="19"/>
        <v>1850949.8</v>
      </c>
      <c r="AB9" s="152">
        <f t="shared" si="11"/>
        <v>75571.42857142858</v>
      </c>
      <c r="AC9" s="125">
        <f t="shared" si="12"/>
        <v>14358.57142857142</v>
      </c>
      <c r="AD9" s="153">
        <v>89930</v>
      </c>
      <c r="AE9" s="183">
        <f t="shared" si="13"/>
        <v>1798600</v>
      </c>
      <c r="AF9" s="185">
        <f t="shared" si="20"/>
        <v>78218.541532182891</v>
      </c>
      <c r="AG9" s="154">
        <f t="shared" si="14"/>
        <v>93080.064423297634</v>
      </c>
      <c r="AH9" s="191">
        <f t="shared" si="15"/>
        <v>78092.609264683299</v>
      </c>
      <c r="AI9" s="150">
        <f t="shared" si="16"/>
        <v>92930.205024973111</v>
      </c>
    </row>
    <row r="10" spans="1:35" s="4" customFormat="1" ht="25.5">
      <c r="C10" s="2" t="s">
        <v>103</v>
      </c>
      <c r="D10" s="1" t="s">
        <v>135</v>
      </c>
      <c r="E10" s="15" t="s">
        <v>63</v>
      </c>
      <c r="F10" s="1" t="s">
        <v>4</v>
      </c>
      <c r="G10" s="38">
        <v>6</v>
      </c>
      <c r="H10" s="137">
        <v>143830</v>
      </c>
      <c r="I10" s="138">
        <f t="shared" si="2"/>
        <v>27327.7</v>
      </c>
      <c r="J10" s="138">
        <f t="shared" si="3"/>
        <v>171157.7</v>
      </c>
      <c r="K10" s="139">
        <f t="shared" si="4"/>
        <v>1026946.2000000001</v>
      </c>
      <c r="L10" s="137">
        <v>1008403.3613445379</v>
      </c>
      <c r="M10" s="138">
        <f t="shared" si="0"/>
        <v>191596.63865546221</v>
      </c>
      <c r="N10" s="138">
        <f t="shared" si="1"/>
        <v>1200000.0000000002</v>
      </c>
      <c r="O10" s="134">
        <f t="shared" si="21"/>
        <v>7200000.0000000019</v>
      </c>
      <c r="P10" s="140">
        <v>154904</v>
      </c>
      <c r="Q10" s="138">
        <f t="shared" si="5"/>
        <v>29431.760000000002</v>
      </c>
      <c r="R10" s="138">
        <f t="shared" si="6"/>
        <v>184335.76</v>
      </c>
      <c r="S10" s="141">
        <f t="shared" si="17"/>
        <v>1106014.56</v>
      </c>
      <c r="T10" s="138">
        <v>146740</v>
      </c>
      <c r="U10" s="138">
        <f t="shared" si="7"/>
        <v>27880.6</v>
      </c>
      <c r="V10" s="138">
        <f t="shared" si="8"/>
        <v>174620.6</v>
      </c>
      <c r="W10" s="141">
        <f t="shared" si="18"/>
        <v>1047723.6000000001</v>
      </c>
      <c r="X10" s="138">
        <v>140861</v>
      </c>
      <c r="Y10" s="138">
        <f t="shared" si="9"/>
        <v>26763.59</v>
      </c>
      <c r="Z10" s="138">
        <f t="shared" si="10"/>
        <v>167624.59</v>
      </c>
      <c r="AA10" s="139">
        <f t="shared" si="19"/>
        <v>1005747.54</v>
      </c>
      <c r="AB10" s="152">
        <f t="shared" si="11"/>
        <v>62510.08403361345</v>
      </c>
      <c r="AC10" s="125">
        <f t="shared" si="12"/>
        <v>11876.91596638655</v>
      </c>
      <c r="AD10" s="153">
        <v>74387</v>
      </c>
      <c r="AE10" s="183">
        <f t="shared" si="13"/>
        <v>446322</v>
      </c>
      <c r="AF10" s="185">
        <f t="shared" si="20"/>
        <v>175309.70557778986</v>
      </c>
      <c r="AG10" s="154">
        <f t="shared" si="14"/>
        <v>208618.54963756996</v>
      </c>
      <c r="AH10" s="191">
        <f t="shared" si="15"/>
        <v>135405.57808432236</v>
      </c>
      <c r="AI10" s="150">
        <f t="shared" si="16"/>
        <v>161132.63792034361</v>
      </c>
    </row>
    <row r="11" spans="1:35" s="4" customFormat="1" ht="38.25">
      <c r="C11" s="2" t="s">
        <v>104</v>
      </c>
      <c r="D11" s="1" t="s">
        <v>136</v>
      </c>
      <c r="E11" s="15" t="s">
        <v>18</v>
      </c>
      <c r="F11" s="1" t="s">
        <v>4</v>
      </c>
      <c r="G11" s="38">
        <v>1</v>
      </c>
      <c r="H11" s="137">
        <v>2465261</v>
      </c>
      <c r="I11" s="138">
        <f t="shared" si="2"/>
        <v>468399.59</v>
      </c>
      <c r="J11" s="138">
        <f t="shared" si="3"/>
        <v>2933660.59</v>
      </c>
      <c r="K11" s="139">
        <f t="shared" si="4"/>
        <v>2933660.59</v>
      </c>
      <c r="L11" s="137">
        <v>1890756.3025210085</v>
      </c>
      <c r="M11" s="138">
        <f t="shared" si="0"/>
        <v>359243.69747899164</v>
      </c>
      <c r="N11" s="138">
        <f t="shared" si="1"/>
        <v>2250000</v>
      </c>
      <c r="O11" s="134">
        <f t="shared" si="21"/>
        <v>2250000</v>
      </c>
      <c r="P11" s="140">
        <v>2553398</v>
      </c>
      <c r="Q11" s="138">
        <f t="shared" si="5"/>
        <v>485145.62</v>
      </c>
      <c r="R11" s="138">
        <f t="shared" si="6"/>
        <v>3038543.62</v>
      </c>
      <c r="S11" s="141">
        <f t="shared" si="17"/>
        <v>3038543.62</v>
      </c>
      <c r="T11" s="138">
        <v>2550779</v>
      </c>
      <c r="U11" s="138">
        <f t="shared" si="7"/>
        <v>484648.01</v>
      </c>
      <c r="V11" s="138">
        <f t="shared" si="8"/>
        <v>3035427.01</v>
      </c>
      <c r="W11" s="141">
        <f t="shared" si="18"/>
        <v>3035427.01</v>
      </c>
      <c r="X11" s="138">
        <v>2428755</v>
      </c>
      <c r="Y11" s="138">
        <f t="shared" si="9"/>
        <v>461463.45</v>
      </c>
      <c r="Z11" s="138">
        <f t="shared" si="10"/>
        <v>2890218.45</v>
      </c>
      <c r="AA11" s="139">
        <f t="shared" si="19"/>
        <v>2890218.45</v>
      </c>
      <c r="AB11" s="152">
        <f t="shared" si="11"/>
        <v>788450.42016806721</v>
      </c>
      <c r="AC11" s="125">
        <f t="shared" si="12"/>
        <v>149805.57983193279</v>
      </c>
      <c r="AD11" s="153">
        <v>938256</v>
      </c>
      <c r="AE11" s="183">
        <f t="shared" si="13"/>
        <v>938256</v>
      </c>
      <c r="AF11" s="185">
        <f t="shared" si="20"/>
        <v>1968224.578851315</v>
      </c>
      <c r="AG11" s="154">
        <f t="shared" si="14"/>
        <v>2342187.2488330649</v>
      </c>
      <c r="AH11" s="191">
        <f t="shared" si="15"/>
        <v>1765618.9707202148</v>
      </c>
      <c r="AI11" s="150">
        <f t="shared" si="16"/>
        <v>2101086.5751570556</v>
      </c>
    </row>
    <row r="12" spans="1:35" s="4" customFormat="1" ht="76.5">
      <c r="C12" s="2" t="s">
        <v>105</v>
      </c>
      <c r="D12" s="1" t="s">
        <v>137</v>
      </c>
      <c r="E12" s="15" t="s">
        <v>19</v>
      </c>
      <c r="F12" s="1" t="s">
        <v>4</v>
      </c>
      <c r="G12" s="38">
        <v>3</v>
      </c>
      <c r="H12" s="137">
        <v>405570</v>
      </c>
      <c r="I12" s="138">
        <f t="shared" si="2"/>
        <v>77058.3</v>
      </c>
      <c r="J12" s="138">
        <f t="shared" si="3"/>
        <v>482628.3</v>
      </c>
      <c r="K12" s="139">
        <f t="shared" si="4"/>
        <v>1447884.9</v>
      </c>
      <c r="L12" s="137">
        <v>1384903.3613445379</v>
      </c>
      <c r="M12" s="138">
        <f t="shared" si="0"/>
        <v>263131.63865546219</v>
      </c>
      <c r="N12" s="138">
        <f t="shared" si="1"/>
        <v>1648035</v>
      </c>
      <c r="O12" s="134">
        <f t="shared" si="21"/>
        <v>4944105</v>
      </c>
      <c r="P12" s="140">
        <v>388583</v>
      </c>
      <c r="Q12" s="138">
        <f t="shared" si="5"/>
        <v>73830.77</v>
      </c>
      <c r="R12" s="138">
        <f t="shared" si="6"/>
        <v>462413.77</v>
      </c>
      <c r="S12" s="141">
        <f t="shared" si="17"/>
        <v>1387241.31</v>
      </c>
      <c r="T12" s="138">
        <v>429717</v>
      </c>
      <c r="U12" s="138">
        <f t="shared" si="7"/>
        <v>81646.23</v>
      </c>
      <c r="V12" s="138">
        <f t="shared" si="8"/>
        <v>511363.23</v>
      </c>
      <c r="W12" s="141">
        <f t="shared" si="18"/>
        <v>1534089.69</v>
      </c>
      <c r="X12" s="138">
        <v>380421</v>
      </c>
      <c r="Y12" s="138">
        <f t="shared" si="9"/>
        <v>72279.990000000005</v>
      </c>
      <c r="Z12" s="138">
        <f t="shared" si="10"/>
        <v>452700.99</v>
      </c>
      <c r="AA12" s="139">
        <f t="shared" si="19"/>
        <v>1358102.97</v>
      </c>
      <c r="AB12" s="152">
        <f t="shared" si="11"/>
        <v>840336.13445378153</v>
      </c>
      <c r="AC12" s="125">
        <f t="shared" si="12"/>
        <v>159663.86554621847</v>
      </c>
      <c r="AD12" s="153">
        <v>1000000</v>
      </c>
      <c r="AE12" s="183">
        <f t="shared" si="13"/>
        <v>3000000</v>
      </c>
      <c r="AF12" s="185">
        <f t="shared" si="20"/>
        <v>557371.62752763124</v>
      </c>
      <c r="AG12" s="154">
        <f t="shared" si="14"/>
        <v>663272.23675788112</v>
      </c>
      <c r="AH12" s="191">
        <f t="shared" si="15"/>
        <v>503906.53340738697</v>
      </c>
      <c r="AI12" s="150">
        <f t="shared" si="16"/>
        <v>599648.77475479047</v>
      </c>
    </row>
    <row r="13" spans="1:35" s="4" customFormat="1" ht="38.25">
      <c r="C13" s="2" t="s">
        <v>106</v>
      </c>
      <c r="D13" s="1" t="s">
        <v>138</v>
      </c>
      <c r="E13" s="15" t="s">
        <v>20</v>
      </c>
      <c r="F13" s="1" t="s">
        <v>4</v>
      </c>
      <c r="G13" s="38">
        <v>2</v>
      </c>
      <c r="H13" s="137">
        <v>278942</v>
      </c>
      <c r="I13" s="138">
        <f t="shared" si="2"/>
        <v>52998.98</v>
      </c>
      <c r="J13" s="138">
        <f t="shared" si="3"/>
        <v>331940.98</v>
      </c>
      <c r="K13" s="139">
        <f t="shared" si="4"/>
        <v>663881.96</v>
      </c>
      <c r="L13" s="137">
        <v>176470.58823529413</v>
      </c>
      <c r="M13" s="138">
        <f t="shared" si="0"/>
        <v>33529.411764705881</v>
      </c>
      <c r="N13" s="138">
        <f t="shared" si="1"/>
        <v>210000</v>
      </c>
      <c r="O13" s="134">
        <f t="shared" si="21"/>
        <v>420000</v>
      </c>
      <c r="P13" s="140">
        <v>274590</v>
      </c>
      <c r="Q13" s="138">
        <f t="shared" si="5"/>
        <v>52172.1</v>
      </c>
      <c r="R13" s="138">
        <f t="shared" si="6"/>
        <v>326762.09999999998</v>
      </c>
      <c r="S13" s="141">
        <f t="shared" si="17"/>
        <v>653524.19999999995</v>
      </c>
      <c r="T13" s="138">
        <v>290819</v>
      </c>
      <c r="U13" s="138">
        <f t="shared" si="7"/>
        <v>55255.61</v>
      </c>
      <c r="V13" s="138">
        <f t="shared" si="8"/>
        <v>346074.61</v>
      </c>
      <c r="W13" s="141">
        <f t="shared" si="18"/>
        <v>692149.22</v>
      </c>
      <c r="X13" s="138">
        <v>263944</v>
      </c>
      <c r="Y13" s="138">
        <f t="shared" si="9"/>
        <v>50149.36</v>
      </c>
      <c r="Z13" s="138">
        <f t="shared" si="10"/>
        <v>314093.36</v>
      </c>
      <c r="AA13" s="139">
        <f t="shared" si="19"/>
        <v>628186.72</v>
      </c>
      <c r="AB13" s="152">
        <f t="shared" si="11"/>
        <v>34453.781512605041</v>
      </c>
      <c r="AC13" s="125">
        <f t="shared" si="12"/>
        <v>6546.2184873949591</v>
      </c>
      <c r="AD13" s="153">
        <v>41000</v>
      </c>
      <c r="AE13" s="183">
        <f t="shared" si="13"/>
        <v>82000</v>
      </c>
      <c r="AF13" s="185">
        <f t="shared" si="20"/>
        <v>181498.79157325692</v>
      </c>
      <c r="AG13" s="154">
        <f t="shared" si="14"/>
        <v>215983.56197217572</v>
      </c>
      <c r="AH13" s="191">
        <f t="shared" si="15"/>
        <v>122087.52052108079</v>
      </c>
      <c r="AI13" s="150">
        <f t="shared" si="16"/>
        <v>145284.14942008612</v>
      </c>
    </row>
    <row r="14" spans="1:35" s="4" customFormat="1" ht="38.25">
      <c r="C14" s="2" t="s">
        <v>107</v>
      </c>
      <c r="D14" s="1" t="s">
        <v>139</v>
      </c>
      <c r="E14" s="15" t="s">
        <v>21</v>
      </c>
      <c r="F14" s="1" t="s">
        <v>4</v>
      </c>
      <c r="G14" s="38">
        <v>10</v>
      </c>
      <c r="H14" s="137">
        <v>279142</v>
      </c>
      <c r="I14" s="138">
        <f t="shared" si="2"/>
        <v>53036.98</v>
      </c>
      <c r="J14" s="138">
        <f t="shared" si="3"/>
        <v>332178.98</v>
      </c>
      <c r="K14" s="139">
        <f t="shared" si="4"/>
        <v>3321789.8</v>
      </c>
      <c r="L14" s="137">
        <v>176470.58823529413</v>
      </c>
      <c r="M14" s="138">
        <f t="shared" si="0"/>
        <v>33529.411764705881</v>
      </c>
      <c r="N14" s="138">
        <f t="shared" si="1"/>
        <v>210000</v>
      </c>
      <c r="O14" s="134">
        <f t="shared" si="21"/>
        <v>2100000</v>
      </c>
      <c r="P14" s="140">
        <v>263086</v>
      </c>
      <c r="Q14" s="138">
        <f t="shared" si="5"/>
        <v>49986.340000000004</v>
      </c>
      <c r="R14" s="138">
        <f t="shared" si="6"/>
        <v>313072.34000000003</v>
      </c>
      <c r="S14" s="141">
        <f t="shared" si="17"/>
        <v>3130723.4000000004</v>
      </c>
      <c r="T14" s="138">
        <v>289321</v>
      </c>
      <c r="U14" s="138">
        <f t="shared" si="7"/>
        <v>54970.99</v>
      </c>
      <c r="V14" s="138">
        <f t="shared" si="8"/>
        <v>344291.99</v>
      </c>
      <c r="W14" s="141">
        <f t="shared" si="18"/>
        <v>3442919.9</v>
      </c>
      <c r="X14" s="138">
        <v>270822</v>
      </c>
      <c r="Y14" s="138">
        <f t="shared" si="9"/>
        <v>51456.18</v>
      </c>
      <c r="Z14" s="138">
        <f t="shared" si="10"/>
        <v>322278.18</v>
      </c>
      <c r="AA14" s="139">
        <f t="shared" si="19"/>
        <v>3222781.8</v>
      </c>
      <c r="AB14" s="152">
        <f t="shared" si="11"/>
        <v>117647.05882352941</v>
      </c>
      <c r="AC14" s="125">
        <f t="shared" si="12"/>
        <v>22352.941176470587</v>
      </c>
      <c r="AD14" s="153">
        <v>140000</v>
      </c>
      <c r="AE14" s="183">
        <f t="shared" si="13"/>
        <v>1400000</v>
      </c>
      <c r="AF14" s="185">
        <f t="shared" si="20"/>
        <v>221925.24345399509</v>
      </c>
      <c r="AG14" s="154">
        <f t="shared" si="14"/>
        <v>264091.03971025418</v>
      </c>
      <c r="AH14" s="191">
        <f t="shared" si="15"/>
        <v>209066.94097483341</v>
      </c>
      <c r="AI14" s="150">
        <f t="shared" si="16"/>
        <v>248789.6597600517</v>
      </c>
    </row>
    <row r="15" spans="1:35" s="4" customFormat="1" ht="25.5">
      <c r="C15" s="2" t="s">
        <v>108</v>
      </c>
      <c r="D15" s="1" t="s">
        <v>140</v>
      </c>
      <c r="E15" s="15" t="s">
        <v>22</v>
      </c>
      <c r="F15" s="1" t="s">
        <v>4</v>
      </c>
      <c r="G15" s="38">
        <v>2</v>
      </c>
      <c r="H15" s="137">
        <v>170874</v>
      </c>
      <c r="I15" s="138">
        <f t="shared" si="2"/>
        <v>32466.06</v>
      </c>
      <c r="J15" s="138">
        <f t="shared" si="3"/>
        <v>203340.06</v>
      </c>
      <c r="K15" s="139">
        <f t="shared" si="4"/>
        <v>406680.12</v>
      </c>
      <c r="L15" s="137">
        <v>119117.64705882352</v>
      </c>
      <c r="M15" s="138">
        <f t="shared" si="0"/>
        <v>22632.352941176468</v>
      </c>
      <c r="N15" s="138">
        <f t="shared" si="1"/>
        <v>141750</v>
      </c>
      <c r="O15" s="134">
        <f t="shared" si="21"/>
        <v>283500</v>
      </c>
      <c r="P15" s="140">
        <v>166442</v>
      </c>
      <c r="Q15" s="138">
        <f t="shared" si="5"/>
        <v>31623.98</v>
      </c>
      <c r="R15" s="138">
        <f t="shared" si="6"/>
        <v>198065.98</v>
      </c>
      <c r="S15" s="141">
        <f t="shared" si="17"/>
        <v>396131.96</v>
      </c>
      <c r="T15" s="138">
        <v>176152</v>
      </c>
      <c r="U15" s="138">
        <f t="shared" si="7"/>
        <v>33468.879999999997</v>
      </c>
      <c r="V15" s="138">
        <f t="shared" si="8"/>
        <v>209620.88</v>
      </c>
      <c r="W15" s="141">
        <f t="shared" si="18"/>
        <v>419241.76</v>
      </c>
      <c r="X15" s="138">
        <v>164358</v>
      </c>
      <c r="Y15" s="138">
        <f t="shared" si="9"/>
        <v>31228.02</v>
      </c>
      <c r="Z15" s="138">
        <f t="shared" si="10"/>
        <v>195586.02</v>
      </c>
      <c r="AA15" s="139">
        <f t="shared" si="19"/>
        <v>391172.04</v>
      </c>
      <c r="AB15" s="152">
        <f t="shared" si="11"/>
        <v>117647.05882352941</v>
      </c>
      <c r="AC15" s="125">
        <f t="shared" si="12"/>
        <v>22352.941176470587</v>
      </c>
      <c r="AD15" s="153">
        <v>140000</v>
      </c>
      <c r="AE15" s="183">
        <f t="shared" si="13"/>
        <v>280000</v>
      </c>
      <c r="AF15" s="185">
        <f t="shared" si="20"/>
        <v>150324.26408100215</v>
      </c>
      <c r="AG15" s="154">
        <f t="shared" si="14"/>
        <v>178885.87425639256</v>
      </c>
      <c r="AH15" s="191">
        <f t="shared" si="15"/>
        <v>148087.37423162436</v>
      </c>
      <c r="AI15" s="150">
        <f t="shared" si="16"/>
        <v>176223.975335633</v>
      </c>
    </row>
    <row r="16" spans="1:35" s="4" customFormat="1" ht="38.25">
      <c r="C16" s="2" t="s">
        <v>109</v>
      </c>
      <c r="D16" s="1" t="s">
        <v>141</v>
      </c>
      <c r="E16" s="15" t="s">
        <v>23</v>
      </c>
      <c r="F16" s="1" t="s">
        <v>4</v>
      </c>
      <c r="G16" s="38">
        <v>2</v>
      </c>
      <c r="H16" s="137">
        <v>74571</v>
      </c>
      <c r="I16" s="138">
        <f t="shared" si="2"/>
        <v>14168.49</v>
      </c>
      <c r="J16" s="138">
        <f t="shared" si="3"/>
        <v>88739.49</v>
      </c>
      <c r="K16" s="139">
        <f t="shared" si="4"/>
        <v>177478.98</v>
      </c>
      <c r="L16" s="137">
        <v>52815.126050420178</v>
      </c>
      <c r="M16" s="138">
        <f t="shared" si="0"/>
        <v>10034.873949579835</v>
      </c>
      <c r="N16" s="138">
        <f t="shared" si="1"/>
        <v>62850.000000000015</v>
      </c>
      <c r="O16" s="134">
        <f t="shared" si="21"/>
        <v>125700.00000000003</v>
      </c>
      <c r="P16" s="140">
        <v>73426</v>
      </c>
      <c r="Q16" s="138">
        <f t="shared" si="5"/>
        <v>13950.94</v>
      </c>
      <c r="R16" s="138">
        <f t="shared" si="6"/>
        <v>87376.94</v>
      </c>
      <c r="S16" s="141">
        <f t="shared" si="17"/>
        <v>174753.88</v>
      </c>
      <c r="T16" s="138">
        <v>78699</v>
      </c>
      <c r="U16" s="138">
        <f t="shared" si="7"/>
        <v>14952.81</v>
      </c>
      <c r="V16" s="138">
        <f t="shared" si="8"/>
        <v>93651.81</v>
      </c>
      <c r="W16" s="141">
        <f t="shared" si="18"/>
        <v>187303.62</v>
      </c>
      <c r="X16" s="138">
        <v>78538</v>
      </c>
      <c r="Y16" s="138">
        <f t="shared" si="9"/>
        <v>14922.22</v>
      </c>
      <c r="Z16" s="138">
        <f t="shared" si="10"/>
        <v>93460.22</v>
      </c>
      <c r="AA16" s="139">
        <f t="shared" si="19"/>
        <v>186920.44</v>
      </c>
      <c r="AB16" s="152">
        <f t="shared" si="11"/>
        <v>16806.722689075632</v>
      </c>
      <c r="AC16" s="125">
        <f t="shared" si="12"/>
        <v>3193.2773109243681</v>
      </c>
      <c r="AD16" s="153">
        <v>20000</v>
      </c>
      <c r="AE16" s="183">
        <f t="shared" si="13"/>
        <v>40000</v>
      </c>
      <c r="AF16" s="185">
        <f t="shared" si="20"/>
        <v>55755.156679313863</v>
      </c>
      <c r="AG16" s="154">
        <f t="shared" si="14"/>
        <v>66348.636448383491</v>
      </c>
      <c r="AH16" s="191">
        <f t="shared" si="15"/>
        <v>45835.643071155908</v>
      </c>
      <c r="AI16" s="150">
        <f t="shared" si="16"/>
        <v>54544.415254675529</v>
      </c>
    </row>
    <row r="17" spans="3:35" s="4" customFormat="1" ht="25.5">
      <c r="C17" s="2" t="s">
        <v>110</v>
      </c>
      <c r="D17" s="1" t="s">
        <v>145</v>
      </c>
      <c r="E17" s="15" t="s">
        <v>24</v>
      </c>
      <c r="F17" s="1" t="s">
        <v>4</v>
      </c>
      <c r="G17" s="38">
        <v>4</v>
      </c>
      <c r="H17" s="137">
        <v>398574</v>
      </c>
      <c r="I17" s="138">
        <f t="shared" si="2"/>
        <v>75729.06</v>
      </c>
      <c r="J17" s="138">
        <f t="shared" si="3"/>
        <v>474303.06</v>
      </c>
      <c r="K17" s="139">
        <f t="shared" si="4"/>
        <v>1897212.24</v>
      </c>
      <c r="L17" s="137">
        <v>251974.78991596639</v>
      </c>
      <c r="M17" s="138">
        <f t="shared" si="0"/>
        <v>47875.210084033613</v>
      </c>
      <c r="N17" s="138">
        <f t="shared" si="1"/>
        <v>299850</v>
      </c>
      <c r="O17" s="134">
        <f t="shared" si="21"/>
        <v>1199400</v>
      </c>
      <c r="P17" s="140">
        <v>380486</v>
      </c>
      <c r="Q17" s="138">
        <f t="shared" si="5"/>
        <v>72292.34</v>
      </c>
      <c r="R17" s="138">
        <f t="shared" si="6"/>
        <v>452778.33999999997</v>
      </c>
      <c r="S17" s="141">
        <f t="shared" si="17"/>
        <v>1811113.3599999999</v>
      </c>
      <c r="T17" s="138">
        <v>405317</v>
      </c>
      <c r="U17" s="138">
        <f t="shared" si="7"/>
        <v>77010.23</v>
      </c>
      <c r="V17" s="138">
        <f t="shared" si="8"/>
        <v>482327.23</v>
      </c>
      <c r="W17" s="141">
        <f t="shared" si="18"/>
        <v>1929308.92</v>
      </c>
      <c r="X17" s="138">
        <v>379948</v>
      </c>
      <c r="Y17" s="138">
        <f t="shared" si="9"/>
        <v>72190.12</v>
      </c>
      <c r="Z17" s="138">
        <f t="shared" si="10"/>
        <v>452138.12</v>
      </c>
      <c r="AA17" s="139">
        <f t="shared" si="19"/>
        <v>1808552.48</v>
      </c>
      <c r="AB17" s="152">
        <f t="shared" si="11"/>
        <v>47815.126050420171</v>
      </c>
      <c r="AC17" s="125">
        <f t="shared" si="12"/>
        <v>9084.8739495798291</v>
      </c>
      <c r="AD17" s="153">
        <v>56900</v>
      </c>
      <c r="AE17" s="183">
        <f t="shared" si="13"/>
        <v>227600</v>
      </c>
      <c r="AF17" s="185">
        <f t="shared" si="20"/>
        <v>255985.1886163046</v>
      </c>
      <c r="AG17" s="154">
        <f t="shared" si="14"/>
        <v>304622.37445340247</v>
      </c>
      <c r="AH17" s="191">
        <f t="shared" si="15"/>
        <v>170848.46391148577</v>
      </c>
      <c r="AI17" s="150">
        <f t="shared" si="16"/>
        <v>203309.67205466807</v>
      </c>
    </row>
    <row r="18" spans="3:35" s="4" customFormat="1" ht="51">
      <c r="C18" s="2" t="s">
        <v>111</v>
      </c>
      <c r="D18" s="1" t="s">
        <v>146</v>
      </c>
      <c r="E18" s="15" t="s">
        <v>25</v>
      </c>
      <c r="F18" s="1" t="s">
        <v>4</v>
      </c>
      <c r="G18" s="38">
        <v>3</v>
      </c>
      <c r="H18" s="137">
        <v>88365</v>
      </c>
      <c r="I18" s="138">
        <f t="shared" si="2"/>
        <v>16789.349999999999</v>
      </c>
      <c r="J18" s="138">
        <f t="shared" si="3"/>
        <v>105154.35</v>
      </c>
      <c r="K18" s="139">
        <f t="shared" si="4"/>
        <v>315463.05000000005</v>
      </c>
      <c r="L18" s="137">
        <v>100714.28571428571</v>
      </c>
      <c r="M18" s="138">
        <f t="shared" si="0"/>
        <v>19135.714285714286</v>
      </c>
      <c r="N18" s="138">
        <f t="shared" si="1"/>
        <v>119850</v>
      </c>
      <c r="O18" s="134">
        <f t="shared" si="21"/>
        <v>359550</v>
      </c>
      <c r="P18" s="140">
        <v>83648</v>
      </c>
      <c r="Q18" s="138">
        <f t="shared" si="5"/>
        <v>15893.12</v>
      </c>
      <c r="R18" s="138">
        <f t="shared" si="6"/>
        <v>99541.119999999995</v>
      </c>
      <c r="S18" s="141">
        <f t="shared" si="17"/>
        <v>298623.35999999999</v>
      </c>
      <c r="T18" s="138">
        <v>90057</v>
      </c>
      <c r="U18" s="138">
        <f t="shared" si="7"/>
        <v>17110.830000000002</v>
      </c>
      <c r="V18" s="138">
        <f t="shared" si="8"/>
        <v>107167.83</v>
      </c>
      <c r="W18" s="141">
        <f t="shared" si="18"/>
        <v>321503.49</v>
      </c>
      <c r="X18" s="138">
        <v>92239</v>
      </c>
      <c r="Y18" s="138">
        <f t="shared" si="9"/>
        <v>17525.41</v>
      </c>
      <c r="Z18" s="138">
        <f t="shared" si="10"/>
        <v>109764.41</v>
      </c>
      <c r="AA18" s="139">
        <f t="shared" si="19"/>
        <v>329293.23</v>
      </c>
      <c r="AB18" s="152">
        <f t="shared" si="11"/>
        <v>37731.092436974788</v>
      </c>
      <c r="AC18" s="125">
        <f t="shared" si="12"/>
        <v>7168.9075630252119</v>
      </c>
      <c r="AD18" s="153">
        <v>44900</v>
      </c>
      <c r="AE18" s="183">
        <f t="shared" si="13"/>
        <v>134700</v>
      </c>
      <c r="AF18" s="185">
        <f t="shared" si="20"/>
        <v>78462.063736301672</v>
      </c>
      <c r="AG18" s="154">
        <f t="shared" si="14"/>
        <v>93369.855846199003</v>
      </c>
      <c r="AH18" s="191">
        <f t="shared" si="15"/>
        <v>73484.875351656665</v>
      </c>
      <c r="AI18" s="150">
        <f t="shared" si="16"/>
        <v>87447.001668471421</v>
      </c>
    </row>
    <row r="19" spans="3:35" s="4" customFormat="1" ht="25.5">
      <c r="C19" s="2" t="s">
        <v>112</v>
      </c>
      <c r="D19" s="1" t="s">
        <v>147</v>
      </c>
      <c r="E19" s="15" t="s">
        <v>26</v>
      </c>
      <c r="F19" s="1" t="s">
        <v>4</v>
      </c>
      <c r="G19" s="38">
        <v>2</v>
      </c>
      <c r="H19" s="137">
        <v>48985</v>
      </c>
      <c r="I19" s="138">
        <f t="shared" si="2"/>
        <v>9307.15</v>
      </c>
      <c r="J19" s="138">
        <f t="shared" si="3"/>
        <v>58292.15</v>
      </c>
      <c r="K19" s="139">
        <f t="shared" si="4"/>
        <v>116584.3</v>
      </c>
      <c r="L19" s="137">
        <v>522983.19327731099</v>
      </c>
      <c r="M19" s="138">
        <f t="shared" si="0"/>
        <v>99366.806722689085</v>
      </c>
      <c r="N19" s="138">
        <f t="shared" si="1"/>
        <v>622350.00000000012</v>
      </c>
      <c r="O19" s="134">
        <f t="shared" si="21"/>
        <v>1244700.0000000002</v>
      </c>
      <c r="P19" s="140">
        <v>51426</v>
      </c>
      <c r="Q19" s="138">
        <f t="shared" si="5"/>
        <v>9770.94</v>
      </c>
      <c r="R19" s="138">
        <f t="shared" si="6"/>
        <v>61196.94</v>
      </c>
      <c r="S19" s="141">
        <f t="shared" si="17"/>
        <v>122393.88</v>
      </c>
      <c r="T19" s="138">
        <v>52827</v>
      </c>
      <c r="U19" s="138">
        <f t="shared" si="7"/>
        <v>10037.130000000001</v>
      </c>
      <c r="V19" s="138">
        <f t="shared" si="8"/>
        <v>62864.130000000005</v>
      </c>
      <c r="W19" s="141">
        <f t="shared" si="18"/>
        <v>125728.26000000001</v>
      </c>
      <c r="X19" s="138">
        <v>49586</v>
      </c>
      <c r="Y19" s="138">
        <f t="shared" si="9"/>
        <v>9421.34</v>
      </c>
      <c r="Z19" s="138">
        <f t="shared" si="10"/>
        <v>59007.34</v>
      </c>
      <c r="AA19" s="139">
        <f t="shared" si="19"/>
        <v>118014.68</v>
      </c>
      <c r="AB19" s="152">
        <f t="shared" si="11"/>
        <v>231008.40336134454</v>
      </c>
      <c r="AC19" s="125">
        <f t="shared" si="12"/>
        <v>43891.596638655465</v>
      </c>
      <c r="AD19" s="153">
        <v>274900</v>
      </c>
      <c r="AE19" s="183">
        <f t="shared" si="13"/>
        <v>549800</v>
      </c>
      <c r="AF19" s="185">
        <f t="shared" si="20"/>
        <v>96293.298924152143</v>
      </c>
      <c r="AG19" s="154">
        <f t="shared" si="14"/>
        <v>114589.02571974105</v>
      </c>
      <c r="AH19" s="191">
        <f t="shared" si="15"/>
        <v>70424.61813743152</v>
      </c>
      <c r="AI19" s="150">
        <f t="shared" si="16"/>
        <v>83805.295583543542</v>
      </c>
    </row>
    <row r="20" spans="3:35" s="4" customFormat="1" ht="25.5">
      <c r="C20" s="2" t="s">
        <v>113</v>
      </c>
      <c r="D20" s="1" t="s">
        <v>148</v>
      </c>
      <c r="E20" s="15" t="s">
        <v>64</v>
      </c>
      <c r="F20" s="1" t="s">
        <v>4</v>
      </c>
      <c r="G20" s="38">
        <v>2</v>
      </c>
      <c r="H20" s="137">
        <v>93803</v>
      </c>
      <c r="I20" s="138">
        <f t="shared" si="2"/>
        <v>17822.57</v>
      </c>
      <c r="J20" s="138">
        <f t="shared" si="3"/>
        <v>111625.57</v>
      </c>
      <c r="K20" s="139">
        <f t="shared" si="4"/>
        <v>223251.14</v>
      </c>
      <c r="L20" s="137">
        <v>114240</v>
      </c>
      <c r="M20" s="138">
        <f t="shared" si="0"/>
        <v>21705.599999999999</v>
      </c>
      <c r="N20" s="138">
        <f t="shared" si="1"/>
        <v>135945.60000000001</v>
      </c>
      <c r="O20" s="134">
        <f t="shared" si="21"/>
        <v>271891.20000000001</v>
      </c>
      <c r="P20" s="140">
        <v>97671</v>
      </c>
      <c r="Q20" s="138">
        <f t="shared" si="5"/>
        <v>18557.490000000002</v>
      </c>
      <c r="R20" s="138">
        <f t="shared" si="6"/>
        <v>116228.49</v>
      </c>
      <c r="S20" s="141">
        <f t="shared" si="17"/>
        <v>232456.98</v>
      </c>
      <c r="T20" s="138">
        <v>97205</v>
      </c>
      <c r="U20" s="138">
        <f t="shared" si="7"/>
        <v>18468.95</v>
      </c>
      <c r="V20" s="138">
        <f t="shared" si="8"/>
        <v>115673.95</v>
      </c>
      <c r="W20" s="141">
        <f t="shared" si="18"/>
        <v>231347.9</v>
      </c>
      <c r="X20" s="138">
        <v>96238</v>
      </c>
      <c r="Y20" s="138">
        <f t="shared" si="9"/>
        <v>18285.22</v>
      </c>
      <c r="Z20" s="138">
        <f t="shared" si="10"/>
        <v>114523.22</v>
      </c>
      <c r="AA20" s="139">
        <f t="shared" si="19"/>
        <v>229046.44</v>
      </c>
      <c r="AB20" s="152">
        <f t="shared" si="11"/>
        <v>44800</v>
      </c>
      <c r="AC20" s="125">
        <f t="shared" si="12"/>
        <v>8512</v>
      </c>
      <c r="AD20" s="153">
        <v>53312</v>
      </c>
      <c r="AE20" s="183">
        <f t="shared" si="13"/>
        <v>106624</v>
      </c>
      <c r="AF20" s="185">
        <f t="shared" si="20"/>
        <v>87167.039100741895</v>
      </c>
      <c r="AG20" s="154">
        <f t="shared" si="14"/>
        <v>103728.77652988285</v>
      </c>
      <c r="AH20" s="191">
        <f t="shared" si="15"/>
        <v>82584.946328982609</v>
      </c>
      <c r="AI20" s="150">
        <f t="shared" si="16"/>
        <v>98276.086131489283</v>
      </c>
    </row>
    <row r="21" spans="3:35" s="4" customFormat="1" ht="51">
      <c r="C21" s="2" t="s">
        <v>114</v>
      </c>
      <c r="D21" s="1" t="s">
        <v>142</v>
      </c>
      <c r="E21" s="15" t="s">
        <v>27</v>
      </c>
      <c r="F21" s="1" t="s">
        <v>4</v>
      </c>
      <c r="G21" s="38">
        <v>3</v>
      </c>
      <c r="H21" s="137">
        <v>317761</v>
      </c>
      <c r="I21" s="138">
        <f t="shared" si="2"/>
        <v>60374.590000000004</v>
      </c>
      <c r="J21" s="138">
        <f t="shared" si="3"/>
        <v>378135.59</v>
      </c>
      <c r="K21" s="139">
        <f t="shared" si="4"/>
        <v>1134406.77</v>
      </c>
      <c r="L21" s="137">
        <v>222670.58823529416</v>
      </c>
      <c r="M21" s="138">
        <f t="shared" si="0"/>
        <v>42307.411764705888</v>
      </c>
      <c r="N21" s="138">
        <f t="shared" si="1"/>
        <v>264978.00000000006</v>
      </c>
      <c r="O21" s="134">
        <f t="shared" si="21"/>
        <v>794934.00000000023</v>
      </c>
      <c r="P21" s="140">
        <v>307470</v>
      </c>
      <c r="Q21" s="138">
        <f t="shared" si="5"/>
        <v>58419.3</v>
      </c>
      <c r="R21" s="138">
        <f t="shared" si="6"/>
        <v>365889.3</v>
      </c>
      <c r="S21" s="141">
        <f t="shared" si="17"/>
        <v>1097667.8999999999</v>
      </c>
      <c r="T21" s="138">
        <v>330448</v>
      </c>
      <c r="U21" s="138">
        <f t="shared" si="7"/>
        <v>62785.120000000003</v>
      </c>
      <c r="V21" s="138">
        <f t="shared" si="8"/>
        <v>393233.12</v>
      </c>
      <c r="W21" s="141">
        <f t="shared" si="18"/>
        <v>1179699.3599999999</v>
      </c>
      <c r="X21" s="138">
        <v>311964</v>
      </c>
      <c r="Y21" s="138">
        <f t="shared" si="9"/>
        <v>59273.16</v>
      </c>
      <c r="Z21" s="138">
        <f t="shared" si="10"/>
        <v>371237.16000000003</v>
      </c>
      <c r="AA21" s="139">
        <f t="shared" si="19"/>
        <v>1113711.48</v>
      </c>
      <c r="AB21" s="152">
        <f t="shared" si="11"/>
        <v>142857.14285714287</v>
      </c>
      <c r="AC21" s="125">
        <f t="shared" si="12"/>
        <v>27142.85714285713</v>
      </c>
      <c r="AD21" s="153">
        <v>170000</v>
      </c>
      <c r="AE21" s="183">
        <f t="shared" si="13"/>
        <v>510000</v>
      </c>
      <c r="AF21" s="185">
        <f t="shared" si="20"/>
        <v>261584.87404741714</v>
      </c>
      <c r="AG21" s="154">
        <f t="shared" si="14"/>
        <v>311286.00011642638</v>
      </c>
      <c r="AH21" s="191">
        <f t="shared" si="15"/>
        <v>248735.58575458216</v>
      </c>
      <c r="AI21" s="150">
        <f t="shared" si="16"/>
        <v>295995.34704795276</v>
      </c>
    </row>
    <row r="22" spans="3:35" s="4" customFormat="1" ht="63.75">
      <c r="C22" s="2" t="s">
        <v>115</v>
      </c>
      <c r="D22" s="1" t="s">
        <v>149</v>
      </c>
      <c r="E22" s="15" t="s">
        <v>28</v>
      </c>
      <c r="F22" s="1" t="s">
        <v>4</v>
      </c>
      <c r="G22" s="38">
        <v>1</v>
      </c>
      <c r="H22" s="137">
        <v>120693</v>
      </c>
      <c r="I22" s="138">
        <f t="shared" si="2"/>
        <v>22931.670000000002</v>
      </c>
      <c r="J22" s="138">
        <f t="shared" si="3"/>
        <v>143624.67000000001</v>
      </c>
      <c r="K22" s="139">
        <f t="shared" si="4"/>
        <v>143624.67000000001</v>
      </c>
      <c r="L22" s="137">
        <v>31512.60504201681</v>
      </c>
      <c r="M22" s="138">
        <f t="shared" si="0"/>
        <v>5987.3949579831942</v>
      </c>
      <c r="N22" s="138">
        <f t="shared" si="1"/>
        <v>37500.000000000007</v>
      </c>
      <c r="O22" s="134">
        <f t="shared" si="21"/>
        <v>37500.000000000007</v>
      </c>
      <c r="P22" s="140">
        <v>115021</v>
      </c>
      <c r="Q22" s="138">
        <f t="shared" si="5"/>
        <v>21853.99</v>
      </c>
      <c r="R22" s="138">
        <f t="shared" si="6"/>
        <v>136874.99</v>
      </c>
      <c r="S22" s="141">
        <f t="shared" si="17"/>
        <v>136874.99</v>
      </c>
      <c r="T22" s="138">
        <v>128640</v>
      </c>
      <c r="U22" s="138">
        <f t="shared" si="7"/>
        <v>24441.599999999999</v>
      </c>
      <c r="V22" s="138">
        <f t="shared" si="8"/>
        <v>153081.60000000001</v>
      </c>
      <c r="W22" s="141">
        <f t="shared" si="18"/>
        <v>153081.60000000001</v>
      </c>
      <c r="X22" s="138">
        <v>125061</v>
      </c>
      <c r="Y22" s="138">
        <f t="shared" si="9"/>
        <v>23761.59</v>
      </c>
      <c r="Z22" s="138">
        <f t="shared" si="10"/>
        <v>148822.59</v>
      </c>
      <c r="AA22" s="139">
        <f t="shared" si="19"/>
        <v>148822.59</v>
      </c>
      <c r="AB22" s="152">
        <f t="shared" si="11"/>
        <v>28487.394957983193</v>
      </c>
      <c r="AC22" s="125">
        <f t="shared" si="12"/>
        <v>5412.6050420168067</v>
      </c>
      <c r="AD22" s="153">
        <v>33900</v>
      </c>
      <c r="AE22" s="183">
        <f t="shared" si="13"/>
        <v>33900</v>
      </c>
      <c r="AF22" s="185">
        <f t="shared" si="20"/>
        <v>76503.686924759691</v>
      </c>
      <c r="AG22" s="154">
        <f t="shared" si="14"/>
        <v>91039.387440464023</v>
      </c>
      <c r="AH22" s="191">
        <f t="shared" si="15"/>
        <v>60249.519082876635</v>
      </c>
      <c r="AI22" s="150">
        <f t="shared" si="16"/>
        <v>71696.927708623203</v>
      </c>
    </row>
    <row r="23" spans="3:35" s="4" customFormat="1" ht="63.75">
      <c r="C23" s="2" t="s">
        <v>116</v>
      </c>
      <c r="D23" s="1" t="s">
        <v>143</v>
      </c>
      <c r="E23" s="15" t="s">
        <v>29</v>
      </c>
      <c r="F23" s="1" t="s">
        <v>4</v>
      </c>
      <c r="G23" s="38">
        <v>4</v>
      </c>
      <c r="H23" s="137">
        <v>478809</v>
      </c>
      <c r="I23" s="138">
        <f t="shared" si="2"/>
        <v>90973.71</v>
      </c>
      <c r="J23" s="138">
        <f t="shared" si="3"/>
        <v>569782.71</v>
      </c>
      <c r="K23" s="139">
        <f t="shared" si="4"/>
        <v>2279130.84</v>
      </c>
      <c r="L23" s="137">
        <v>352941.17647058825</v>
      </c>
      <c r="M23" s="138">
        <f t="shared" si="0"/>
        <v>67058.823529411762</v>
      </c>
      <c r="N23" s="138">
        <f t="shared" si="1"/>
        <v>420000</v>
      </c>
      <c r="O23" s="134">
        <f t="shared" si="21"/>
        <v>1680000</v>
      </c>
      <c r="P23" s="140">
        <v>439848</v>
      </c>
      <c r="Q23" s="138">
        <f t="shared" si="5"/>
        <v>83571.12</v>
      </c>
      <c r="R23" s="138">
        <f t="shared" si="6"/>
        <v>523419.12</v>
      </c>
      <c r="S23" s="141">
        <f t="shared" si="17"/>
        <v>2093676.48</v>
      </c>
      <c r="T23" s="138">
        <v>513616</v>
      </c>
      <c r="U23" s="138">
        <f t="shared" si="7"/>
        <v>97587.040000000008</v>
      </c>
      <c r="V23" s="138">
        <f t="shared" si="8"/>
        <v>611203.04</v>
      </c>
      <c r="W23" s="141">
        <f t="shared" si="18"/>
        <v>2444812.16</v>
      </c>
      <c r="X23" s="138">
        <v>411985</v>
      </c>
      <c r="Y23" s="138">
        <f t="shared" si="9"/>
        <v>78277.149999999994</v>
      </c>
      <c r="Z23" s="138">
        <f t="shared" si="10"/>
        <v>490262.15</v>
      </c>
      <c r="AA23" s="139">
        <f t="shared" si="19"/>
        <v>1961048.6</v>
      </c>
      <c r="AB23" s="152">
        <f t="shared" si="11"/>
        <v>336134.45378151262</v>
      </c>
      <c r="AC23" s="125">
        <f t="shared" si="12"/>
        <v>63865.546218487376</v>
      </c>
      <c r="AD23" s="153">
        <v>400000</v>
      </c>
      <c r="AE23" s="183">
        <f t="shared" si="13"/>
        <v>1600000</v>
      </c>
      <c r="AF23" s="185">
        <f t="shared" si="20"/>
        <v>417381.66992819833</v>
      </c>
      <c r="AG23" s="154">
        <f t="shared" si="14"/>
        <v>496684.18721455598</v>
      </c>
      <c r="AH23" s="191">
        <f t="shared" si="15"/>
        <v>412523.83457646589</v>
      </c>
      <c r="AI23" s="150">
        <f t="shared" si="16"/>
        <v>490903.36314599449</v>
      </c>
    </row>
    <row r="24" spans="3:35" s="4" customFormat="1" ht="25.5">
      <c r="C24" s="2" t="s">
        <v>117</v>
      </c>
      <c r="D24" s="1" t="s">
        <v>150</v>
      </c>
      <c r="E24" s="15" t="s">
        <v>30</v>
      </c>
      <c r="F24" s="1" t="s">
        <v>4</v>
      </c>
      <c r="G24" s="38">
        <v>10</v>
      </c>
      <c r="H24" s="137">
        <v>57776</v>
      </c>
      <c r="I24" s="138">
        <f t="shared" si="2"/>
        <v>10977.44</v>
      </c>
      <c r="J24" s="138">
        <f t="shared" si="3"/>
        <v>68753.440000000002</v>
      </c>
      <c r="K24" s="139">
        <f t="shared" si="4"/>
        <v>687534.4</v>
      </c>
      <c r="L24" s="137">
        <v>23823.529411764706</v>
      </c>
      <c r="M24" s="138">
        <f t="shared" si="0"/>
        <v>4526.4705882352946</v>
      </c>
      <c r="N24" s="138">
        <f t="shared" si="1"/>
        <v>28350</v>
      </c>
      <c r="O24" s="134">
        <f t="shared" si="21"/>
        <v>283500</v>
      </c>
      <c r="P24" s="140">
        <v>59049</v>
      </c>
      <c r="Q24" s="138">
        <f t="shared" si="5"/>
        <v>11219.31</v>
      </c>
      <c r="R24" s="138">
        <f t="shared" si="6"/>
        <v>70268.31</v>
      </c>
      <c r="S24" s="141">
        <f t="shared" si="17"/>
        <v>702683.1</v>
      </c>
      <c r="T24" s="138">
        <v>54705</v>
      </c>
      <c r="U24" s="138">
        <f t="shared" si="7"/>
        <v>10393.950000000001</v>
      </c>
      <c r="V24" s="138">
        <f t="shared" si="8"/>
        <v>65098.95</v>
      </c>
      <c r="W24" s="141">
        <f t="shared" si="18"/>
        <v>650989.5</v>
      </c>
      <c r="X24" s="138">
        <v>59340</v>
      </c>
      <c r="Y24" s="138">
        <f t="shared" si="9"/>
        <v>11274.6</v>
      </c>
      <c r="Z24" s="138">
        <f t="shared" si="10"/>
        <v>70614.600000000006</v>
      </c>
      <c r="AA24" s="139">
        <f t="shared" si="19"/>
        <v>706146</v>
      </c>
      <c r="AB24" s="152">
        <f t="shared" si="11"/>
        <v>21008.403361344539</v>
      </c>
      <c r="AC24" s="125">
        <f t="shared" si="12"/>
        <v>3991.596638655461</v>
      </c>
      <c r="AD24" s="153">
        <v>25000</v>
      </c>
      <c r="AE24" s="183">
        <f t="shared" si="13"/>
        <v>250000</v>
      </c>
      <c r="AF24" s="185">
        <f t="shared" si="20"/>
        <v>42068.36389590097</v>
      </c>
      <c r="AG24" s="154">
        <f t="shared" si="14"/>
        <v>50061.353036122156</v>
      </c>
      <c r="AH24" s="191">
        <f t="shared" si="15"/>
        <v>37747.59469678942</v>
      </c>
      <c r="AI24" s="150">
        <f t="shared" si="16"/>
        <v>44919.637689179413</v>
      </c>
    </row>
    <row r="25" spans="3:35" s="4" customFormat="1" ht="25.5">
      <c r="C25" s="2" t="s">
        <v>118</v>
      </c>
      <c r="D25" s="1" t="s">
        <v>151</v>
      </c>
      <c r="E25" s="15" t="s">
        <v>31</v>
      </c>
      <c r="F25" s="1" t="s">
        <v>4</v>
      </c>
      <c r="G25" s="38">
        <v>10</v>
      </c>
      <c r="H25" s="137">
        <v>74317</v>
      </c>
      <c r="I25" s="138">
        <f t="shared" si="2"/>
        <v>14120.23</v>
      </c>
      <c r="J25" s="138">
        <f t="shared" si="3"/>
        <v>88437.23</v>
      </c>
      <c r="K25" s="139">
        <f t="shared" si="4"/>
        <v>884372.29999999993</v>
      </c>
      <c r="L25" s="137">
        <v>74243.697478991598</v>
      </c>
      <c r="M25" s="138">
        <f t="shared" si="0"/>
        <v>14106.302521008403</v>
      </c>
      <c r="N25" s="138">
        <f t="shared" si="1"/>
        <v>88350</v>
      </c>
      <c r="O25" s="134">
        <f t="shared" si="21"/>
        <v>883500</v>
      </c>
      <c r="P25" s="140">
        <v>79790</v>
      </c>
      <c r="Q25" s="138">
        <f t="shared" si="5"/>
        <v>15160.1</v>
      </c>
      <c r="R25" s="138">
        <f t="shared" si="6"/>
        <v>94950.1</v>
      </c>
      <c r="S25" s="141">
        <f t="shared" si="17"/>
        <v>949501</v>
      </c>
      <c r="T25" s="138">
        <v>69427</v>
      </c>
      <c r="U25" s="138">
        <f t="shared" si="7"/>
        <v>13191.130000000001</v>
      </c>
      <c r="V25" s="138">
        <f t="shared" si="8"/>
        <v>82618.13</v>
      </c>
      <c r="W25" s="141">
        <f t="shared" si="18"/>
        <v>826181.3</v>
      </c>
      <c r="X25" s="138">
        <v>74173</v>
      </c>
      <c r="Y25" s="138">
        <f t="shared" si="9"/>
        <v>14092.87</v>
      </c>
      <c r="Z25" s="138">
        <f t="shared" si="10"/>
        <v>88265.87</v>
      </c>
      <c r="AA25" s="139">
        <f t="shared" si="19"/>
        <v>882658.7</v>
      </c>
      <c r="AB25" s="152">
        <f t="shared" si="11"/>
        <v>26890.756302521011</v>
      </c>
      <c r="AC25" s="125">
        <f t="shared" si="12"/>
        <v>5109.2436974789889</v>
      </c>
      <c r="AD25" s="153">
        <v>32000</v>
      </c>
      <c r="AE25" s="183">
        <f t="shared" si="13"/>
        <v>320000</v>
      </c>
      <c r="AF25" s="185">
        <f t="shared" si="20"/>
        <v>62735.338854290414</v>
      </c>
      <c r="AG25" s="154">
        <f t="shared" si="14"/>
        <v>74655.053236605585</v>
      </c>
      <c r="AH25" s="191">
        <f t="shared" si="15"/>
        <v>57399.218410104979</v>
      </c>
      <c r="AI25" s="150">
        <f t="shared" si="16"/>
        <v>68305.069908024918</v>
      </c>
    </row>
    <row r="26" spans="3:35" s="4" customFormat="1" ht="25.5">
      <c r="C26" s="2" t="s">
        <v>119</v>
      </c>
      <c r="D26" s="1" t="s">
        <v>152</v>
      </c>
      <c r="E26" s="15" t="s">
        <v>32</v>
      </c>
      <c r="F26" s="1" t="s">
        <v>4</v>
      </c>
      <c r="G26" s="38">
        <v>10</v>
      </c>
      <c r="H26" s="137">
        <v>141837</v>
      </c>
      <c r="I26" s="138">
        <f t="shared" si="2"/>
        <v>26949.03</v>
      </c>
      <c r="J26" s="138">
        <f t="shared" si="3"/>
        <v>168786.03</v>
      </c>
      <c r="K26" s="139">
        <f t="shared" si="4"/>
        <v>1687860.3</v>
      </c>
      <c r="L26" s="137">
        <v>190210.08403361347</v>
      </c>
      <c r="M26" s="138">
        <f t="shared" si="0"/>
        <v>36139.915966386558</v>
      </c>
      <c r="N26" s="138">
        <f t="shared" si="1"/>
        <v>226350.00000000003</v>
      </c>
      <c r="O26" s="134">
        <f t="shared" si="21"/>
        <v>2263500.0000000005</v>
      </c>
      <c r="P26" s="140">
        <v>141240</v>
      </c>
      <c r="Q26" s="138">
        <f t="shared" si="5"/>
        <v>26835.599999999999</v>
      </c>
      <c r="R26" s="138">
        <f t="shared" si="6"/>
        <v>168075.6</v>
      </c>
      <c r="S26" s="141">
        <f t="shared" si="17"/>
        <v>1680756</v>
      </c>
      <c r="T26" s="138">
        <v>144494</v>
      </c>
      <c r="U26" s="138">
        <f t="shared" si="7"/>
        <v>27453.86</v>
      </c>
      <c r="V26" s="138">
        <f t="shared" si="8"/>
        <v>171947.86</v>
      </c>
      <c r="W26" s="141">
        <f t="shared" si="18"/>
        <v>1719478.5999999999</v>
      </c>
      <c r="X26" s="138">
        <v>144649</v>
      </c>
      <c r="Y26" s="138">
        <f t="shared" si="9"/>
        <v>27483.31</v>
      </c>
      <c r="Z26" s="138">
        <f t="shared" si="10"/>
        <v>172132.31</v>
      </c>
      <c r="AA26" s="139">
        <f t="shared" si="19"/>
        <v>1721323.1</v>
      </c>
      <c r="AB26" s="152">
        <f t="shared" si="11"/>
        <v>58823.529411764706</v>
      </c>
      <c r="AC26" s="125">
        <f t="shared" si="12"/>
        <v>11176.470588235294</v>
      </c>
      <c r="AD26" s="153">
        <v>70000</v>
      </c>
      <c r="AE26" s="183">
        <f t="shared" si="13"/>
        <v>700000</v>
      </c>
      <c r="AF26" s="185">
        <f t="shared" si="20"/>
        <v>129354.89026104758</v>
      </c>
      <c r="AG26" s="154">
        <f t="shared" si="14"/>
        <v>153932.3194106466</v>
      </c>
      <c r="AH26" s="191">
        <f t="shared" si="15"/>
        <v>119469.96469924289</v>
      </c>
      <c r="AI26" s="150">
        <f t="shared" si="16"/>
        <v>142169.25799209904</v>
      </c>
    </row>
    <row r="27" spans="3:35" s="4" customFormat="1" ht="63.75">
      <c r="C27" s="2" t="s">
        <v>120</v>
      </c>
      <c r="D27" s="1" t="s">
        <v>153</v>
      </c>
      <c r="E27" s="15" t="s">
        <v>33</v>
      </c>
      <c r="F27" s="1" t="s">
        <v>4</v>
      </c>
      <c r="G27" s="38">
        <v>3</v>
      </c>
      <c r="H27" s="137">
        <v>236591</v>
      </c>
      <c r="I27" s="138">
        <f t="shared" si="2"/>
        <v>44952.29</v>
      </c>
      <c r="J27" s="138">
        <f t="shared" si="3"/>
        <v>281543.28999999998</v>
      </c>
      <c r="K27" s="139">
        <f t="shared" si="4"/>
        <v>844629.86999999988</v>
      </c>
      <c r="L27" s="137">
        <v>121069.5</v>
      </c>
      <c r="M27" s="138">
        <f t="shared" si="0"/>
        <v>23003.205000000002</v>
      </c>
      <c r="N27" s="138">
        <f t="shared" si="1"/>
        <v>144072.70500000002</v>
      </c>
      <c r="O27" s="134">
        <f t="shared" si="21"/>
        <v>432218.11500000005</v>
      </c>
      <c r="P27" s="140">
        <v>230254</v>
      </c>
      <c r="Q27" s="138">
        <f t="shared" si="5"/>
        <v>43748.26</v>
      </c>
      <c r="R27" s="138">
        <f t="shared" si="6"/>
        <v>274002.26</v>
      </c>
      <c r="S27" s="141">
        <f t="shared" si="17"/>
        <v>822006.78</v>
      </c>
      <c r="T27" s="138">
        <v>227774</v>
      </c>
      <c r="U27" s="138">
        <f t="shared" si="7"/>
        <v>43277.06</v>
      </c>
      <c r="V27" s="138">
        <f t="shared" si="8"/>
        <v>271051.06</v>
      </c>
      <c r="W27" s="141">
        <f t="shared" si="18"/>
        <v>813153.17999999993</v>
      </c>
      <c r="X27" s="138">
        <v>238206</v>
      </c>
      <c r="Y27" s="138">
        <f t="shared" si="9"/>
        <v>45259.14</v>
      </c>
      <c r="Z27" s="138">
        <f t="shared" si="10"/>
        <v>283465.14</v>
      </c>
      <c r="AA27" s="139">
        <f t="shared" si="19"/>
        <v>850395.42</v>
      </c>
      <c r="AB27" s="152">
        <f t="shared" si="11"/>
        <v>263025.21008403361</v>
      </c>
      <c r="AC27" s="125">
        <f t="shared" si="12"/>
        <v>49974.789915966394</v>
      </c>
      <c r="AD27" s="153">
        <v>313000</v>
      </c>
      <c r="AE27" s="183">
        <f t="shared" si="13"/>
        <v>939000</v>
      </c>
      <c r="AF27" s="185">
        <f t="shared" si="20"/>
        <v>213279.47461591178</v>
      </c>
      <c r="AG27" s="154">
        <f t="shared" si="14"/>
        <v>253802.57479293499</v>
      </c>
      <c r="AH27" s="191">
        <f t="shared" si="15"/>
        <v>205340.68781948177</v>
      </c>
      <c r="AI27" s="150">
        <f t="shared" si="16"/>
        <v>244355.41850518333</v>
      </c>
    </row>
    <row r="28" spans="3:35" s="4" customFormat="1" ht="76.5">
      <c r="C28" s="2" t="s">
        <v>121</v>
      </c>
      <c r="D28" s="1" t="s">
        <v>144</v>
      </c>
      <c r="E28" s="15" t="s">
        <v>34</v>
      </c>
      <c r="F28" s="1" t="s">
        <v>4</v>
      </c>
      <c r="G28" s="38">
        <v>3</v>
      </c>
      <c r="H28" s="137">
        <v>883419</v>
      </c>
      <c r="I28" s="138">
        <f t="shared" si="2"/>
        <v>167849.61000000002</v>
      </c>
      <c r="J28" s="138">
        <f t="shared" si="3"/>
        <v>1051268.6100000001</v>
      </c>
      <c r="K28" s="139">
        <f t="shared" si="4"/>
        <v>3153805.83</v>
      </c>
      <c r="L28" s="137">
        <v>491470.5882352941</v>
      </c>
      <c r="M28" s="138">
        <f t="shared" si="0"/>
        <v>93379.411764705874</v>
      </c>
      <c r="N28" s="138">
        <f t="shared" si="1"/>
        <v>584850</v>
      </c>
      <c r="O28" s="134">
        <f t="shared" si="21"/>
        <v>1754550</v>
      </c>
      <c r="P28" s="140">
        <v>867319</v>
      </c>
      <c r="Q28" s="138">
        <f t="shared" si="5"/>
        <v>164790.61000000002</v>
      </c>
      <c r="R28" s="138">
        <f t="shared" si="6"/>
        <v>1032109.61</v>
      </c>
      <c r="S28" s="141">
        <f t="shared" si="17"/>
        <v>3096328.83</v>
      </c>
      <c r="T28" s="138">
        <v>919659</v>
      </c>
      <c r="U28" s="138">
        <f t="shared" si="7"/>
        <v>174735.21</v>
      </c>
      <c r="V28" s="138">
        <f t="shared" si="8"/>
        <v>1094394.21</v>
      </c>
      <c r="W28" s="141">
        <f t="shared" si="18"/>
        <v>3283182.63</v>
      </c>
      <c r="X28" s="138">
        <v>783812</v>
      </c>
      <c r="Y28" s="138">
        <f t="shared" si="9"/>
        <v>148924.28</v>
      </c>
      <c r="Z28" s="138">
        <f t="shared" si="10"/>
        <v>932736.28</v>
      </c>
      <c r="AA28" s="139">
        <f t="shared" si="19"/>
        <v>2798208.84</v>
      </c>
      <c r="AB28" s="152">
        <f t="shared" si="11"/>
        <v>327647.0588235294</v>
      </c>
      <c r="AC28" s="125">
        <f t="shared" si="12"/>
        <v>62252.941176470602</v>
      </c>
      <c r="AD28" s="153">
        <v>389900</v>
      </c>
      <c r="AE28" s="183">
        <f t="shared" si="13"/>
        <v>1169700</v>
      </c>
      <c r="AF28" s="185">
        <f t="shared" si="20"/>
        <v>668110.07773505757</v>
      </c>
      <c r="AG28" s="154">
        <f t="shared" si="14"/>
        <v>795050.9925047186</v>
      </c>
      <c r="AH28" s="191">
        <f t="shared" si="15"/>
        <v>616339.52516609745</v>
      </c>
      <c r="AI28" s="150">
        <f t="shared" si="16"/>
        <v>733444.03494765598</v>
      </c>
    </row>
    <row r="29" spans="3:35" s="4" customFormat="1" ht="63.75">
      <c r="C29" s="2" t="s">
        <v>122</v>
      </c>
      <c r="D29" s="1" t="s">
        <v>154</v>
      </c>
      <c r="E29" s="15" t="s">
        <v>35</v>
      </c>
      <c r="F29" s="1" t="s">
        <v>4</v>
      </c>
      <c r="G29" s="38">
        <v>2</v>
      </c>
      <c r="H29" s="137">
        <v>347279</v>
      </c>
      <c r="I29" s="138">
        <f t="shared" si="2"/>
        <v>65983.009999999995</v>
      </c>
      <c r="J29" s="138">
        <f t="shared" si="3"/>
        <v>413262.01</v>
      </c>
      <c r="K29" s="139">
        <f t="shared" si="4"/>
        <v>826524.02</v>
      </c>
      <c r="L29" s="137">
        <v>197394.95798319328</v>
      </c>
      <c r="M29" s="138">
        <f t="shared" si="0"/>
        <v>37505.042016806721</v>
      </c>
      <c r="N29" s="138">
        <f t="shared" si="1"/>
        <v>234900</v>
      </c>
      <c r="O29" s="134">
        <f t="shared" si="21"/>
        <v>469800</v>
      </c>
      <c r="P29" s="140">
        <v>328829</v>
      </c>
      <c r="Q29" s="138">
        <f t="shared" si="5"/>
        <v>62477.51</v>
      </c>
      <c r="R29" s="138">
        <f t="shared" si="6"/>
        <v>391306.51</v>
      </c>
      <c r="S29" s="141">
        <f t="shared" si="17"/>
        <v>782613.02</v>
      </c>
      <c r="T29" s="138">
        <v>355883</v>
      </c>
      <c r="U29" s="138">
        <f t="shared" si="7"/>
        <v>67617.77</v>
      </c>
      <c r="V29" s="138">
        <f t="shared" si="8"/>
        <v>423500.77</v>
      </c>
      <c r="W29" s="141">
        <f t="shared" si="18"/>
        <v>847001.54</v>
      </c>
      <c r="X29" s="138">
        <v>356295</v>
      </c>
      <c r="Y29" s="138">
        <f t="shared" si="9"/>
        <v>67696.05</v>
      </c>
      <c r="Z29" s="138">
        <f t="shared" si="10"/>
        <v>423991.05</v>
      </c>
      <c r="AA29" s="139">
        <f t="shared" si="19"/>
        <v>847982.1</v>
      </c>
      <c r="AB29" s="152">
        <f t="shared" si="11"/>
        <v>210084.03361344538</v>
      </c>
      <c r="AC29" s="125">
        <f t="shared" si="12"/>
        <v>39915.966386554617</v>
      </c>
      <c r="AD29" s="153">
        <v>250000</v>
      </c>
      <c r="AE29" s="183">
        <f t="shared" si="13"/>
        <v>500000</v>
      </c>
      <c r="AF29" s="185">
        <f t="shared" si="20"/>
        <v>290457.40383261757</v>
      </c>
      <c r="AG29" s="154">
        <f t="shared" si="14"/>
        <v>345644.31056081486</v>
      </c>
      <c r="AH29" s="191">
        <f t="shared" si="15"/>
        <v>280857.00771218655</v>
      </c>
      <c r="AI29" s="150">
        <f t="shared" si="16"/>
        <v>334219.83917750203</v>
      </c>
    </row>
    <row r="30" spans="3:35" s="4" customFormat="1" ht="76.5">
      <c r="C30" s="2" t="s">
        <v>123</v>
      </c>
      <c r="D30" s="1" t="s">
        <v>155</v>
      </c>
      <c r="E30" s="15" t="s">
        <v>67</v>
      </c>
      <c r="F30" s="1" t="s">
        <v>4</v>
      </c>
      <c r="G30" s="38">
        <v>2</v>
      </c>
      <c r="H30" s="137">
        <v>185103</v>
      </c>
      <c r="I30" s="138">
        <f t="shared" si="2"/>
        <v>35169.57</v>
      </c>
      <c r="J30" s="138">
        <f t="shared" si="3"/>
        <v>220272.57</v>
      </c>
      <c r="K30" s="139">
        <f t="shared" si="4"/>
        <v>440545.14</v>
      </c>
      <c r="L30" s="137">
        <v>390630.25210084039</v>
      </c>
      <c r="M30" s="138">
        <f t="shared" si="0"/>
        <v>74219.747899159673</v>
      </c>
      <c r="N30" s="138">
        <f t="shared" si="1"/>
        <v>464850.00000000006</v>
      </c>
      <c r="O30" s="134">
        <f t="shared" si="21"/>
        <v>929700.00000000012</v>
      </c>
      <c r="P30" s="140">
        <v>174719</v>
      </c>
      <c r="Q30" s="138">
        <f t="shared" si="5"/>
        <v>33196.61</v>
      </c>
      <c r="R30" s="138">
        <f t="shared" si="6"/>
        <v>207915.61</v>
      </c>
      <c r="S30" s="141">
        <f t="shared" si="17"/>
        <v>415831.22</v>
      </c>
      <c r="T30" s="138">
        <v>190169</v>
      </c>
      <c r="U30" s="138">
        <f t="shared" si="7"/>
        <v>36132.11</v>
      </c>
      <c r="V30" s="138">
        <f t="shared" si="8"/>
        <v>226301.11</v>
      </c>
      <c r="W30" s="141">
        <f t="shared" si="18"/>
        <v>452602.22</v>
      </c>
      <c r="X30" s="138">
        <v>174464</v>
      </c>
      <c r="Y30" s="138">
        <f t="shared" si="9"/>
        <v>33148.160000000003</v>
      </c>
      <c r="Z30" s="138">
        <f t="shared" si="10"/>
        <v>207612.16</v>
      </c>
      <c r="AA30" s="139">
        <f t="shared" si="19"/>
        <v>415224.32000000001</v>
      </c>
      <c r="AB30" s="152">
        <f t="shared" si="11"/>
        <v>151260.50420168068</v>
      </c>
      <c r="AC30" s="125">
        <f t="shared" si="12"/>
        <v>28739.495798319316</v>
      </c>
      <c r="AD30" s="153">
        <v>180000</v>
      </c>
      <c r="AE30" s="183">
        <f t="shared" si="13"/>
        <v>360000</v>
      </c>
      <c r="AF30" s="185">
        <f t="shared" si="20"/>
        <v>199686.37194340359</v>
      </c>
      <c r="AG30" s="154">
        <f t="shared" si="14"/>
        <v>237626.78261265025</v>
      </c>
      <c r="AH30" s="191">
        <f t="shared" si="15"/>
        <v>191771.2711981601</v>
      </c>
      <c r="AI30" s="150">
        <f t="shared" si="16"/>
        <v>228207.81272581057</v>
      </c>
    </row>
    <row r="31" spans="3:35" s="4" customFormat="1" ht="38.25">
      <c r="C31" s="2" t="s">
        <v>124</v>
      </c>
      <c r="D31" s="1" t="s">
        <v>156</v>
      </c>
      <c r="E31" s="15" t="s">
        <v>65</v>
      </c>
      <c r="F31" s="1" t="s">
        <v>4</v>
      </c>
      <c r="G31" s="38">
        <v>2</v>
      </c>
      <c r="H31" s="137">
        <v>47853</v>
      </c>
      <c r="I31" s="138">
        <f t="shared" si="2"/>
        <v>9092.07</v>
      </c>
      <c r="J31" s="138">
        <f t="shared" si="3"/>
        <v>56945.07</v>
      </c>
      <c r="K31" s="139">
        <f t="shared" si="4"/>
        <v>113890.14</v>
      </c>
      <c r="L31" s="137">
        <v>27731.092436974788</v>
      </c>
      <c r="M31" s="138">
        <f t="shared" si="0"/>
        <v>5268.90756302521</v>
      </c>
      <c r="N31" s="138">
        <f t="shared" si="1"/>
        <v>33000</v>
      </c>
      <c r="O31" s="134">
        <f t="shared" si="21"/>
        <v>66000</v>
      </c>
      <c r="P31" s="140">
        <v>46994</v>
      </c>
      <c r="Q31" s="138">
        <f t="shared" si="5"/>
        <v>8928.86</v>
      </c>
      <c r="R31" s="138">
        <f t="shared" si="6"/>
        <v>55922.86</v>
      </c>
      <c r="S31" s="141">
        <f t="shared" si="17"/>
        <v>111845.72</v>
      </c>
      <c r="T31" s="138">
        <v>51289</v>
      </c>
      <c r="U31" s="138">
        <f t="shared" si="7"/>
        <v>9744.91</v>
      </c>
      <c r="V31" s="138">
        <f t="shared" si="8"/>
        <v>61033.91</v>
      </c>
      <c r="W31" s="141">
        <f t="shared" si="18"/>
        <v>122067.82</v>
      </c>
      <c r="X31" s="138">
        <v>47353</v>
      </c>
      <c r="Y31" s="138">
        <f t="shared" si="9"/>
        <v>8997.07</v>
      </c>
      <c r="Z31" s="138">
        <f t="shared" si="10"/>
        <v>56350.07</v>
      </c>
      <c r="AA31" s="139">
        <f t="shared" si="19"/>
        <v>112700.14</v>
      </c>
      <c r="AB31" s="152">
        <f t="shared" si="11"/>
        <v>20168.067226890758</v>
      </c>
      <c r="AC31" s="125">
        <f t="shared" si="12"/>
        <v>3831.9327731092417</v>
      </c>
      <c r="AD31" s="153">
        <v>24000</v>
      </c>
      <c r="AE31" s="183">
        <f t="shared" si="13"/>
        <v>48000</v>
      </c>
      <c r="AF31" s="185">
        <f t="shared" si="20"/>
        <v>38091.297115456931</v>
      </c>
      <c r="AG31" s="154">
        <f t="shared" si="14"/>
        <v>45328.643567393752</v>
      </c>
      <c r="AH31" s="191">
        <f t="shared" si="15"/>
        <v>35621.853925404983</v>
      </c>
      <c r="AI31" s="150">
        <f t="shared" si="16"/>
        <v>42390.006171231929</v>
      </c>
    </row>
    <row r="32" spans="3:35" s="4" customFormat="1" ht="51">
      <c r="C32" s="2" t="s">
        <v>125</v>
      </c>
      <c r="D32" s="1" t="s">
        <v>157</v>
      </c>
      <c r="E32" s="15" t="s">
        <v>66</v>
      </c>
      <c r="F32" s="1" t="s">
        <v>4</v>
      </c>
      <c r="G32" s="38">
        <v>2</v>
      </c>
      <c r="H32" s="137">
        <v>53834</v>
      </c>
      <c r="I32" s="138">
        <f t="shared" si="2"/>
        <v>10228.460000000001</v>
      </c>
      <c r="J32" s="138">
        <f t="shared" si="3"/>
        <v>64062.46</v>
      </c>
      <c r="K32" s="139">
        <f t="shared" si="4"/>
        <v>128124.92</v>
      </c>
      <c r="L32" s="137">
        <v>34033.613445378149</v>
      </c>
      <c r="M32" s="138">
        <f t="shared" si="0"/>
        <v>6466.3865546218485</v>
      </c>
      <c r="N32" s="138">
        <f t="shared" si="1"/>
        <v>40500</v>
      </c>
      <c r="O32" s="134">
        <f t="shared" si="21"/>
        <v>81000</v>
      </c>
      <c r="P32" s="140">
        <v>54009</v>
      </c>
      <c r="Q32" s="138">
        <f t="shared" si="5"/>
        <v>10261.710000000001</v>
      </c>
      <c r="R32" s="138">
        <f t="shared" si="6"/>
        <v>64270.71</v>
      </c>
      <c r="S32" s="141">
        <f t="shared" si="17"/>
        <v>128541.42</v>
      </c>
      <c r="T32" s="138">
        <v>54067</v>
      </c>
      <c r="U32" s="138">
        <f t="shared" si="7"/>
        <v>10272.73</v>
      </c>
      <c r="V32" s="138">
        <f t="shared" si="8"/>
        <v>64339.729999999996</v>
      </c>
      <c r="W32" s="141">
        <f t="shared" si="18"/>
        <v>128679.45999999999</v>
      </c>
      <c r="X32" s="138">
        <v>55528</v>
      </c>
      <c r="Y32" s="138">
        <f t="shared" si="9"/>
        <v>10550.32</v>
      </c>
      <c r="Z32" s="138">
        <f t="shared" si="10"/>
        <v>66078.320000000007</v>
      </c>
      <c r="AA32" s="139">
        <f t="shared" si="19"/>
        <v>132156.64000000001</v>
      </c>
      <c r="AB32" s="152">
        <f t="shared" si="11"/>
        <v>22689.0756302521</v>
      </c>
      <c r="AC32" s="125">
        <f t="shared" si="12"/>
        <v>4310.9243697478996</v>
      </c>
      <c r="AD32" s="153">
        <v>27000</v>
      </c>
      <c r="AE32" s="183">
        <f t="shared" si="13"/>
        <v>54000</v>
      </c>
      <c r="AF32" s="185">
        <f t="shared" si="20"/>
        <v>43462.562262162821</v>
      </c>
      <c r="AG32" s="154">
        <f t="shared" si="14"/>
        <v>51720.449091973758</v>
      </c>
      <c r="AH32" s="191">
        <f t="shared" si="15"/>
        <v>40801.796973940975</v>
      </c>
      <c r="AI32" s="150">
        <f t="shared" si="16"/>
        <v>48554.138398989766</v>
      </c>
    </row>
    <row r="33" spans="3:35" s="4" customFormat="1" ht="76.5">
      <c r="C33" s="2" t="s">
        <v>126</v>
      </c>
      <c r="D33" s="1" t="s">
        <v>158</v>
      </c>
      <c r="E33" s="15" t="s">
        <v>58</v>
      </c>
      <c r="F33" s="1" t="s">
        <v>4</v>
      </c>
      <c r="G33" s="38">
        <v>2</v>
      </c>
      <c r="H33" s="137">
        <v>240343</v>
      </c>
      <c r="I33" s="138">
        <f t="shared" si="2"/>
        <v>45665.17</v>
      </c>
      <c r="J33" s="138">
        <f t="shared" si="3"/>
        <v>286008.17</v>
      </c>
      <c r="K33" s="139">
        <f t="shared" si="4"/>
        <v>572016.34</v>
      </c>
      <c r="L33" s="137">
        <v>106764.70588235295</v>
      </c>
      <c r="M33" s="138">
        <f t="shared" si="0"/>
        <v>20285.294117647059</v>
      </c>
      <c r="N33" s="138">
        <f t="shared" si="1"/>
        <v>127050.00000000001</v>
      </c>
      <c r="O33" s="134">
        <f t="shared" si="21"/>
        <v>254100.00000000003</v>
      </c>
      <c r="P33" s="140">
        <v>231881</v>
      </c>
      <c r="Q33" s="138">
        <f t="shared" si="5"/>
        <v>44057.39</v>
      </c>
      <c r="R33" s="138">
        <f t="shared" si="6"/>
        <v>275938.39</v>
      </c>
      <c r="S33" s="141">
        <f t="shared" si="17"/>
        <v>551876.78</v>
      </c>
      <c r="T33" s="138">
        <v>253976</v>
      </c>
      <c r="U33" s="138">
        <f t="shared" si="7"/>
        <v>48255.44</v>
      </c>
      <c r="V33" s="138">
        <f t="shared" si="8"/>
        <v>302231.44</v>
      </c>
      <c r="W33" s="141">
        <f t="shared" si="18"/>
        <v>604462.88</v>
      </c>
      <c r="X33" s="138">
        <v>248644</v>
      </c>
      <c r="Y33" s="138">
        <f t="shared" si="9"/>
        <v>47242.36</v>
      </c>
      <c r="Z33" s="138">
        <f t="shared" si="10"/>
        <v>295886.36</v>
      </c>
      <c r="AA33" s="139">
        <f t="shared" si="19"/>
        <v>591772.72</v>
      </c>
      <c r="AB33" s="152">
        <f t="shared" si="11"/>
        <v>126050.42016806723</v>
      </c>
      <c r="AC33" s="125">
        <f t="shared" si="12"/>
        <v>23949.579831932773</v>
      </c>
      <c r="AD33" s="153">
        <v>150000</v>
      </c>
      <c r="AE33" s="183">
        <f t="shared" si="13"/>
        <v>300000</v>
      </c>
      <c r="AF33" s="185">
        <f t="shared" si="20"/>
        <v>190212.86418846296</v>
      </c>
      <c r="AG33" s="154">
        <f t="shared" si="14"/>
        <v>226353.3083842709</v>
      </c>
      <c r="AH33" s="191">
        <f t="shared" si="15"/>
        <v>177871.61006180223</v>
      </c>
      <c r="AI33" s="150">
        <f t="shared" si="16"/>
        <v>211667.21597354463</v>
      </c>
    </row>
    <row r="34" spans="3:35" s="4" customFormat="1" ht="51">
      <c r="C34" s="2" t="s">
        <v>127</v>
      </c>
      <c r="D34" s="1" t="s">
        <v>159</v>
      </c>
      <c r="E34" s="15" t="s">
        <v>36</v>
      </c>
      <c r="F34" s="1" t="s">
        <v>4</v>
      </c>
      <c r="G34" s="38">
        <v>2</v>
      </c>
      <c r="H34" s="137">
        <v>275344</v>
      </c>
      <c r="I34" s="138">
        <f t="shared" si="2"/>
        <v>52315.360000000001</v>
      </c>
      <c r="J34" s="138">
        <f t="shared" si="3"/>
        <v>327659.36</v>
      </c>
      <c r="K34" s="139">
        <f t="shared" si="4"/>
        <v>655318.72</v>
      </c>
      <c r="L34" s="137">
        <v>180124.78991596639</v>
      </c>
      <c r="M34" s="138">
        <f t="shared" si="0"/>
        <v>34223.710084033613</v>
      </c>
      <c r="N34" s="138">
        <f t="shared" si="1"/>
        <v>214348.5</v>
      </c>
      <c r="O34" s="134">
        <f t="shared" si="21"/>
        <v>428697</v>
      </c>
      <c r="P34" s="140">
        <v>273567</v>
      </c>
      <c r="Q34" s="138">
        <f t="shared" si="5"/>
        <v>51977.73</v>
      </c>
      <c r="R34" s="138">
        <f t="shared" si="6"/>
        <v>325544.73</v>
      </c>
      <c r="S34" s="141">
        <f t="shared" si="17"/>
        <v>651089.46</v>
      </c>
      <c r="T34" s="138">
        <v>284707</v>
      </c>
      <c r="U34" s="138">
        <f t="shared" si="7"/>
        <v>54094.33</v>
      </c>
      <c r="V34" s="138">
        <f t="shared" si="8"/>
        <v>338801.33</v>
      </c>
      <c r="W34" s="141">
        <f t="shared" si="18"/>
        <v>677602.66</v>
      </c>
      <c r="X34" s="138">
        <v>279736</v>
      </c>
      <c r="Y34" s="138">
        <f t="shared" si="9"/>
        <v>53149.840000000004</v>
      </c>
      <c r="Z34" s="138">
        <f t="shared" si="10"/>
        <v>332885.84000000003</v>
      </c>
      <c r="AA34" s="139">
        <f t="shared" si="19"/>
        <v>665771.68000000005</v>
      </c>
      <c r="AB34" s="152">
        <f t="shared" si="11"/>
        <v>134453.78151260506</v>
      </c>
      <c r="AC34" s="125">
        <f t="shared" si="12"/>
        <v>25546.218487394945</v>
      </c>
      <c r="AD34" s="153">
        <v>160000</v>
      </c>
      <c r="AE34" s="183">
        <f t="shared" si="13"/>
        <v>320000</v>
      </c>
      <c r="AF34" s="185">
        <f t="shared" si="20"/>
        <v>229283.10613878642</v>
      </c>
      <c r="AG34" s="154">
        <f t="shared" si="14"/>
        <v>272846.89630515582</v>
      </c>
      <c r="AH34" s="191">
        <f t="shared" si="15"/>
        <v>219269.22691310759</v>
      </c>
      <c r="AI34" s="150">
        <f t="shared" si="16"/>
        <v>260930.38002659808</v>
      </c>
    </row>
    <row r="35" spans="3:35" s="4" customFormat="1" ht="63.75">
      <c r="C35" s="2" t="s">
        <v>128</v>
      </c>
      <c r="D35" s="1" t="s">
        <v>159</v>
      </c>
      <c r="E35" s="15" t="s">
        <v>37</v>
      </c>
      <c r="F35" s="1" t="s">
        <v>4</v>
      </c>
      <c r="G35" s="38">
        <v>2</v>
      </c>
      <c r="H35" s="137">
        <v>929711</v>
      </c>
      <c r="I35" s="138">
        <f t="shared" si="2"/>
        <v>176645.09</v>
      </c>
      <c r="J35" s="138">
        <f t="shared" si="3"/>
        <v>1106356.0900000001</v>
      </c>
      <c r="K35" s="139">
        <f t="shared" si="4"/>
        <v>2212712.1800000002</v>
      </c>
      <c r="L35" s="137">
        <v>756176.4705882353</v>
      </c>
      <c r="M35" s="138">
        <f t="shared" si="0"/>
        <v>143673.5294117647</v>
      </c>
      <c r="N35" s="138">
        <f t="shared" si="1"/>
        <v>899850</v>
      </c>
      <c r="O35" s="134">
        <f t="shared" si="21"/>
        <v>1799700</v>
      </c>
      <c r="P35" s="140">
        <v>894678</v>
      </c>
      <c r="Q35" s="138">
        <f t="shared" si="5"/>
        <v>169988.82</v>
      </c>
      <c r="R35" s="138">
        <f t="shared" si="6"/>
        <v>1064666.82</v>
      </c>
      <c r="S35" s="141">
        <f t="shared" si="17"/>
        <v>2129333.64</v>
      </c>
      <c r="T35" s="138">
        <v>949448</v>
      </c>
      <c r="U35" s="138">
        <f t="shared" si="7"/>
        <v>180395.12</v>
      </c>
      <c r="V35" s="138">
        <f t="shared" si="8"/>
        <v>1129843.1200000001</v>
      </c>
      <c r="W35" s="141">
        <f t="shared" si="18"/>
        <v>2259686.2400000002</v>
      </c>
      <c r="X35" s="138">
        <v>872449</v>
      </c>
      <c r="Y35" s="138">
        <f t="shared" si="9"/>
        <v>165765.31</v>
      </c>
      <c r="Z35" s="138">
        <f t="shared" si="10"/>
        <v>1038214.31</v>
      </c>
      <c r="AA35" s="139">
        <f t="shared" si="19"/>
        <v>2076428.62</v>
      </c>
      <c r="AB35" s="152">
        <f t="shared" si="11"/>
        <v>504201.68067226891</v>
      </c>
      <c r="AC35" s="125">
        <f t="shared" si="12"/>
        <v>95798.319327731093</v>
      </c>
      <c r="AD35" s="153">
        <v>600000</v>
      </c>
      <c r="AE35" s="183">
        <f t="shared" si="13"/>
        <v>1200000</v>
      </c>
      <c r="AF35" s="185">
        <f t="shared" si="20"/>
        <v>800280.50018112303</v>
      </c>
      <c r="AG35" s="154">
        <f t="shared" si="14"/>
        <v>952333.79521553637</v>
      </c>
      <c r="AH35" s="191">
        <f t="shared" si="15"/>
        <v>779368.35673981649</v>
      </c>
      <c r="AI35" s="150">
        <f t="shared" si="16"/>
        <v>927448.344520382</v>
      </c>
    </row>
    <row r="36" spans="3:35" s="4" customFormat="1" ht="51">
      <c r="C36" s="2" t="s">
        <v>129</v>
      </c>
      <c r="D36" s="1" t="s">
        <v>160</v>
      </c>
      <c r="E36" s="15" t="s">
        <v>38</v>
      </c>
      <c r="F36" s="1" t="s">
        <v>4</v>
      </c>
      <c r="G36" s="38">
        <v>2</v>
      </c>
      <c r="H36" s="137">
        <v>133036</v>
      </c>
      <c r="I36" s="138">
        <f t="shared" si="2"/>
        <v>25276.84</v>
      </c>
      <c r="J36" s="138">
        <f t="shared" si="3"/>
        <v>158312.84</v>
      </c>
      <c r="K36" s="139">
        <f t="shared" si="4"/>
        <v>316625.68</v>
      </c>
      <c r="L36" s="137">
        <v>88107.983193277323</v>
      </c>
      <c r="M36" s="138">
        <f t="shared" si="0"/>
        <v>16740.516806722691</v>
      </c>
      <c r="N36" s="138">
        <f t="shared" si="1"/>
        <v>104848.50000000001</v>
      </c>
      <c r="O36" s="134">
        <f t="shared" si="21"/>
        <v>209697.00000000003</v>
      </c>
      <c r="P36" s="140">
        <v>132021</v>
      </c>
      <c r="Q36" s="138">
        <f t="shared" si="5"/>
        <v>25083.99</v>
      </c>
      <c r="R36" s="138">
        <f t="shared" si="6"/>
        <v>157104.99</v>
      </c>
      <c r="S36" s="141">
        <f t="shared" si="17"/>
        <v>314209.98</v>
      </c>
      <c r="T36" s="138">
        <v>135509</v>
      </c>
      <c r="U36" s="138">
        <f t="shared" si="7"/>
        <v>25746.71</v>
      </c>
      <c r="V36" s="138">
        <f t="shared" si="8"/>
        <v>161255.71</v>
      </c>
      <c r="W36" s="141">
        <f t="shared" si="18"/>
        <v>322511.42</v>
      </c>
      <c r="X36" s="138">
        <v>136054</v>
      </c>
      <c r="Y36" s="138">
        <f t="shared" si="9"/>
        <v>25850.260000000002</v>
      </c>
      <c r="Z36" s="138">
        <f t="shared" si="10"/>
        <v>161904.26</v>
      </c>
      <c r="AA36" s="139">
        <f t="shared" si="19"/>
        <v>323808.52</v>
      </c>
      <c r="AB36" s="152">
        <f t="shared" si="11"/>
        <v>58823.529411764706</v>
      </c>
      <c r="AC36" s="125">
        <f t="shared" si="12"/>
        <v>11176.470588235294</v>
      </c>
      <c r="AD36" s="153">
        <v>70000</v>
      </c>
      <c r="AE36" s="183">
        <f t="shared" si="13"/>
        <v>140000</v>
      </c>
      <c r="AF36" s="185">
        <f t="shared" si="20"/>
        <v>109012.50808941103</v>
      </c>
      <c r="AG36" s="154">
        <f t="shared" si="14"/>
        <v>129724.88462639911</v>
      </c>
      <c r="AH36" s="191">
        <f t="shared" si="15"/>
        <v>103144.8332148975</v>
      </c>
      <c r="AI36" s="150">
        <f t="shared" si="16"/>
        <v>122742.35152572799</v>
      </c>
    </row>
    <row r="37" spans="3:35" s="4" customFormat="1" ht="102.75" thickBot="1">
      <c r="C37" s="16" t="s">
        <v>130</v>
      </c>
      <c r="D37" s="14" t="s">
        <v>161</v>
      </c>
      <c r="E37" s="17" t="s">
        <v>39</v>
      </c>
      <c r="F37" s="14" t="s">
        <v>4</v>
      </c>
      <c r="G37" s="39">
        <v>1</v>
      </c>
      <c r="H37" s="142">
        <v>10992317</v>
      </c>
      <c r="I37" s="143">
        <f t="shared" si="2"/>
        <v>2088540.23</v>
      </c>
      <c r="J37" s="143">
        <f t="shared" si="3"/>
        <v>13080857.23</v>
      </c>
      <c r="K37" s="144">
        <f t="shared" si="4"/>
        <v>13080857.23</v>
      </c>
      <c r="L37" s="145">
        <v>8010000</v>
      </c>
      <c r="M37" s="146">
        <f t="shared" si="0"/>
        <v>1521900</v>
      </c>
      <c r="N37" s="146">
        <f t="shared" si="1"/>
        <v>9531900</v>
      </c>
      <c r="O37" s="134">
        <f t="shared" si="21"/>
        <v>9531900</v>
      </c>
      <c r="P37" s="147">
        <v>11702759</v>
      </c>
      <c r="Q37" s="143">
        <f t="shared" si="5"/>
        <v>2223524.21</v>
      </c>
      <c r="R37" s="143">
        <f t="shared" si="6"/>
        <v>13926283.210000001</v>
      </c>
      <c r="S37" s="141">
        <f t="shared" si="17"/>
        <v>13926283.210000001</v>
      </c>
      <c r="T37" s="143">
        <v>11023569</v>
      </c>
      <c r="U37" s="143">
        <f t="shared" si="7"/>
        <v>2094478.11</v>
      </c>
      <c r="V37" s="143">
        <f t="shared" si="8"/>
        <v>13118047.109999999</v>
      </c>
      <c r="W37" s="141">
        <f t="shared" si="18"/>
        <v>13118047.109999999</v>
      </c>
      <c r="X37" s="143">
        <v>10214941</v>
      </c>
      <c r="Y37" s="143">
        <f t="shared" si="9"/>
        <v>1940838.79</v>
      </c>
      <c r="Z37" s="143">
        <f t="shared" si="10"/>
        <v>12155779.789999999</v>
      </c>
      <c r="AA37" s="139">
        <f t="shared" si="19"/>
        <v>12155779.789999999</v>
      </c>
      <c r="AB37" s="155">
        <f t="shared" si="11"/>
        <v>5042016.8067226894</v>
      </c>
      <c r="AC37" s="126">
        <f t="shared" si="12"/>
        <v>957983.19327731058</v>
      </c>
      <c r="AD37" s="156">
        <v>6000000</v>
      </c>
      <c r="AE37" s="184">
        <f t="shared" si="13"/>
        <v>6000000</v>
      </c>
      <c r="AF37" s="186">
        <f t="shared" si="20"/>
        <v>9145246.1588837896</v>
      </c>
      <c r="AG37" s="157">
        <f t="shared" si="14"/>
        <v>10882842.92907171</v>
      </c>
      <c r="AH37" s="204">
        <f t="shared" si="15"/>
        <v>8718264.2599947285</v>
      </c>
      <c r="AI37" s="205">
        <f t="shared" si="16"/>
        <v>10374734.469393726</v>
      </c>
    </row>
    <row r="38" spans="3:35" s="4" customFormat="1" ht="13.15" customHeight="1" thickBot="1">
      <c r="C38" s="407" t="s">
        <v>162</v>
      </c>
      <c r="D38" s="408"/>
      <c r="E38" s="408"/>
      <c r="F38" s="408"/>
      <c r="G38" s="409"/>
      <c r="H38" s="158">
        <f t="shared" ref="H38:J38" si="22">SUM(H6:H37)</f>
        <v>30258578</v>
      </c>
      <c r="I38" s="158">
        <f t="shared" si="22"/>
        <v>5749129.8199999984</v>
      </c>
      <c r="J38" s="158">
        <f t="shared" si="22"/>
        <v>36007707.820000008</v>
      </c>
      <c r="K38" s="158">
        <f>SUM(K6:K37)</f>
        <v>65361342.61999999</v>
      </c>
      <c r="L38" s="158">
        <f t="shared" ref="L38:N38" si="23">SUM(L6:L37)</f>
        <v>25856746.474789925</v>
      </c>
      <c r="M38" s="158">
        <f t="shared" si="23"/>
        <v>4912781.8302100841</v>
      </c>
      <c r="N38" s="158">
        <f t="shared" si="23"/>
        <v>30769528.305</v>
      </c>
      <c r="O38" s="158">
        <f>SUM(O6:O37)</f>
        <v>60680142.315000005</v>
      </c>
      <c r="P38" s="158">
        <f t="shared" ref="P38:R38" si="24">SUM(P6:P37)</f>
        <v>30747659</v>
      </c>
      <c r="Q38" s="158">
        <f t="shared" si="24"/>
        <v>5842055.209999999</v>
      </c>
      <c r="R38" s="158">
        <f t="shared" si="24"/>
        <v>36589714.210000008</v>
      </c>
      <c r="S38" s="158">
        <f>SUM(S6:S37)</f>
        <v>65789214.260000005</v>
      </c>
      <c r="T38" s="158">
        <f t="shared" ref="T38:V38" si="25">SUM(T6:T37)</f>
        <v>30709691</v>
      </c>
      <c r="U38" s="158">
        <f t="shared" si="25"/>
        <v>5834841.290000001</v>
      </c>
      <c r="V38" s="158">
        <f t="shared" si="25"/>
        <v>36544532.289999992</v>
      </c>
      <c r="W38" s="158">
        <f>SUM(W6:W37)</f>
        <v>65978475.430000007</v>
      </c>
      <c r="X38" s="158">
        <f t="shared" ref="X38:Z38" si="26">SUM(X6:X37)</f>
        <v>28605114</v>
      </c>
      <c r="Y38" s="158">
        <f t="shared" si="26"/>
        <v>5434971.6600000001</v>
      </c>
      <c r="Z38" s="158">
        <f t="shared" si="26"/>
        <v>34040085.659999996</v>
      </c>
      <c r="AA38" s="158">
        <f>SUM(AA6:AA37)</f>
        <v>62172916.120000005</v>
      </c>
      <c r="AB38" s="192">
        <f t="shared" ref="AB38:AC38" si="27">SUM(AB6:AB37)</f>
        <v>13032256.302521009</v>
      </c>
      <c r="AC38" s="192">
        <f t="shared" si="27"/>
        <v>2476128.697478991</v>
      </c>
      <c r="AD38" s="192">
        <f>SUM(AD6:AD37)</f>
        <v>15508385</v>
      </c>
      <c r="AE38" s="193">
        <f>SUM(AE6:AE37)</f>
        <v>32050502</v>
      </c>
      <c r="AF38" s="195">
        <f t="shared" ref="AF38:AI38" si="28">SUM(AF6:AF37)</f>
        <v>24865971.235148393</v>
      </c>
      <c r="AG38" s="196">
        <f t="shared" si="28"/>
        <v>29590505.769826591</v>
      </c>
      <c r="AH38" s="194">
        <f t="shared" si="28"/>
        <v>22802688.647041194</v>
      </c>
      <c r="AI38" s="192">
        <f t="shared" si="28"/>
        <v>27135199.489979025</v>
      </c>
    </row>
    <row r="39" spans="3:35" ht="13.5" thickBot="1">
      <c r="C39" s="407" t="s">
        <v>163</v>
      </c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245"/>
      <c r="AC39" s="245"/>
      <c r="AD39" s="245"/>
      <c r="AE39" s="245"/>
      <c r="AF39" s="244"/>
      <c r="AG39" s="244"/>
      <c r="AH39" s="245"/>
      <c r="AI39" s="246"/>
    </row>
    <row r="40" spans="3:35" ht="39" thickBot="1">
      <c r="C40" s="59" t="s">
        <v>95</v>
      </c>
      <c r="D40" s="60" t="s">
        <v>96</v>
      </c>
      <c r="E40" s="59" t="s">
        <v>94</v>
      </c>
      <c r="F40" s="61" t="s">
        <v>292</v>
      </c>
      <c r="G40" s="62" t="s">
        <v>0</v>
      </c>
      <c r="H40" s="59" t="s">
        <v>293</v>
      </c>
      <c r="I40" s="61" t="s">
        <v>294</v>
      </c>
      <c r="J40" s="61" t="s">
        <v>295</v>
      </c>
      <c r="K40" s="63" t="s">
        <v>296</v>
      </c>
      <c r="L40" s="59" t="s">
        <v>293</v>
      </c>
      <c r="M40" s="61" t="s">
        <v>294</v>
      </c>
      <c r="N40" s="61" t="s">
        <v>295</v>
      </c>
      <c r="O40" s="63" t="s">
        <v>296</v>
      </c>
      <c r="P40" s="59" t="s">
        <v>293</v>
      </c>
      <c r="Q40" s="61" t="s">
        <v>294</v>
      </c>
      <c r="R40" s="61" t="s">
        <v>295</v>
      </c>
      <c r="S40" s="63" t="s">
        <v>296</v>
      </c>
      <c r="T40" s="59" t="s">
        <v>293</v>
      </c>
      <c r="U40" s="61" t="s">
        <v>294</v>
      </c>
      <c r="V40" s="61" t="s">
        <v>295</v>
      </c>
      <c r="W40" s="63" t="s">
        <v>296</v>
      </c>
      <c r="X40" s="59" t="s">
        <v>293</v>
      </c>
      <c r="Y40" s="61" t="s">
        <v>294</v>
      </c>
      <c r="Z40" s="61" t="s">
        <v>295</v>
      </c>
      <c r="AA40" s="63" t="s">
        <v>296</v>
      </c>
      <c r="AB40" s="59" t="s">
        <v>293</v>
      </c>
      <c r="AC40" s="61" t="s">
        <v>294</v>
      </c>
      <c r="AD40" s="61" t="s">
        <v>295</v>
      </c>
      <c r="AE40" s="115" t="s">
        <v>296</v>
      </c>
      <c r="AF40" s="32" t="s">
        <v>293</v>
      </c>
      <c r="AG40" s="51" t="s">
        <v>295</v>
      </c>
      <c r="AH40" s="7" t="s">
        <v>293</v>
      </c>
      <c r="AI40" s="19" t="s">
        <v>295</v>
      </c>
    </row>
    <row r="41" spans="3:35" ht="76.5">
      <c r="C41" s="9" t="s">
        <v>164</v>
      </c>
      <c r="D41" s="10" t="s">
        <v>167</v>
      </c>
      <c r="E41" s="13" t="s">
        <v>40</v>
      </c>
      <c r="F41" s="10" t="s">
        <v>4</v>
      </c>
      <c r="G41" s="37">
        <v>1</v>
      </c>
      <c r="H41" s="129">
        <v>3806471</v>
      </c>
      <c r="I41" s="130">
        <f t="shared" ref="I41:I69" si="29">H41*19%</f>
        <v>723229.49</v>
      </c>
      <c r="J41" s="130">
        <f t="shared" ref="J41:J69" si="30">H41+I41</f>
        <v>4529700.49</v>
      </c>
      <c r="K41" s="131">
        <f t="shared" ref="K41:K69" si="31">G41*J41</f>
        <v>4529700.49</v>
      </c>
      <c r="L41" s="129">
        <v>2016806.7226890759</v>
      </c>
      <c r="M41" s="130">
        <f t="shared" ref="M41:M69" si="32">L41*19%</f>
        <v>383193.27731092443</v>
      </c>
      <c r="N41" s="130">
        <f t="shared" ref="N41:N69" si="33">L41+M41</f>
        <v>2400000.0000000005</v>
      </c>
      <c r="O41" s="136">
        <f>+G41*N41</f>
        <v>2400000.0000000005</v>
      </c>
      <c r="P41" s="135">
        <v>3744578</v>
      </c>
      <c r="Q41" s="130">
        <f t="shared" ref="Q41:Q69" si="34">+P41*0.19</f>
        <v>711469.82000000007</v>
      </c>
      <c r="R41" s="130">
        <f t="shared" ref="R41:R69" si="35">+P41+Q41</f>
        <v>4456047.82</v>
      </c>
      <c r="S41" s="136">
        <f>+G41*R41</f>
        <v>4456047.82</v>
      </c>
      <c r="T41" s="130">
        <v>3642494</v>
      </c>
      <c r="U41" s="130">
        <f>T41*19%</f>
        <v>692073.86</v>
      </c>
      <c r="V41" s="130">
        <f>T41+U41</f>
        <v>4334567.8600000003</v>
      </c>
      <c r="W41" s="136">
        <f>+G41*V41</f>
        <v>4334567.8600000003</v>
      </c>
      <c r="X41" s="130">
        <v>3900235</v>
      </c>
      <c r="Y41" s="130">
        <f t="shared" ref="Y41:Y69" si="36">+X41*0.19</f>
        <v>741044.65</v>
      </c>
      <c r="Z41" s="130">
        <f t="shared" ref="Z41:Z69" si="37">+X41+Y41</f>
        <v>4641279.6500000004</v>
      </c>
      <c r="AA41" s="131">
        <f>+G41*Z41</f>
        <v>4641279.6500000004</v>
      </c>
      <c r="AB41" s="159"/>
      <c r="AC41" s="128"/>
      <c r="AD41" s="160"/>
      <c r="AE41" s="197"/>
      <c r="AF41" s="191">
        <f>+GEOMEAN(H41,L41,P41,T41,X41,AB41)</f>
        <v>3328249.3931980231</v>
      </c>
      <c r="AG41" s="182">
        <f t="shared" ref="AG41:AG69" si="38">+GEOMEAN(J41,N41,R41,V41,Z41,AD41)</f>
        <v>3960616.7779056476</v>
      </c>
      <c r="AH41" s="203">
        <f t="shared" ref="AH41:AH69" si="39">+HARMEAN(H41,L41,P41,T41,X41,AB41)</f>
        <v>3212276.2867362108</v>
      </c>
      <c r="AI41" s="161">
        <f t="shared" ref="AI41:AI69" si="40">+HARMEAN(J41,N41,R41,V41,Z41,AD41)</f>
        <v>3822608.7812160905</v>
      </c>
    </row>
    <row r="42" spans="3:35" ht="63.75">
      <c r="C42" s="2" t="s">
        <v>197</v>
      </c>
      <c r="D42" s="1" t="s">
        <v>168</v>
      </c>
      <c r="E42" s="15" t="s">
        <v>41</v>
      </c>
      <c r="F42" s="1" t="s">
        <v>4</v>
      </c>
      <c r="G42" s="38">
        <v>1</v>
      </c>
      <c r="H42" s="137">
        <v>618098</v>
      </c>
      <c r="I42" s="138">
        <f t="shared" si="29"/>
        <v>117438.62</v>
      </c>
      <c r="J42" s="138">
        <f t="shared" si="30"/>
        <v>735536.62</v>
      </c>
      <c r="K42" s="139">
        <f t="shared" si="31"/>
        <v>735536.62</v>
      </c>
      <c r="L42" s="137">
        <v>520588.23529411771</v>
      </c>
      <c r="M42" s="138">
        <f t="shared" si="32"/>
        <v>98911.764705882364</v>
      </c>
      <c r="N42" s="138">
        <f t="shared" si="33"/>
        <v>619500.00000000012</v>
      </c>
      <c r="O42" s="141">
        <f>+G42*N42</f>
        <v>619500.00000000012</v>
      </c>
      <c r="P42" s="140">
        <v>587778</v>
      </c>
      <c r="Q42" s="138">
        <f t="shared" si="34"/>
        <v>111677.82</v>
      </c>
      <c r="R42" s="138">
        <f t="shared" si="35"/>
        <v>699455.82000000007</v>
      </c>
      <c r="S42" s="141">
        <f>+G42*R42</f>
        <v>699455.82000000007</v>
      </c>
      <c r="T42" s="138">
        <v>613829</v>
      </c>
      <c r="U42" s="138">
        <f t="shared" ref="U42:U69" si="41">T42*19%</f>
        <v>116627.51</v>
      </c>
      <c r="V42" s="138">
        <f t="shared" ref="V42:V69" si="42">T42+U42</f>
        <v>730456.51</v>
      </c>
      <c r="W42" s="141">
        <f>+G42*V42</f>
        <v>730456.51</v>
      </c>
      <c r="X42" s="138">
        <v>628160</v>
      </c>
      <c r="Y42" s="138">
        <f t="shared" si="36"/>
        <v>119350.39999999999</v>
      </c>
      <c r="Z42" s="138">
        <f t="shared" si="37"/>
        <v>747510.4</v>
      </c>
      <c r="AA42" s="139">
        <f>+G42*Z42</f>
        <v>747510.4</v>
      </c>
      <c r="AB42" s="152">
        <f t="shared" ref="AB42:AB69" si="43">+AD42/1.19</f>
        <v>403361.34453781514</v>
      </c>
      <c r="AC42" s="125">
        <f t="shared" ref="AC42:AC69" si="44">+AD42-AB42</f>
        <v>76638.655462184863</v>
      </c>
      <c r="AD42" s="153">
        <v>480000</v>
      </c>
      <c r="AE42" s="183">
        <f t="shared" ref="AE42:AE69" si="45">+G42*AD42</f>
        <v>480000</v>
      </c>
      <c r="AF42" s="185">
        <f t="shared" ref="AF42:AF69" si="46">+GEOMEAN(H42,L42,P42,T42,X42,AB42)</f>
        <v>555600.75661533815</v>
      </c>
      <c r="AG42" s="183">
        <f t="shared" si="38"/>
        <v>661164.90037225233</v>
      </c>
      <c r="AH42" s="185">
        <f t="shared" si="39"/>
        <v>548429.5787542878</v>
      </c>
      <c r="AI42" s="154">
        <f t="shared" si="40"/>
        <v>652631.19871760276</v>
      </c>
    </row>
    <row r="43" spans="3:35" ht="102">
      <c r="C43" s="2" t="s">
        <v>198</v>
      </c>
      <c r="D43" s="1" t="s">
        <v>169</v>
      </c>
      <c r="E43" s="15" t="s">
        <v>297</v>
      </c>
      <c r="F43" s="1" t="s">
        <v>4</v>
      </c>
      <c r="G43" s="38">
        <v>1</v>
      </c>
      <c r="H43" s="137">
        <v>3990000</v>
      </c>
      <c r="I43" s="138">
        <f t="shared" si="29"/>
        <v>758100</v>
      </c>
      <c r="J43" s="138">
        <f t="shared" si="30"/>
        <v>4748100</v>
      </c>
      <c r="K43" s="139">
        <f t="shared" si="31"/>
        <v>4748100</v>
      </c>
      <c r="L43" s="137">
        <v>2431512.6050420171</v>
      </c>
      <c r="M43" s="138">
        <f t="shared" si="32"/>
        <v>461987.39495798323</v>
      </c>
      <c r="N43" s="138">
        <f t="shared" si="33"/>
        <v>2893500.0000000005</v>
      </c>
      <c r="O43" s="141">
        <f t="shared" ref="O43:O69" si="47">+G43*N43</f>
        <v>2893500.0000000005</v>
      </c>
      <c r="P43" s="140">
        <v>4244254</v>
      </c>
      <c r="Q43" s="138">
        <f t="shared" si="34"/>
        <v>806408.26</v>
      </c>
      <c r="R43" s="138">
        <f t="shared" si="35"/>
        <v>5050662.26</v>
      </c>
      <c r="S43" s="141">
        <f t="shared" ref="S43:S69" si="48">+G43*R43</f>
        <v>5050662.26</v>
      </c>
      <c r="T43" s="138">
        <v>4348132</v>
      </c>
      <c r="U43" s="138">
        <f t="shared" si="41"/>
        <v>826145.08</v>
      </c>
      <c r="V43" s="138">
        <f t="shared" si="42"/>
        <v>5174277.08</v>
      </c>
      <c r="W43" s="141">
        <f t="shared" ref="W43:W69" si="49">+G43*V43</f>
        <v>5174277.08</v>
      </c>
      <c r="X43" s="138">
        <v>4084624</v>
      </c>
      <c r="Y43" s="138">
        <f t="shared" si="36"/>
        <v>776078.56</v>
      </c>
      <c r="Z43" s="138">
        <f t="shared" si="37"/>
        <v>4860702.5600000005</v>
      </c>
      <c r="AA43" s="139">
        <f t="shared" ref="AA43:AA69" si="50">+G43*Z43</f>
        <v>4860702.5600000005</v>
      </c>
      <c r="AB43" s="152">
        <f t="shared" si="43"/>
        <v>1621008.4033613447</v>
      </c>
      <c r="AC43" s="125">
        <f t="shared" si="44"/>
        <v>307991.59663865529</v>
      </c>
      <c r="AD43" s="162">
        <v>1929000</v>
      </c>
      <c r="AE43" s="183">
        <f t="shared" si="45"/>
        <v>1929000</v>
      </c>
      <c r="AF43" s="185">
        <f t="shared" si="46"/>
        <v>3253232.8057068563</v>
      </c>
      <c r="AG43" s="183">
        <f t="shared" si="38"/>
        <v>3871347.0387911592</v>
      </c>
      <c r="AH43" s="185">
        <f t="shared" si="39"/>
        <v>3016272.4780028043</v>
      </c>
      <c r="AI43" s="154">
        <f t="shared" si="40"/>
        <v>3589364.2488233368</v>
      </c>
    </row>
    <row r="44" spans="3:35" ht="76.5">
      <c r="C44" s="2" t="s">
        <v>199</v>
      </c>
      <c r="D44" s="1" t="s">
        <v>170</v>
      </c>
      <c r="E44" s="15" t="s">
        <v>7</v>
      </c>
      <c r="F44" s="1" t="s">
        <v>4</v>
      </c>
      <c r="G44" s="38">
        <v>1</v>
      </c>
      <c r="H44" s="137">
        <v>3220336</v>
      </c>
      <c r="I44" s="138">
        <f t="shared" si="29"/>
        <v>611863.84</v>
      </c>
      <c r="J44" s="138">
        <f t="shared" si="30"/>
        <v>3832199.84</v>
      </c>
      <c r="K44" s="139">
        <f t="shared" si="31"/>
        <v>3832199.84</v>
      </c>
      <c r="L44" s="137">
        <v>2475000</v>
      </c>
      <c r="M44" s="138">
        <f t="shared" si="32"/>
        <v>470250</v>
      </c>
      <c r="N44" s="138">
        <f t="shared" si="33"/>
        <v>2945250</v>
      </c>
      <c r="O44" s="141">
        <f t="shared" si="47"/>
        <v>2945250</v>
      </c>
      <c r="P44" s="140">
        <v>3562886</v>
      </c>
      <c r="Q44" s="138">
        <f t="shared" si="34"/>
        <v>676948.34</v>
      </c>
      <c r="R44" s="138">
        <f t="shared" si="35"/>
        <v>4239834.34</v>
      </c>
      <c r="S44" s="141">
        <f t="shared" si="48"/>
        <v>4239834.34</v>
      </c>
      <c r="T44" s="138">
        <v>3384406</v>
      </c>
      <c r="U44" s="138">
        <f t="shared" si="41"/>
        <v>643037.14</v>
      </c>
      <c r="V44" s="138">
        <f t="shared" si="42"/>
        <v>4027443.14</v>
      </c>
      <c r="W44" s="141">
        <f t="shared" si="49"/>
        <v>4027443.14</v>
      </c>
      <c r="X44" s="138">
        <v>3303044</v>
      </c>
      <c r="Y44" s="138">
        <f t="shared" si="36"/>
        <v>627578.36</v>
      </c>
      <c r="Z44" s="138">
        <f t="shared" si="37"/>
        <v>3930622.36</v>
      </c>
      <c r="AA44" s="139">
        <f t="shared" si="50"/>
        <v>3930622.36</v>
      </c>
      <c r="AB44" s="152">
        <f t="shared" si="43"/>
        <v>2168067.2268907563</v>
      </c>
      <c r="AC44" s="125">
        <f t="shared" si="44"/>
        <v>411932.77310924372</v>
      </c>
      <c r="AD44" s="162">
        <v>2580000</v>
      </c>
      <c r="AE44" s="183">
        <f t="shared" si="45"/>
        <v>2580000</v>
      </c>
      <c r="AF44" s="185">
        <f t="shared" si="46"/>
        <v>2971378.519576855</v>
      </c>
      <c r="AG44" s="183">
        <f t="shared" si="38"/>
        <v>3535940.4382964573</v>
      </c>
      <c r="AH44" s="185">
        <f t="shared" si="39"/>
        <v>2920130.7397007477</v>
      </c>
      <c r="AI44" s="154">
        <f t="shared" si="40"/>
        <v>3474955.5802438902</v>
      </c>
    </row>
    <row r="45" spans="3:35" ht="127.5">
      <c r="C45" s="2" t="s">
        <v>200</v>
      </c>
      <c r="D45" s="1" t="s">
        <v>171</v>
      </c>
      <c r="E45" s="15" t="s">
        <v>42</v>
      </c>
      <c r="F45" s="1" t="s">
        <v>4</v>
      </c>
      <c r="G45" s="38">
        <v>1</v>
      </c>
      <c r="H45" s="137">
        <v>4063000</v>
      </c>
      <c r="I45" s="138">
        <f t="shared" si="29"/>
        <v>771970</v>
      </c>
      <c r="J45" s="138">
        <f t="shared" si="30"/>
        <v>4834970</v>
      </c>
      <c r="K45" s="139">
        <f t="shared" si="31"/>
        <v>4834970</v>
      </c>
      <c r="L45" s="137">
        <v>2646932.7731092442</v>
      </c>
      <c r="M45" s="138">
        <f t="shared" si="32"/>
        <v>502917.2268907564</v>
      </c>
      <c r="N45" s="138">
        <f t="shared" si="33"/>
        <v>3149850.0000000005</v>
      </c>
      <c r="O45" s="141">
        <f t="shared" si="47"/>
        <v>3149850.0000000005</v>
      </c>
      <c r="P45" s="140">
        <v>3907847</v>
      </c>
      <c r="Q45" s="138">
        <f t="shared" si="34"/>
        <v>742490.93</v>
      </c>
      <c r="R45" s="138">
        <f t="shared" si="35"/>
        <v>4650337.93</v>
      </c>
      <c r="S45" s="141">
        <f t="shared" si="48"/>
        <v>4650337.93</v>
      </c>
      <c r="T45" s="138">
        <v>4049283</v>
      </c>
      <c r="U45" s="138">
        <f t="shared" si="41"/>
        <v>769363.77</v>
      </c>
      <c r="V45" s="138">
        <f t="shared" si="42"/>
        <v>4818646.7699999996</v>
      </c>
      <c r="W45" s="141">
        <f t="shared" si="49"/>
        <v>4818646.7699999996</v>
      </c>
      <c r="X45" s="138">
        <v>3790962</v>
      </c>
      <c r="Y45" s="138">
        <f t="shared" si="36"/>
        <v>720282.78</v>
      </c>
      <c r="Z45" s="138">
        <f t="shared" si="37"/>
        <v>4511244.78</v>
      </c>
      <c r="AA45" s="139">
        <f t="shared" si="50"/>
        <v>4511244.78</v>
      </c>
      <c r="AB45" s="152">
        <f t="shared" si="43"/>
        <v>4638428.5714285718</v>
      </c>
      <c r="AC45" s="125">
        <f t="shared" si="44"/>
        <v>881301.42857142817</v>
      </c>
      <c r="AD45" s="153">
        <v>5519730</v>
      </c>
      <c r="AE45" s="183">
        <f t="shared" si="45"/>
        <v>5519730</v>
      </c>
      <c r="AF45" s="185">
        <f t="shared" si="46"/>
        <v>3796099.7861837116</v>
      </c>
      <c r="AG45" s="183">
        <f t="shared" si="38"/>
        <v>4517358.7455586167</v>
      </c>
      <c r="AH45" s="185">
        <f t="shared" si="39"/>
        <v>3735646.8341592355</v>
      </c>
      <c r="AI45" s="154">
        <f t="shared" si="40"/>
        <v>4445419.7326494902</v>
      </c>
    </row>
    <row r="46" spans="3:35" ht="114.75">
      <c r="C46" s="2" t="s">
        <v>201</v>
      </c>
      <c r="D46" s="1" t="s">
        <v>172</v>
      </c>
      <c r="E46" s="15" t="s">
        <v>9</v>
      </c>
      <c r="F46" s="1" t="s">
        <v>4</v>
      </c>
      <c r="G46" s="38">
        <v>1</v>
      </c>
      <c r="H46" s="137">
        <v>1474185</v>
      </c>
      <c r="I46" s="138">
        <f t="shared" si="29"/>
        <v>280095.15000000002</v>
      </c>
      <c r="J46" s="138">
        <f t="shared" si="30"/>
        <v>1754280.15</v>
      </c>
      <c r="K46" s="139">
        <f t="shared" si="31"/>
        <v>1754280.15</v>
      </c>
      <c r="L46" s="137">
        <v>2546092.4369747899</v>
      </c>
      <c r="M46" s="138">
        <f t="shared" si="32"/>
        <v>483757.56302521011</v>
      </c>
      <c r="N46" s="138">
        <f t="shared" si="33"/>
        <v>3029850</v>
      </c>
      <c r="O46" s="141">
        <f t="shared" si="47"/>
        <v>3029850</v>
      </c>
      <c r="P46" s="140">
        <v>1686122</v>
      </c>
      <c r="Q46" s="138">
        <f t="shared" si="34"/>
        <v>320363.18</v>
      </c>
      <c r="R46" s="138">
        <f t="shared" si="35"/>
        <v>2006485.18</v>
      </c>
      <c r="S46" s="141">
        <f t="shared" si="48"/>
        <v>2006485.18</v>
      </c>
      <c r="T46" s="138">
        <v>1526486</v>
      </c>
      <c r="U46" s="138">
        <f t="shared" si="41"/>
        <v>290032.34000000003</v>
      </c>
      <c r="V46" s="138">
        <f t="shared" si="42"/>
        <v>1816518.34</v>
      </c>
      <c r="W46" s="141">
        <f t="shared" si="49"/>
        <v>1816518.34</v>
      </c>
      <c r="X46" s="138">
        <v>1498029</v>
      </c>
      <c r="Y46" s="138">
        <f t="shared" si="36"/>
        <v>284625.51</v>
      </c>
      <c r="Z46" s="138">
        <f t="shared" si="37"/>
        <v>1782654.51</v>
      </c>
      <c r="AA46" s="139">
        <f t="shared" si="50"/>
        <v>1782654.51</v>
      </c>
      <c r="AB46" s="152">
        <f t="shared" si="43"/>
        <v>3142857.1428571432</v>
      </c>
      <c r="AC46" s="125">
        <f t="shared" si="44"/>
        <v>597142.85714285681</v>
      </c>
      <c r="AD46" s="153">
        <v>3740000</v>
      </c>
      <c r="AE46" s="183">
        <f t="shared" si="45"/>
        <v>3740000</v>
      </c>
      <c r="AF46" s="185">
        <f t="shared" si="46"/>
        <v>1889334.287368092</v>
      </c>
      <c r="AG46" s="183">
        <f t="shared" si="38"/>
        <v>2248307.8019680292</v>
      </c>
      <c r="AH46" s="185">
        <f t="shared" si="39"/>
        <v>1815430.3286722915</v>
      </c>
      <c r="AI46" s="154">
        <f t="shared" si="40"/>
        <v>2160362.091120027</v>
      </c>
    </row>
    <row r="47" spans="3:35" ht="53.25" customHeight="1">
      <c r="C47" s="2" t="s">
        <v>202</v>
      </c>
      <c r="D47" s="1" t="s">
        <v>173</v>
      </c>
      <c r="E47" s="15" t="s">
        <v>43</v>
      </c>
      <c r="F47" s="1" t="s">
        <v>4</v>
      </c>
      <c r="G47" s="38">
        <v>1</v>
      </c>
      <c r="H47" s="137">
        <v>173466</v>
      </c>
      <c r="I47" s="138">
        <f t="shared" si="29"/>
        <v>32958.54</v>
      </c>
      <c r="J47" s="138">
        <f t="shared" si="30"/>
        <v>206424.54</v>
      </c>
      <c r="K47" s="139">
        <f t="shared" si="31"/>
        <v>206424.54</v>
      </c>
      <c r="L47" s="137">
        <v>180126.05042016809</v>
      </c>
      <c r="M47" s="138">
        <f t="shared" si="32"/>
        <v>34223.94957983194</v>
      </c>
      <c r="N47" s="138">
        <f t="shared" si="33"/>
        <v>214350.00000000003</v>
      </c>
      <c r="O47" s="141">
        <f t="shared" si="47"/>
        <v>214350.00000000003</v>
      </c>
      <c r="P47" s="140">
        <v>162684</v>
      </c>
      <c r="Q47" s="138">
        <f t="shared" si="34"/>
        <v>30909.96</v>
      </c>
      <c r="R47" s="138">
        <f t="shared" si="35"/>
        <v>193593.96</v>
      </c>
      <c r="S47" s="141">
        <f t="shared" si="48"/>
        <v>193593.96</v>
      </c>
      <c r="T47" s="138">
        <v>175898</v>
      </c>
      <c r="U47" s="138">
        <f t="shared" si="41"/>
        <v>33420.620000000003</v>
      </c>
      <c r="V47" s="138">
        <f t="shared" si="42"/>
        <v>209318.62</v>
      </c>
      <c r="W47" s="141">
        <f t="shared" si="49"/>
        <v>209318.62</v>
      </c>
      <c r="X47" s="138">
        <v>168572</v>
      </c>
      <c r="Y47" s="138">
        <f t="shared" si="36"/>
        <v>32028.68</v>
      </c>
      <c r="Z47" s="138">
        <f t="shared" si="37"/>
        <v>200600.68</v>
      </c>
      <c r="AA47" s="139">
        <f t="shared" si="50"/>
        <v>200600.68</v>
      </c>
      <c r="AB47" s="152">
        <f t="shared" si="43"/>
        <v>147058.82352941178</v>
      </c>
      <c r="AC47" s="125">
        <f t="shared" si="44"/>
        <v>27941.176470588223</v>
      </c>
      <c r="AD47" s="153">
        <v>175000</v>
      </c>
      <c r="AE47" s="183">
        <f t="shared" si="45"/>
        <v>175000</v>
      </c>
      <c r="AF47" s="185">
        <f t="shared" si="46"/>
        <v>167601.87008829133</v>
      </c>
      <c r="AG47" s="183">
        <f t="shared" si="38"/>
        <v>199446.22540506668</v>
      </c>
      <c r="AH47" s="185">
        <f t="shared" si="39"/>
        <v>167220.96454047039</v>
      </c>
      <c r="AI47" s="154">
        <f t="shared" si="40"/>
        <v>198992.94780315971</v>
      </c>
    </row>
    <row r="48" spans="3:35" ht="51.75" customHeight="1">
      <c r="C48" s="2" t="s">
        <v>203</v>
      </c>
      <c r="D48" s="1" t="s">
        <v>174</v>
      </c>
      <c r="E48" s="15" t="s">
        <v>44</v>
      </c>
      <c r="F48" s="1" t="s">
        <v>4</v>
      </c>
      <c r="G48" s="38">
        <v>1</v>
      </c>
      <c r="H48" s="137">
        <v>551748</v>
      </c>
      <c r="I48" s="138">
        <f t="shared" si="29"/>
        <v>104832.12</v>
      </c>
      <c r="J48" s="138">
        <f t="shared" si="30"/>
        <v>656580.12</v>
      </c>
      <c r="K48" s="139">
        <f t="shared" si="31"/>
        <v>656580.12</v>
      </c>
      <c r="L48" s="137">
        <v>804303</v>
      </c>
      <c r="M48" s="138">
        <f t="shared" si="32"/>
        <v>152817.57</v>
      </c>
      <c r="N48" s="138">
        <f t="shared" si="33"/>
        <v>957120.57000000007</v>
      </c>
      <c r="O48" s="141">
        <f t="shared" si="47"/>
        <v>957120.57000000007</v>
      </c>
      <c r="P48" s="140">
        <v>526151</v>
      </c>
      <c r="Q48" s="138">
        <f t="shared" si="34"/>
        <v>99968.69</v>
      </c>
      <c r="R48" s="138">
        <f t="shared" si="35"/>
        <v>626119.68999999994</v>
      </c>
      <c r="S48" s="141">
        <f t="shared" si="48"/>
        <v>626119.68999999994</v>
      </c>
      <c r="T48" s="138">
        <v>593083</v>
      </c>
      <c r="U48" s="138">
        <f t="shared" si="41"/>
        <v>112685.77</v>
      </c>
      <c r="V48" s="138">
        <f t="shared" si="42"/>
        <v>705768.77</v>
      </c>
      <c r="W48" s="141">
        <f t="shared" si="49"/>
        <v>705768.77</v>
      </c>
      <c r="X48" s="138">
        <v>564590</v>
      </c>
      <c r="Y48" s="138">
        <f t="shared" si="36"/>
        <v>107272.1</v>
      </c>
      <c r="Z48" s="138">
        <f t="shared" si="37"/>
        <v>671862.1</v>
      </c>
      <c r="AA48" s="139">
        <f t="shared" si="50"/>
        <v>671862.1</v>
      </c>
      <c r="AB48" s="152">
        <f t="shared" si="43"/>
        <v>450000</v>
      </c>
      <c r="AC48" s="125">
        <f t="shared" si="44"/>
        <v>85500</v>
      </c>
      <c r="AD48" s="153">
        <v>535500</v>
      </c>
      <c r="AE48" s="183">
        <f t="shared" si="45"/>
        <v>535500</v>
      </c>
      <c r="AF48" s="185">
        <f t="shared" si="46"/>
        <v>572429.49692254758</v>
      </c>
      <c r="AG48" s="183">
        <f t="shared" si="38"/>
        <v>681191.10133783158</v>
      </c>
      <c r="AH48" s="185">
        <f t="shared" si="39"/>
        <v>564129.65326157992</v>
      </c>
      <c r="AI48" s="154">
        <f t="shared" si="40"/>
        <v>671314.28738127998</v>
      </c>
    </row>
    <row r="49" spans="3:35" ht="140.25">
      <c r="C49" s="2" t="s">
        <v>204</v>
      </c>
      <c r="D49" s="1" t="s">
        <v>175</v>
      </c>
      <c r="E49" s="15" t="s">
        <v>45</v>
      </c>
      <c r="F49" s="1" t="s">
        <v>4</v>
      </c>
      <c r="G49" s="38">
        <v>1</v>
      </c>
      <c r="H49" s="137">
        <v>2567274</v>
      </c>
      <c r="I49" s="138">
        <f t="shared" si="29"/>
        <v>487782.06</v>
      </c>
      <c r="J49" s="138">
        <f t="shared" si="30"/>
        <v>3055056.06</v>
      </c>
      <c r="K49" s="139">
        <f t="shared" si="31"/>
        <v>3055056.06</v>
      </c>
      <c r="L49" s="137">
        <v>1865546.218487395</v>
      </c>
      <c r="M49" s="138">
        <f t="shared" si="32"/>
        <v>354453.78151260503</v>
      </c>
      <c r="N49" s="138">
        <f t="shared" si="33"/>
        <v>2220000</v>
      </c>
      <c r="O49" s="141">
        <f t="shared" si="47"/>
        <v>2220000</v>
      </c>
      <c r="P49" s="140">
        <v>2493789</v>
      </c>
      <c r="Q49" s="138">
        <f t="shared" si="34"/>
        <v>473819.91000000003</v>
      </c>
      <c r="R49" s="138">
        <f t="shared" si="35"/>
        <v>2967608.91</v>
      </c>
      <c r="S49" s="141">
        <f t="shared" si="48"/>
        <v>2967608.91</v>
      </c>
      <c r="T49" s="138">
        <v>2714089</v>
      </c>
      <c r="U49" s="138">
        <f t="shared" si="41"/>
        <v>515676.91000000003</v>
      </c>
      <c r="V49" s="138">
        <f t="shared" si="42"/>
        <v>3229765.91</v>
      </c>
      <c r="W49" s="141">
        <f t="shared" si="49"/>
        <v>3229765.91</v>
      </c>
      <c r="X49" s="138">
        <v>2685297</v>
      </c>
      <c r="Y49" s="138">
        <f t="shared" si="36"/>
        <v>510206.43</v>
      </c>
      <c r="Z49" s="138">
        <f t="shared" si="37"/>
        <v>3195503.43</v>
      </c>
      <c r="AA49" s="139">
        <f t="shared" si="50"/>
        <v>3195503.43</v>
      </c>
      <c r="AB49" s="152">
        <f t="shared" si="43"/>
        <v>1512605.0420168068</v>
      </c>
      <c r="AC49" s="125">
        <f t="shared" si="44"/>
        <v>287394.95798319322</v>
      </c>
      <c r="AD49" s="153">
        <v>1800000</v>
      </c>
      <c r="AE49" s="183">
        <f t="shared" si="45"/>
        <v>1800000</v>
      </c>
      <c r="AF49" s="185">
        <f t="shared" si="46"/>
        <v>2255519.8280822099</v>
      </c>
      <c r="AG49" s="183">
        <f t="shared" si="38"/>
        <v>2684068.5954178297</v>
      </c>
      <c r="AH49" s="185">
        <f t="shared" si="39"/>
        <v>2199004.2846943592</v>
      </c>
      <c r="AI49" s="154">
        <f t="shared" si="40"/>
        <v>2616815.0987862879</v>
      </c>
    </row>
    <row r="50" spans="3:35" ht="38.25">
      <c r="C50" s="2" t="s">
        <v>205</v>
      </c>
      <c r="D50" s="1" t="s">
        <v>176</v>
      </c>
      <c r="E50" s="15" t="s">
        <v>47</v>
      </c>
      <c r="F50" s="1" t="s">
        <v>4</v>
      </c>
      <c r="G50" s="38">
        <v>1</v>
      </c>
      <c r="H50" s="137">
        <v>706739</v>
      </c>
      <c r="I50" s="138">
        <f t="shared" si="29"/>
        <v>134280.41</v>
      </c>
      <c r="J50" s="138">
        <f t="shared" si="30"/>
        <v>841019.41</v>
      </c>
      <c r="K50" s="139">
        <f t="shared" si="31"/>
        <v>841019.41</v>
      </c>
      <c r="L50" s="137">
        <v>756176.4705882353</v>
      </c>
      <c r="M50" s="138">
        <f t="shared" si="32"/>
        <v>143673.5294117647</v>
      </c>
      <c r="N50" s="138">
        <f t="shared" si="33"/>
        <v>899850</v>
      </c>
      <c r="O50" s="141">
        <f t="shared" si="47"/>
        <v>899850</v>
      </c>
      <c r="P50" s="140">
        <v>670920</v>
      </c>
      <c r="Q50" s="138">
        <f t="shared" si="34"/>
        <v>127474.8</v>
      </c>
      <c r="R50" s="138">
        <f t="shared" si="35"/>
        <v>798394.8</v>
      </c>
      <c r="S50" s="141">
        <f t="shared" si="48"/>
        <v>798394.8</v>
      </c>
      <c r="T50" s="138">
        <v>722567</v>
      </c>
      <c r="U50" s="138">
        <f t="shared" si="41"/>
        <v>137287.73000000001</v>
      </c>
      <c r="V50" s="138">
        <f t="shared" si="42"/>
        <v>859854.73</v>
      </c>
      <c r="W50" s="141">
        <f t="shared" si="49"/>
        <v>859854.73</v>
      </c>
      <c r="X50" s="138">
        <v>722439</v>
      </c>
      <c r="Y50" s="138">
        <f t="shared" si="36"/>
        <v>137263.41</v>
      </c>
      <c r="Z50" s="138">
        <f t="shared" si="37"/>
        <v>859702.41</v>
      </c>
      <c r="AA50" s="139">
        <f t="shared" si="50"/>
        <v>859702.41</v>
      </c>
      <c r="AB50" s="152">
        <f t="shared" si="43"/>
        <v>252100.84033613445</v>
      </c>
      <c r="AC50" s="125">
        <f t="shared" si="44"/>
        <v>47899.159663865546</v>
      </c>
      <c r="AD50" s="153">
        <v>300000</v>
      </c>
      <c r="AE50" s="183">
        <f t="shared" si="45"/>
        <v>300000</v>
      </c>
      <c r="AF50" s="185">
        <f t="shared" si="46"/>
        <v>601129.10963256087</v>
      </c>
      <c r="AG50" s="183">
        <f t="shared" si="38"/>
        <v>715343.64046274743</v>
      </c>
      <c r="AH50" s="185">
        <f t="shared" si="39"/>
        <v>547310.22112580831</v>
      </c>
      <c r="AI50" s="154">
        <f t="shared" si="40"/>
        <v>651299.16313971195</v>
      </c>
    </row>
    <row r="51" spans="3:35" ht="38.25">
      <c r="C51" s="2" t="s">
        <v>206</v>
      </c>
      <c r="D51" s="1" t="s">
        <v>177</v>
      </c>
      <c r="E51" s="15" t="s">
        <v>46</v>
      </c>
      <c r="F51" s="1" t="s">
        <v>4</v>
      </c>
      <c r="G51" s="38">
        <v>1</v>
      </c>
      <c r="H51" s="137">
        <v>1196320</v>
      </c>
      <c r="I51" s="138">
        <f t="shared" si="29"/>
        <v>227300.8</v>
      </c>
      <c r="J51" s="138">
        <f t="shared" si="30"/>
        <v>1423620.8</v>
      </c>
      <c r="K51" s="139">
        <f t="shared" si="31"/>
        <v>1423620.8</v>
      </c>
      <c r="L51" s="137">
        <v>1121340</v>
      </c>
      <c r="M51" s="138">
        <f t="shared" si="32"/>
        <v>213054.6</v>
      </c>
      <c r="N51" s="138">
        <f t="shared" si="33"/>
        <v>1334394.6000000001</v>
      </c>
      <c r="O51" s="141">
        <f t="shared" si="47"/>
        <v>1334394.6000000001</v>
      </c>
      <c r="P51" s="140">
        <v>1180542</v>
      </c>
      <c r="Q51" s="138">
        <f t="shared" si="34"/>
        <v>224302.98</v>
      </c>
      <c r="R51" s="138">
        <f t="shared" si="35"/>
        <v>1404844.98</v>
      </c>
      <c r="S51" s="141">
        <f t="shared" si="48"/>
        <v>1404844.98</v>
      </c>
      <c r="T51" s="138">
        <v>1242088</v>
      </c>
      <c r="U51" s="138">
        <f t="shared" si="41"/>
        <v>235996.72</v>
      </c>
      <c r="V51" s="138">
        <f t="shared" si="42"/>
        <v>1478084.72</v>
      </c>
      <c r="W51" s="141">
        <f t="shared" si="49"/>
        <v>1478084.72</v>
      </c>
      <c r="X51" s="138">
        <v>1175150</v>
      </c>
      <c r="Y51" s="138">
        <f t="shared" si="36"/>
        <v>223278.5</v>
      </c>
      <c r="Z51" s="138">
        <f t="shared" si="37"/>
        <v>1398428.5</v>
      </c>
      <c r="AA51" s="139">
        <f t="shared" si="50"/>
        <v>1398428.5</v>
      </c>
      <c r="AB51" s="152">
        <f t="shared" si="43"/>
        <v>403361.34453781514</v>
      </c>
      <c r="AC51" s="125">
        <f t="shared" si="44"/>
        <v>76638.655462184863</v>
      </c>
      <c r="AD51" s="153">
        <v>480000</v>
      </c>
      <c r="AE51" s="183">
        <f t="shared" si="45"/>
        <v>480000</v>
      </c>
      <c r="AF51" s="185">
        <f t="shared" si="46"/>
        <v>988403.65915281023</v>
      </c>
      <c r="AG51" s="183">
        <f t="shared" si="38"/>
        <v>1176200.3543918442</v>
      </c>
      <c r="AH51" s="185">
        <f t="shared" si="39"/>
        <v>894191.34039189597</v>
      </c>
      <c r="AI51" s="154">
        <f t="shared" si="40"/>
        <v>1064087.6950663561</v>
      </c>
    </row>
    <row r="52" spans="3:35" ht="63.75">
      <c r="C52" s="2" t="s">
        <v>207</v>
      </c>
      <c r="D52" s="1" t="s">
        <v>178</v>
      </c>
      <c r="E52" s="15" t="s">
        <v>48</v>
      </c>
      <c r="F52" s="1" t="s">
        <v>4</v>
      </c>
      <c r="G52" s="38">
        <v>1</v>
      </c>
      <c r="H52" s="137">
        <v>1683911</v>
      </c>
      <c r="I52" s="138">
        <f t="shared" si="29"/>
        <v>319943.09000000003</v>
      </c>
      <c r="J52" s="138">
        <f t="shared" si="30"/>
        <v>2003854.09</v>
      </c>
      <c r="K52" s="139">
        <f t="shared" si="31"/>
        <v>2003854.09</v>
      </c>
      <c r="L52" s="137">
        <v>1687815.1260504203</v>
      </c>
      <c r="M52" s="138">
        <f t="shared" si="32"/>
        <v>320684.87394957989</v>
      </c>
      <c r="N52" s="138">
        <f t="shared" si="33"/>
        <v>2008500.0000000002</v>
      </c>
      <c r="O52" s="141">
        <f t="shared" si="47"/>
        <v>2008500.0000000002</v>
      </c>
      <c r="P52" s="140">
        <v>1599863</v>
      </c>
      <c r="Q52" s="138">
        <f t="shared" si="34"/>
        <v>303973.97000000003</v>
      </c>
      <c r="R52" s="138">
        <f t="shared" si="35"/>
        <v>1903836.97</v>
      </c>
      <c r="S52" s="141">
        <f t="shared" si="48"/>
        <v>1903836.97</v>
      </c>
      <c r="T52" s="138">
        <v>1697456</v>
      </c>
      <c r="U52" s="138">
        <f t="shared" si="41"/>
        <v>322516.64</v>
      </c>
      <c r="V52" s="138">
        <f t="shared" si="42"/>
        <v>2019972.6400000001</v>
      </c>
      <c r="W52" s="141">
        <f t="shared" si="49"/>
        <v>2019972.6400000001</v>
      </c>
      <c r="X52" s="138">
        <v>1644037</v>
      </c>
      <c r="Y52" s="138">
        <f t="shared" si="36"/>
        <v>312367.03000000003</v>
      </c>
      <c r="Z52" s="138">
        <f t="shared" si="37"/>
        <v>1956404.03</v>
      </c>
      <c r="AA52" s="139">
        <f t="shared" si="50"/>
        <v>1956404.03</v>
      </c>
      <c r="AB52" s="152">
        <f t="shared" si="43"/>
        <v>885714.2857142858</v>
      </c>
      <c r="AC52" s="125">
        <f t="shared" si="44"/>
        <v>168285.7142857142</v>
      </c>
      <c r="AD52" s="153">
        <v>1054000</v>
      </c>
      <c r="AE52" s="183">
        <f t="shared" si="45"/>
        <v>1054000</v>
      </c>
      <c r="AF52" s="185">
        <f t="shared" si="46"/>
        <v>1496655.2069651175</v>
      </c>
      <c r="AG52" s="183">
        <f t="shared" si="38"/>
        <v>1781019.6962884895</v>
      </c>
      <c r="AH52" s="185">
        <f t="shared" si="39"/>
        <v>1450046.2509455439</v>
      </c>
      <c r="AI52" s="154">
        <f t="shared" si="40"/>
        <v>1725555.0386251975</v>
      </c>
    </row>
    <row r="53" spans="3:35" ht="38.25">
      <c r="C53" s="2" t="s">
        <v>208</v>
      </c>
      <c r="D53" s="1" t="s">
        <v>179</v>
      </c>
      <c r="E53" s="15" t="s">
        <v>49</v>
      </c>
      <c r="F53" s="1" t="s">
        <v>4</v>
      </c>
      <c r="G53" s="38">
        <v>1</v>
      </c>
      <c r="H53" s="137">
        <v>2120748</v>
      </c>
      <c r="I53" s="138">
        <f t="shared" si="29"/>
        <v>402942.12</v>
      </c>
      <c r="J53" s="138">
        <f t="shared" si="30"/>
        <v>2523690.12</v>
      </c>
      <c r="K53" s="139">
        <f t="shared" si="31"/>
        <v>2523690.12</v>
      </c>
      <c r="L53" s="137">
        <v>3767647.0588235296</v>
      </c>
      <c r="M53" s="138">
        <f t="shared" si="32"/>
        <v>715852.9411764706</v>
      </c>
      <c r="N53" s="138">
        <f t="shared" si="33"/>
        <v>4483500</v>
      </c>
      <c r="O53" s="141">
        <f t="shared" si="47"/>
        <v>4483500</v>
      </c>
      <c r="P53" s="140">
        <v>1999606</v>
      </c>
      <c r="Q53" s="138">
        <f t="shared" si="34"/>
        <v>379925.14</v>
      </c>
      <c r="R53" s="138">
        <f t="shared" si="35"/>
        <v>2379531.14</v>
      </c>
      <c r="S53" s="141">
        <f t="shared" si="48"/>
        <v>2379531.14</v>
      </c>
      <c r="T53" s="138">
        <v>2179377</v>
      </c>
      <c r="U53" s="138">
        <f t="shared" si="41"/>
        <v>414081.63</v>
      </c>
      <c r="V53" s="138">
        <f t="shared" si="42"/>
        <v>2593458.63</v>
      </c>
      <c r="W53" s="141">
        <f t="shared" si="49"/>
        <v>2593458.63</v>
      </c>
      <c r="X53" s="138">
        <v>2159806</v>
      </c>
      <c r="Y53" s="138">
        <f t="shared" si="36"/>
        <v>410363.14</v>
      </c>
      <c r="Z53" s="138">
        <f t="shared" si="37"/>
        <v>2570169.14</v>
      </c>
      <c r="AA53" s="139">
        <f t="shared" si="50"/>
        <v>2570169.14</v>
      </c>
      <c r="AB53" s="152">
        <f t="shared" si="43"/>
        <v>1211764.705882353</v>
      </c>
      <c r="AC53" s="125">
        <f t="shared" si="44"/>
        <v>230235.29411764699</v>
      </c>
      <c r="AD53" s="153">
        <v>1442000</v>
      </c>
      <c r="AE53" s="183">
        <f t="shared" si="45"/>
        <v>1442000</v>
      </c>
      <c r="AF53" s="185">
        <f t="shared" si="46"/>
        <v>2121346.0479243551</v>
      </c>
      <c r="AG53" s="183">
        <f t="shared" si="38"/>
        <v>2524401.7970299828</v>
      </c>
      <c r="AH53" s="185">
        <f t="shared" si="39"/>
        <v>2010628.2506416766</v>
      </c>
      <c r="AI53" s="154">
        <f t="shared" si="40"/>
        <v>2392647.6182635953</v>
      </c>
    </row>
    <row r="54" spans="3:35" ht="51">
      <c r="C54" s="2" t="s">
        <v>209</v>
      </c>
      <c r="D54" s="1" t="s">
        <v>180</v>
      </c>
      <c r="E54" s="15" t="s">
        <v>61</v>
      </c>
      <c r="F54" s="1" t="s">
        <v>4</v>
      </c>
      <c r="G54" s="38">
        <v>20</v>
      </c>
      <c r="H54" s="137">
        <v>169660</v>
      </c>
      <c r="I54" s="138">
        <f t="shared" si="29"/>
        <v>32235.4</v>
      </c>
      <c r="J54" s="138">
        <f t="shared" si="30"/>
        <v>201895.4</v>
      </c>
      <c r="K54" s="139">
        <f t="shared" si="31"/>
        <v>4037908</v>
      </c>
      <c r="L54" s="137">
        <v>107142.85714285716</v>
      </c>
      <c r="M54" s="138">
        <f t="shared" si="32"/>
        <v>20357.142857142862</v>
      </c>
      <c r="N54" s="138">
        <f t="shared" si="33"/>
        <v>127500.00000000003</v>
      </c>
      <c r="O54" s="141">
        <f t="shared" si="47"/>
        <v>2550000.0000000005</v>
      </c>
      <c r="P54" s="140">
        <v>156480</v>
      </c>
      <c r="Q54" s="138">
        <f t="shared" si="34"/>
        <v>29731.200000000001</v>
      </c>
      <c r="R54" s="138">
        <f t="shared" si="35"/>
        <v>186211.20000000001</v>
      </c>
      <c r="S54" s="141">
        <f t="shared" si="48"/>
        <v>3724224</v>
      </c>
      <c r="T54" s="138">
        <v>174047</v>
      </c>
      <c r="U54" s="138">
        <f t="shared" si="41"/>
        <v>33068.93</v>
      </c>
      <c r="V54" s="138">
        <f t="shared" si="42"/>
        <v>207115.93</v>
      </c>
      <c r="W54" s="141">
        <f t="shared" si="49"/>
        <v>4142318.5999999996</v>
      </c>
      <c r="X54" s="138">
        <v>167235</v>
      </c>
      <c r="Y54" s="138">
        <f t="shared" si="36"/>
        <v>31774.65</v>
      </c>
      <c r="Z54" s="138">
        <f t="shared" si="37"/>
        <v>199009.65</v>
      </c>
      <c r="AA54" s="139">
        <f t="shared" si="50"/>
        <v>3980193</v>
      </c>
      <c r="AB54" s="152">
        <f t="shared" si="43"/>
        <v>42016.806722689078</v>
      </c>
      <c r="AC54" s="125">
        <f t="shared" si="44"/>
        <v>7983.193277310922</v>
      </c>
      <c r="AD54" s="153">
        <v>50000</v>
      </c>
      <c r="AE54" s="183">
        <f t="shared" si="45"/>
        <v>1000000</v>
      </c>
      <c r="AF54" s="185">
        <f t="shared" si="46"/>
        <v>123093.85713241471</v>
      </c>
      <c r="AG54" s="183">
        <f t="shared" si="38"/>
        <v>146481.68998757348</v>
      </c>
      <c r="AH54" s="185">
        <f t="shared" si="39"/>
        <v>104999.27517759505</v>
      </c>
      <c r="AI54" s="154">
        <f t="shared" si="40"/>
        <v>124949.1374613381</v>
      </c>
    </row>
    <row r="55" spans="3:35" ht="51">
      <c r="C55" s="2" t="s">
        <v>210</v>
      </c>
      <c r="D55" s="1" t="s">
        <v>181</v>
      </c>
      <c r="E55" s="15" t="s">
        <v>50</v>
      </c>
      <c r="F55" s="1" t="s">
        <v>4</v>
      </c>
      <c r="G55" s="38">
        <v>3</v>
      </c>
      <c r="H55" s="137">
        <v>106037</v>
      </c>
      <c r="I55" s="138">
        <f t="shared" si="29"/>
        <v>20147.03</v>
      </c>
      <c r="J55" s="138">
        <f t="shared" si="30"/>
        <v>126184.03</v>
      </c>
      <c r="K55" s="139">
        <f t="shared" si="31"/>
        <v>378552.08999999997</v>
      </c>
      <c r="L55" s="137">
        <v>123529.41176470587</v>
      </c>
      <c r="M55" s="138">
        <f t="shared" si="32"/>
        <v>23470.588235294115</v>
      </c>
      <c r="N55" s="138">
        <f t="shared" si="33"/>
        <v>147000</v>
      </c>
      <c r="O55" s="141">
        <f t="shared" si="47"/>
        <v>441000</v>
      </c>
      <c r="P55" s="140">
        <v>100210</v>
      </c>
      <c r="Q55" s="138">
        <f t="shared" si="34"/>
        <v>19039.900000000001</v>
      </c>
      <c r="R55" s="138">
        <f t="shared" si="35"/>
        <v>119249.9</v>
      </c>
      <c r="S55" s="141">
        <f t="shared" si="48"/>
        <v>357749.69999999995</v>
      </c>
      <c r="T55" s="138">
        <v>111681</v>
      </c>
      <c r="U55" s="138">
        <f t="shared" si="41"/>
        <v>21219.39</v>
      </c>
      <c r="V55" s="138">
        <f t="shared" si="42"/>
        <v>132900.39000000001</v>
      </c>
      <c r="W55" s="141">
        <f t="shared" si="49"/>
        <v>398701.17000000004</v>
      </c>
      <c r="X55" s="138">
        <v>105833</v>
      </c>
      <c r="Y55" s="138">
        <f t="shared" si="36"/>
        <v>20108.27</v>
      </c>
      <c r="Z55" s="138">
        <f t="shared" si="37"/>
        <v>125941.27</v>
      </c>
      <c r="AA55" s="139">
        <f t="shared" si="50"/>
        <v>377823.81</v>
      </c>
      <c r="AB55" s="152">
        <f t="shared" si="43"/>
        <v>98235.294117647063</v>
      </c>
      <c r="AC55" s="125">
        <f t="shared" si="44"/>
        <v>18664.705882352937</v>
      </c>
      <c r="AD55" s="153">
        <v>116900</v>
      </c>
      <c r="AE55" s="183">
        <f t="shared" si="45"/>
        <v>350700</v>
      </c>
      <c r="AF55" s="185">
        <f t="shared" si="46"/>
        <v>107275.64549003524</v>
      </c>
      <c r="AG55" s="183">
        <f t="shared" si="38"/>
        <v>127658.01813314193</v>
      </c>
      <c r="AH55" s="185">
        <f t="shared" si="39"/>
        <v>106975.67621099226</v>
      </c>
      <c r="AI55" s="154">
        <f t="shared" si="40"/>
        <v>127301.05469108079</v>
      </c>
    </row>
    <row r="56" spans="3:35" ht="51">
      <c r="C56" s="2" t="s">
        <v>211</v>
      </c>
      <c r="D56" s="1" t="s">
        <v>182</v>
      </c>
      <c r="E56" s="15" t="s">
        <v>17</v>
      </c>
      <c r="F56" s="1" t="s">
        <v>4</v>
      </c>
      <c r="G56" s="38">
        <v>6</v>
      </c>
      <c r="H56" s="137">
        <v>348700</v>
      </c>
      <c r="I56" s="138">
        <f t="shared" si="29"/>
        <v>66253</v>
      </c>
      <c r="J56" s="138">
        <f t="shared" si="30"/>
        <v>414953</v>
      </c>
      <c r="K56" s="139">
        <f t="shared" si="31"/>
        <v>2489718</v>
      </c>
      <c r="L56" s="137">
        <v>277184.87394957984</v>
      </c>
      <c r="M56" s="138">
        <f t="shared" si="32"/>
        <v>52665.126050420171</v>
      </c>
      <c r="N56" s="138">
        <f t="shared" si="33"/>
        <v>329850</v>
      </c>
      <c r="O56" s="141">
        <f t="shared" si="47"/>
        <v>1979100</v>
      </c>
      <c r="P56" s="140">
        <v>350928</v>
      </c>
      <c r="Q56" s="138">
        <f t="shared" si="34"/>
        <v>66676.320000000007</v>
      </c>
      <c r="R56" s="138">
        <f t="shared" si="35"/>
        <v>417604.32</v>
      </c>
      <c r="S56" s="141">
        <f t="shared" si="48"/>
        <v>2505625.92</v>
      </c>
      <c r="T56" s="138">
        <v>332517</v>
      </c>
      <c r="U56" s="138">
        <f t="shared" si="41"/>
        <v>63178.23</v>
      </c>
      <c r="V56" s="138">
        <f t="shared" si="42"/>
        <v>395695.23</v>
      </c>
      <c r="W56" s="141">
        <f t="shared" si="49"/>
        <v>2374171.38</v>
      </c>
      <c r="X56" s="138">
        <v>326266</v>
      </c>
      <c r="Y56" s="138">
        <f t="shared" si="36"/>
        <v>61990.54</v>
      </c>
      <c r="Z56" s="138">
        <f t="shared" si="37"/>
        <v>388256.54</v>
      </c>
      <c r="AA56" s="139">
        <f t="shared" si="50"/>
        <v>2329539.2399999998</v>
      </c>
      <c r="AB56" s="152">
        <f t="shared" si="43"/>
        <v>257142.85714285716</v>
      </c>
      <c r="AC56" s="125">
        <f t="shared" si="44"/>
        <v>48857.142857142841</v>
      </c>
      <c r="AD56" s="153">
        <v>306000</v>
      </c>
      <c r="AE56" s="183">
        <f t="shared" si="45"/>
        <v>1836000</v>
      </c>
      <c r="AF56" s="185">
        <f t="shared" si="46"/>
        <v>313328.52829320991</v>
      </c>
      <c r="AG56" s="183">
        <f t="shared" si="38"/>
        <v>372860.94866891979</v>
      </c>
      <c r="AH56" s="185">
        <f t="shared" si="39"/>
        <v>311101.3365522626</v>
      </c>
      <c r="AI56" s="154">
        <f t="shared" si="40"/>
        <v>370210.59049719264</v>
      </c>
    </row>
    <row r="57" spans="3:35" ht="51">
      <c r="C57" s="2" t="s">
        <v>212</v>
      </c>
      <c r="D57" s="1" t="s">
        <v>183</v>
      </c>
      <c r="E57" s="15" t="s">
        <v>51</v>
      </c>
      <c r="F57" s="1" t="s">
        <v>4</v>
      </c>
      <c r="G57" s="38">
        <v>5</v>
      </c>
      <c r="H57" s="137">
        <v>170385</v>
      </c>
      <c r="I57" s="138">
        <f t="shared" si="29"/>
        <v>32373.15</v>
      </c>
      <c r="J57" s="138">
        <f t="shared" si="30"/>
        <v>202758.15</v>
      </c>
      <c r="K57" s="139">
        <f t="shared" si="31"/>
        <v>1013790.75</v>
      </c>
      <c r="L57" s="137">
        <v>70588.23529411765</v>
      </c>
      <c r="M57" s="138">
        <f t="shared" si="32"/>
        <v>13411.764705882353</v>
      </c>
      <c r="N57" s="138">
        <f t="shared" si="33"/>
        <v>84000</v>
      </c>
      <c r="O57" s="141">
        <f t="shared" si="47"/>
        <v>420000</v>
      </c>
      <c r="P57" s="140">
        <v>168045</v>
      </c>
      <c r="Q57" s="138">
        <f t="shared" si="34"/>
        <v>31928.55</v>
      </c>
      <c r="R57" s="138">
        <f t="shared" si="35"/>
        <v>199973.55</v>
      </c>
      <c r="S57" s="141">
        <f t="shared" si="48"/>
        <v>999867.75</v>
      </c>
      <c r="T57" s="138">
        <v>175826</v>
      </c>
      <c r="U57" s="138">
        <f t="shared" si="41"/>
        <v>33406.94</v>
      </c>
      <c r="V57" s="138">
        <f t="shared" si="42"/>
        <v>209232.94</v>
      </c>
      <c r="W57" s="141">
        <f t="shared" si="49"/>
        <v>1046164.7</v>
      </c>
      <c r="X57" s="138">
        <v>167626</v>
      </c>
      <c r="Y57" s="138">
        <f t="shared" si="36"/>
        <v>31848.94</v>
      </c>
      <c r="Z57" s="138">
        <f t="shared" si="37"/>
        <v>199474.94</v>
      </c>
      <c r="AA57" s="139">
        <f t="shared" si="50"/>
        <v>997374.7</v>
      </c>
      <c r="AB57" s="152">
        <f t="shared" si="43"/>
        <v>67226.890756302528</v>
      </c>
      <c r="AC57" s="125">
        <f t="shared" si="44"/>
        <v>12773.109243697472</v>
      </c>
      <c r="AD57" s="153">
        <v>80000</v>
      </c>
      <c r="AE57" s="183">
        <f t="shared" si="45"/>
        <v>400000</v>
      </c>
      <c r="AF57" s="185">
        <f t="shared" si="46"/>
        <v>126016.12772007797</v>
      </c>
      <c r="AG57" s="183">
        <f t="shared" si="38"/>
        <v>149959.19198689278</v>
      </c>
      <c r="AH57" s="185">
        <f t="shared" si="39"/>
        <v>114253.90263420661</v>
      </c>
      <c r="AI57" s="154">
        <f t="shared" si="40"/>
        <v>135962.14413470586</v>
      </c>
    </row>
    <row r="58" spans="3:35" ht="25.5">
      <c r="C58" s="2" t="s">
        <v>213</v>
      </c>
      <c r="D58" s="1" t="s">
        <v>184</v>
      </c>
      <c r="E58" s="15" t="s">
        <v>52</v>
      </c>
      <c r="F58" s="1" t="s">
        <v>4</v>
      </c>
      <c r="G58" s="38">
        <v>10</v>
      </c>
      <c r="H58" s="137">
        <v>59816</v>
      </c>
      <c r="I58" s="138">
        <f t="shared" si="29"/>
        <v>11365.04</v>
      </c>
      <c r="J58" s="138">
        <f t="shared" si="30"/>
        <v>71181.040000000008</v>
      </c>
      <c r="K58" s="139">
        <f t="shared" si="31"/>
        <v>711810.40000000014</v>
      </c>
      <c r="L58" s="137">
        <v>56722.68907563026</v>
      </c>
      <c r="M58" s="138">
        <f t="shared" si="32"/>
        <v>10777.310924369749</v>
      </c>
      <c r="N58" s="138">
        <f t="shared" si="33"/>
        <v>67500.000000000015</v>
      </c>
      <c r="O58" s="141">
        <f t="shared" si="47"/>
        <v>675000.00000000012</v>
      </c>
      <c r="P58" s="140">
        <v>57033</v>
      </c>
      <c r="Q58" s="138">
        <f t="shared" si="34"/>
        <v>10836.27</v>
      </c>
      <c r="R58" s="138">
        <f t="shared" si="35"/>
        <v>67869.27</v>
      </c>
      <c r="S58" s="141">
        <f t="shared" si="48"/>
        <v>678692.70000000007</v>
      </c>
      <c r="T58" s="138">
        <v>62820</v>
      </c>
      <c r="U58" s="138">
        <f t="shared" si="41"/>
        <v>11935.8</v>
      </c>
      <c r="V58" s="138">
        <f t="shared" si="42"/>
        <v>74755.8</v>
      </c>
      <c r="W58" s="141">
        <f t="shared" si="49"/>
        <v>747558</v>
      </c>
      <c r="X58" s="138">
        <v>60980</v>
      </c>
      <c r="Y58" s="138">
        <f t="shared" si="36"/>
        <v>11586.2</v>
      </c>
      <c r="Z58" s="138">
        <f t="shared" si="37"/>
        <v>72566.2</v>
      </c>
      <c r="AA58" s="139">
        <f t="shared" si="50"/>
        <v>725662</v>
      </c>
      <c r="AB58" s="152">
        <f t="shared" si="43"/>
        <v>25210.084033613446</v>
      </c>
      <c r="AC58" s="125">
        <f t="shared" si="44"/>
        <v>4789.9159663865539</v>
      </c>
      <c r="AD58" s="153">
        <v>30000</v>
      </c>
      <c r="AE58" s="183">
        <f t="shared" si="45"/>
        <v>300000</v>
      </c>
      <c r="AF58" s="185">
        <f t="shared" si="46"/>
        <v>51514.16604722121</v>
      </c>
      <c r="AG58" s="183">
        <f t="shared" si="38"/>
        <v>61301.857596193244</v>
      </c>
      <c r="AH58" s="185">
        <f t="shared" si="39"/>
        <v>48439.733407932574</v>
      </c>
      <c r="AI58" s="154">
        <f t="shared" si="40"/>
        <v>57643.282755439766</v>
      </c>
    </row>
    <row r="59" spans="3:35" ht="51">
      <c r="C59" s="2" t="s">
        <v>214</v>
      </c>
      <c r="D59" s="1" t="s">
        <v>185</v>
      </c>
      <c r="E59" s="15" t="s">
        <v>59</v>
      </c>
      <c r="F59" s="1" t="s">
        <v>4</v>
      </c>
      <c r="G59" s="38">
        <v>5</v>
      </c>
      <c r="H59" s="137">
        <v>262827</v>
      </c>
      <c r="I59" s="138">
        <f t="shared" si="29"/>
        <v>49937.13</v>
      </c>
      <c r="J59" s="138">
        <f t="shared" si="30"/>
        <v>312764.13</v>
      </c>
      <c r="K59" s="139">
        <f t="shared" si="31"/>
        <v>1563820.65</v>
      </c>
      <c r="L59" s="137">
        <v>403361.3445378152</v>
      </c>
      <c r="M59" s="138">
        <f t="shared" si="32"/>
        <v>76638.655462184892</v>
      </c>
      <c r="N59" s="138">
        <f t="shared" si="33"/>
        <v>480000.00000000012</v>
      </c>
      <c r="O59" s="141">
        <f t="shared" si="47"/>
        <v>2400000.0000000005</v>
      </c>
      <c r="P59" s="140">
        <v>245769</v>
      </c>
      <c r="Q59" s="138">
        <f t="shared" si="34"/>
        <v>46696.11</v>
      </c>
      <c r="R59" s="138">
        <f t="shared" si="35"/>
        <v>292465.11</v>
      </c>
      <c r="S59" s="141">
        <f t="shared" si="48"/>
        <v>1462325.5499999998</v>
      </c>
      <c r="T59" s="138">
        <v>279594</v>
      </c>
      <c r="U59" s="138">
        <f t="shared" si="41"/>
        <v>53122.86</v>
      </c>
      <c r="V59" s="138">
        <f t="shared" si="42"/>
        <v>332716.86</v>
      </c>
      <c r="W59" s="141">
        <f t="shared" si="49"/>
        <v>1663584.2999999998</v>
      </c>
      <c r="X59" s="138">
        <v>230906</v>
      </c>
      <c r="Y59" s="138">
        <f t="shared" si="36"/>
        <v>43872.14</v>
      </c>
      <c r="Z59" s="138">
        <f t="shared" si="37"/>
        <v>274778.14</v>
      </c>
      <c r="AA59" s="139">
        <f t="shared" si="50"/>
        <v>1373890.7000000002</v>
      </c>
      <c r="AB59" s="152">
        <f t="shared" si="43"/>
        <v>159663.8655462185</v>
      </c>
      <c r="AC59" s="125">
        <f t="shared" si="44"/>
        <v>30336.134453781502</v>
      </c>
      <c r="AD59" s="153">
        <v>190000</v>
      </c>
      <c r="AE59" s="183">
        <f t="shared" si="45"/>
        <v>950000</v>
      </c>
      <c r="AF59" s="185">
        <f t="shared" si="46"/>
        <v>254005.7279062203</v>
      </c>
      <c r="AG59" s="183">
        <f t="shared" si="38"/>
        <v>302266.81620840216</v>
      </c>
      <c r="AH59" s="185">
        <f t="shared" si="39"/>
        <v>244664.76467779255</v>
      </c>
      <c r="AI59" s="154">
        <f t="shared" si="40"/>
        <v>291151.06996657309</v>
      </c>
    </row>
    <row r="60" spans="3:35" ht="25.5">
      <c r="C60" s="2" t="s">
        <v>215</v>
      </c>
      <c r="D60" s="1" t="s">
        <v>186</v>
      </c>
      <c r="E60" s="15" t="s">
        <v>53</v>
      </c>
      <c r="F60" s="1" t="s">
        <v>4</v>
      </c>
      <c r="G60" s="38">
        <v>5</v>
      </c>
      <c r="H60" s="137">
        <v>83380</v>
      </c>
      <c r="I60" s="138">
        <f t="shared" si="29"/>
        <v>15842.2</v>
      </c>
      <c r="J60" s="138">
        <f t="shared" si="30"/>
        <v>99222.2</v>
      </c>
      <c r="K60" s="139">
        <f t="shared" si="31"/>
        <v>496111</v>
      </c>
      <c r="L60" s="137">
        <v>43991.596638655465</v>
      </c>
      <c r="M60" s="138">
        <f t="shared" si="32"/>
        <v>8358.403361344539</v>
      </c>
      <c r="N60" s="138">
        <f t="shared" si="33"/>
        <v>52350</v>
      </c>
      <c r="O60" s="141">
        <f t="shared" si="47"/>
        <v>261750</v>
      </c>
      <c r="P60" s="140">
        <v>80392</v>
      </c>
      <c r="Q60" s="138">
        <f t="shared" si="34"/>
        <v>15274.48</v>
      </c>
      <c r="R60" s="138">
        <f t="shared" si="35"/>
        <v>95666.48</v>
      </c>
      <c r="S60" s="141">
        <f t="shared" si="48"/>
        <v>478332.39999999997</v>
      </c>
      <c r="T60" s="138">
        <v>86394</v>
      </c>
      <c r="U60" s="138">
        <f t="shared" si="41"/>
        <v>16414.86</v>
      </c>
      <c r="V60" s="138">
        <f t="shared" si="42"/>
        <v>102808.86</v>
      </c>
      <c r="W60" s="141">
        <f t="shared" si="49"/>
        <v>514044.3</v>
      </c>
      <c r="X60" s="138">
        <v>85003</v>
      </c>
      <c r="Y60" s="138">
        <f t="shared" si="36"/>
        <v>16150.57</v>
      </c>
      <c r="Z60" s="138">
        <f t="shared" si="37"/>
        <v>101153.57</v>
      </c>
      <c r="AA60" s="139">
        <f t="shared" si="50"/>
        <v>505767.85000000003</v>
      </c>
      <c r="AB60" s="152">
        <f t="shared" si="43"/>
        <v>25210.084033613446</v>
      </c>
      <c r="AC60" s="125">
        <f t="shared" si="44"/>
        <v>4789.9159663865539</v>
      </c>
      <c r="AD60" s="153">
        <v>30000</v>
      </c>
      <c r="AE60" s="183">
        <f t="shared" si="45"/>
        <v>150000</v>
      </c>
      <c r="AF60" s="185">
        <f t="shared" si="46"/>
        <v>61591.781071789046</v>
      </c>
      <c r="AG60" s="183">
        <f t="shared" si="38"/>
        <v>73294.219475428967</v>
      </c>
      <c r="AH60" s="185">
        <f t="shared" si="39"/>
        <v>54461.394975515235</v>
      </c>
      <c r="AI60" s="154">
        <f t="shared" si="40"/>
        <v>64809.060020863122</v>
      </c>
    </row>
    <row r="61" spans="3:35" ht="76.5">
      <c r="C61" s="2" t="s">
        <v>216</v>
      </c>
      <c r="D61" s="1" t="s">
        <v>187</v>
      </c>
      <c r="E61" s="15" t="s">
        <v>54</v>
      </c>
      <c r="F61" s="1" t="s">
        <v>4</v>
      </c>
      <c r="G61" s="38">
        <v>5</v>
      </c>
      <c r="H61" s="137">
        <v>191456</v>
      </c>
      <c r="I61" s="138">
        <f t="shared" si="29"/>
        <v>36376.639999999999</v>
      </c>
      <c r="J61" s="138">
        <f t="shared" si="30"/>
        <v>227832.64</v>
      </c>
      <c r="K61" s="139">
        <f t="shared" si="31"/>
        <v>1139163.2000000002</v>
      </c>
      <c r="L61" s="137">
        <v>88865.546218487405</v>
      </c>
      <c r="M61" s="138">
        <f t="shared" si="32"/>
        <v>16884.453781512606</v>
      </c>
      <c r="N61" s="138">
        <f t="shared" si="33"/>
        <v>105750.00000000001</v>
      </c>
      <c r="O61" s="141">
        <f t="shared" si="47"/>
        <v>528750.00000000012</v>
      </c>
      <c r="P61" s="140">
        <v>179264</v>
      </c>
      <c r="Q61" s="138">
        <f t="shared" si="34"/>
        <v>34060.160000000003</v>
      </c>
      <c r="R61" s="138">
        <f t="shared" si="35"/>
        <v>213324.16</v>
      </c>
      <c r="S61" s="141">
        <f t="shared" si="48"/>
        <v>1066620.8</v>
      </c>
      <c r="T61" s="138">
        <v>191331</v>
      </c>
      <c r="U61" s="138">
        <f t="shared" si="41"/>
        <v>36352.89</v>
      </c>
      <c r="V61" s="138">
        <f t="shared" si="42"/>
        <v>227683.89</v>
      </c>
      <c r="W61" s="141">
        <f t="shared" si="49"/>
        <v>1138419.4500000002</v>
      </c>
      <c r="X61" s="138">
        <v>194325</v>
      </c>
      <c r="Y61" s="138">
        <f t="shared" si="36"/>
        <v>36921.75</v>
      </c>
      <c r="Z61" s="138">
        <f t="shared" si="37"/>
        <v>231246.75</v>
      </c>
      <c r="AA61" s="139">
        <f t="shared" si="50"/>
        <v>1156233.75</v>
      </c>
      <c r="AB61" s="152">
        <f t="shared" si="43"/>
        <v>59243.697478991598</v>
      </c>
      <c r="AC61" s="125">
        <f t="shared" si="44"/>
        <v>11256.302521008402</v>
      </c>
      <c r="AD61" s="153">
        <v>70500</v>
      </c>
      <c r="AE61" s="183">
        <f t="shared" si="45"/>
        <v>352500</v>
      </c>
      <c r="AF61" s="185">
        <f t="shared" si="46"/>
        <v>137364.74216981564</v>
      </c>
      <c r="AG61" s="183">
        <f t="shared" si="38"/>
        <v>163464.04318208061</v>
      </c>
      <c r="AH61" s="185">
        <f t="shared" si="39"/>
        <v>121687.93917863944</v>
      </c>
      <c r="AI61" s="154">
        <f t="shared" si="40"/>
        <v>144808.64762258096</v>
      </c>
    </row>
    <row r="62" spans="3:35" ht="76.5">
      <c r="C62" s="2" t="s">
        <v>217</v>
      </c>
      <c r="D62" s="1" t="s">
        <v>188</v>
      </c>
      <c r="E62" s="15" t="s">
        <v>298</v>
      </c>
      <c r="F62" s="1" t="s">
        <v>4</v>
      </c>
      <c r="G62" s="38">
        <v>10</v>
      </c>
      <c r="H62" s="137">
        <v>73637</v>
      </c>
      <c r="I62" s="138">
        <f t="shared" si="29"/>
        <v>13991.03</v>
      </c>
      <c r="J62" s="138">
        <f t="shared" si="30"/>
        <v>87628.03</v>
      </c>
      <c r="K62" s="139">
        <f t="shared" si="31"/>
        <v>876280.3</v>
      </c>
      <c r="L62" s="137">
        <v>72983.193277310929</v>
      </c>
      <c r="M62" s="138">
        <f t="shared" si="32"/>
        <v>13866.806722689076</v>
      </c>
      <c r="N62" s="138">
        <f t="shared" si="33"/>
        <v>86850</v>
      </c>
      <c r="O62" s="141">
        <f t="shared" si="47"/>
        <v>868500</v>
      </c>
      <c r="P62" s="140">
        <v>70936</v>
      </c>
      <c r="Q62" s="138">
        <f t="shared" si="34"/>
        <v>13477.84</v>
      </c>
      <c r="R62" s="138">
        <f t="shared" si="35"/>
        <v>84413.84</v>
      </c>
      <c r="S62" s="141">
        <f t="shared" si="48"/>
        <v>844138.39999999991</v>
      </c>
      <c r="T62" s="138">
        <v>76887</v>
      </c>
      <c r="U62" s="138">
        <f t="shared" si="41"/>
        <v>14608.53</v>
      </c>
      <c r="V62" s="138">
        <f t="shared" si="42"/>
        <v>91495.53</v>
      </c>
      <c r="W62" s="141">
        <f t="shared" si="49"/>
        <v>914955.3</v>
      </c>
      <c r="X62" s="138">
        <v>75878</v>
      </c>
      <c r="Y62" s="138">
        <f t="shared" si="36"/>
        <v>14416.82</v>
      </c>
      <c r="Z62" s="138">
        <f t="shared" si="37"/>
        <v>90294.82</v>
      </c>
      <c r="AA62" s="139">
        <f t="shared" si="50"/>
        <v>902948.20000000007</v>
      </c>
      <c r="AB62" s="152">
        <f t="shared" si="43"/>
        <v>50420.168067226892</v>
      </c>
      <c r="AC62" s="125">
        <f t="shared" si="44"/>
        <v>9579.8319327731078</v>
      </c>
      <c r="AD62" s="153">
        <v>60000</v>
      </c>
      <c r="AE62" s="183">
        <f t="shared" si="45"/>
        <v>600000</v>
      </c>
      <c r="AF62" s="185">
        <f t="shared" si="46"/>
        <v>69442.676920222832</v>
      </c>
      <c r="AG62" s="183">
        <f t="shared" si="38"/>
        <v>82636.785535065166</v>
      </c>
      <c r="AH62" s="185">
        <f t="shared" si="39"/>
        <v>68651.761012584888</v>
      </c>
      <c r="AI62" s="154">
        <f t="shared" si="40"/>
        <v>81695.595604976013</v>
      </c>
    </row>
    <row r="63" spans="3:35" ht="25.5">
      <c r="C63" s="2" t="s">
        <v>218</v>
      </c>
      <c r="D63" s="1" t="s">
        <v>189</v>
      </c>
      <c r="E63" s="15" t="s">
        <v>190</v>
      </c>
      <c r="F63" s="1" t="s">
        <v>4</v>
      </c>
      <c r="G63" s="38">
        <v>10</v>
      </c>
      <c r="H63" s="137">
        <v>8157</v>
      </c>
      <c r="I63" s="138">
        <f t="shared" si="29"/>
        <v>1549.83</v>
      </c>
      <c r="J63" s="138">
        <f t="shared" si="30"/>
        <v>9706.83</v>
      </c>
      <c r="K63" s="139">
        <f t="shared" si="31"/>
        <v>97068.3</v>
      </c>
      <c r="L63" s="137">
        <v>18907.563025210085</v>
      </c>
      <c r="M63" s="138">
        <f t="shared" si="32"/>
        <v>3592.4369747899163</v>
      </c>
      <c r="N63" s="138">
        <f t="shared" si="33"/>
        <v>22500</v>
      </c>
      <c r="O63" s="141">
        <f t="shared" si="47"/>
        <v>225000</v>
      </c>
      <c r="P63" s="140">
        <v>8081</v>
      </c>
      <c r="Q63" s="138">
        <f t="shared" si="34"/>
        <v>1535.39</v>
      </c>
      <c r="R63" s="138">
        <f t="shared" si="35"/>
        <v>9616.39</v>
      </c>
      <c r="S63" s="141">
        <f t="shared" si="48"/>
        <v>96163.9</v>
      </c>
      <c r="T63" s="138">
        <v>8460</v>
      </c>
      <c r="U63" s="138">
        <f t="shared" si="41"/>
        <v>1607.4</v>
      </c>
      <c r="V63" s="138">
        <f t="shared" si="42"/>
        <v>10067.4</v>
      </c>
      <c r="W63" s="141">
        <f t="shared" si="49"/>
        <v>100674</v>
      </c>
      <c r="X63" s="138">
        <v>8465</v>
      </c>
      <c r="Y63" s="138">
        <f t="shared" si="36"/>
        <v>1608.35</v>
      </c>
      <c r="Z63" s="138">
        <f t="shared" si="37"/>
        <v>10073.35</v>
      </c>
      <c r="AA63" s="139">
        <f t="shared" si="50"/>
        <v>100733.5</v>
      </c>
      <c r="AB63" s="152">
        <f t="shared" si="43"/>
        <v>9243.6974789915967</v>
      </c>
      <c r="AC63" s="125">
        <f t="shared" si="44"/>
        <v>1756.3025210084033</v>
      </c>
      <c r="AD63" s="153">
        <v>11000</v>
      </c>
      <c r="AE63" s="183">
        <f t="shared" si="45"/>
        <v>110000</v>
      </c>
      <c r="AF63" s="185">
        <f t="shared" si="46"/>
        <v>9684.5407116800016</v>
      </c>
      <c r="AG63" s="183">
        <f t="shared" si="38"/>
        <v>11524.6034468992</v>
      </c>
      <c r="AH63" s="185">
        <f t="shared" si="39"/>
        <v>9320.407756519724</v>
      </c>
      <c r="AI63" s="154">
        <f t="shared" si="40"/>
        <v>11091.285230258471</v>
      </c>
    </row>
    <row r="64" spans="3:35" ht="38.25">
      <c r="C64" s="2" t="s">
        <v>219</v>
      </c>
      <c r="D64" s="1" t="s">
        <v>191</v>
      </c>
      <c r="E64" s="15" t="s">
        <v>299</v>
      </c>
      <c r="F64" s="1" t="s">
        <v>4</v>
      </c>
      <c r="G64" s="38">
        <v>25</v>
      </c>
      <c r="H64" s="137">
        <v>190324</v>
      </c>
      <c r="I64" s="138">
        <f t="shared" si="29"/>
        <v>36161.56</v>
      </c>
      <c r="J64" s="138">
        <f t="shared" si="30"/>
        <v>226485.56</v>
      </c>
      <c r="K64" s="139">
        <f t="shared" si="31"/>
        <v>5662139</v>
      </c>
      <c r="L64" s="137">
        <v>54201.680672268914</v>
      </c>
      <c r="M64" s="138">
        <f t="shared" si="32"/>
        <v>10298.319327731095</v>
      </c>
      <c r="N64" s="138">
        <f t="shared" si="33"/>
        <v>64500.000000000007</v>
      </c>
      <c r="O64" s="141">
        <f t="shared" si="47"/>
        <v>1612500.0000000002</v>
      </c>
      <c r="P64" s="140">
        <v>177525</v>
      </c>
      <c r="Q64" s="138">
        <f t="shared" si="34"/>
        <v>33729.75</v>
      </c>
      <c r="R64" s="138">
        <f t="shared" si="35"/>
        <v>211254.75</v>
      </c>
      <c r="S64" s="141">
        <f t="shared" si="48"/>
        <v>5281368.75</v>
      </c>
      <c r="T64" s="138">
        <v>199692</v>
      </c>
      <c r="U64" s="138">
        <f t="shared" si="41"/>
        <v>37941.480000000003</v>
      </c>
      <c r="V64" s="138">
        <f t="shared" si="42"/>
        <v>237633.48</v>
      </c>
      <c r="W64" s="141">
        <f t="shared" si="49"/>
        <v>5940837</v>
      </c>
      <c r="X64" s="138">
        <v>188831</v>
      </c>
      <c r="Y64" s="138">
        <f t="shared" si="36"/>
        <v>35877.89</v>
      </c>
      <c r="Z64" s="138">
        <f t="shared" si="37"/>
        <v>224708.89</v>
      </c>
      <c r="AA64" s="139">
        <f t="shared" si="50"/>
        <v>5617722.25</v>
      </c>
      <c r="AB64" s="152">
        <f t="shared" si="43"/>
        <v>26890.756302521011</v>
      </c>
      <c r="AC64" s="125">
        <f t="shared" si="44"/>
        <v>5109.2436974789889</v>
      </c>
      <c r="AD64" s="153">
        <v>32000</v>
      </c>
      <c r="AE64" s="183">
        <f t="shared" si="45"/>
        <v>800000</v>
      </c>
      <c r="AF64" s="185">
        <f t="shared" si="46"/>
        <v>110866.53335999711</v>
      </c>
      <c r="AG64" s="183">
        <f t="shared" si="38"/>
        <v>131931.17469839656</v>
      </c>
      <c r="AH64" s="185">
        <f t="shared" si="39"/>
        <v>78096.758610723497</v>
      </c>
      <c r="AI64" s="154">
        <f t="shared" si="40"/>
        <v>92935.14274676099</v>
      </c>
    </row>
    <row r="65" spans="3:35" ht="51">
      <c r="C65" s="2" t="s">
        <v>220</v>
      </c>
      <c r="D65" s="1" t="s">
        <v>192</v>
      </c>
      <c r="E65" s="15" t="s">
        <v>300</v>
      </c>
      <c r="F65" s="1" t="s">
        <v>4</v>
      </c>
      <c r="G65" s="38">
        <v>10</v>
      </c>
      <c r="H65" s="137">
        <v>77761</v>
      </c>
      <c r="I65" s="138">
        <f t="shared" si="29"/>
        <v>14774.59</v>
      </c>
      <c r="J65" s="138">
        <f t="shared" si="30"/>
        <v>92535.59</v>
      </c>
      <c r="K65" s="139">
        <f t="shared" si="31"/>
        <v>925355.89999999991</v>
      </c>
      <c r="L65" s="137">
        <v>352941.17647058825</v>
      </c>
      <c r="M65" s="138">
        <f t="shared" si="32"/>
        <v>67058.823529411762</v>
      </c>
      <c r="N65" s="138">
        <f t="shared" si="33"/>
        <v>420000</v>
      </c>
      <c r="O65" s="141">
        <f t="shared" si="47"/>
        <v>4200000</v>
      </c>
      <c r="P65" s="140">
        <v>74817</v>
      </c>
      <c r="Q65" s="138">
        <f t="shared" si="34"/>
        <v>14215.23</v>
      </c>
      <c r="R65" s="138">
        <f t="shared" si="35"/>
        <v>89032.23</v>
      </c>
      <c r="S65" s="141">
        <f t="shared" si="48"/>
        <v>890322.29999999993</v>
      </c>
      <c r="T65" s="138">
        <v>80081</v>
      </c>
      <c r="U65" s="138">
        <f t="shared" si="41"/>
        <v>15215.39</v>
      </c>
      <c r="V65" s="138">
        <f t="shared" si="42"/>
        <v>95296.39</v>
      </c>
      <c r="W65" s="141">
        <f t="shared" si="49"/>
        <v>952963.9</v>
      </c>
      <c r="X65" s="138">
        <v>77835</v>
      </c>
      <c r="Y65" s="138">
        <f t="shared" si="36"/>
        <v>14788.65</v>
      </c>
      <c r="Z65" s="138">
        <f t="shared" si="37"/>
        <v>92623.65</v>
      </c>
      <c r="AA65" s="139">
        <f t="shared" si="50"/>
        <v>926236.5</v>
      </c>
      <c r="AB65" s="152">
        <f t="shared" si="43"/>
        <v>92436.97478991597</v>
      </c>
      <c r="AC65" s="125">
        <f t="shared" si="44"/>
        <v>17563.02521008403</v>
      </c>
      <c r="AD65" s="153">
        <v>110000</v>
      </c>
      <c r="AE65" s="183">
        <f t="shared" si="45"/>
        <v>1100000</v>
      </c>
      <c r="AF65" s="185">
        <f t="shared" si="46"/>
        <v>102841.66506854822</v>
      </c>
      <c r="AG65" s="183">
        <f t="shared" si="38"/>
        <v>122381.58143157237</v>
      </c>
      <c r="AH65" s="185">
        <f t="shared" si="39"/>
        <v>92007.005631312102</v>
      </c>
      <c r="AI65" s="154">
        <f t="shared" si="40"/>
        <v>109488.33670126142</v>
      </c>
    </row>
    <row r="66" spans="3:35">
      <c r="C66" s="2" t="s">
        <v>221</v>
      </c>
      <c r="D66" s="1" t="s">
        <v>195</v>
      </c>
      <c r="E66" s="15" t="s">
        <v>55</v>
      </c>
      <c r="F66" s="20" t="s">
        <v>1</v>
      </c>
      <c r="G66" s="38">
        <v>30</v>
      </c>
      <c r="H66" s="137">
        <v>31041</v>
      </c>
      <c r="I66" s="138">
        <f t="shared" si="29"/>
        <v>5897.79</v>
      </c>
      <c r="J66" s="138">
        <f t="shared" si="30"/>
        <v>36938.79</v>
      </c>
      <c r="K66" s="139">
        <f t="shared" si="31"/>
        <v>1108163.7</v>
      </c>
      <c r="L66" s="137">
        <v>41974.789915966387</v>
      </c>
      <c r="M66" s="138">
        <f t="shared" si="32"/>
        <v>7975.2100840336134</v>
      </c>
      <c r="N66" s="138">
        <f t="shared" si="33"/>
        <v>49950</v>
      </c>
      <c r="O66" s="141">
        <f t="shared" si="47"/>
        <v>1498500</v>
      </c>
      <c r="P66" s="140">
        <v>29241</v>
      </c>
      <c r="Q66" s="138">
        <f t="shared" si="34"/>
        <v>5555.79</v>
      </c>
      <c r="R66" s="138">
        <f t="shared" si="35"/>
        <v>34796.79</v>
      </c>
      <c r="S66" s="141">
        <f t="shared" si="48"/>
        <v>1043903.7000000001</v>
      </c>
      <c r="T66" s="138">
        <v>31848</v>
      </c>
      <c r="U66" s="138">
        <f t="shared" si="41"/>
        <v>6051.12</v>
      </c>
      <c r="V66" s="138">
        <f t="shared" si="42"/>
        <v>37899.120000000003</v>
      </c>
      <c r="W66" s="141">
        <f t="shared" si="49"/>
        <v>1136973.6000000001</v>
      </c>
      <c r="X66" s="138">
        <v>31991</v>
      </c>
      <c r="Y66" s="138">
        <f t="shared" si="36"/>
        <v>6078.29</v>
      </c>
      <c r="Z66" s="138">
        <f t="shared" si="37"/>
        <v>38069.29</v>
      </c>
      <c r="AA66" s="139">
        <f t="shared" si="50"/>
        <v>1142078.7</v>
      </c>
      <c r="AB66" s="152">
        <f t="shared" si="43"/>
        <v>27731.092436974792</v>
      </c>
      <c r="AC66" s="125">
        <f t="shared" si="44"/>
        <v>5268.9075630252082</v>
      </c>
      <c r="AD66" s="153">
        <v>33000</v>
      </c>
      <c r="AE66" s="183">
        <f t="shared" si="45"/>
        <v>990000</v>
      </c>
      <c r="AF66" s="185">
        <f t="shared" si="46"/>
        <v>32013.432043707828</v>
      </c>
      <c r="AG66" s="183">
        <f t="shared" si="38"/>
        <v>38095.984132012316</v>
      </c>
      <c r="AH66" s="185">
        <f t="shared" si="39"/>
        <v>31753.360025038819</v>
      </c>
      <c r="AI66" s="154">
        <f t="shared" si="40"/>
        <v>37786.4984297962</v>
      </c>
    </row>
    <row r="67" spans="3:35" ht="25.5">
      <c r="C67" s="2" t="s">
        <v>222</v>
      </c>
      <c r="D67" s="1" t="s">
        <v>196</v>
      </c>
      <c r="E67" s="15" t="s">
        <v>56</v>
      </c>
      <c r="F67" s="1" t="s">
        <v>4</v>
      </c>
      <c r="G67" s="38">
        <v>30</v>
      </c>
      <c r="H67" s="137">
        <v>111022</v>
      </c>
      <c r="I67" s="138">
        <f t="shared" si="29"/>
        <v>21094.18</v>
      </c>
      <c r="J67" s="138">
        <f t="shared" si="30"/>
        <v>132116.18</v>
      </c>
      <c r="K67" s="139">
        <f t="shared" si="31"/>
        <v>3963485.4</v>
      </c>
      <c r="L67" s="137">
        <v>24957.983193277309</v>
      </c>
      <c r="M67" s="138">
        <f t="shared" si="32"/>
        <v>4742.0168067226887</v>
      </c>
      <c r="N67" s="138">
        <f t="shared" si="33"/>
        <v>29699.999999999996</v>
      </c>
      <c r="O67" s="141">
        <f t="shared" si="47"/>
        <v>890999.99999999988</v>
      </c>
      <c r="P67" s="140">
        <v>106037</v>
      </c>
      <c r="Q67" s="138">
        <f t="shared" si="34"/>
        <v>20147.03</v>
      </c>
      <c r="R67" s="138">
        <f t="shared" si="35"/>
        <v>126184.03</v>
      </c>
      <c r="S67" s="141">
        <f t="shared" si="48"/>
        <v>3785520.9</v>
      </c>
      <c r="T67" s="138">
        <v>111314</v>
      </c>
      <c r="U67" s="138">
        <f t="shared" si="41"/>
        <v>21149.66</v>
      </c>
      <c r="V67" s="138">
        <f t="shared" si="42"/>
        <v>132463.66</v>
      </c>
      <c r="W67" s="141">
        <f t="shared" si="49"/>
        <v>3973909.8000000003</v>
      </c>
      <c r="X67" s="138">
        <v>116022</v>
      </c>
      <c r="Y67" s="138">
        <f t="shared" si="36"/>
        <v>22044.18</v>
      </c>
      <c r="Z67" s="138">
        <f t="shared" si="37"/>
        <v>138066.18</v>
      </c>
      <c r="AA67" s="139">
        <f t="shared" si="50"/>
        <v>4141985.4</v>
      </c>
      <c r="AB67" s="152">
        <f t="shared" si="43"/>
        <v>26050.420168067227</v>
      </c>
      <c r="AC67" s="125">
        <f t="shared" si="44"/>
        <v>4949.5798319327732</v>
      </c>
      <c r="AD67" s="153">
        <v>31000</v>
      </c>
      <c r="AE67" s="183">
        <f t="shared" si="45"/>
        <v>930000</v>
      </c>
      <c r="AF67" s="185">
        <f t="shared" si="46"/>
        <v>67998.10440745583</v>
      </c>
      <c r="AG67" s="183">
        <f t="shared" si="38"/>
        <v>80917.744244872432</v>
      </c>
      <c r="AH67" s="185">
        <f t="shared" si="39"/>
        <v>52404.043339196054</v>
      </c>
      <c r="AI67" s="154">
        <f t="shared" si="40"/>
        <v>62360.811573643288</v>
      </c>
    </row>
    <row r="68" spans="3:35" ht="25.5">
      <c r="C68" s="2" t="s">
        <v>223</v>
      </c>
      <c r="D68" s="1" t="s">
        <v>193</v>
      </c>
      <c r="E68" s="15" t="s">
        <v>57</v>
      </c>
      <c r="F68" s="1" t="s">
        <v>4</v>
      </c>
      <c r="G68" s="38">
        <v>10</v>
      </c>
      <c r="H68" s="137">
        <v>217513</v>
      </c>
      <c r="I68" s="138">
        <f t="shared" si="29"/>
        <v>41327.47</v>
      </c>
      <c r="J68" s="138">
        <f t="shared" si="30"/>
        <v>258840.47</v>
      </c>
      <c r="K68" s="139">
        <f t="shared" si="31"/>
        <v>2588404.7000000002</v>
      </c>
      <c r="L68" s="137">
        <v>15126.050420168069</v>
      </c>
      <c r="M68" s="138">
        <f t="shared" si="32"/>
        <v>2873.9495798319331</v>
      </c>
      <c r="N68" s="138">
        <f t="shared" si="33"/>
        <v>18000</v>
      </c>
      <c r="O68" s="141">
        <f t="shared" si="47"/>
        <v>180000</v>
      </c>
      <c r="P68" s="140">
        <v>215166</v>
      </c>
      <c r="Q68" s="138">
        <f t="shared" si="34"/>
        <v>40881.54</v>
      </c>
      <c r="R68" s="138">
        <f t="shared" si="35"/>
        <v>256047.54</v>
      </c>
      <c r="S68" s="141">
        <f t="shared" si="48"/>
        <v>2560475.4</v>
      </c>
      <c r="T68" s="138">
        <v>223554</v>
      </c>
      <c r="U68" s="138">
        <f t="shared" si="41"/>
        <v>42475.26</v>
      </c>
      <c r="V68" s="138">
        <f t="shared" si="42"/>
        <v>266029.26</v>
      </c>
      <c r="W68" s="141">
        <f t="shared" si="49"/>
        <v>2660292.6</v>
      </c>
      <c r="X68" s="138">
        <v>218622</v>
      </c>
      <c r="Y68" s="138">
        <f t="shared" si="36"/>
        <v>41538.18</v>
      </c>
      <c r="Z68" s="138">
        <f t="shared" si="37"/>
        <v>260160.18</v>
      </c>
      <c r="AA68" s="139">
        <f t="shared" si="50"/>
        <v>2601601.7999999998</v>
      </c>
      <c r="AB68" s="152">
        <f t="shared" si="43"/>
        <v>58823.529411764706</v>
      </c>
      <c r="AC68" s="125">
        <f t="shared" si="44"/>
        <v>11176.470588235294</v>
      </c>
      <c r="AD68" s="153">
        <v>70000</v>
      </c>
      <c r="AE68" s="183">
        <f t="shared" si="45"/>
        <v>700000</v>
      </c>
      <c r="AF68" s="185">
        <f t="shared" si="46"/>
        <v>112573.27456488757</v>
      </c>
      <c r="AG68" s="183">
        <f t="shared" si="38"/>
        <v>133962.19673221622</v>
      </c>
      <c r="AH68" s="185">
        <f t="shared" si="39"/>
        <v>59169.608309783885</v>
      </c>
      <c r="AI68" s="154">
        <f t="shared" si="40"/>
        <v>70411.833888642825</v>
      </c>
    </row>
    <row r="69" spans="3:35" ht="39" thickBot="1">
      <c r="C69" s="16" t="s">
        <v>224</v>
      </c>
      <c r="D69" s="14" t="s">
        <v>194</v>
      </c>
      <c r="E69" s="17" t="s">
        <v>60</v>
      </c>
      <c r="F69" s="14" t="s">
        <v>4</v>
      </c>
      <c r="G69" s="39">
        <v>30</v>
      </c>
      <c r="H69" s="142">
        <v>31268</v>
      </c>
      <c r="I69" s="143">
        <f t="shared" si="29"/>
        <v>5940.92</v>
      </c>
      <c r="J69" s="143">
        <f t="shared" si="30"/>
        <v>37208.92</v>
      </c>
      <c r="K69" s="144">
        <f t="shared" si="31"/>
        <v>1116267.5999999999</v>
      </c>
      <c r="L69" s="145">
        <v>13500</v>
      </c>
      <c r="M69" s="146">
        <f t="shared" si="32"/>
        <v>2565</v>
      </c>
      <c r="N69" s="146">
        <f t="shared" si="33"/>
        <v>16065</v>
      </c>
      <c r="O69" s="141">
        <f t="shared" si="47"/>
        <v>481950</v>
      </c>
      <c r="P69" s="147">
        <v>30768</v>
      </c>
      <c r="Q69" s="143">
        <f t="shared" si="34"/>
        <v>5845.92</v>
      </c>
      <c r="R69" s="143">
        <f t="shared" si="35"/>
        <v>36613.919999999998</v>
      </c>
      <c r="S69" s="141">
        <f t="shared" si="48"/>
        <v>1098417.5999999999</v>
      </c>
      <c r="T69" s="143">
        <v>32588</v>
      </c>
      <c r="U69" s="143">
        <f t="shared" si="41"/>
        <v>6191.72</v>
      </c>
      <c r="V69" s="143">
        <f t="shared" si="42"/>
        <v>38779.72</v>
      </c>
      <c r="W69" s="141">
        <f t="shared" si="49"/>
        <v>1163391.6000000001</v>
      </c>
      <c r="X69" s="143">
        <v>32076</v>
      </c>
      <c r="Y69" s="143">
        <f t="shared" si="36"/>
        <v>6094.4400000000005</v>
      </c>
      <c r="Z69" s="143">
        <f t="shared" si="37"/>
        <v>38170.44</v>
      </c>
      <c r="AA69" s="139">
        <f t="shared" si="50"/>
        <v>1145113.2000000002</v>
      </c>
      <c r="AB69" s="155">
        <f t="shared" si="43"/>
        <v>80588.23529411765</v>
      </c>
      <c r="AC69" s="126">
        <f t="shared" si="44"/>
        <v>15311.76470588235</v>
      </c>
      <c r="AD69" s="156">
        <v>95900</v>
      </c>
      <c r="AE69" s="184">
        <f t="shared" si="45"/>
        <v>2877000</v>
      </c>
      <c r="AF69" s="186">
        <f t="shared" si="46"/>
        <v>32100.154016127766</v>
      </c>
      <c r="AG69" s="184">
        <f t="shared" si="38"/>
        <v>38199.183279192046</v>
      </c>
      <c r="AH69" s="186">
        <f t="shared" si="39"/>
        <v>28191.804299266438</v>
      </c>
      <c r="AI69" s="157">
        <f t="shared" si="40"/>
        <v>33548.247116127066</v>
      </c>
    </row>
    <row r="70" spans="3:35" ht="13.15" customHeight="1" thickBot="1">
      <c r="C70" s="410" t="s">
        <v>166</v>
      </c>
      <c r="D70" s="411"/>
      <c r="E70" s="411"/>
      <c r="F70" s="411"/>
      <c r="G70" s="411"/>
      <c r="H70" s="158">
        <f t="shared" ref="H70:J70" si="51">SUM(H41:H69)</f>
        <v>28305280</v>
      </c>
      <c r="I70" s="158">
        <f t="shared" si="51"/>
        <v>5378003.2000000002</v>
      </c>
      <c r="J70" s="158">
        <f t="shared" si="51"/>
        <v>33683283.199999996</v>
      </c>
      <c r="K70" s="158">
        <f>SUM(K41:K69)</f>
        <v>59313071.229999997</v>
      </c>
      <c r="L70" s="158">
        <f t="shared" ref="L70:N70" si="52">SUM(L41:L69)</f>
        <v>24585865.689075641</v>
      </c>
      <c r="M70" s="158">
        <f t="shared" si="52"/>
        <v>4671314.4809243707</v>
      </c>
      <c r="N70" s="158">
        <f t="shared" si="52"/>
        <v>29257180.170000002</v>
      </c>
      <c r="O70" s="158">
        <f>SUM(O41:O69)</f>
        <v>46368715.170000002</v>
      </c>
      <c r="P70" s="158">
        <f t="shared" ref="P70:R70" si="53">SUM(P41:P69)</f>
        <v>28417712</v>
      </c>
      <c r="Q70" s="158">
        <f t="shared" si="53"/>
        <v>5399365.2800000012</v>
      </c>
      <c r="R70" s="158">
        <f t="shared" si="53"/>
        <v>33817077.280000009</v>
      </c>
      <c r="S70" s="158">
        <f>SUM(S41:S69)</f>
        <v>58250503.57</v>
      </c>
      <c r="T70" s="158">
        <f t="shared" ref="T70:V70" si="54">SUM(T41:T69)</f>
        <v>29067822</v>
      </c>
      <c r="U70" s="158">
        <f t="shared" si="54"/>
        <v>5522886.1800000006</v>
      </c>
      <c r="V70" s="158">
        <f t="shared" si="54"/>
        <v>34590708.179999985</v>
      </c>
      <c r="W70" s="158">
        <f>SUM(W41:W69)</f>
        <v>60867093.420000002</v>
      </c>
      <c r="X70" s="158">
        <f t="shared" ref="X70:Z70" si="55">SUM(X41:X69)</f>
        <v>28412839</v>
      </c>
      <c r="Y70" s="158">
        <f t="shared" si="55"/>
        <v>5398439.4100000011</v>
      </c>
      <c r="Z70" s="158">
        <f t="shared" si="55"/>
        <v>33811278.410000004</v>
      </c>
      <c r="AA70" s="158">
        <f>SUM(AA41:AA69)</f>
        <v>59351589.150000021</v>
      </c>
      <c r="AB70" s="158">
        <f t="shared" ref="AB70:AD70" si="56">SUM(AB41:AB69)</f>
        <v>17942462.18487395</v>
      </c>
      <c r="AC70" s="158">
        <f t="shared" si="56"/>
        <v>3409067.8151260484</v>
      </c>
      <c r="AD70" s="158">
        <f t="shared" si="56"/>
        <v>21351530</v>
      </c>
      <c r="AE70" s="198">
        <f>SUM(AE41:AE69)</f>
        <v>33481430</v>
      </c>
      <c r="AF70" s="200">
        <f t="shared" ref="AF70:AI70" si="57">SUM(AF41:AF69)</f>
        <v>25708691.724340182</v>
      </c>
      <c r="AG70" s="201">
        <f t="shared" si="57"/>
        <v>30593343.151964813</v>
      </c>
      <c r="AH70" s="194">
        <f t="shared" si="57"/>
        <v>24606895.983426269</v>
      </c>
      <c r="AI70" s="206">
        <f t="shared" si="57"/>
        <v>29282206.220277257</v>
      </c>
    </row>
    <row r="71" spans="3:35" ht="13.5" thickBot="1">
      <c r="C71" s="412" t="s">
        <v>165</v>
      </c>
      <c r="D71" s="413"/>
      <c r="E71" s="413"/>
      <c r="F71" s="413"/>
      <c r="G71" s="413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3"/>
      <c r="S71" s="413"/>
      <c r="T71" s="413"/>
      <c r="U71" s="413"/>
      <c r="V71" s="413"/>
      <c r="W71" s="413"/>
      <c r="X71" s="413"/>
      <c r="Y71" s="413"/>
      <c r="Z71" s="413"/>
      <c r="AA71" s="413"/>
      <c r="AB71" s="247"/>
      <c r="AC71" s="247"/>
      <c r="AD71" s="247"/>
      <c r="AE71" s="247"/>
      <c r="AF71" s="248"/>
      <c r="AG71" s="248"/>
      <c r="AH71" s="247"/>
      <c r="AI71" s="249"/>
    </row>
    <row r="72" spans="3:35" ht="39" thickBot="1">
      <c r="C72" s="59" t="s">
        <v>95</v>
      </c>
      <c r="D72" s="60" t="s">
        <v>96</v>
      </c>
      <c r="E72" s="59" t="s">
        <v>94</v>
      </c>
      <c r="F72" s="61" t="s">
        <v>292</v>
      </c>
      <c r="G72" s="62" t="s">
        <v>0</v>
      </c>
      <c r="H72" s="59" t="s">
        <v>293</v>
      </c>
      <c r="I72" s="61" t="s">
        <v>294</v>
      </c>
      <c r="J72" s="61" t="s">
        <v>295</v>
      </c>
      <c r="K72" s="63" t="s">
        <v>296</v>
      </c>
      <c r="L72" s="59" t="s">
        <v>293</v>
      </c>
      <c r="M72" s="61" t="s">
        <v>294</v>
      </c>
      <c r="N72" s="61" t="s">
        <v>295</v>
      </c>
      <c r="O72" s="63" t="s">
        <v>296</v>
      </c>
      <c r="P72" s="59" t="s">
        <v>293</v>
      </c>
      <c r="Q72" s="61" t="s">
        <v>294</v>
      </c>
      <c r="R72" s="61" t="s">
        <v>295</v>
      </c>
      <c r="S72" s="63" t="s">
        <v>296</v>
      </c>
      <c r="T72" s="59" t="s">
        <v>293</v>
      </c>
      <c r="U72" s="61" t="s">
        <v>294</v>
      </c>
      <c r="V72" s="61" t="s">
        <v>295</v>
      </c>
      <c r="W72" s="63" t="s">
        <v>296</v>
      </c>
      <c r="X72" s="59" t="s">
        <v>293</v>
      </c>
      <c r="Y72" s="61" t="s">
        <v>294</v>
      </c>
      <c r="Z72" s="61" t="s">
        <v>295</v>
      </c>
      <c r="AA72" s="115" t="s">
        <v>296</v>
      </c>
      <c r="AB72" s="6" t="s">
        <v>293</v>
      </c>
      <c r="AC72" s="8" t="s">
        <v>294</v>
      </c>
      <c r="AD72" s="8" t="s">
        <v>295</v>
      </c>
      <c r="AE72" s="74" t="s">
        <v>296</v>
      </c>
      <c r="AF72" s="32" t="s">
        <v>293</v>
      </c>
      <c r="AG72" s="51" t="s">
        <v>295</v>
      </c>
      <c r="AH72" s="32" t="s">
        <v>293</v>
      </c>
      <c r="AI72" s="51" t="s">
        <v>295</v>
      </c>
    </row>
    <row r="73" spans="3:35" ht="76.5">
      <c r="C73" s="9" t="s">
        <v>225</v>
      </c>
      <c r="D73" s="10" t="s">
        <v>236</v>
      </c>
      <c r="E73" s="13" t="s">
        <v>7</v>
      </c>
      <c r="F73" s="10" t="s">
        <v>4</v>
      </c>
      <c r="G73" s="37">
        <v>1</v>
      </c>
      <c r="H73" s="129">
        <v>3220336</v>
      </c>
      <c r="I73" s="130">
        <f t="shared" ref="I73:I82" si="58">H73*19%</f>
        <v>611863.84</v>
      </c>
      <c r="J73" s="130">
        <f t="shared" ref="J73:J82" si="59">H73+I73</f>
        <v>3832199.84</v>
      </c>
      <c r="K73" s="131">
        <f t="shared" ref="K73:K82" si="60">G73*J73</f>
        <v>3832199.84</v>
      </c>
      <c r="L73" s="129">
        <v>3700065.1260504201</v>
      </c>
      <c r="M73" s="130">
        <f t="shared" ref="M73:M82" si="61">L73*19%</f>
        <v>703012.37394957978</v>
      </c>
      <c r="N73" s="130">
        <f t="shared" ref="N73:N82" si="62">L73+M73</f>
        <v>4403077.5</v>
      </c>
      <c r="O73" s="136">
        <f>+G73*N73</f>
        <v>4403077.5</v>
      </c>
      <c r="P73" s="135">
        <v>3562886</v>
      </c>
      <c r="Q73" s="130">
        <f t="shared" ref="Q73:Q82" si="63">+P73*0.19</f>
        <v>676948.34</v>
      </c>
      <c r="R73" s="130">
        <f t="shared" ref="R73:R82" si="64">+P73+Q73</f>
        <v>4239834.34</v>
      </c>
      <c r="S73" s="136">
        <f>+G73*R73</f>
        <v>4239834.34</v>
      </c>
      <c r="T73" s="130">
        <v>3384406</v>
      </c>
      <c r="U73" s="130">
        <f>T73*19%</f>
        <v>643037.14</v>
      </c>
      <c r="V73" s="130">
        <f>T73+U73</f>
        <v>4027443.14</v>
      </c>
      <c r="W73" s="136">
        <f>+G73*V73</f>
        <v>4027443.14</v>
      </c>
      <c r="X73" s="130">
        <v>3303044</v>
      </c>
      <c r="Y73" s="130">
        <f t="shared" ref="Y73:Y82" si="65">+X73*0.19</f>
        <v>627578.36</v>
      </c>
      <c r="Z73" s="130">
        <f t="shared" ref="Z73:Z82" si="66">+X73+Y73</f>
        <v>3930622.36</v>
      </c>
      <c r="AA73" s="131">
        <f>+G73*Z73</f>
        <v>3930622.36</v>
      </c>
      <c r="AB73" s="159">
        <f t="shared" ref="AB73:AB82" si="67">+AD73/1.19</f>
        <v>2168067.2268907563</v>
      </c>
      <c r="AC73" s="128">
        <f t="shared" ref="AC73:AC82" si="68">+AD73-AB73</f>
        <v>411932.77310924372</v>
      </c>
      <c r="AD73" s="163">
        <v>2580000</v>
      </c>
      <c r="AE73" s="197">
        <f t="shared" ref="AE73:AE82" si="69">+G73*AD73</f>
        <v>2580000</v>
      </c>
      <c r="AF73" s="191">
        <f t="shared" ref="AF73:AF82" si="70">+GEOMEAN(H73,L73,P73,T73,X73,AB73)</f>
        <v>3177339.8789226692</v>
      </c>
      <c r="AG73" s="182">
        <f t="shared" ref="AG73:AG82" si="71">+GEOMEAN(J73,N73,R73,V73,Z73,AD73)</f>
        <v>3781034.4559179763</v>
      </c>
      <c r="AH73" s="203">
        <f>+HARMEAN(H73,L73,P73,T73,X73,AB73)</f>
        <v>3123490.910291329</v>
      </c>
      <c r="AI73" s="161">
        <f>+HARMEAN(J73,N73,R73,V73,Z73,AD73)</f>
        <v>3716954.183246681</v>
      </c>
    </row>
    <row r="74" spans="3:35" ht="178.5">
      <c r="C74" s="2" t="s">
        <v>228</v>
      </c>
      <c r="D74" s="1" t="s">
        <v>237</v>
      </c>
      <c r="E74" s="15" t="s">
        <v>8</v>
      </c>
      <c r="F74" s="1" t="s">
        <v>4</v>
      </c>
      <c r="G74" s="38">
        <v>2</v>
      </c>
      <c r="H74" s="137">
        <v>3937368</v>
      </c>
      <c r="I74" s="138">
        <f t="shared" si="58"/>
        <v>748099.92</v>
      </c>
      <c r="J74" s="138">
        <f t="shared" si="59"/>
        <v>4685467.92</v>
      </c>
      <c r="K74" s="139">
        <f t="shared" si="60"/>
        <v>9370935.8399999999</v>
      </c>
      <c r="L74" s="137">
        <v>5555400</v>
      </c>
      <c r="M74" s="138">
        <f t="shared" si="61"/>
        <v>1055526</v>
      </c>
      <c r="N74" s="138">
        <f t="shared" si="62"/>
        <v>6610926</v>
      </c>
      <c r="O74" s="141">
        <f>+G74*N74</f>
        <v>13221852</v>
      </c>
      <c r="P74" s="140">
        <v>4348849</v>
      </c>
      <c r="Q74" s="138">
        <f t="shared" si="63"/>
        <v>826281.31</v>
      </c>
      <c r="R74" s="138">
        <f t="shared" si="64"/>
        <v>5175130.3100000005</v>
      </c>
      <c r="S74" s="141">
        <f>+G74*R74</f>
        <v>10350260.620000001</v>
      </c>
      <c r="T74" s="138">
        <v>4048272</v>
      </c>
      <c r="U74" s="138">
        <f t="shared" ref="U74:U82" si="72">T74*19%</f>
        <v>769171.68</v>
      </c>
      <c r="V74" s="138">
        <f t="shared" ref="V74:V82" si="73">T74+U74</f>
        <v>4817443.68</v>
      </c>
      <c r="W74" s="141">
        <f>+G74*V74</f>
        <v>9634887.3599999994</v>
      </c>
      <c r="X74" s="138">
        <v>4087929</v>
      </c>
      <c r="Y74" s="138">
        <f t="shared" si="65"/>
        <v>776706.51</v>
      </c>
      <c r="Z74" s="138">
        <f t="shared" si="66"/>
        <v>4864635.51</v>
      </c>
      <c r="AA74" s="139">
        <f>+G74*Z74</f>
        <v>9729271.0199999996</v>
      </c>
      <c r="AB74" s="152">
        <f t="shared" si="67"/>
        <v>3557142.8571428573</v>
      </c>
      <c r="AC74" s="125">
        <f t="shared" si="68"/>
        <v>675857.14285714272</v>
      </c>
      <c r="AD74" s="153">
        <v>4233000</v>
      </c>
      <c r="AE74" s="183">
        <f t="shared" si="69"/>
        <v>8466000</v>
      </c>
      <c r="AF74" s="185">
        <f t="shared" si="70"/>
        <v>4214004.5583136873</v>
      </c>
      <c r="AG74" s="183">
        <f t="shared" si="71"/>
        <v>5014665.4243932879</v>
      </c>
      <c r="AH74" s="185">
        <f t="shared" ref="AH74:AH82" si="74">+HARMEAN(H74,L74,P74,T74,X74,AB74)</f>
        <v>4176255.1574034444</v>
      </c>
      <c r="AI74" s="154">
        <f t="shared" ref="AI74:AI82" si="75">+HARMEAN(J74,N74,R74,V74,Z74,AD74)</f>
        <v>4969743.6373100989</v>
      </c>
    </row>
    <row r="75" spans="3:35" ht="114.75">
      <c r="C75" s="2" t="s">
        <v>99</v>
      </c>
      <c r="D75" s="1" t="s">
        <v>172</v>
      </c>
      <c r="E75" s="15" t="s">
        <v>9</v>
      </c>
      <c r="F75" s="1" t="s">
        <v>4</v>
      </c>
      <c r="G75" s="38">
        <v>1</v>
      </c>
      <c r="H75" s="137">
        <v>1474185</v>
      </c>
      <c r="I75" s="138">
        <f t="shared" si="58"/>
        <v>280095.15000000002</v>
      </c>
      <c r="J75" s="138">
        <f t="shared" si="59"/>
        <v>1754280.15</v>
      </c>
      <c r="K75" s="139">
        <f t="shared" si="60"/>
        <v>1754280.15</v>
      </c>
      <c r="L75" s="137">
        <v>1586974.7899159666</v>
      </c>
      <c r="M75" s="138">
        <f t="shared" si="61"/>
        <v>301525.21008403366</v>
      </c>
      <c r="N75" s="138">
        <f t="shared" si="62"/>
        <v>1888500.0000000002</v>
      </c>
      <c r="O75" s="141">
        <f t="shared" ref="O75:O82" si="76">+G75*N75</f>
        <v>1888500.0000000002</v>
      </c>
      <c r="P75" s="140">
        <v>1686122</v>
      </c>
      <c r="Q75" s="138">
        <f t="shared" si="63"/>
        <v>320363.18</v>
      </c>
      <c r="R75" s="138">
        <f t="shared" si="64"/>
        <v>2006485.18</v>
      </c>
      <c r="S75" s="141">
        <f t="shared" ref="S75:S82" si="77">+G75*R75</f>
        <v>2006485.18</v>
      </c>
      <c r="T75" s="138">
        <v>1526486</v>
      </c>
      <c r="U75" s="138">
        <f t="shared" si="72"/>
        <v>290032.34000000003</v>
      </c>
      <c r="V75" s="138">
        <f t="shared" si="73"/>
        <v>1816518.34</v>
      </c>
      <c r="W75" s="141">
        <f t="shared" ref="W75:W82" si="78">+G75*V75</f>
        <v>1816518.34</v>
      </c>
      <c r="X75" s="138">
        <v>1498029</v>
      </c>
      <c r="Y75" s="138">
        <f t="shared" si="65"/>
        <v>284625.51</v>
      </c>
      <c r="Z75" s="138">
        <f t="shared" si="66"/>
        <v>1782654.51</v>
      </c>
      <c r="AA75" s="139">
        <f t="shared" ref="AA75:AA82" si="79">+G75*Z75</f>
        <v>1782654.51</v>
      </c>
      <c r="AB75" s="152">
        <f t="shared" si="67"/>
        <v>3142857.1428571432</v>
      </c>
      <c r="AC75" s="125">
        <f t="shared" si="68"/>
        <v>597142.85714285681</v>
      </c>
      <c r="AD75" s="153">
        <v>3740000</v>
      </c>
      <c r="AE75" s="183">
        <f t="shared" si="69"/>
        <v>3740000</v>
      </c>
      <c r="AF75" s="185">
        <f t="shared" si="70"/>
        <v>1746189.8104199148</v>
      </c>
      <c r="AG75" s="183">
        <f t="shared" si="71"/>
        <v>2077965.8743996983</v>
      </c>
      <c r="AH75" s="185">
        <f t="shared" si="74"/>
        <v>1693780.0687091579</v>
      </c>
      <c r="AI75" s="154">
        <f t="shared" si="75"/>
        <v>2015598.2817638984</v>
      </c>
    </row>
    <row r="76" spans="3:35" ht="38.25">
      <c r="C76" s="2" t="s">
        <v>229</v>
      </c>
      <c r="D76" s="1" t="s">
        <v>238</v>
      </c>
      <c r="E76" s="15" t="s">
        <v>10</v>
      </c>
      <c r="F76" s="1" t="s">
        <v>4</v>
      </c>
      <c r="G76" s="38">
        <v>40</v>
      </c>
      <c r="H76" s="137">
        <v>75571</v>
      </c>
      <c r="I76" s="138">
        <f t="shared" si="58"/>
        <v>14358.49</v>
      </c>
      <c r="J76" s="138">
        <f t="shared" si="59"/>
        <v>89929.49</v>
      </c>
      <c r="K76" s="139">
        <f t="shared" si="60"/>
        <v>3597179.6</v>
      </c>
      <c r="L76" s="137">
        <v>75504.201680672268</v>
      </c>
      <c r="M76" s="138">
        <f t="shared" si="61"/>
        <v>14345.79831932773</v>
      </c>
      <c r="N76" s="138">
        <f t="shared" si="62"/>
        <v>89850</v>
      </c>
      <c r="O76" s="141">
        <f t="shared" si="76"/>
        <v>3594000</v>
      </c>
      <c r="P76" s="140">
        <v>88777</v>
      </c>
      <c r="Q76" s="138">
        <f t="shared" si="63"/>
        <v>16867.63</v>
      </c>
      <c r="R76" s="138">
        <f t="shared" si="64"/>
        <v>105644.63</v>
      </c>
      <c r="S76" s="141">
        <f t="shared" si="77"/>
        <v>4225785.2</v>
      </c>
      <c r="T76" s="138">
        <v>76923</v>
      </c>
      <c r="U76" s="138">
        <f t="shared" si="72"/>
        <v>14615.37</v>
      </c>
      <c r="V76" s="138">
        <f t="shared" si="73"/>
        <v>91538.37</v>
      </c>
      <c r="W76" s="141">
        <f t="shared" si="78"/>
        <v>3661534.8</v>
      </c>
      <c r="X76" s="138">
        <v>77771</v>
      </c>
      <c r="Y76" s="138">
        <f t="shared" si="65"/>
        <v>14776.49</v>
      </c>
      <c r="Z76" s="138">
        <f t="shared" si="66"/>
        <v>92547.49</v>
      </c>
      <c r="AA76" s="139">
        <f t="shared" si="79"/>
        <v>3701899.6</v>
      </c>
      <c r="AB76" s="152">
        <f t="shared" si="67"/>
        <v>75571.42857142858</v>
      </c>
      <c r="AC76" s="125">
        <f t="shared" si="68"/>
        <v>14358.57142857142</v>
      </c>
      <c r="AD76" s="153">
        <v>89930</v>
      </c>
      <c r="AE76" s="183">
        <f t="shared" si="69"/>
        <v>3597200</v>
      </c>
      <c r="AF76" s="185">
        <f t="shared" si="70"/>
        <v>78218.541532182891</v>
      </c>
      <c r="AG76" s="183">
        <f t="shared" si="71"/>
        <v>93080.064423297634</v>
      </c>
      <c r="AH76" s="185">
        <f t="shared" si="74"/>
        <v>78092.609264683299</v>
      </c>
      <c r="AI76" s="154">
        <f t="shared" si="75"/>
        <v>92930.205024973111</v>
      </c>
    </row>
    <row r="77" spans="3:35" ht="25.5">
      <c r="C77" s="2" t="s">
        <v>230</v>
      </c>
      <c r="D77" s="1" t="s">
        <v>239</v>
      </c>
      <c r="E77" s="15" t="s">
        <v>11</v>
      </c>
      <c r="F77" s="1" t="s">
        <v>4</v>
      </c>
      <c r="G77" s="38">
        <v>10</v>
      </c>
      <c r="H77" s="137">
        <v>231765</v>
      </c>
      <c r="I77" s="138">
        <f t="shared" si="58"/>
        <v>44035.35</v>
      </c>
      <c r="J77" s="138">
        <f t="shared" si="59"/>
        <v>275800.34999999998</v>
      </c>
      <c r="K77" s="139">
        <f t="shared" si="60"/>
        <v>2758003.5</v>
      </c>
      <c r="L77" s="137">
        <v>176344.53781512607</v>
      </c>
      <c r="M77" s="138">
        <f t="shared" si="61"/>
        <v>33505.462184873955</v>
      </c>
      <c r="N77" s="138">
        <f t="shared" si="62"/>
        <v>209850.00000000003</v>
      </c>
      <c r="O77" s="141">
        <f t="shared" si="76"/>
        <v>2098500.0000000005</v>
      </c>
      <c r="P77" s="140">
        <v>266769</v>
      </c>
      <c r="Q77" s="138">
        <f t="shared" si="63"/>
        <v>50686.11</v>
      </c>
      <c r="R77" s="138">
        <f t="shared" si="64"/>
        <v>317455.11</v>
      </c>
      <c r="S77" s="141">
        <f t="shared" si="77"/>
        <v>3174551.0999999996</v>
      </c>
      <c r="T77" s="138">
        <v>245747</v>
      </c>
      <c r="U77" s="138">
        <f t="shared" si="72"/>
        <v>46691.93</v>
      </c>
      <c r="V77" s="138">
        <f t="shared" si="73"/>
        <v>292438.93</v>
      </c>
      <c r="W77" s="141">
        <f t="shared" si="78"/>
        <v>2924389.3</v>
      </c>
      <c r="X77" s="138">
        <v>232709</v>
      </c>
      <c r="Y77" s="138">
        <f t="shared" si="65"/>
        <v>44214.71</v>
      </c>
      <c r="Z77" s="138">
        <f t="shared" si="66"/>
        <v>276923.71000000002</v>
      </c>
      <c r="AA77" s="139">
        <f t="shared" si="79"/>
        <v>2769237.1</v>
      </c>
      <c r="AB77" s="152">
        <f t="shared" si="67"/>
        <v>178571.42857142858</v>
      </c>
      <c r="AC77" s="125">
        <f t="shared" si="68"/>
        <v>33928.57142857142</v>
      </c>
      <c r="AD77" s="153">
        <v>212500</v>
      </c>
      <c r="AE77" s="183">
        <f t="shared" si="69"/>
        <v>2125000</v>
      </c>
      <c r="AF77" s="185">
        <f t="shared" si="70"/>
        <v>219335.92323675466</v>
      </c>
      <c r="AG77" s="183">
        <f t="shared" si="71"/>
        <v>261009.74865173807</v>
      </c>
      <c r="AH77" s="185">
        <f t="shared" si="74"/>
        <v>216603.1195734572</v>
      </c>
      <c r="AI77" s="154">
        <f t="shared" si="75"/>
        <v>257757.7122924141</v>
      </c>
    </row>
    <row r="78" spans="3:35" ht="63.75">
      <c r="C78" s="2" t="s">
        <v>231</v>
      </c>
      <c r="D78" s="1" t="s">
        <v>240</v>
      </c>
      <c r="E78" s="15" t="s">
        <v>12</v>
      </c>
      <c r="F78" s="1" t="s">
        <v>4</v>
      </c>
      <c r="G78" s="38">
        <v>2</v>
      </c>
      <c r="H78" s="137">
        <v>1951113</v>
      </c>
      <c r="I78" s="138">
        <f t="shared" si="58"/>
        <v>370711.47000000003</v>
      </c>
      <c r="J78" s="138">
        <f t="shared" si="59"/>
        <v>2321824.4700000002</v>
      </c>
      <c r="K78" s="139">
        <f t="shared" si="60"/>
        <v>4643648.9400000004</v>
      </c>
      <c r="L78" s="137">
        <v>1277521.0084033615</v>
      </c>
      <c r="M78" s="138">
        <f t="shared" si="61"/>
        <v>242728.99159663869</v>
      </c>
      <c r="N78" s="138">
        <f t="shared" si="62"/>
        <v>1520250.0000000002</v>
      </c>
      <c r="O78" s="141">
        <f t="shared" si="76"/>
        <v>3040500.0000000005</v>
      </c>
      <c r="P78" s="140">
        <v>1949551</v>
      </c>
      <c r="Q78" s="138">
        <f t="shared" si="63"/>
        <v>370414.69</v>
      </c>
      <c r="R78" s="138">
        <f t="shared" si="64"/>
        <v>2319965.69</v>
      </c>
      <c r="S78" s="141">
        <f t="shared" si="77"/>
        <v>4639931.38</v>
      </c>
      <c r="T78" s="138">
        <v>1986238</v>
      </c>
      <c r="U78" s="138">
        <f t="shared" si="72"/>
        <v>377385.22000000003</v>
      </c>
      <c r="V78" s="138">
        <f t="shared" si="73"/>
        <v>2363623.2200000002</v>
      </c>
      <c r="W78" s="141">
        <f t="shared" si="78"/>
        <v>4727246.4400000004</v>
      </c>
      <c r="X78" s="138">
        <v>1896105</v>
      </c>
      <c r="Y78" s="138">
        <f t="shared" si="65"/>
        <v>360259.95</v>
      </c>
      <c r="Z78" s="138">
        <f t="shared" si="66"/>
        <v>2256364.9500000002</v>
      </c>
      <c r="AA78" s="139">
        <f t="shared" si="79"/>
        <v>4512729.9000000004</v>
      </c>
      <c r="AB78" s="152">
        <f t="shared" si="67"/>
        <v>1500000</v>
      </c>
      <c r="AC78" s="125">
        <f t="shared" si="68"/>
        <v>285000</v>
      </c>
      <c r="AD78" s="153">
        <v>1785000</v>
      </c>
      <c r="AE78" s="183">
        <f t="shared" si="69"/>
        <v>3570000</v>
      </c>
      <c r="AF78" s="185">
        <f t="shared" si="70"/>
        <v>1736847.4171700531</v>
      </c>
      <c r="AG78" s="183">
        <f t="shared" si="71"/>
        <v>2066848.4264323632</v>
      </c>
      <c r="AH78" s="185">
        <f t="shared" si="74"/>
        <v>1711468.8574298625</v>
      </c>
      <c r="AI78" s="154">
        <f t="shared" si="75"/>
        <v>2036647.9403415362</v>
      </c>
    </row>
    <row r="79" spans="3:35" ht="89.25">
      <c r="C79" s="2" t="s">
        <v>232</v>
      </c>
      <c r="D79" s="1" t="s">
        <v>241</v>
      </c>
      <c r="E79" s="15" t="s">
        <v>13</v>
      </c>
      <c r="F79" s="1" t="s">
        <v>4</v>
      </c>
      <c r="G79" s="38">
        <v>1</v>
      </c>
      <c r="H79" s="137">
        <v>2880113</v>
      </c>
      <c r="I79" s="138">
        <f t="shared" si="58"/>
        <v>547221.47</v>
      </c>
      <c r="J79" s="138">
        <f t="shared" si="59"/>
        <v>3427334.4699999997</v>
      </c>
      <c r="K79" s="139">
        <f t="shared" si="60"/>
        <v>3427334.4699999997</v>
      </c>
      <c r="L79" s="137">
        <v>4033487.3949579839</v>
      </c>
      <c r="M79" s="138">
        <f t="shared" si="61"/>
        <v>766362.60504201695</v>
      </c>
      <c r="N79" s="138">
        <f t="shared" si="62"/>
        <v>4799850.0000000009</v>
      </c>
      <c r="O79" s="141">
        <f t="shared" si="76"/>
        <v>4799850.0000000009</v>
      </c>
      <c r="P79" s="140">
        <v>2994945</v>
      </c>
      <c r="Q79" s="138">
        <f t="shared" si="63"/>
        <v>569039.55000000005</v>
      </c>
      <c r="R79" s="138">
        <f t="shared" si="64"/>
        <v>3563984.55</v>
      </c>
      <c r="S79" s="141">
        <f t="shared" si="77"/>
        <v>3563984.55</v>
      </c>
      <c r="T79" s="138">
        <v>3139360</v>
      </c>
      <c r="U79" s="138">
        <f t="shared" si="72"/>
        <v>596478.4</v>
      </c>
      <c r="V79" s="138">
        <f t="shared" si="73"/>
        <v>3735838.4</v>
      </c>
      <c r="W79" s="141">
        <f t="shared" si="78"/>
        <v>3735838.4</v>
      </c>
      <c r="X79" s="138">
        <v>2878378</v>
      </c>
      <c r="Y79" s="138">
        <f t="shared" si="65"/>
        <v>546891.81999999995</v>
      </c>
      <c r="Z79" s="138">
        <f t="shared" si="66"/>
        <v>3425269.82</v>
      </c>
      <c r="AA79" s="139">
        <f t="shared" si="79"/>
        <v>3425269.82</v>
      </c>
      <c r="AB79" s="152">
        <f t="shared" si="67"/>
        <v>2642857.1428571432</v>
      </c>
      <c r="AC79" s="125">
        <f t="shared" si="68"/>
        <v>502142.85714285681</v>
      </c>
      <c r="AD79" s="153">
        <v>3145000</v>
      </c>
      <c r="AE79" s="183">
        <f t="shared" si="69"/>
        <v>3145000</v>
      </c>
      <c r="AF79" s="185">
        <f t="shared" si="70"/>
        <v>3066128.036851177</v>
      </c>
      <c r="AG79" s="183">
        <f t="shared" si="71"/>
        <v>3648692.3638529005</v>
      </c>
      <c r="AH79" s="185">
        <f t="shared" si="74"/>
        <v>3040497.1600273983</v>
      </c>
      <c r="AI79" s="154">
        <f t="shared" si="75"/>
        <v>3618191.6204326041</v>
      </c>
    </row>
    <row r="80" spans="3:35" ht="102">
      <c r="C80" s="2" t="s">
        <v>233</v>
      </c>
      <c r="D80" s="1" t="s">
        <v>169</v>
      </c>
      <c r="E80" s="15" t="s">
        <v>72</v>
      </c>
      <c r="F80" s="1" t="s">
        <v>4</v>
      </c>
      <c r="G80" s="38">
        <v>1</v>
      </c>
      <c r="H80" s="137">
        <v>3990000</v>
      </c>
      <c r="I80" s="138">
        <f t="shared" si="58"/>
        <v>758100</v>
      </c>
      <c r="J80" s="138">
        <f t="shared" si="59"/>
        <v>4748100</v>
      </c>
      <c r="K80" s="139">
        <f t="shared" si="60"/>
        <v>4748100</v>
      </c>
      <c r="L80" s="137">
        <v>5221008.4033613447</v>
      </c>
      <c r="M80" s="138">
        <f t="shared" si="61"/>
        <v>991991.59663865552</v>
      </c>
      <c r="N80" s="138">
        <f t="shared" si="62"/>
        <v>6213000</v>
      </c>
      <c r="O80" s="141">
        <f t="shared" si="76"/>
        <v>6213000</v>
      </c>
      <c r="P80" s="140">
        <v>4244254</v>
      </c>
      <c r="Q80" s="138">
        <f t="shared" si="63"/>
        <v>806408.26</v>
      </c>
      <c r="R80" s="138">
        <f t="shared" si="64"/>
        <v>5050662.26</v>
      </c>
      <c r="S80" s="141">
        <f t="shared" si="77"/>
        <v>5050662.26</v>
      </c>
      <c r="T80" s="138">
        <v>4348132</v>
      </c>
      <c r="U80" s="138">
        <f t="shared" si="72"/>
        <v>826145.08</v>
      </c>
      <c r="V80" s="138">
        <f t="shared" si="73"/>
        <v>5174277.08</v>
      </c>
      <c r="W80" s="141">
        <f t="shared" si="78"/>
        <v>5174277.08</v>
      </c>
      <c r="X80" s="138">
        <v>4084624</v>
      </c>
      <c r="Y80" s="138">
        <f t="shared" si="65"/>
        <v>776078.56</v>
      </c>
      <c r="Z80" s="138">
        <f t="shared" si="66"/>
        <v>4860702.5600000005</v>
      </c>
      <c r="AA80" s="139">
        <f t="shared" si="79"/>
        <v>4860702.5600000005</v>
      </c>
      <c r="AB80" s="152">
        <f t="shared" si="67"/>
        <v>1621008.4033613447</v>
      </c>
      <c r="AC80" s="125">
        <f t="shared" si="68"/>
        <v>307991.59663865529</v>
      </c>
      <c r="AD80" s="162">
        <v>1929000</v>
      </c>
      <c r="AE80" s="183">
        <f t="shared" si="69"/>
        <v>1929000</v>
      </c>
      <c r="AF80" s="185">
        <f t="shared" si="70"/>
        <v>3695116.3764824416</v>
      </c>
      <c r="AG80" s="183">
        <f t="shared" si="71"/>
        <v>4397188.4880141057</v>
      </c>
      <c r="AH80" s="185">
        <f t="shared" si="74"/>
        <v>3390831.5598155782</v>
      </c>
      <c r="AI80" s="154">
        <f t="shared" si="75"/>
        <v>4035089.5561805372</v>
      </c>
    </row>
    <row r="81" spans="3:35" ht="51">
      <c r="C81" s="2" t="s">
        <v>234</v>
      </c>
      <c r="D81" s="1" t="s">
        <v>242</v>
      </c>
      <c r="E81" s="15" t="s">
        <v>14</v>
      </c>
      <c r="F81" s="1" t="s">
        <v>4</v>
      </c>
      <c r="G81" s="38">
        <v>1</v>
      </c>
      <c r="H81" s="137">
        <v>3581710</v>
      </c>
      <c r="I81" s="138">
        <f t="shared" si="58"/>
        <v>680524.9</v>
      </c>
      <c r="J81" s="138">
        <f t="shared" si="59"/>
        <v>4262234.9000000004</v>
      </c>
      <c r="K81" s="139">
        <f t="shared" si="60"/>
        <v>4262234.9000000004</v>
      </c>
      <c r="L81" s="137">
        <v>2389915.9663865548</v>
      </c>
      <c r="M81" s="138">
        <f t="shared" si="61"/>
        <v>454084.03361344541</v>
      </c>
      <c r="N81" s="138">
        <f t="shared" si="62"/>
        <v>2844000</v>
      </c>
      <c r="O81" s="141">
        <f t="shared" si="76"/>
        <v>2844000</v>
      </c>
      <c r="P81" s="140">
        <v>3653488</v>
      </c>
      <c r="Q81" s="138">
        <f t="shared" si="63"/>
        <v>694162.72</v>
      </c>
      <c r="R81" s="138">
        <f t="shared" si="64"/>
        <v>4347650.72</v>
      </c>
      <c r="S81" s="141">
        <f t="shared" si="77"/>
        <v>4347650.72</v>
      </c>
      <c r="T81" s="138">
        <v>3900735</v>
      </c>
      <c r="U81" s="138">
        <f t="shared" si="72"/>
        <v>741139.65</v>
      </c>
      <c r="V81" s="138">
        <f t="shared" si="73"/>
        <v>4641874.6500000004</v>
      </c>
      <c r="W81" s="141">
        <f t="shared" si="78"/>
        <v>4641874.6500000004</v>
      </c>
      <c r="X81" s="138">
        <v>3438769</v>
      </c>
      <c r="Y81" s="138">
        <f t="shared" si="65"/>
        <v>653366.11</v>
      </c>
      <c r="Z81" s="138">
        <f t="shared" si="66"/>
        <v>4092135.11</v>
      </c>
      <c r="AA81" s="139">
        <f t="shared" si="79"/>
        <v>4092135.11</v>
      </c>
      <c r="AB81" s="152">
        <f t="shared" si="67"/>
        <v>1596638.6554621849</v>
      </c>
      <c r="AC81" s="125">
        <f t="shared" si="68"/>
        <v>303361.34453781508</v>
      </c>
      <c r="AD81" s="153">
        <v>1900000</v>
      </c>
      <c r="AE81" s="183">
        <f t="shared" si="69"/>
        <v>1900000</v>
      </c>
      <c r="AF81" s="185">
        <f t="shared" si="70"/>
        <v>2957940.752485862</v>
      </c>
      <c r="AG81" s="183">
        <f t="shared" si="71"/>
        <v>3519949.4954581759</v>
      </c>
      <c r="AH81" s="185">
        <f t="shared" si="74"/>
        <v>2797448.6170666981</v>
      </c>
      <c r="AI81" s="154">
        <f t="shared" si="75"/>
        <v>3328963.8543093703</v>
      </c>
    </row>
    <row r="82" spans="3:35" ht="51.75" thickBot="1">
      <c r="C82" s="16" t="s">
        <v>235</v>
      </c>
      <c r="D82" s="14" t="s">
        <v>243</v>
      </c>
      <c r="E82" s="17" t="s">
        <v>15</v>
      </c>
      <c r="F82" s="14" t="s">
        <v>4</v>
      </c>
      <c r="G82" s="39">
        <v>4</v>
      </c>
      <c r="H82" s="142">
        <v>3338403</v>
      </c>
      <c r="I82" s="143">
        <f t="shared" si="58"/>
        <v>634296.57000000007</v>
      </c>
      <c r="J82" s="143">
        <f t="shared" si="59"/>
        <v>3972699.5700000003</v>
      </c>
      <c r="K82" s="144">
        <f t="shared" si="60"/>
        <v>15890798.280000001</v>
      </c>
      <c r="L82" s="145">
        <v>2235000</v>
      </c>
      <c r="M82" s="146">
        <f t="shared" si="61"/>
        <v>424650</v>
      </c>
      <c r="N82" s="146">
        <f t="shared" si="62"/>
        <v>2659650</v>
      </c>
      <c r="O82" s="164">
        <f t="shared" si="76"/>
        <v>10638600</v>
      </c>
      <c r="P82" s="147">
        <v>3629003</v>
      </c>
      <c r="Q82" s="143">
        <f t="shared" si="63"/>
        <v>689510.57000000007</v>
      </c>
      <c r="R82" s="143">
        <f t="shared" si="64"/>
        <v>4318513.57</v>
      </c>
      <c r="S82" s="141">
        <f t="shared" si="77"/>
        <v>17274054.280000001</v>
      </c>
      <c r="T82" s="143">
        <v>3385825</v>
      </c>
      <c r="U82" s="143">
        <f t="shared" si="72"/>
        <v>643306.75</v>
      </c>
      <c r="V82" s="143">
        <f t="shared" si="73"/>
        <v>4029131.75</v>
      </c>
      <c r="W82" s="141">
        <f t="shared" si="78"/>
        <v>16116527</v>
      </c>
      <c r="X82" s="143">
        <v>3269943</v>
      </c>
      <c r="Y82" s="143">
        <f t="shared" si="65"/>
        <v>621289.17000000004</v>
      </c>
      <c r="Z82" s="143">
        <f t="shared" si="66"/>
        <v>3891232.17</v>
      </c>
      <c r="AA82" s="139">
        <f t="shared" si="79"/>
        <v>15564928.68</v>
      </c>
      <c r="AB82" s="155">
        <f t="shared" si="67"/>
        <v>3784285.7142857146</v>
      </c>
      <c r="AC82" s="126">
        <f t="shared" si="68"/>
        <v>719014.28571428545</v>
      </c>
      <c r="AD82" s="156">
        <v>4503300</v>
      </c>
      <c r="AE82" s="184">
        <f t="shared" si="69"/>
        <v>18013200</v>
      </c>
      <c r="AF82" s="199">
        <f t="shared" si="70"/>
        <v>3229475.8217514032</v>
      </c>
      <c r="AG82" s="207">
        <f t="shared" si="71"/>
        <v>3843076.2278841692</v>
      </c>
      <c r="AH82" s="186">
        <f t="shared" si="74"/>
        <v>3178058.8953232327</v>
      </c>
      <c r="AI82" s="157">
        <f t="shared" si="75"/>
        <v>3781890.0854346473</v>
      </c>
    </row>
    <row r="83" spans="3:35" ht="13.15" customHeight="1" thickBot="1">
      <c r="C83" s="407" t="s">
        <v>226</v>
      </c>
      <c r="D83" s="408"/>
      <c r="E83" s="408"/>
      <c r="F83" s="408"/>
      <c r="G83" s="409"/>
      <c r="H83" s="158">
        <f t="shared" ref="H83:J83" si="80">SUM(H73:H82)</f>
        <v>24680564</v>
      </c>
      <c r="I83" s="158">
        <f t="shared" si="80"/>
        <v>4689307.16</v>
      </c>
      <c r="J83" s="158">
        <f t="shared" si="80"/>
        <v>29369871.160000004</v>
      </c>
      <c r="K83" s="158">
        <f>SUM(K73:K82)</f>
        <v>54284715.520000003</v>
      </c>
      <c r="L83" s="158">
        <f t="shared" ref="L83:N83" si="81">SUM(L73:L82)</f>
        <v>26251221.428571425</v>
      </c>
      <c r="M83" s="158">
        <f t="shared" si="81"/>
        <v>4987732.0714285718</v>
      </c>
      <c r="N83" s="158">
        <f t="shared" si="81"/>
        <v>31238953.5</v>
      </c>
      <c r="O83" s="158">
        <f>SUM(O73:O82)</f>
        <v>52741879.5</v>
      </c>
      <c r="P83" s="158">
        <f t="shared" ref="P83:R83" si="82">SUM(P73:P82)</f>
        <v>26424644</v>
      </c>
      <c r="Q83" s="158">
        <f t="shared" si="82"/>
        <v>5020682.3599999994</v>
      </c>
      <c r="R83" s="158">
        <f t="shared" si="82"/>
        <v>31445326.359999999</v>
      </c>
      <c r="S83" s="158">
        <f>SUM(S73:S82)</f>
        <v>58873199.629999995</v>
      </c>
      <c r="T83" s="158">
        <f t="shared" ref="T83:V83" si="83">SUM(T73:T82)</f>
        <v>26042124</v>
      </c>
      <c r="U83" s="158">
        <f t="shared" si="83"/>
        <v>4948003.5600000005</v>
      </c>
      <c r="V83" s="158">
        <f t="shared" si="83"/>
        <v>30990127.559999995</v>
      </c>
      <c r="W83" s="158">
        <f>SUM(W73:W82)</f>
        <v>56460536.509999998</v>
      </c>
      <c r="X83" s="158">
        <f t="shared" ref="X83:Z83" si="84">SUM(X73:X82)</f>
        <v>24767301</v>
      </c>
      <c r="Y83" s="158">
        <f t="shared" si="84"/>
        <v>4705787.1900000004</v>
      </c>
      <c r="Z83" s="158">
        <f t="shared" si="84"/>
        <v>29473088.190000005</v>
      </c>
      <c r="AA83" s="158">
        <f>SUM(AA73:AA82)</f>
        <v>54369450.660000004</v>
      </c>
      <c r="AB83" s="158">
        <f t="shared" ref="AB83:AD83" si="85">SUM(AB73:AB82)</f>
        <v>20267000.000000004</v>
      </c>
      <c r="AC83" s="158">
        <f t="shared" si="85"/>
        <v>3850729.9999999986</v>
      </c>
      <c r="AD83" s="158">
        <f t="shared" si="85"/>
        <v>24117730</v>
      </c>
      <c r="AE83" s="198">
        <f>SUM(AE73:AE82)</f>
        <v>49065400</v>
      </c>
      <c r="AF83" s="200">
        <f t="shared" ref="AF83:AG83" si="86">SUM(AF73:AF82)</f>
        <v>24120597.117166143</v>
      </c>
      <c r="AG83" s="201">
        <f t="shared" si="86"/>
        <v>28703510.56942771</v>
      </c>
      <c r="AH83" s="194">
        <f>SUM(AH73:AH82)</f>
        <v>23406526.954904839</v>
      </c>
      <c r="AI83" s="206">
        <f>SUM(AI73:AI82)</f>
        <v>27853767.076336756</v>
      </c>
    </row>
    <row r="84" spans="3:35" ht="13.5" customHeight="1" thickBot="1">
      <c r="C84" s="388" t="s">
        <v>244</v>
      </c>
      <c r="D84" s="389"/>
      <c r="E84" s="389"/>
      <c r="F84" s="389"/>
      <c r="G84" s="389"/>
      <c r="H84" s="389"/>
      <c r="I84" s="389"/>
      <c r="J84" s="389"/>
      <c r="K84" s="389"/>
      <c r="L84" s="389"/>
      <c r="M84" s="389"/>
      <c r="N84" s="389"/>
      <c r="O84" s="389"/>
      <c r="P84" s="389"/>
      <c r="Q84" s="389"/>
      <c r="R84" s="389"/>
      <c r="S84" s="389"/>
      <c r="T84" s="389"/>
      <c r="U84" s="389"/>
      <c r="V84" s="389"/>
      <c r="W84" s="389"/>
      <c r="X84" s="389"/>
      <c r="Y84" s="389"/>
      <c r="Z84" s="389"/>
      <c r="AA84" s="389"/>
      <c r="AB84" s="242"/>
      <c r="AC84" s="242"/>
      <c r="AD84" s="242"/>
      <c r="AE84" s="242"/>
      <c r="AF84" s="250"/>
      <c r="AG84" s="250"/>
      <c r="AH84" s="242"/>
      <c r="AI84" s="243"/>
    </row>
    <row r="85" spans="3:35" ht="39" thickBot="1">
      <c r="C85" s="59" t="s">
        <v>95</v>
      </c>
      <c r="D85" s="60" t="s">
        <v>96</v>
      </c>
      <c r="E85" s="59" t="s">
        <v>94</v>
      </c>
      <c r="F85" s="61" t="s">
        <v>292</v>
      </c>
      <c r="G85" s="62" t="s">
        <v>0</v>
      </c>
      <c r="H85" s="59" t="s">
        <v>293</v>
      </c>
      <c r="I85" s="61" t="s">
        <v>294</v>
      </c>
      <c r="J85" s="61" t="s">
        <v>295</v>
      </c>
      <c r="K85" s="63" t="s">
        <v>296</v>
      </c>
      <c r="L85" s="59" t="s">
        <v>293</v>
      </c>
      <c r="M85" s="61" t="s">
        <v>294</v>
      </c>
      <c r="N85" s="61" t="s">
        <v>295</v>
      </c>
      <c r="O85" s="63" t="s">
        <v>296</v>
      </c>
      <c r="P85" s="59" t="s">
        <v>293</v>
      </c>
      <c r="Q85" s="61" t="s">
        <v>294</v>
      </c>
      <c r="R85" s="61" t="s">
        <v>295</v>
      </c>
      <c r="S85" s="63" t="s">
        <v>296</v>
      </c>
      <c r="T85" s="59" t="s">
        <v>293</v>
      </c>
      <c r="U85" s="61" t="s">
        <v>294</v>
      </c>
      <c r="V85" s="61" t="s">
        <v>295</v>
      </c>
      <c r="W85" s="63" t="s">
        <v>296</v>
      </c>
      <c r="X85" s="59" t="s">
        <v>293</v>
      </c>
      <c r="Y85" s="61" t="s">
        <v>294</v>
      </c>
      <c r="Z85" s="61" t="s">
        <v>295</v>
      </c>
      <c r="AA85" s="115" t="s">
        <v>296</v>
      </c>
      <c r="AB85" s="32" t="s">
        <v>293</v>
      </c>
      <c r="AC85" s="33" t="s">
        <v>294</v>
      </c>
      <c r="AD85" s="33" t="s">
        <v>295</v>
      </c>
      <c r="AE85" s="51" t="s">
        <v>296</v>
      </c>
      <c r="AF85" s="6" t="s">
        <v>293</v>
      </c>
      <c r="AG85" s="8" t="s">
        <v>295</v>
      </c>
      <c r="AH85" s="32" t="s">
        <v>293</v>
      </c>
      <c r="AI85" s="51" t="s">
        <v>295</v>
      </c>
    </row>
    <row r="86" spans="3:35" ht="30" customHeight="1">
      <c r="C86" s="9" t="s">
        <v>245</v>
      </c>
      <c r="D86" s="10" t="s">
        <v>268</v>
      </c>
      <c r="E86" s="13" t="s">
        <v>73</v>
      </c>
      <c r="F86" s="10" t="s">
        <v>4</v>
      </c>
      <c r="G86" s="40">
        <v>2</v>
      </c>
      <c r="H86" s="159">
        <v>60726</v>
      </c>
      <c r="I86" s="165">
        <f t="shared" ref="I86:I108" si="87">H86*19%</f>
        <v>11537.94</v>
      </c>
      <c r="J86" s="165">
        <f t="shared" ref="J86:J108" si="88">H86+I86</f>
        <v>72263.94</v>
      </c>
      <c r="K86" s="166">
        <f t="shared" ref="K86:K108" si="89">G86*J86</f>
        <v>144527.88</v>
      </c>
      <c r="L86" s="167">
        <v>29513.44537815126</v>
      </c>
      <c r="M86" s="168">
        <f>+N86-L86</f>
        <v>5607.5546218487398</v>
      </c>
      <c r="N86" s="136">
        <v>35121</v>
      </c>
      <c r="O86" s="228">
        <f>+G86*N86</f>
        <v>70242</v>
      </c>
      <c r="P86" s="169">
        <v>56844</v>
      </c>
      <c r="Q86" s="165">
        <f t="shared" ref="Q86:Q108" si="90">+P86*0.19</f>
        <v>10800.36</v>
      </c>
      <c r="R86" s="165">
        <f t="shared" ref="R86:R108" si="91">+P86+Q86</f>
        <v>67644.36</v>
      </c>
      <c r="S86" s="170">
        <f>+G86*R86</f>
        <v>135288.72</v>
      </c>
      <c r="T86" s="165">
        <v>64891</v>
      </c>
      <c r="U86" s="165">
        <f>T86*19%</f>
        <v>12329.29</v>
      </c>
      <c r="V86" s="165">
        <f>T86+U86</f>
        <v>77220.290000000008</v>
      </c>
      <c r="W86" s="170">
        <f>+G86*V86</f>
        <v>154440.58000000002</v>
      </c>
      <c r="X86" s="165">
        <v>62636</v>
      </c>
      <c r="Y86" s="165">
        <f t="shared" ref="Y86:Y108" si="92">+X86*0.19</f>
        <v>11900.84</v>
      </c>
      <c r="Z86" s="165">
        <f t="shared" ref="Z86:Z108" si="93">+X86+Y86</f>
        <v>74536.84</v>
      </c>
      <c r="AA86" s="166">
        <f>+G86*Z86</f>
        <v>149073.68</v>
      </c>
      <c r="AB86" s="148">
        <f t="shared" ref="AB86:AB108" si="94">+AD86/1.19</f>
        <v>30842.857142857145</v>
      </c>
      <c r="AC86" s="127">
        <f t="shared" ref="AC86:AC108" si="95">+AD86-AB86</f>
        <v>5860.1428571428551</v>
      </c>
      <c r="AD86" s="149">
        <v>36703</v>
      </c>
      <c r="AE86" s="182">
        <f t="shared" ref="AE86:AE108" si="96">+G86*AD86</f>
        <v>73406</v>
      </c>
      <c r="AF86" s="203">
        <f t="shared" ref="AF86:AF108" si="97">+GEOMEAN(H86,L86,P86,T86,X86,AB86)</f>
        <v>48347.466044263281</v>
      </c>
      <c r="AG86" s="197">
        <f t="shared" ref="AG86:AG108" si="98">+GEOMEAN(J86,N86,R86,V86,Z86,AD86)</f>
        <v>57533.484592673296</v>
      </c>
      <c r="AH86" s="203">
        <f t="shared" ref="AH86:AH108" si="99">+HARMEAN(H86,L86,P86,T86,X86,AB86)</f>
        <v>45544.110636269928</v>
      </c>
      <c r="AI86" s="161">
        <f t="shared" ref="AI86:AI108" si="100">+HARMEAN(J86,N86,R86,V86,Z86,AD86)</f>
        <v>54197.491657161219</v>
      </c>
    </row>
    <row r="87" spans="3:35" ht="30" customHeight="1">
      <c r="C87" s="2" t="s">
        <v>246</v>
      </c>
      <c r="D87" s="1" t="s">
        <v>270</v>
      </c>
      <c r="E87" s="15" t="s">
        <v>74</v>
      </c>
      <c r="F87" s="1" t="s">
        <v>2</v>
      </c>
      <c r="G87" s="41">
        <v>16</v>
      </c>
      <c r="H87" s="152">
        <v>19234</v>
      </c>
      <c r="I87" s="153">
        <f t="shared" si="87"/>
        <v>3654.46</v>
      </c>
      <c r="J87" s="153">
        <f t="shared" si="88"/>
        <v>22888.46</v>
      </c>
      <c r="K87" s="171">
        <f t="shared" si="89"/>
        <v>366215.36</v>
      </c>
      <c r="L87" s="172">
        <v>8365.0416171224733</v>
      </c>
      <c r="M87" s="173">
        <f t="shared" ref="M87:M108" si="101">+N87-L87</f>
        <v>2890.9583828775267</v>
      </c>
      <c r="N87" s="141">
        <v>11256</v>
      </c>
      <c r="O87" s="229">
        <f t="shared" ref="O87:O108" si="102">+G87*N87</f>
        <v>180096</v>
      </c>
      <c r="P87" s="174">
        <v>18274</v>
      </c>
      <c r="Q87" s="153">
        <f t="shared" si="90"/>
        <v>3472.06</v>
      </c>
      <c r="R87" s="153">
        <f t="shared" si="91"/>
        <v>21746.06</v>
      </c>
      <c r="S87" s="151">
        <f>+G87*R87</f>
        <v>347936.96</v>
      </c>
      <c r="T87" s="153">
        <v>19330</v>
      </c>
      <c r="U87" s="153">
        <f t="shared" ref="U87:U108" si="103">T87*19%</f>
        <v>3672.7</v>
      </c>
      <c r="V87" s="153">
        <f t="shared" ref="V87:V108" si="104">T87+U87</f>
        <v>23002.7</v>
      </c>
      <c r="W87" s="151">
        <f>+G87*V87</f>
        <v>368043.2</v>
      </c>
      <c r="X87" s="153">
        <v>19411</v>
      </c>
      <c r="Y87" s="153">
        <f t="shared" si="92"/>
        <v>3688.09</v>
      </c>
      <c r="Z87" s="153">
        <f t="shared" si="93"/>
        <v>23099.09</v>
      </c>
      <c r="AA87" s="171">
        <f>+G87*Z87</f>
        <v>369585.44</v>
      </c>
      <c r="AB87" s="152">
        <f t="shared" si="94"/>
        <v>9768.0672268907565</v>
      </c>
      <c r="AC87" s="125">
        <f t="shared" si="95"/>
        <v>1855.9327731092435</v>
      </c>
      <c r="AD87" s="153">
        <v>11624</v>
      </c>
      <c r="AE87" s="183">
        <f t="shared" si="96"/>
        <v>185984</v>
      </c>
      <c r="AF87" s="185">
        <f t="shared" si="97"/>
        <v>14861.978326474695</v>
      </c>
      <c r="AG87" s="183">
        <f t="shared" si="98"/>
        <v>18051.71304335992</v>
      </c>
      <c r="AH87" s="185">
        <f t="shared" si="99"/>
        <v>13892.632509818726</v>
      </c>
      <c r="AI87" s="154">
        <f t="shared" si="100"/>
        <v>17078.894270981422</v>
      </c>
    </row>
    <row r="88" spans="3:35" ht="30" customHeight="1">
      <c r="C88" s="2" t="s">
        <v>247</v>
      </c>
      <c r="D88" s="1" t="s">
        <v>271</v>
      </c>
      <c r="E88" s="15" t="s">
        <v>75</v>
      </c>
      <c r="F88" s="1" t="s">
        <v>2</v>
      </c>
      <c r="G88" s="42">
        <v>6.4</v>
      </c>
      <c r="H88" s="152">
        <v>116254</v>
      </c>
      <c r="I88" s="153">
        <f t="shared" si="87"/>
        <v>22088.260000000002</v>
      </c>
      <c r="J88" s="153">
        <f t="shared" si="88"/>
        <v>138342.26</v>
      </c>
      <c r="K88" s="171">
        <f t="shared" si="89"/>
        <v>885390.46400000015</v>
      </c>
      <c r="L88" s="172">
        <v>53914.239001189067</v>
      </c>
      <c r="M88" s="173">
        <f t="shared" si="101"/>
        <v>18632.760998810933</v>
      </c>
      <c r="N88" s="141">
        <v>72547</v>
      </c>
      <c r="O88" s="229">
        <f t="shared" si="102"/>
        <v>464300.80000000005</v>
      </c>
      <c r="P88" s="174">
        <v>111535</v>
      </c>
      <c r="Q88" s="153">
        <f t="shared" si="90"/>
        <v>21191.65</v>
      </c>
      <c r="R88" s="153">
        <f t="shared" si="91"/>
        <v>132726.65</v>
      </c>
      <c r="S88" s="151">
        <f t="shared" ref="S88:S108" si="105">+G88*R88</f>
        <v>849450.56</v>
      </c>
      <c r="T88" s="153">
        <v>117595</v>
      </c>
      <c r="U88" s="153">
        <f t="shared" si="103"/>
        <v>22343.05</v>
      </c>
      <c r="V88" s="153">
        <f t="shared" si="104"/>
        <v>139938.04999999999</v>
      </c>
      <c r="W88" s="151">
        <f t="shared" ref="W88:W108" si="106">+G88*V88</f>
        <v>895603.52</v>
      </c>
      <c r="X88" s="153">
        <v>121116</v>
      </c>
      <c r="Y88" s="153">
        <f t="shared" si="92"/>
        <v>23012.04</v>
      </c>
      <c r="Z88" s="153">
        <f t="shared" si="93"/>
        <v>144128.04</v>
      </c>
      <c r="AA88" s="171">
        <f t="shared" ref="AA88:AA108" si="107">+G88*Z88</f>
        <v>922419.45600000012</v>
      </c>
      <c r="AB88" s="152">
        <f t="shared" si="94"/>
        <v>20035.294117647059</v>
      </c>
      <c r="AC88" s="125">
        <f t="shared" si="95"/>
        <v>3806.7058823529405</v>
      </c>
      <c r="AD88" s="153">
        <v>23842</v>
      </c>
      <c r="AE88" s="183">
        <f t="shared" si="96"/>
        <v>152588.80000000002</v>
      </c>
      <c r="AF88" s="185">
        <f t="shared" si="97"/>
        <v>76439.547762563976</v>
      </c>
      <c r="AG88" s="183">
        <f t="shared" si="98"/>
        <v>92845.296303249124</v>
      </c>
      <c r="AH88" s="185">
        <f t="shared" si="99"/>
        <v>58372.654255646099</v>
      </c>
      <c r="AI88" s="154">
        <f t="shared" si="100"/>
        <v>70943.803054411692</v>
      </c>
    </row>
    <row r="89" spans="3:35" ht="30" customHeight="1">
      <c r="C89" s="2" t="s">
        <v>248</v>
      </c>
      <c r="D89" s="1" t="s">
        <v>269</v>
      </c>
      <c r="E89" s="15" t="s">
        <v>76</v>
      </c>
      <c r="F89" s="1" t="s">
        <v>3</v>
      </c>
      <c r="G89" s="43">
        <v>2.9</v>
      </c>
      <c r="H89" s="152">
        <v>138503</v>
      </c>
      <c r="I89" s="153">
        <f t="shared" si="87"/>
        <v>26315.57</v>
      </c>
      <c r="J89" s="153">
        <f t="shared" si="88"/>
        <v>164818.57</v>
      </c>
      <c r="K89" s="139">
        <f t="shared" si="89"/>
        <v>477973.853</v>
      </c>
      <c r="L89" s="172">
        <v>35078.775267538651</v>
      </c>
      <c r="M89" s="173">
        <f t="shared" si="101"/>
        <v>12123.224732461349</v>
      </c>
      <c r="N89" s="141">
        <v>47202</v>
      </c>
      <c r="O89" s="229">
        <f t="shared" si="102"/>
        <v>136885.79999999999</v>
      </c>
      <c r="P89" s="174">
        <v>129507</v>
      </c>
      <c r="Q89" s="153">
        <f t="shared" si="90"/>
        <v>24606.33</v>
      </c>
      <c r="R89" s="153">
        <f t="shared" si="91"/>
        <v>154113.33000000002</v>
      </c>
      <c r="S89" s="151">
        <f t="shared" si="105"/>
        <v>446928.65700000001</v>
      </c>
      <c r="T89" s="153">
        <v>143879</v>
      </c>
      <c r="U89" s="153">
        <f t="shared" si="103"/>
        <v>27337.010000000002</v>
      </c>
      <c r="V89" s="153">
        <f t="shared" si="104"/>
        <v>171216.01</v>
      </c>
      <c r="W89" s="151">
        <f t="shared" si="106"/>
        <v>496526.429</v>
      </c>
      <c r="X89" s="153">
        <v>141945</v>
      </c>
      <c r="Y89" s="153">
        <f t="shared" si="92"/>
        <v>26969.55</v>
      </c>
      <c r="Z89" s="153">
        <f t="shared" si="93"/>
        <v>168914.55</v>
      </c>
      <c r="AA89" s="171">
        <f t="shared" si="107"/>
        <v>489852.19499999995</v>
      </c>
      <c r="AB89" s="152">
        <f t="shared" si="94"/>
        <v>70344.537815126052</v>
      </c>
      <c r="AC89" s="125">
        <f t="shared" si="95"/>
        <v>13365.462184873948</v>
      </c>
      <c r="AD89" s="153">
        <v>83710</v>
      </c>
      <c r="AE89" s="183">
        <f t="shared" si="96"/>
        <v>242759</v>
      </c>
      <c r="AF89" s="185">
        <f t="shared" si="97"/>
        <v>98331.075508372815</v>
      </c>
      <c r="AG89" s="183">
        <f t="shared" si="98"/>
        <v>119435.26758884381</v>
      </c>
      <c r="AH89" s="185">
        <f t="shared" si="99"/>
        <v>83728.802078577879</v>
      </c>
      <c r="AI89" s="154">
        <f t="shared" si="100"/>
        <v>104441.7612960354</v>
      </c>
    </row>
    <row r="90" spans="3:35" ht="30" customHeight="1">
      <c r="C90" s="2" t="s">
        <v>249</v>
      </c>
      <c r="D90" s="1" t="s">
        <v>272</v>
      </c>
      <c r="E90" s="15" t="s">
        <v>77</v>
      </c>
      <c r="F90" s="1" t="s">
        <v>3</v>
      </c>
      <c r="G90" s="43">
        <v>3.8</v>
      </c>
      <c r="H90" s="152">
        <v>357211</v>
      </c>
      <c r="I90" s="153">
        <f t="shared" si="87"/>
        <v>67870.09</v>
      </c>
      <c r="J90" s="153">
        <f t="shared" si="88"/>
        <v>425081.08999999997</v>
      </c>
      <c r="K90" s="139">
        <f t="shared" si="89"/>
        <v>1615308.1419999998</v>
      </c>
      <c r="L90" s="172">
        <v>84134.215219976235</v>
      </c>
      <c r="M90" s="173">
        <f t="shared" si="101"/>
        <v>29076.784780023765</v>
      </c>
      <c r="N90" s="141">
        <v>113211</v>
      </c>
      <c r="O90" s="229">
        <f t="shared" si="102"/>
        <v>430201.8</v>
      </c>
      <c r="P90" s="174">
        <v>341911</v>
      </c>
      <c r="Q90" s="153">
        <f t="shared" si="90"/>
        <v>64963.090000000004</v>
      </c>
      <c r="R90" s="153">
        <f t="shared" si="91"/>
        <v>406874.09</v>
      </c>
      <c r="S90" s="151">
        <f t="shared" si="105"/>
        <v>1546121.5420000001</v>
      </c>
      <c r="T90" s="153">
        <v>356323</v>
      </c>
      <c r="U90" s="153">
        <f t="shared" si="103"/>
        <v>67701.37</v>
      </c>
      <c r="V90" s="153">
        <f t="shared" si="104"/>
        <v>424024.37</v>
      </c>
      <c r="W90" s="151">
        <f t="shared" si="106"/>
        <v>1611292.6059999999</v>
      </c>
      <c r="X90" s="153">
        <v>368220</v>
      </c>
      <c r="Y90" s="153">
        <f t="shared" si="92"/>
        <v>69961.8</v>
      </c>
      <c r="Z90" s="153">
        <f t="shared" si="93"/>
        <v>438181.8</v>
      </c>
      <c r="AA90" s="171">
        <f t="shared" si="107"/>
        <v>1665090.8399999999</v>
      </c>
      <c r="AB90" s="152">
        <f t="shared" si="94"/>
        <v>181426.05042016809</v>
      </c>
      <c r="AC90" s="125">
        <f t="shared" si="95"/>
        <v>34470.949579831911</v>
      </c>
      <c r="AD90" s="153">
        <v>215897</v>
      </c>
      <c r="AE90" s="183">
        <f t="shared" si="96"/>
        <v>820408.6</v>
      </c>
      <c r="AF90" s="185">
        <f t="shared" si="97"/>
        <v>250078.81546870826</v>
      </c>
      <c r="AG90" s="183">
        <f t="shared" si="98"/>
        <v>303751.688765603</v>
      </c>
      <c r="AH90" s="185">
        <f t="shared" si="99"/>
        <v>209467.42317659067</v>
      </c>
      <c r="AI90" s="154">
        <f t="shared" si="100"/>
        <v>261829.56723234063</v>
      </c>
    </row>
    <row r="91" spans="3:35" ht="30" customHeight="1">
      <c r="C91" s="2" t="s">
        <v>250</v>
      </c>
      <c r="D91" s="1" t="s">
        <v>273</v>
      </c>
      <c r="E91" s="15" t="s">
        <v>89</v>
      </c>
      <c r="F91" s="1" t="s">
        <v>3</v>
      </c>
      <c r="G91" s="43">
        <v>3.37</v>
      </c>
      <c r="H91" s="152">
        <v>2488603</v>
      </c>
      <c r="I91" s="153">
        <f t="shared" si="87"/>
        <v>472834.57</v>
      </c>
      <c r="J91" s="153">
        <f t="shared" si="88"/>
        <v>2961437.57</v>
      </c>
      <c r="K91" s="139">
        <f t="shared" si="89"/>
        <v>9980044.6108999997</v>
      </c>
      <c r="L91" s="172">
        <v>817479.19143876352</v>
      </c>
      <c r="M91" s="173">
        <f t="shared" si="101"/>
        <v>282520.80856123648</v>
      </c>
      <c r="N91" s="141">
        <v>1100000</v>
      </c>
      <c r="O91" s="229">
        <f t="shared" si="102"/>
        <v>3707000</v>
      </c>
      <c r="P91" s="174">
        <v>2496916</v>
      </c>
      <c r="Q91" s="153">
        <f t="shared" si="90"/>
        <v>474414.04</v>
      </c>
      <c r="R91" s="153">
        <f t="shared" si="91"/>
        <v>2971330.04</v>
      </c>
      <c r="S91" s="151">
        <f t="shared" si="105"/>
        <v>10013382.2348</v>
      </c>
      <c r="T91" s="153">
        <v>2542459</v>
      </c>
      <c r="U91" s="153">
        <f t="shared" si="103"/>
        <v>483067.21</v>
      </c>
      <c r="V91" s="153">
        <f t="shared" si="104"/>
        <v>3025526.21</v>
      </c>
      <c r="W91" s="151">
        <f t="shared" si="106"/>
        <v>10196023.3277</v>
      </c>
      <c r="X91" s="153">
        <v>2590931</v>
      </c>
      <c r="Y91" s="153">
        <f t="shared" si="92"/>
        <v>492276.89</v>
      </c>
      <c r="Z91" s="153">
        <f t="shared" si="93"/>
        <v>3083207.89</v>
      </c>
      <c r="AA91" s="171">
        <f t="shared" si="107"/>
        <v>10390410.589300001</v>
      </c>
      <c r="AB91" s="152">
        <f t="shared" si="94"/>
        <v>1122689.0756302522</v>
      </c>
      <c r="AC91" s="125">
        <f t="shared" si="95"/>
        <v>213310.92436974775</v>
      </c>
      <c r="AD91" s="153">
        <v>1336000</v>
      </c>
      <c r="AE91" s="183">
        <f t="shared" si="96"/>
        <v>4502320</v>
      </c>
      <c r="AF91" s="185">
        <f t="shared" si="97"/>
        <v>1830069.5441240002</v>
      </c>
      <c r="AG91" s="183">
        <f t="shared" si="98"/>
        <v>2222846.0797220911</v>
      </c>
      <c r="AH91" s="185">
        <f t="shared" si="99"/>
        <v>1623552.8291338705</v>
      </c>
      <c r="AI91" s="154">
        <f t="shared" si="100"/>
        <v>2008922.3590602034</v>
      </c>
    </row>
    <row r="92" spans="3:35" ht="30" customHeight="1">
      <c r="C92" s="2" t="s">
        <v>251</v>
      </c>
      <c r="D92" s="11" t="s">
        <v>274</v>
      </c>
      <c r="E92" s="15" t="s">
        <v>78</v>
      </c>
      <c r="F92" s="1" t="s">
        <v>4</v>
      </c>
      <c r="G92" s="41">
        <v>2</v>
      </c>
      <c r="H92" s="152">
        <v>774984</v>
      </c>
      <c r="I92" s="153">
        <f t="shared" si="87"/>
        <v>147246.96</v>
      </c>
      <c r="J92" s="153">
        <f t="shared" si="88"/>
        <v>922230.96</v>
      </c>
      <c r="K92" s="171">
        <f t="shared" si="89"/>
        <v>1844461.92</v>
      </c>
      <c r="L92" s="172">
        <v>321587.39595719386</v>
      </c>
      <c r="M92" s="173">
        <f t="shared" si="101"/>
        <v>111140.60404280614</v>
      </c>
      <c r="N92" s="141">
        <v>432728</v>
      </c>
      <c r="O92" s="229">
        <f t="shared" si="102"/>
        <v>865456</v>
      </c>
      <c r="P92" s="174">
        <v>744300</v>
      </c>
      <c r="Q92" s="153">
        <f t="shared" si="90"/>
        <v>141417</v>
      </c>
      <c r="R92" s="153">
        <f t="shared" si="91"/>
        <v>885717</v>
      </c>
      <c r="S92" s="151">
        <f t="shared" si="105"/>
        <v>1771434</v>
      </c>
      <c r="T92" s="153">
        <v>799211</v>
      </c>
      <c r="U92" s="153">
        <f t="shared" si="103"/>
        <v>151850.09</v>
      </c>
      <c r="V92" s="153">
        <f t="shared" si="104"/>
        <v>951061.09</v>
      </c>
      <c r="W92" s="151">
        <f t="shared" si="106"/>
        <v>1902122.18</v>
      </c>
      <c r="X92" s="153">
        <v>783083</v>
      </c>
      <c r="Y92" s="153">
        <f t="shared" si="92"/>
        <v>148785.76999999999</v>
      </c>
      <c r="Z92" s="153">
        <f t="shared" si="93"/>
        <v>931868.77</v>
      </c>
      <c r="AA92" s="171">
        <f t="shared" si="107"/>
        <v>1863737.54</v>
      </c>
      <c r="AB92" s="152">
        <f t="shared" si="94"/>
        <v>385209.24369747902</v>
      </c>
      <c r="AC92" s="125">
        <f t="shared" si="95"/>
        <v>73189.756302520982</v>
      </c>
      <c r="AD92" s="153">
        <v>458399</v>
      </c>
      <c r="AE92" s="183">
        <f t="shared" si="96"/>
        <v>916798</v>
      </c>
      <c r="AF92" s="185">
        <f t="shared" si="97"/>
        <v>595777.75991959102</v>
      </c>
      <c r="AG92" s="183">
        <f t="shared" si="98"/>
        <v>723645.86486618221</v>
      </c>
      <c r="AH92" s="185">
        <f t="shared" si="99"/>
        <v>552094.85786162061</v>
      </c>
      <c r="AI92" s="154">
        <f t="shared" si="100"/>
        <v>679474.64045354421</v>
      </c>
    </row>
    <row r="93" spans="3:35" ht="30" customHeight="1">
      <c r="C93" s="2" t="s">
        <v>252</v>
      </c>
      <c r="D93" s="11" t="s">
        <v>275</v>
      </c>
      <c r="E93" s="15" t="s">
        <v>79</v>
      </c>
      <c r="F93" s="20" t="s">
        <v>1</v>
      </c>
      <c r="G93" s="41">
        <v>35</v>
      </c>
      <c r="H93" s="152">
        <v>22421</v>
      </c>
      <c r="I93" s="153">
        <f t="shared" si="87"/>
        <v>4259.99</v>
      </c>
      <c r="J93" s="153">
        <f t="shared" si="88"/>
        <v>26680.989999999998</v>
      </c>
      <c r="K93" s="171">
        <f t="shared" si="89"/>
        <v>933834.64999999991</v>
      </c>
      <c r="L93" s="172">
        <v>14198.870392390016</v>
      </c>
      <c r="M93" s="173">
        <f t="shared" si="101"/>
        <v>4907.1296076099843</v>
      </c>
      <c r="N93" s="141">
        <v>19106</v>
      </c>
      <c r="O93" s="229">
        <f t="shared" si="102"/>
        <v>668710</v>
      </c>
      <c r="P93" s="174">
        <v>20655</v>
      </c>
      <c r="Q93" s="153">
        <f t="shared" si="90"/>
        <v>3924.4500000000003</v>
      </c>
      <c r="R93" s="153">
        <f t="shared" si="91"/>
        <v>24579.45</v>
      </c>
      <c r="S93" s="151">
        <f t="shared" si="105"/>
        <v>860280.75</v>
      </c>
      <c r="T93" s="153">
        <v>23298</v>
      </c>
      <c r="U93" s="153">
        <f t="shared" si="103"/>
        <v>4426.62</v>
      </c>
      <c r="V93" s="153">
        <f t="shared" si="104"/>
        <v>27724.62</v>
      </c>
      <c r="W93" s="151">
        <f t="shared" si="106"/>
        <v>970361.7</v>
      </c>
      <c r="X93" s="153">
        <v>23713</v>
      </c>
      <c r="Y93" s="153">
        <f t="shared" si="92"/>
        <v>4505.47</v>
      </c>
      <c r="Z93" s="153">
        <f t="shared" si="93"/>
        <v>28218.47</v>
      </c>
      <c r="AA93" s="171">
        <f t="shared" si="107"/>
        <v>987646.45000000007</v>
      </c>
      <c r="AB93" s="152">
        <f t="shared" si="94"/>
        <v>91099.159663865546</v>
      </c>
      <c r="AC93" s="125">
        <f t="shared" si="95"/>
        <v>17308.840336134454</v>
      </c>
      <c r="AD93" s="153">
        <v>108408</v>
      </c>
      <c r="AE93" s="183">
        <f t="shared" si="96"/>
        <v>3794280</v>
      </c>
      <c r="AF93" s="185">
        <f t="shared" si="97"/>
        <v>26300.191718399765</v>
      </c>
      <c r="AG93" s="183">
        <f t="shared" si="98"/>
        <v>31944.839607266389</v>
      </c>
      <c r="AH93" s="185">
        <f t="shared" si="99"/>
        <v>23120.161433439273</v>
      </c>
      <c r="AI93" s="154">
        <f t="shared" si="100"/>
        <v>28404.375790449929</v>
      </c>
    </row>
    <row r="94" spans="3:35" ht="30" customHeight="1">
      <c r="C94" s="2" t="s">
        <v>253</v>
      </c>
      <c r="D94" s="11" t="s">
        <v>277</v>
      </c>
      <c r="E94" s="15" t="s">
        <v>68</v>
      </c>
      <c r="F94" s="1" t="s">
        <v>4</v>
      </c>
      <c r="G94" s="41">
        <v>3</v>
      </c>
      <c r="H94" s="152">
        <v>89899</v>
      </c>
      <c r="I94" s="153">
        <f t="shared" si="87"/>
        <v>17080.810000000001</v>
      </c>
      <c r="J94" s="153">
        <f t="shared" si="88"/>
        <v>106979.81</v>
      </c>
      <c r="K94" s="171">
        <f t="shared" si="89"/>
        <v>320939.43</v>
      </c>
      <c r="L94" s="172">
        <v>41742.717003567188</v>
      </c>
      <c r="M94" s="173">
        <f t="shared" si="101"/>
        <v>14426.282996432812</v>
      </c>
      <c r="N94" s="141">
        <v>56169</v>
      </c>
      <c r="O94" s="229">
        <f t="shared" si="102"/>
        <v>168507</v>
      </c>
      <c r="P94" s="174">
        <v>88112</v>
      </c>
      <c r="Q94" s="153">
        <f t="shared" si="90"/>
        <v>16741.28</v>
      </c>
      <c r="R94" s="153">
        <f t="shared" si="91"/>
        <v>104853.28</v>
      </c>
      <c r="S94" s="151">
        <f t="shared" si="105"/>
        <v>314559.83999999997</v>
      </c>
      <c r="T94" s="153">
        <v>96037</v>
      </c>
      <c r="U94" s="153">
        <f t="shared" si="103"/>
        <v>18247.03</v>
      </c>
      <c r="V94" s="153">
        <f t="shared" si="104"/>
        <v>114284.03</v>
      </c>
      <c r="W94" s="151">
        <f t="shared" si="106"/>
        <v>342852.08999999997</v>
      </c>
      <c r="X94" s="153">
        <v>93916</v>
      </c>
      <c r="Y94" s="153">
        <f t="shared" si="92"/>
        <v>17844.04</v>
      </c>
      <c r="Z94" s="153">
        <f t="shared" si="93"/>
        <v>111760.04000000001</v>
      </c>
      <c r="AA94" s="171">
        <f t="shared" si="107"/>
        <v>335280.12</v>
      </c>
      <c r="AB94" s="152">
        <f t="shared" si="94"/>
        <v>45659.663865546223</v>
      </c>
      <c r="AC94" s="125">
        <f t="shared" si="95"/>
        <v>8675.336134453777</v>
      </c>
      <c r="AD94" s="153">
        <v>54335</v>
      </c>
      <c r="AE94" s="183">
        <f t="shared" si="96"/>
        <v>163005</v>
      </c>
      <c r="AF94" s="185">
        <f t="shared" si="97"/>
        <v>71726.601294270513</v>
      </c>
      <c r="AG94" s="183">
        <f t="shared" si="98"/>
        <v>87120.839211100305</v>
      </c>
      <c r="AH94" s="185">
        <f t="shared" si="99"/>
        <v>67121.07929825777</v>
      </c>
      <c r="AI94" s="154">
        <f t="shared" si="100"/>
        <v>82428.538935784323</v>
      </c>
    </row>
    <row r="95" spans="3:35" ht="30" customHeight="1">
      <c r="C95" s="2" t="s">
        <v>254</v>
      </c>
      <c r="D95" s="11" t="s">
        <v>278</v>
      </c>
      <c r="E95" s="15" t="s">
        <v>80</v>
      </c>
      <c r="F95" s="1" t="s">
        <v>4</v>
      </c>
      <c r="G95" s="41">
        <v>1</v>
      </c>
      <c r="H95" s="152">
        <v>506958</v>
      </c>
      <c r="I95" s="153">
        <f t="shared" si="87"/>
        <v>96322.02</v>
      </c>
      <c r="J95" s="153">
        <f t="shared" si="88"/>
        <v>603280.02</v>
      </c>
      <c r="K95" s="171">
        <f t="shared" si="89"/>
        <v>603280.02</v>
      </c>
      <c r="L95" s="172">
        <v>213961.0582639715</v>
      </c>
      <c r="M95" s="173">
        <f t="shared" si="101"/>
        <v>73944.941736028501</v>
      </c>
      <c r="N95" s="141">
        <v>287906</v>
      </c>
      <c r="O95" s="229">
        <f t="shared" si="102"/>
        <v>287906</v>
      </c>
      <c r="P95" s="174">
        <v>477095</v>
      </c>
      <c r="Q95" s="153">
        <f t="shared" si="90"/>
        <v>90648.05</v>
      </c>
      <c r="R95" s="153">
        <f t="shared" si="91"/>
        <v>567743.05000000005</v>
      </c>
      <c r="S95" s="151">
        <f t="shared" si="105"/>
        <v>567743.05000000005</v>
      </c>
      <c r="T95" s="153">
        <v>522421</v>
      </c>
      <c r="U95" s="153">
        <f t="shared" si="103"/>
        <v>99259.99</v>
      </c>
      <c r="V95" s="153">
        <f t="shared" si="104"/>
        <v>621680.99</v>
      </c>
      <c r="W95" s="151">
        <f t="shared" si="106"/>
        <v>621680.99</v>
      </c>
      <c r="X95" s="153">
        <v>502834</v>
      </c>
      <c r="Y95" s="153">
        <f t="shared" si="92"/>
        <v>95538.46</v>
      </c>
      <c r="Z95" s="153">
        <f t="shared" si="93"/>
        <v>598372.46</v>
      </c>
      <c r="AA95" s="171">
        <f t="shared" si="107"/>
        <v>598372.46</v>
      </c>
      <c r="AB95" s="152">
        <f t="shared" si="94"/>
        <v>136978.99159663866</v>
      </c>
      <c r="AC95" s="125">
        <f t="shared" si="95"/>
        <v>26026.008403361338</v>
      </c>
      <c r="AD95" s="153">
        <v>163005</v>
      </c>
      <c r="AE95" s="183">
        <f t="shared" si="96"/>
        <v>163005</v>
      </c>
      <c r="AF95" s="185">
        <f t="shared" si="97"/>
        <v>350753.32900105923</v>
      </c>
      <c r="AG95" s="183">
        <f t="shared" si="98"/>
        <v>426033.35202361521</v>
      </c>
      <c r="AH95" s="185">
        <f t="shared" si="99"/>
        <v>300818.24442765192</v>
      </c>
      <c r="AI95" s="154">
        <f t="shared" si="100"/>
        <v>367943.66425969102</v>
      </c>
    </row>
    <row r="96" spans="3:35" ht="30" customHeight="1">
      <c r="C96" s="2" t="s">
        <v>255</v>
      </c>
      <c r="D96" s="11" t="s">
        <v>279</v>
      </c>
      <c r="E96" s="15" t="s">
        <v>81</v>
      </c>
      <c r="F96" s="1" t="s">
        <v>2</v>
      </c>
      <c r="G96" s="43">
        <v>48.6</v>
      </c>
      <c r="H96" s="152">
        <v>89959</v>
      </c>
      <c r="I96" s="153">
        <f t="shared" si="87"/>
        <v>17092.21</v>
      </c>
      <c r="J96" s="153">
        <f t="shared" si="88"/>
        <v>107051.20999999999</v>
      </c>
      <c r="K96" s="139">
        <f t="shared" si="89"/>
        <v>5202688.8059999999</v>
      </c>
      <c r="L96" s="172">
        <v>40735.731272294892</v>
      </c>
      <c r="M96" s="173">
        <f t="shared" si="101"/>
        <v>14078.268727705108</v>
      </c>
      <c r="N96" s="141">
        <v>54814</v>
      </c>
      <c r="O96" s="229">
        <f t="shared" si="102"/>
        <v>2663960.4</v>
      </c>
      <c r="P96" s="174">
        <v>86625</v>
      </c>
      <c r="Q96" s="153">
        <f t="shared" si="90"/>
        <v>16458.75</v>
      </c>
      <c r="R96" s="153">
        <f t="shared" si="91"/>
        <v>103083.75</v>
      </c>
      <c r="S96" s="151">
        <f t="shared" si="105"/>
        <v>5009870.25</v>
      </c>
      <c r="T96" s="153">
        <v>92443</v>
      </c>
      <c r="U96" s="153">
        <f t="shared" si="103"/>
        <v>17564.170000000002</v>
      </c>
      <c r="V96" s="153">
        <f t="shared" si="104"/>
        <v>110007.17</v>
      </c>
      <c r="W96" s="151">
        <f t="shared" si="106"/>
        <v>5346348.4620000003</v>
      </c>
      <c r="X96" s="153">
        <v>92906</v>
      </c>
      <c r="Y96" s="153">
        <f t="shared" si="92"/>
        <v>17652.14</v>
      </c>
      <c r="Z96" s="153">
        <f t="shared" si="93"/>
        <v>110558.14</v>
      </c>
      <c r="AA96" s="171">
        <f t="shared" si="107"/>
        <v>5373125.6040000003</v>
      </c>
      <c r="AB96" s="152">
        <f t="shared" si="94"/>
        <v>73624.369747899167</v>
      </c>
      <c r="AC96" s="125">
        <f t="shared" si="95"/>
        <v>13988.630252100833</v>
      </c>
      <c r="AD96" s="153">
        <v>87613</v>
      </c>
      <c r="AE96" s="183">
        <f t="shared" si="96"/>
        <v>4257991.8</v>
      </c>
      <c r="AF96" s="185">
        <f t="shared" si="97"/>
        <v>76518.61979449472</v>
      </c>
      <c r="AG96" s="183">
        <f t="shared" si="98"/>
        <v>92941.339077556375</v>
      </c>
      <c r="AH96" s="185">
        <f t="shared" si="99"/>
        <v>72840.141285659338</v>
      </c>
      <c r="AI96" s="154">
        <f t="shared" si="100"/>
        <v>89773.522963226889</v>
      </c>
    </row>
    <row r="97" spans="3:35" ht="30" customHeight="1">
      <c r="C97" s="2" t="s">
        <v>256</v>
      </c>
      <c r="D97" s="1" t="s">
        <v>276</v>
      </c>
      <c r="E97" s="15" t="s">
        <v>5</v>
      </c>
      <c r="F97" s="1" t="s">
        <v>2</v>
      </c>
      <c r="G97" s="43">
        <v>48.6</v>
      </c>
      <c r="H97" s="152">
        <v>33121</v>
      </c>
      <c r="I97" s="153">
        <f t="shared" si="87"/>
        <v>6292.99</v>
      </c>
      <c r="J97" s="153">
        <f t="shared" si="88"/>
        <v>39413.99</v>
      </c>
      <c r="K97" s="139">
        <f t="shared" si="89"/>
        <v>1915519.9139999999</v>
      </c>
      <c r="L97" s="172">
        <v>14170.630202140312</v>
      </c>
      <c r="M97" s="173">
        <f t="shared" si="101"/>
        <v>4897.3697978596883</v>
      </c>
      <c r="N97" s="141">
        <v>19068</v>
      </c>
      <c r="O97" s="229">
        <f t="shared" si="102"/>
        <v>926704.8</v>
      </c>
      <c r="P97" s="174">
        <v>32030</v>
      </c>
      <c r="Q97" s="153">
        <f t="shared" si="90"/>
        <v>6085.7</v>
      </c>
      <c r="R97" s="153">
        <f t="shared" si="91"/>
        <v>38115.699999999997</v>
      </c>
      <c r="S97" s="151">
        <f t="shared" si="105"/>
        <v>1852423.02</v>
      </c>
      <c r="T97" s="153">
        <v>35146</v>
      </c>
      <c r="U97" s="153">
        <f t="shared" si="103"/>
        <v>6677.74</v>
      </c>
      <c r="V97" s="153">
        <f t="shared" si="104"/>
        <v>41823.74</v>
      </c>
      <c r="W97" s="151">
        <f t="shared" si="106"/>
        <v>2032633.764</v>
      </c>
      <c r="X97" s="153">
        <v>33866</v>
      </c>
      <c r="Y97" s="153">
        <f t="shared" si="92"/>
        <v>6434.54</v>
      </c>
      <c r="Z97" s="153">
        <f t="shared" si="93"/>
        <v>40300.54</v>
      </c>
      <c r="AA97" s="171">
        <f t="shared" si="107"/>
        <v>1958606.2440000002</v>
      </c>
      <c r="AB97" s="152">
        <f t="shared" si="94"/>
        <v>16319.327731092437</v>
      </c>
      <c r="AC97" s="125">
        <f t="shared" si="95"/>
        <v>3100.6722689075632</v>
      </c>
      <c r="AD97" s="153">
        <v>19420</v>
      </c>
      <c r="AE97" s="183">
        <f t="shared" si="96"/>
        <v>943812</v>
      </c>
      <c r="AF97" s="185">
        <f t="shared" si="97"/>
        <v>25757.197191278548</v>
      </c>
      <c r="AG97" s="183">
        <f t="shared" si="98"/>
        <v>31285.305514806696</v>
      </c>
      <c r="AH97" s="185">
        <f t="shared" si="99"/>
        <v>23881.598693096665</v>
      </c>
      <c r="AI97" s="154">
        <f t="shared" si="100"/>
        <v>29373.143404876511</v>
      </c>
    </row>
    <row r="98" spans="3:35" ht="30" customHeight="1">
      <c r="C98" s="2" t="s">
        <v>257</v>
      </c>
      <c r="D98" s="11" t="s">
        <v>280</v>
      </c>
      <c r="E98" s="15" t="s">
        <v>69</v>
      </c>
      <c r="F98" s="20" t="s">
        <v>1</v>
      </c>
      <c r="G98" s="43">
        <v>42.8</v>
      </c>
      <c r="H98" s="152">
        <v>144694</v>
      </c>
      <c r="I98" s="153">
        <f t="shared" si="87"/>
        <v>27491.86</v>
      </c>
      <c r="J98" s="153">
        <f t="shared" si="88"/>
        <v>172185.86</v>
      </c>
      <c r="K98" s="139">
        <f t="shared" si="89"/>
        <v>7369554.8079999993</v>
      </c>
      <c r="L98" s="172">
        <v>37864.149821640909</v>
      </c>
      <c r="M98" s="173">
        <f t="shared" si="101"/>
        <v>13085.850178359091</v>
      </c>
      <c r="N98" s="141">
        <v>50950</v>
      </c>
      <c r="O98" s="229">
        <f t="shared" si="102"/>
        <v>2180660</v>
      </c>
      <c r="P98" s="174">
        <v>133578</v>
      </c>
      <c r="Q98" s="153">
        <f t="shared" si="90"/>
        <v>25379.82</v>
      </c>
      <c r="R98" s="153">
        <f t="shared" si="91"/>
        <v>158957.82</v>
      </c>
      <c r="S98" s="151">
        <f t="shared" si="105"/>
        <v>6803394.6959999995</v>
      </c>
      <c r="T98" s="153">
        <v>151783</v>
      </c>
      <c r="U98" s="153">
        <f t="shared" si="103"/>
        <v>28838.77</v>
      </c>
      <c r="V98" s="153">
        <f t="shared" si="104"/>
        <v>180621.77</v>
      </c>
      <c r="W98" s="151">
        <f t="shared" si="106"/>
        <v>7730611.7559999991</v>
      </c>
      <c r="X98" s="153">
        <v>148967</v>
      </c>
      <c r="Y98" s="153">
        <f t="shared" si="92"/>
        <v>28303.73</v>
      </c>
      <c r="Z98" s="153">
        <f t="shared" si="93"/>
        <v>177270.73</v>
      </c>
      <c r="AA98" s="171">
        <f t="shared" si="107"/>
        <v>7587187.2439999999</v>
      </c>
      <c r="AB98" s="152">
        <f t="shared" si="94"/>
        <v>42694.117647058825</v>
      </c>
      <c r="AC98" s="125">
        <f t="shared" si="95"/>
        <v>8111.8823529411748</v>
      </c>
      <c r="AD98" s="153">
        <v>50806</v>
      </c>
      <c r="AE98" s="183">
        <f t="shared" si="96"/>
        <v>2174496.7999999998</v>
      </c>
      <c r="AF98" s="185">
        <f t="shared" si="97"/>
        <v>94373.302420382854</v>
      </c>
      <c r="AG98" s="183">
        <f t="shared" si="98"/>
        <v>114628.06208055305</v>
      </c>
      <c r="AH98" s="185">
        <f t="shared" si="99"/>
        <v>77388.114930677693</v>
      </c>
      <c r="AI98" s="154">
        <f t="shared" si="100"/>
        <v>95868.123372748349</v>
      </c>
    </row>
    <row r="99" spans="3:35" ht="30" customHeight="1">
      <c r="C99" s="2" t="s">
        <v>258</v>
      </c>
      <c r="D99" s="1" t="s">
        <v>281</v>
      </c>
      <c r="E99" s="15" t="s">
        <v>90</v>
      </c>
      <c r="F99" s="1" t="s">
        <v>2</v>
      </c>
      <c r="G99" s="41">
        <v>28</v>
      </c>
      <c r="H99" s="152">
        <v>239284</v>
      </c>
      <c r="I99" s="153">
        <f t="shared" si="87"/>
        <v>45463.96</v>
      </c>
      <c r="J99" s="153">
        <f t="shared" si="88"/>
        <v>284747.96000000002</v>
      </c>
      <c r="K99" s="171">
        <f t="shared" si="89"/>
        <v>7972942.8800000008</v>
      </c>
      <c r="L99" s="172">
        <v>81747.919143876352</v>
      </c>
      <c r="M99" s="173">
        <f t="shared" si="101"/>
        <v>28252.080856123648</v>
      </c>
      <c r="N99" s="141">
        <v>110000</v>
      </c>
      <c r="O99" s="229">
        <f t="shared" si="102"/>
        <v>3080000</v>
      </c>
      <c r="P99" s="174">
        <v>235390</v>
      </c>
      <c r="Q99" s="153">
        <f t="shared" si="90"/>
        <v>44724.1</v>
      </c>
      <c r="R99" s="153">
        <f t="shared" si="91"/>
        <v>280114.09999999998</v>
      </c>
      <c r="S99" s="151">
        <f t="shared" si="105"/>
        <v>7843194.7999999989</v>
      </c>
      <c r="T99" s="153">
        <v>240915</v>
      </c>
      <c r="U99" s="153">
        <f t="shared" si="103"/>
        <v>45773.85</v>
      </c>
      <c r="V99" s="153">
        <f t="shared" si="104"/>
        <v>286688.84999999998</v>
      </c>
      <c r="W99" s="151">
        <f t="shared" si="106"/>
        <v>8027287.7999999989</v>
      </c>
      <c r="X99" s="153">
        <v>239035</v>
      </c>
      <c r="Y99" s="153">
        <f t="shared" si="92"/>
        <v>45416.65</v>
      </c>
      <c r="Z99" s="153">
        <f t="shared" si="93"/>
        <v>284451.65000000002</v>
      </c>
      <c r="AA99" s="171">
        <f t="shared" si="107"/>
        <v>7964646.2000000011</v>
      </c>
      <c r="AB99" s="152">
        <f t="shared" si="94"/>
        <v>84773.94957983194</v>
      </c>
      <c r="AC99" s="125">
        <f t="shared" si="95"/>
        <v>16107.05042016806</v>
      </c>
      <c r="AD99" s="153">
        <v>100881</v>
      </c>
      <c r="AE99" s="183">
        <f t="shared" si="96"/>
        <v>2824668</v>
      </c>
      <c r="AF99" s="185">
        <f t="shared" si="97"/>
        <v>167994.2259206</v>
      </c>
      <c r="AG99" s="183">
        <f t="shared" si="98"/>
        <v>204049.79018559676</v>
      </c>
      <c r="AH99" s="185">
        <f t="shared" si="99"/>
        <v>147092.94172569196</v>
      </c>
      <c r="AI99" s="154">
        <f t="shared" si="100"/>
        <v>181328.76965703376</v>
      </c>
    </row>
    <row r="100" spans="3:35" ht="30" customHeight="1">
      <c r="C100" s="2" t="s">
        <v>259</v>
      </c>
      <c r="D100" s="11" t="s">
        <v>284</v>
      </c>
      <c r="E100" s="15" t="s">
        <v>82</v>
      </c>
      <c r="F100" s="1" t="s">
        <v>2</v>
      </c>
      <c r="G100" s="41">
        <v>392</v>
      </c>
      <c r="H100" s="152">
        <v>18894</v>
      </c>
      <c r="I100" s="153">
        <f t="shared" si="87"/>
        <v>3589.86</v>
      </c>
      <c r="J100" s="153">
        <f t="shared" si="88"/>
        <v>22483.86</v>
      </c>
      <c r="K100" s="171">
        <f t="shared" si="89"/>
        <v>8813673.120000001</v>
      </c>
      <c r="L100" s="172">
        <v>8683.8585017835921</v>
      </c>
      <c r="M100" s="173">
        <f t="shared" si="101"/>
        <v>3001.1414982164079</v>
      </c>
      <c r="N100" s="141">
        <v>11685</v>
      </c>
      <c r="O100" s="229">
        <f t="shared" si="102"/>
        <v>4580520</v>
      </c>
      <c r="P100" s="174">
        <v>17879</v>
      </c>
      <c r="Q100" s="153">
        <f t="shared" si="90"/>
        <v>3397.01</v>
      </c>
      <c r="R100" s="153">
        <f t="shared" si="91"/>
        <v>21276.010000000002</v>
      </c>
      <c r="S100" s="151">
        <f t="shared" si="105"/>
        <v>8340195.9200000009</v>
      </c>
      <c r="T100" s="153">
        <v>19401</v>
      </c>
      <c r="U100" s="153">
        <f t="shared" si="103"/>
        <v>3686.19</v>
      </c>
      <c r="V100" s="153">
        <f t="shared" si="104"/>
        <v>23087.19</v>
      </c>
      <c r="W100" s="151">
        <f t="shared" si="106"/>
        <v>9050178.4799999986</v>
      </c>
      <c r="X100" s="153">
        <v>19860</v>
      </c>
      <c r="Y100" s="153">
        <f t="shared" si="92"/>
        <v>3773.4</v>
      </c>
      <c r="Z100" s="153">
        <f t="shared" si="93"/>
        <v>23633.4</v>
      </c>
      <c r="AA100" s="171">
        <f t="shared" si="107"/>
        <v>9264292.8000000007</v>
      </c>
      <c r="AB100" s="152">
        <f t="shared" si="94"/>
        <v>9596.6386554621859</v>
      </c>
      <c r="AC100" s="125">
        <f t="shared" si="95"/>
        <v>1823.3613445378141</v>
      </c>
      <c r="AD100" s="153">
        <v>11420</v>
      </c>
      <c r="AE100" s="183">
        <f t="shared" si="96"/>
        <v>4476640</v>
      </c>
      <c r="AF100" s="185">
        <f t="shared" si="97"/>
        <v>14878.200123117058</v>
      </c>
      <c r="AG100" s="183">
        <f t="shared" si="98"/>
        <v>18071.416424134877</v>
      </c>
      <c r="AH100" s="185">
        <f t="shared" si="99"/>
        <v>13949.79224433588</v>
      </c>
      <c r="AI100" s="154">
        <f t="shared" si="100"/>
        <v>17130.612142477741</v>
      </c>
    </row>
    <row r="101" spans="3:35" ht="30" customHeight="1">
      <c r="C101" s="2" t="s">
        <v>260</v>
      </c>
      <c r="D101" s="1" t="s">
        <v>282</v>
      </c>
      <c r="E101" s="15" t="s">
        <v>70</v>
      </c>
      <c r="F101" s="1" t="s">
        <v>2</v>
      </c>
      <c r="G101" s="41">
        <v>125</v>
      </c>
      <c r="H101" s="152">
        <v>45372</v>
      </c>
      <c r="I101" s="153">
        <f t="shared" si="87"/>
        <v>8620.68</v>
      </c>
      <c r="J101" s="153">
        <f t="shared" si="88"/>
        <v>53992.68</v>
      </c>
      <c r="K101" s="171">
        <f t="shared" si="89"/>
        <v>6749085</v>
      </c>
      <c r="L101" s="172">
        <v>24144.619500594534</v>
      </c>
      <c r="M101" s="173">
        <f t="shared" si="101"/>
        <v>8344.3804994054663</v>
      </c>
      <c r="N101" s="141">
        <v>32489</v>
      </c>
      <c r="O101" s="229">
        <f t="shared" si="102"/>
        <v>4061125</v>
      </c>
      <c r="P101" s="174">
        <v>43892</v>
      </c>
      <c r="Q101" s="153">
        <f t="shared" si="90"/>
        <v>8339.48</v>
      </c>
      <c r="R101" s="153">
        <f t="shared" si="91"/>
        <v>52231.479999999996</v>
      </c>
      <c r="S101" s="151">
        <f t="shared" si="105"/>
        <v>6528934.9999999991</v>
      </c>
      <c r="T101" s="153">
        <v>46755</v>
      </c>
      <c r="U101" s="153">
        <f t="shared" si="103"/>
        <v>8883.4500000000007</v>
      </c>
      <c r="V101" s="153">
        <f t="shared" si="104"/>
        <v>55638.45</v>
      </c>
      <c r="W101" s="151">
        <f t="shared" si="106"/>
        <v>6954806.25</v>
      </c>
      <c r="X101" s="153">
        <v>45803</v>
      </c>
      <c r="Y101" s="153">
        <f t="shared" si="92"/>
        <v>8702.57</v>
      </c>
      <c r="Z101" s="153">
        <f t="shared" si="93"/>
        <v>54505.57</v>
      </c>
      <c r="AA101" s="171">
        <f t="shared" si="107"/>
        <v>6813196.25</v>
      </c>
      <c r="AB101" s="152">
        <f t="shared" si="94"/>
        <v>22204.201680672271</v>
      </c>
      <c r="AC101" s="125">
        <f t="shared" si="95"/>
        <v>4218.7983193277287</v>
      </c>
      <c r="AD101" s="153">
        <v>26423</v>
      </c>
      <c r="AE101" s="183">
        <f t="shared" si="96"/>
        <v>3302875</v>
      </c>
      <c r="AF101" s="185">
        <f t="shared" si="97"/>
        <v>36295.975081811514</v>
      </c>
      <c r="AG101" s="183">
        <f t="shared" si="98"/>
        <v>44085.956284745836</v>
      </c>
      <c r="AH101" s="185">
        <f t="shared" si="99"/>
        <v>34384.436144627318</v>
      </c>
      <c r="AI101" s="154">
        <f t="shared" si="100"/>
        <v>42072.205653421384</v>
      </c>
    </row>
    <row r="102" spans="3:35" ht="30" customHeight="1">
      <c r="C102" s="2" t="s">
        <v>261</v>
      </c>
      <c r="D102" s="11" t="s">
        <v>283</v>
      </c>
      <c r="E102" s="15" t="s">
        <v>83</v>
      </c>
      <c r="F102" s="1" t="s">
        <v>2</v>
      </c>
      <c r="G102" s="41">
        <v>137</v>
      </c>
      <c r="H102" s="152">
        <v>10728</v>
      </c>
      <c r="I102" s="153">
        <f t="shared" si="87"/>
        <v>2038.32</v>
      </c>
      <c r="J102" s="153">
        <f t="shared" si="88"/>
        <v>12766.32</v>
      </c>
      <c r="K102" s="171">
        <f t="shared" si="89"/>
        <v>1748985.8399999999</v>
      </c>
      <c r="L102" s="172">
        <v>17022.146254458981</v>
      </c>
      <c r="M102" s="173">
        <f t="shared" si="101"/>
        <v>5882.8537455410187</v>
      </c>
      <c r="N102" s="141">
        <v>22905</v>
      </c>
      <c r="O102" s="229">
        <f t="shared" si="102"/>
        <v>3137985</v>
      </c>
      <c r="P102" s="174">
        <v>10677</v>
      </c>
      <c r="Q102" s="153">
        <f t="shared" si="90"/>
        <v>2028.63</v>
      </c>
      <c r="R102" s="153">
        <f t="shared" si="91"/>
        <v>12705.630000000001</v>
      </c>
      <c r="S102" s="151">
        <f t="shared" si="105"/>
        <v>1740671.31</v>
      </c>
      <c r="T102" s="153">
        <v>11229</v>
      </c>
      <c r="U102" s="153">
        <f t="shared" si="103"/>
        <v>2133.5100000000002</v>
      </c>
      <c r="V102" s="153">
        <f t="shared" si="104"/>
        <v>13362.51</v>
      </c>
      <c r="W102" s="151">
        <f t="shared" si="106"/>
        <v>1830663.87</v>
      </c>
      <c r="X102" s="153">
        <v>10916</v>
      </c>
      <c r="Y102" s="153">
        <f t="shared" si="92"/>
        <v>2074.04</v>
      </c>
      <c r="Z102" s="153">
        <f t="shared" si="93"/>
        <v>12990.04</v>
      </c>
      <c r="AA102" s="171">
        <f t="shared" si="107"/>
        <v>1779635.4800000002</v>
      </c>
      <c r="AB102" s="152">
        <f t="shared" si="94"/>
        <v>23639.495798319327</v>
      </c>
      <c r="AC102" s="125">
        <f t="shared" si="95"/>
        <v>4491.5042016806728</v>
      </c>
      <c r="AD102" s="153">
        <v>28131</v>
      </c>
      <c r="AE102" s="183">
        <f t="shared" si="96"/>
        <v>3853947</v>
      </c>
      <c r="AF102" s="185">
        <f t="shared" si="97"/>
        <v>13345.582178442444</v>
      </c>
      <c r="AG102" s="183">
        <f t="shared" si="98"/>
        <v>16209.862145517329</v>
      </c>
      <c r="AH102" s="185">
        <f t="shared" si="99"/>
        <v>12804.475895997117</v>
      </c>
      <c r="AI102" s="154">
        <f t="shared" si="100"/>
        <v>15461.477400024709</v>
      </c>
    </row>
    <row r="103" spans="3:35" ht="30" customHeight="1">
      <c r="C103" s="2" t="s">
        <v>262</v>
      </c>
      <c r="D103" s="1" t="s">
        <v>285</v>
      </c>
      <c r="E103" s="15" t="s">
        <v>84</v>
      </c>
      <c r="F103" s="1" t="s">
        <v>2</v>
      </c>
      <c r="G103" s="43">
        <v>38.36</v>
      </c>
      <c r="H103" s="152">
        <v>55744</v>
      </c>
      <c r="I103" s="153">
        <f t="shared" si="87"/>
        <v>10591.36</v>
      </c>
      <c r="J103" s="153">
        <f t="shared" si="88"/>
        <v>66335.360000000001</v>
      </c>
      <c r="K103" s="139">
        <f t="shared" si="89"/>
        <v>2544624.4095999999</v>
      </c>
      <c r="L103" s="172">
        <v>24642.538644470871</v>
      </c>
      <c r="M103" s="173">
        <f t="shared" si="101"/>
        <v>8516.4613555291289</v>
      </c>
      <c r="N103" s="141">
        <v>33159</v>
      </c>
      <c r="O103" s="229">
        <f t="shared" si="102"/>
        <v>1271979.24</v>
      </c>
      <c r="P103" s="174">
        <v>53519</v>
      </c>
      <c r="Q103" s="153">
        <f t="shared" si="90"/>
        <v>10168.61</v>
      </c>
      <c r="R103" s="153">
        <f t="shared" si="91"/>
        <v>63687.61</v>
      </c>
      <c r="S103" s="151">
        <f t="shared" si="105"/>
        <v>2443056.7196</v>
      </c>
      <c r="T103" s="153">
        <v>58979</v>
      </c>
      <c r="U103" s="153">
        <f t="shared" si="103"/>
        <v>11206.01</v>
      </c>
      <c r="V103" s="153">
        <f t="shared" si="104"/>
        <v>70185.009999999995</v>
      </c>
      <c r="W103" s="151">
        <f t="shared" si="106"/>
        <v>2692296.9835999999</v>
      </c>
      <c r="X103" s="153">
        <v>57185</v>
      </c>
      <c r="Y103" s="153">
        <f t="shared" si="92"/>
        <v>10865.15</v>
      </c>
      <c r="Z103" s="153">
        <f t="shared" si="93"/>
        <v>68050.149999999994</v>
      </c>
      <c r="AA103" s="171">
        <f t="shared" si="107"/>
        <v>2610403.7539999997</v>
      </c>
      <c r="AB103" s="152">
        <f t="shared" si="94"/>
        <v>26537.81512605042</v>
      </c>
      <c r="AC103" s="125">
        <f t="shared" si="95"/>
        <v>5042.1848739495799</v>
      </c>
      <c r="AD103" s="153">
        <v>31580</v>
      </c>
      <c r="AE103" s="183">
        <f t="shared" si="96"/>
        <v>1211408.8</v>
      </c>
      <c r="AF103" s="185">
        <f t="shared" si="97"/>
        <v>43288.517217276589</v>
      </c>
      <c r="AG103" s="183">
        <f t="shared" si="98"/>
        <v>52579.264598092042</v>
      </c>
      <c r="AH103" s="185">
        <f t="shared" si="99"/>
        <v>40179.816464406016</v>
      </c>
      <c r="AI103" s="154">
        <f t="shared" si="100"/>
        <v>49365.247267413615</v>
      </c>
    </row>
    <row r="104" spans="3:35" ht="30" customHeight="1">
      <c r="C104" s="2" t="s">
        <v>263</v>
      </c>
      <c r="D104" s="11" t="s">
        <v>286</v>
      </c>
      <c r="E104" s="15" t="s">
        <v>71</v>
      </c>
      <c r="F104" s="1" t="s">
        <v>6</v>
      </c>
      <c r="G104" s="41">
        <v>8</v>
      </c>
      <c r="H104" s="152">
        <v>147669</v>
      </c>
      <c r="I104" s="153">
        <f t="shared" si="87"/>
        <v>28057.11</v>
      </c>
      <c r="J104" s="153">
        <f t="shared" si="88"/>
        <v>175726.11</v>
      </c>
      <c r="K104" s="171">
        <f t="shared" si="89"/>
        <v>1405808.88</v>
      </c>
      <c r="L104" s="172">
        <v>62080.112960761013</v>
      </c>
      <c r="M104" s="173">
        <f t="shared" si="101"/>
        <v>21454.887039238987</v>
      </c>
      <c r="N104" s="141">
        <v>83535</v>
      </c>
      <c r="O104" s="229">
        <f t="shared" si="102"/>
        <v>668280</v>
      </c>
      <c r="P104" s="174">
        <v>140599</v>
      </c>
      <c r="Q104" s="153">
        <f t="shared" si="90"/>
        <v>26713.81</v>
      </c>
      <c r="R104" s="153">
        <f t="shared" si="91"/>
        <v>167312.81</v>
      </c>
      <c r="S104" s="151">
        <f t="shared" si="105"/>
        <v>1338502.48</v>
      </c>
      <c r="T104" s="153">
        <v>152597</v>
      </c>
      <c r="U104" s="153">
        <f t="shared" si="103"/>
        <v>28993.43</v>
      </c>
      <c r="V104" s="153">
        <f t="shared" si="104"/>
        <v>181590.43</v>
      </c>
      <c r="W104" s="151">
        <f t="shared" si="106"/>
        <v>1452723.44</v>
      </c>
      <c r="X104" s="153">
        <v>153654</v>
      </c>
      <c r="Y104" s="153">
        <f t="shared" si="92"/>
        <v>29194.260000000002</v>
      </c>
      <c r="Z104" s="153">
        <f t="shared" si="93"/>
        <v>182848.26</v>
      </c>
      <c r="AA104" s="171">
        <f t="shared" si="107"/>
        <v>1462786.08</v>
      </c>
      <c r="AB104" s="152">
        <f t="shared" si="94"/>
        <v>75000.840336134454</v>
      </c>
      <c r="AC104" s="125">
        <f t="shared" si="95"/>
        <v>14250.159663865546</v>
      </c>
      <c r="AD104" s="153">
        <v>89251</v>
      </c>
      <c r="AE104" s="183">
        <f t="shared" si="96"/>
        <v>714008</v>
      </c>
      <c r="AF104" s="185">
        <f t="shared" si="97"/>
        <v>114611.97858311608</v>
      </c>
      <c r="AG104" s="183">
        <f t="shared" si="98"/>
        <v>139210.44044510348</v>
      </c>
      <c r="AH104" s="185">
        <f t="shared" si="99"/>
        <v>106407.37765352432</v>
      </c>
      <c r="AI104" s="154">
        <f t="shared" si="100"/>
        <v>130950.60612575019</v>
      </c>
    </row>
    <row r="105" spans="3:35" ht="30" customHeight="1">
      <c r="C105" s="2" t="s">
        <v>264</v>
      </c>
      <c r="D105" s="11" t="s">
        <v>287</v>
      </c>
      <c r="E105" s="15" t="s">
        <v>85</v>
      </c>
      <c r="F105" s="1" t="s">
        <v>6</v>
      </c>
      <c r="G105" s="41">
        <v>8</v>
      </c>
      <c r="H105" s="152">
        <v>133863</v>
      </c>
      <c r="I105" s="153">
        <f t="shared" si="87"/>
        <v>25433.97</v>
      </c>
      <c r="J105" s="153">
        <f t="shared" si="88"/>
        <v>159296.97</v>
      </c>
      <c r="K105" s="171">
        <f t="shared" si="89"/>
        <v>1274375.76</v>
      </c>
      <c r="L105" s="172">
        <v>60064.655172413797</v>
      </c>
      <c r="M105" s="173">
        <f t="shared" si="101"/>
        <v>20758.344827586203</v>
      </c>
      <c r="N105" s="141">
        <v>80823</v>
      </c>
      <c r="O105" s="229">
        <f t="shared" si="102"/>
        <v>646584</v>
      </c>
      <c r="P105" s="174">
        <v>122777</v>
      </c>
      <c r="Q105" s="153">
        <f t="shared" si="90"/>
        <v>23327.63</v>
      </c>
      <c r="R105" s="153">
        <f t="shared" si="91"/>
        <v>146104.63</v>
      </c>
      <c r="S105" s="151">
        <f t="shared" si="105"/>
        <v>1168837.04</v>
      </c>
      <c r="T105" s="153">
        <v>136923</v>
      </c>
      <c r="U105" s="153">
        <f t="shared" si="103"/>
        <v>26015.37</v>
      </c>
      <c r="V105" s="153">
        <f t="shared" si="104"/>
        <v>162938.37</v>
      </c>
      <c r="W105" s="151">
        <f t="shared" si="106"/>
        <v>1303506.96</v>
      </c>
      <c r="X105" s="153">
        <v>136537</v>
      </c>
      <c r="Y105" s="153">
        <f t="shared" si="92"/>
        <v>25942.03</v>
      </c>
      <c r="Z105" s="153">
        <f t="shared" si="93"/>
        <v>162479.03</v>
      </c>
      <c r="AA105" s="171">
        <f t="shared" si="107"/>
        <v>1299832.24</v>
      </c>
      <c r="AB105" s="152">
        <f t="shared" si="94"/>
        <v>67129.411764705888</v>
      </c>
      <c r="AC105" s="125">
        <f t="shared" si="95"/>
        <v>12754.588235294112</v>
      </c>
      <c r="AD105" s="153">
        <v>79884</v>
      </c>
      <c r="AE105" s="183">
        <f t="shared" si="96"/>
        <v>639072</v>
      </c>
      <c r="AF105" s="185">
        <f t="shared" si="97"/>
        <v>103634.89869202935</v>
      </c>
      <c r="AG105" s="183">
        <f t="shared" si="98"/>
        <v>125877.41762034626</v>
      </c>
      <c r="AH105" s="185">
        <f t="shared" si="99"/>
        <v>97106.398669502887</v>
      </c>
      <c r="AI105" s="154">
        <f t="shared" si="100"/>
        <v>119272.93463913926</v>
      </c>
    </row>
    <row r="106" spans="3:35" ht="30" customHeight="1">
      <c r="C106" s="2" t="s">
        <v>265</v>
      </c>
      <c r="D106" s="11" t="s">
        <v>288</v>
      </c>
      <c r="E106" s="15" t="s">
        <v>86</v>
      </c>
      <c r="F106" s="20" t="s">
        <v>1</v>
      </c>
      <c r="G106" s="41">
        <v>45</v>
      </c>
      <c r="H106" s="152">
        <v>53368</v>
      </c>
      <c r="I106" s="153">
        <f t="shared" si="87"/>
        <v>10139.92</v>
      </c>
      <c r="J106" s="153">
        <f t="shared" si="88"/>
        <v>63507.92</v>
      </c>
      <c r="K106" s="171">
        <f t="shared" si="89"/>
        <v>2857856.4</v>
      </c>
      <c r="L106" s="172">
        <v>23325.653983353153</v>
      </c>
      <c r="M106" s="173">
        <f t="shared" si="101"/>
        <v>8061.3460166468467</v>
      </c>
      <c r="N106" s="141">
        <v>31387</v>
      </c>
      <c r="O106" s="229">
        <f t="shared" si="102"/>
        <v>1412415</v>
      </c>
      <c r="P106" s="174">
        <v>51972</v>
      </c>
      <c r="Q106" s="153">
        <f t="shared" si="90"/>
        <v>9874.68</v>
      </c>
      <c r="R106" s="153">
        <f t="shared" si="91"/>
        <v>61846.68</v>
      </c>
      <c r="S106" s="151">
        <f t="shared" si="105"/>
        <v>2783100.6</v>
      </c>
      <c r="T106" s="153">
        <v>57659</v>
      </c>
      <c r="U106" s="153">
        <f t="shared" si="103"/>
        <v>10955.210000000001</v>
      </c>
      <c r="V106" s="153">
        <f t="shared" si="104"/>
        <v>68614.210000000006</v>
      </c>
      <c r="W106" s="151">
        <f t="shared" si="106"/>
        <v>3087639.45</v>
      </c>
      <c r="X106" s="153">
        <v>55569</v>
      </c>
      <c r="Y106" s="153">
        <f t="shared" si="92"/>
        <v>10558.11</v>
      </c>
      <c r="Z106" s="153">
        <f t="shared" si="93"/>
        <v>66127.11</v>
      </c>
      <c r="AA106" s="171">
        <f t="shared" si="107"/>
        <v>2975719.95</v>
      </c>
      <c r="AB106" s="152">
        <f t="shared" si="94"/>
        <v>27105.882352941178</v>
      </c>
      <c r="AC106" s="125">
        <f t="shared" si="95"/>
        <v>5150.1176470588216</v>
      </c>
      <c r="AD106" s="153">
        <v>32256</v>
      </c>
      <c r="AE106" s="183">
        <f t="shared" si="96"/>
        <v>1451520</v>
      </c>
      <c r="AF106" s="185">
        <f t="shared" si="97"/>
        <v>42163.944901740637</v>
      </c>
      <c r="AG106" s="183">
        <f t="shared" si="98"/>
        <v>51213.332264548051</v>
      </c>
      <c r="AH106" s="185">
        <f t="shared" si="99"/>
        <v>39194.793892985239</v>
      </c>
      <c r="AI106" s="154">
        <f t="shared" si="100"/>
        <v>48202.828230553023</v>
      </c>
    </row>
    <row r="107" spans="3:35" ht="30" customHeight="1">
      <c r="C107" s="2" t="s">
        <v>266</v>
      </c>
      <c r="D107" s="11" t="s">
        <v>289</v>
      </c>
      <c r="E107" s="15" t="s">
        <v>87</v>
      </c>
      <c r="F107" s="20" t="s">
        <v>1</v>
      </c>
      <c r="G107" s="41">
        <v>45</v>
      </c>
      <c r="H107" s="152">
        <v>22032</v>
      </c>
      <c r="I107" s="153">
        <f t="shared" si="87"/>
        <v>4186.08</v>
      </c>
      <c r="J107" s="153">
        <f t="shared" si="88"/>
        <v>26218.080000000002</v>
      </c>
      <c r="K107" s="171">
        <f t="shared" si="89"/>
        <v>1179813.6000000001</v>
      </c>
      <c r="L107" s="172">
        <v>14491.676575505351</v>
      </c>
      <c r="M107" s="173">
        <f t="shared" si="101"/>
        <v>5008.3234244946489</v>
      </c>
      <c r="N107" s="141">
        <v>19500</v>
      </c>
      <c r="O107" s="229">
        <f t="shared" si="102"/>
        <v>877500</v>
      </c>
      <c r="P107" s="174">
        <v>21168</v>
      </c>
      <c r="Q107" s="153">
        <f t="shared" si="90"/>
        <v>4021.92</v>
      </c>
      <c r="R107" s="153">
        <f t="shared" si="91"/>
        <v>25189.919999999998</v>
      </c>
      <c r="S107" s="151">
        <f t="shared" si="105"/>
        <v>1133546.3999999999</v>
      </c>
      <c r="T107" s="153">
        <v>23133</v>
      </c>
      <c r="U107" s="153">
        <f t="shared" si="103"/>
        <v>4395.2700000000004</v>
      </c>
      <c r="V107" s="153">
        <f t="shared" si="104"/>
        <v>27528.27</v>
      </c>
      <c r="W107" s="151">
        <f t="shared" si="106"/>
        <v>1238772.1499999999</v>
      </c>
      <c r="X107" s="153">
        <v>22935</v>
      </c>
      <c r="Y107" s="153">
        <f t="shared" si="92"/>
        <v>4357.6499999999996</v>
      </c>
      <c r="Z107" s="153">
        <f t="shared" si="93"/>
        <v>27292.65</v>
      </c>
      <c r="AA107" s="171">
        <f t="shared" si="107"/>
        <v>1228169.25</v>
      </c>
      <c r="AB107" s="152">
        <f t="shared" si="94"/>
        <v>11189.075630252102</v>
      </c>
      <c r="AC107" s="125">
        <f t="shared" si="95"/>
        <v>2125.9243697478978</v>
      </c>
      <c r="AD107" s="153">
        <v>13315</v>
      </c>
      <c r="AE107" s="183">
        <f t="shared" si="96"/>
        <v>599175</v>
      </c>
      <c r="AF107" s="185">
        <f t="shared" si="97"/>
        <v>18502.463198149871</v>
      </c>
      <c r="AG107" s="183">
        <f t="shared" si="98"/>
        <v>22473.532722985401</v>
      </c>
      <c r="AH107" s="185">
        <f t="shared" si="99"/>
        <v>17760.021365323799</v>
      </c>
      <c r="AI107" s="154">
        <f t="shared" si="100"/>
        <v>21645.681496228528</v>
      </c>
    </row>
    <row r="108" spans="3:35" ht="30" customHeight="1" thickBot="1">
      <c r="C108" s="16" t="s">
        <v>267</v>
      </c>
      <c r="D108" s="18" t="s">
        <v>290</v>
      </c>
      <c r="E108" s="17" t="s">
        <v>88</v>
      </c>
      <c r="F108" s="21" t="s">
        <v>1</v>
      </c>
      <c r="G108" s="44">
        <v>80</v>
      </c>
      <c r="H108" s="175">
        <v>12169</v>
      </c>
      <c r="I108" s="176">
        <f t="shared" si="87"/>
        <v>2312.11</v>
      </c>
      <c r="J108" s="176">
        <f t="shared" si="88"/>
        <v>14481.11</v>
      </c>
      <c r="K108" s="177">
        <f t="shared" si="89"/>
        <v>1158488.8</v>
      </c>
      <c r="L108" s="178">
        <v>12855.975029726518</v>
      </c>
      <c r="M108" s="179">
        <f t="shared" si="101"/>
        <v>4443.0249702734818</v>
      </c>
      <c r="N108" s="164">
        <v>17299</v>
      </c>
      <c r="O108" s="230">
        <f t="shared" si="102"/>
        <v>1383920</v>
      </c>
      <c r="P108" s="180">
        <v>12147</v>
      </c>
      <c r="Q108" s="176">
        <f t="shared" si="90"/>
        <v>2307.9299999999998</v>
      </c>
      <c r="R108" s="176">
        <f t="shared" si="91"/>
        <v>14454.93</v>
      </c>
      <c r="S108" s="151">
        <f t="shared" si="105"/>
        <v>1156394.3999999999</v>
      </c>
      <c r="T108" s="176">
        <v>12623</v>
      </c>
      <c r="U108" s="176">
        <f t="shared" si="103"/>
        <v>2398.37</v>
      </c>
      <c r="V108" s="176">
        <f t="shared" si="104"/>
        <v>15021.369999999999</v>
      </c>
      <c r="W108" s="151">
        <f t="shared" si="106"/>
        <v>1201709.5999999999</v>
      </c>
      <c r="X108" s="176">
        <v>12721</v>
      </c>
      <c r="Y108" s="176">
        <f t="shared" si="92"/>
        <v>2416.9900000000002</v>
      </c>
      <c r="Z108" s="176">
        <f t="shared" si="93"/>
        <v>15137.99</v>
      </c>
      <c r="AA108" s="171">
        <f t="shared" si="107"/>
        <v>1211039.2</v>
      </c>
      <c r="AB108" s="155">
        <f t="shared" si="94"/>
        <v>6180.6722689075632</v>
      </c>
      <c r="AC108" s="126">
        <f t="shared" si="95"/>
        <v>1174.3277310924368</v>
      </c>
      <c r="AD108" s="156">
        <v>7355</v>
      </c>
      <c r="AE108" s="184">
        <f t="shared" si="96"/>
        <v>588400</v>
      </c>
      <c r="AF108" s="186">
        <f t="shared" si="97"/>
        <v>11115.391118868658</v>
      </c>
      <c r="AG108" s="184">
        <f t="shared" si="98"/>
        <v>13501.018938043597</v>
      </c>
      <c r="AH108" s="186">
        <f t="shared" si="99"/>
        <v>10677.846453994636</v>
      </c>
      <c r="AI108" s="157">
        <f t="shared" si="100"/>
        <v>12913.346486391505</v>
      </c>
    </row>
    <row r="109" spans="3:35" ht="13.5" thickBot="1">
      <c r="C109" s="405" t="s">
        <v>227</v>
      </c>
      <c r="D109" s="406"/>
      <c r="E109" s="406"/>
      <c r="F109" s="406"/>
      <c r="G109" s="406"/>
      <c r="H109" s="181">
        <f t="shared" ref="H109:J109" si="108">SUM(H86:H108)</f>
        <v>5581690</v>
      </c>
      <c r="I109" s="181">
        <f t="shared" si="108"/>
        <v>1060521.1000000001</v>
      </c>
      <c r="J109" s="181">
        <f t="shared" si="108"/>
        <v>6642211.1000000015</v>
      </c>
      <c r="K109" s="181">
        <f>SUM(K86:K108)</f>
        <v>67365394.547499999</v>
      </c>
      <c r="L109" s="202">
        <f t="shared" ref="L109:N109" si="109">SUM(L86:L108)</f>
        <v>2041804.6166028839</v>
      </c>
      <c r="M109" s="202">
        <f t="shared" si="109"/>
        <v>701055.38339711586</v>
      </c>
      <c r="N109" s="202">
        <f t="shared" si="109"/>
        <v>2742860</v>
      </c>
      <c r="O109" s="181">
        <f>SUM(O86:O108)</f>
        <v>33870938.840000004</v>
      </c>
      <c r="P109" s="181">
        <f t="shared" ref="P109:R109" si="110">SUM(P86:P108)</f>
        <v>5447402</v>
      </c>
      <c r="Q109" s="181">
        <f t="shared" si="110"/>
        <v>1035006.3800000001</v>
      </c>
      <c r="R109" s="181">
        <f t="shared" si="110"/>
        <v>6482408.3799999999</v>
      </c>
      <c r="S109" s="181">
        <f>SUM(S86:S108)</f>
        <v>64995248.949399993</v>
      </c>
      <c r="T109" s="181">
        <f t="shared" ref="T109:V109" si="111">SUM(T86:T108)</f>
        <v>5725030</v>
      </c>
      <c r="U109" s="181">
        <f t="shared" si="111"/>
        <v>1087755.7000000002</v>
      </c>
      <c r="V109" s="181">
        <f t="shared" si="111"/>
        <v>6812785.6999999993</v>
      </c>
      <c r="W109" s="181">
        <f>SUM(W86:W108)</f>
        <v>69508125.58829999</v>
      </c>
      <c r="X109" s="181">
        <f t="shared" ref="X109:Z109" si="112">SUM(X86:X108)</f>
        <v>5737759</v>
      </c>
      <c r="Y109" s="181">
        <f t="shared" si="112"/>
        <v>1090174.21</v>
      </c>
      <c r="Z109" s="181">
        <f t="shared" si="112"/>
        <v>6827933.2100000028</v>
      </c>
      <c r="AA109" s="181">
        <f>SUM(AA86:AA108)</f>
        <v>69300109.06630002</v>
      </c>
      <c r="AB109" s="181">
        <f t="shared" ref="AB109:AD109" si="113">SUM(AB86:AB108)</f>
        <v>2580048.7394957989</v>
      </c>
      <c r="AC109" s="181">
        <f t="shared" si="113"/>
        <v>490209.26050420135</v>
      </c>
      <c r="AD109" s="181">
        <f t="shared" si="113"/>
        <v>3070258</v>
      </c>
      <c r="AE109" s="181">
        <f>SUM(AE86:AE108)</f>
        <v>38052568.799999997</v>
      </c>
      <c r="AF109" s="202">
        <f t="shared" ref="AF109:AI109" si="114">SUM(AF86:AF108)</f>
        <v>4125166.6055890131</v>
      </c>
      <c r="AG109" s="202">
        <f t="shared" si="114"/>
        <v>5009335.1640260126</v>
      </c>
      <c r="AH109" s="202">
        <f t="shared" si="114"/>
        <v>3671380.5502315657</v>
      </c>
      <c r="AI109" s="202">
        <f t="shared" si="114"/>
        <v>4529023.5948498892</v>
      </c>
    </row>
    <row r="110" spans="3:35" ht="24" customHeight="1" thickBot="1">
      <c r="C110" s="407" t="s">
        <v>291</v>
      </c>
      <c r="D110" s="408"/>
      <c r="E110" s="408"/>
      <c r="F110" s="408"/>
      <c r="G110" s="408"/>
      <c r="H110" s="35">
        <f t="shared" ref="H110:AD110" si="115">SUM(H109,H83,H70,H38)</f>
        <v>88826112</v>
      </c>
      <c r="I110" s="35">
        <f t="shared" si="115"/>
        <v>16876961.280000001</v>
      </c>
      <c r="J110" s="35">
        <f t="shared" si="115"/>
        <v>105703073.28000002</v>
      </c>
      <c r="K110" s="35">
        <f t="shared" si="115"/>
        <v>246324523.91749996</v>
      </c>
      <c r="L110" s="35">
        <f t="shared" si="115"/>
        <v>78735638.209039867</v>
      </c>
      <c r="M110" s="35">
        <f t="shared" si="115"/>
        <v>15272883.765960144</v>
      </c>
      <c r="N110" s="35">
        <f t="shared" si="115"/>
        <v>94008521.974999994</v>
      </c>
      <c r="O110" s="35">
        <f t="shared" si="115"/>
        <v>193661675.82500002</v>
      </c>
      <c r="P110" s="35">
        <f t="shared" si="115"/>
        <v>91037417</v>
      </c>
      <c r="Q110" s="35">
        <f t="shared" si="115"/>
        <v>17297109.229999997</v>
      </c>
      <c r="R110" s="35">
        <f t="shared" si="115"/>
        <v>108334526.23000002</v>
      </c>
      <c r="S110" s="35">
        <f t="shared" si="115"/>
        <v>247908166.40939999</v>
      </c>
      <c r="T110" s="35">
        <f t="shared" si="115"/>
        <v>91544667</v>
      </c>
      <c r="U110" s="35">
        <f t="shared" si="115"/>
        <v>17393486.730000004</v>
      </c>
      <c r="V110" s="35">
        <f t="shared" si="115"/>
        <v>108938153.72999996</v>
      </c>
      <c r="W110" s="35">
        <f t="shared" si="115"/>
        <v>252814230.9483</v>
      </c>
      <c r="X110" s="35">
        <f t="shared" si="115"/>
        <v>87523013</v>
      </c>
      <c r="Y110" s="35">
        <f t="shared" si="115"/>
        <v>16629372.470000003</v>
      </c>
      <c r="Z110" s="35">
        <f t="shared" si="115"/>
        <v>104152385.47</v>
      </c>
      <c r="AA110" s="35">
        <f t="shared" si="115"/>
        <v>245194064.99630004</v>
      </c>
      <c r="AB110" s="35">
        <f t="shared" si="115"/>
        <v>53821767.226890758</v>
      </c>
      <c r="AC110" s="35">
        <f t="shared" si="115"/>
        <v>10226135.773109239</v>
      </c>
      <c r="AD110" s="35">
        <f t="shared" si="115"/>
        <v>64047903</v>
      </c>
      <c r="AE110" s="35">
        <f>SUM(AE109,AE83,AE70,AE38)</f>
        <v>152649900.80000001</v>
      </c>
      <c r="AF110" s="35">
        <f>SUM(AF109,AF83,AF70,AF38)</f>
        <v>78820426.682243735</v>
      </c>
      <c r="AG110" s="35">
        <f>SUM(AG109,AG83,AG70,AG38)</f>
        <v>93896694.655245125</v>
      </c>
      <c r="AH110" s="35">
        <f>SUM(AH109,AH83,AH70,AH38)</f>
        <v>74487492.135603875</v>
      </c>
      <c r="AI110" s="35">
        <f>SUM(AI109,AI83,AI70,AI38)</f>
        <v>88800196.381442934</v>
      </c>
    </row>
  </sheetData>
  <mergeCells count="20">
    <mergeCell ref="C109:G109"/>
    <mergeCell ref="C110:G110"/>
    <mergeCell ref="C38:G38"/>
    <mergeCell ref="C70:G70"/>
    <mergeCell ref="C83:G83"/>
    <mergeCell ref="C39:AA39"/>
    <mergeCell ref="C71:AA71"/>
    <mergeCell ref="C84:AA84"/>
    <mergeCell ref="X1:AA3"/>
    <mergeCell ref="C4:AA4"/>
    <mergeCell ref="AB1:AE3"/>
    <mergeCell ref="AF1:AG3"/>
    <mergeCell ref="AH1:AI3"/>
    <mergeCell ref="C2:G2"/>
    <mergeCell ref="C3:G3"/>
    <mergeCell ref="C1:G1"/>
    <mergeCell ref="H1:K3"/>
    <mergeCell ref="L1:O3"/>
    <mergeCell ref="P1:S3"/>
    <mergeCell ref="T1:W3"/>
  </mergeCells>
  <pageMargins left="0.7" right="0.7" top="0.75" bottom="0.75" header="0.3" footer="0.3"/>
  <pageSetup paperSize="9" orientation="portrait" r:id="rId1"/>
  <colBreaks count="1" manualBreakCount="1">
    <brk id="15" max="10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F413-ABBB-48E9-A376-59D8964DC744}">
  <dimension ref="A1:AI123"/>
  <sheetViews>
    <sheetView showGridLines="0" topLeftCell="U112" zoomScale="80" zoomScaleNormal="80" workbookViewId="0">
      <selection activeCell="Z117" sqref="Z117:AD123"/>
    </sheetView>
  </sheetViews>
  <sheetFormatPr baseColWidth="10" defaultColWidth="8.83203125" defaultRowHeight="12.75"/>
  <cols>
    <col min="1" max="2" width="8.83203125" style="3" customWidth="1"/>
    <col min="3" max="3" width="16" style="3" bestFit="1" customWidth="1"/>
    <col min="4" max="4" width="66.1640625" style="3" bestFit="1" customWidth="1"/>
    <col min="5" max="5" width="67.33203125" style="3" customWidth="1"/>
    <col min="6" max="6" width="14.6640625" style="3" customWidth="1"/>
    <col min="7" max="7" width="14.6640625" style="12" customWidth="1"/>
    <col min="8" max="10" width="14.6640625" style="3" customWidth="1"/>
    <col min="11" max="11" width="25" style="3" customWidth="1"/>
    <col min="12" max="14" width="14.6640625" style="3" customWidth="1"/>
    <col min="15" max="15" width="25" style="3" customWidth="1"/>
    <col min="16" max="18" width="14.6640625" style="3" customWidth="1"/>
    <col min="19" max="19" width="25" style="3" customWidth="1"/>
    <col min="20" max="22" width="14.83203125" style="3" customWidth="1"/>
    <col min="23" max="23" width="25" style="3" customWidth="1"/>
    <col min="24" max="26" width="14.83203125" style="3" customWidth="1"/>
    <col min="27" max="27" width="25.1640625" style="3" customWidth="1"/>
    <col min="28" max="30" width="14.83203125" style="3" customWidth="1"/>
    <col min="31" max="31" width="25.1640625" style="3" customWidth="1"/>
    <col min="32" max="33" width="16.1640625" style="3" customWidth="1"/>
    <col min="34" max="34" width="16.33203125" style="3" customWidth="1"/>
    <col min="35" max="35" width="16.1640625" style="3" customWidth="1"/>
    <col min="36" max="16384" width="8.83203125" style="3"/>
  </cols>
  <sheetData>
    <row r="1" spans="1:35" ht="13.15" customHeight="1">
      <c r="C1" s="403" t="s">
        <v>91</v>
      </c>
      <c r="D1" s="404"/>
      <c r="E1" s="404"/>
      <c r="F1" s="404"/>
      <c r="G1" s="404"/>
      <c r="H1" s="382" t="s">
        <v>301</v>
      </c>
      <c r="I1" s="383"/>
      <c r="J1" s="383"/>
      <c r="K1" s="384"/>
      <c r="L1" s="382" t="s">
        <v>302</v>
      </c>
      <c r="M1" s="383"/>
      <c r="N1" s="383"/>
      <c r="O1" s="384"/>
      <c r="P1" s="382" t="s">
        <v>303</v>
      </c>
      <c r="Q1" s="383"/>
      <c r="R1" s="383"/>
      <c r="S1" s="384"/>
      <c r="T1" s="382" t="s">
        <v>304</v>
      </c>
      <c r="U1" s="383"/>
      <c r="V1" s="383"/>
      <c r="W1" s="384"/>
      <c r="X1" s="382" t="s">
        <v>305</v>
      </c>
      <c r="Y1" s="383"/>
      <c r="Z1" s="383"/>
      <c r="AA1" s="384"/>
      <c r="AB1" s="382" t="s">
        <v>344</v>
      </c>
      <c r="AC1" s="383"/>
      <c r="AD1" s="383"/>
      <c r="AE1" s="384"/>
      <c r="AF1" s="390" t="s">
        <v>345</v>
      </c>
      <c r="AG1" s="391"/>
      <c r="AH1" s="394" t="s">
        <v>346</v>
      </c>
      <c r="AI1" s="395"/>
    </row>
    <row r="2" spans="1:35" ht="13.15" customHeight="1">
      <c r="C2" s="399" t="s">
        <v>92</v>
      </c>
      <c r="D2" s="400"/>
      <c r="E2" s="400"/>
      <c r="F2" s="400"/>
      <c r="G2" s="400"/>
      <c r="H2" s="385"/>
      <c r="I2" s="386"/>
      <c r="J2" s="386"/>
      <c r="K2" s="387"/>
      <c r="L2" s="385"/>
      <c r="M2" s="386"/>
      <c r="N2" s="386"/>
      <c r="O2" s="387"/>
      <c r="P2" s="385"/>
      <c r="Q2" s="386"/>
      <c r="R2" s="386"/>
      <c r="S2" s="387"/>
      <c r="T2" s="385"/>
      <c r="U2" s="386"/>
      <c r="V2" s="386"/>
      <c r="W2" s="387"/>
      <c r="X2" s="385"/>
      <c r="Y2" s="386"/>
      <c r="Z2" s="386"/>
      <c r="AA2" s="387"/>
      <c r="AB2" s="385"/>
      <c r="AC2" s="386"/>
      <c r="AD2" s="386"/>
      <c r="AE2" s="387"/>
      <c r="AF2" s="392"/>
      <c r="AG2" s="393"/>
      <c r="AH2" s="392"/>
      <c r="AI2" s="396"/>
    </row>
    <row r="3" spans="1:35" ht="41.25" customHeight="1" thickBot="1">
      <c r="C3" s="401" t="s">
        <v>93</v>
      </c>
      <c r="D3" s="402"/>
      <c r="E3" s="402"/>
      <c r="F3" s="402"/>
      <c r="G3" s="402"/>
      <c r="H3" s="385"/>
      <c r="I3" s="386"/>
      <c r="J3" s="386"/>
      <c r="K3" s="387"/>
      <c r="L3" s="385"/>
      <c r="M3" s="386"/>
      <c r="N3" s="386"/>
      <c r="O3" s="387"/>
      <c r="P3" s="385"/>
      <c r="Q3" s="386"/>
      <c r="R3" s="386"/>
      <c r="S3" s="387"/>
      <c r="T3" s="385"/>
      <c r="U3" s="386"/>
      <c r="V3" s="386"/>
      <c r="W3" s="387"/>
      <c r="X3" s="385"/>
      <c r="Y3" s="386"/>
      <c r="Z3" s="386"/>
      <c r="AA3" s="387"/>
      <c r="AB3" s="385"/>
      <c r="AC3" s="386"/>
      <c r="AD3" s="386"/>
      <c r="AE3" s="387"/>
      <c r="AF3" s="392"/>
      <c r="AG3" s="393"/>
      <c r="AH3" s="397"/>
      <c r="AI3" s="398"/>
    </row>
    <row r="4" spans="1:35" ht="13.5" thickBot="1">
      <c r="C4" s="388" t="s">
        <v>97</v>
      </c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389"/>
      <c r="AB4" s="389"/>
      <c r="AC4" s="389"/>
      <c r="AD4" s="389"/>
      <c r="AE4" s="389"/>
      <c r="AF4" s="389"/>
      <c r="AG4" s="389"/>
      <c r="AH4" s="389"/>
      <c r="AI4" s="420"/>
    </row>
    <row r="5" spans="1:35" ht="47.25" customHeight="1" thickBot="1">
      <c r="A5" s="5"/>
      <c r="B5" s="5"/>
      <c r="C5" s="59" t="s">
        <v>95</v>
      </c>
      <c r="D5" s="60" t="s">
        <v>96</v>
      </c>
      <c r="E5" s="59" t="s">
        <v>94</v>
      </c>
      <c r="F5" s="61" t="s">
        <v>292</v>
      </c>
      <c r="G5" s="62" t="s">
        <v>0</v>
      </c>
      <c r="H5" s="59" t="s">
        <v>293</v>
      </c>
      <c r="I5" s="61" t="s">
        <v>294</v>
      </c>
      <c r="J5" s="61" t="s">
        <v>295</v>
      </c>
      <c r="K5" s="115" t="s">
        <v>296</v>
      </c>
      <c r="L5" s="187" t="s">
        <v>293</v>
      </c>
      <c r="M5" s="188" t="s">
        <v>294</v>
      </c>
      <c r="N5" s="188" t="s">
        <v>295</v>
      </c>
      <c r="O5" s="189" t="s">
        <v>296</v>
      </c>
      <c r="P5" s="60" t="s">
        <v>293</v>
      </c>
      <c r="Q5" s="61" t="s">
        <v>294</v>
      </c>
      <c r="R5" s="61" t="s">
        <v>295</v>
      </c>
      <c r="S5" s="63" t="s">
        <v>296</v>
      </c>
      <c r="T5" s="59" t="s">
        <v>293</v>
      </c>
      <c r="U5" s="61" t="s">
        <v>294</v>
      </c>
      <c r="V5" s="61" t="s">
        <v>295</v>
      </c>
      <c r="W5" s="63" t="s">
        <v>296</v>
      </c>
      <c r="X5" s="59" t="s">
        <v>293</v>
      </c>
      <c r="Y5" s="61" t="s">
        <v>294</v>
      </c>
      <c r="Z5" s="61" t="s">
        <v>295</v>
      </c>
      <c r="AA5" s="115" t="s">
        <v>296</v>
      </c>
      <c r="AB5" s="187" t="s">
        <v>293</v>
      </c>
      <c r="AC5" s="188" t="s">
        <v>294</v>
      </c>
      <c r="AD5" s="188" t="s">
        <v>295</v>
      </c>
      <c r="AE5" s="190" t="s">
        <v>296</v>
      </c>
      <c r="AF5" s="32" t="s">
        <v>293</v>
      </c>
      <c r="AG5" s="51" t="s">
        <v>295</v>
      </c>
      <c r="AH5" s="32" t="s">
        <v>293</v>
      </c>
      <c r="AI5" s="51" t="s">
        <v>295</v>
      </c>
    </row>
    <row r="6" spans="1:35" s="4" customFormat="1" ht="63.75">
      <c r="C6" s="9" t="s">
        <v>98</v>
      </c>
      <c r="D6" s="10" t="s">
        <v>131</v>
      </c>
      <c r="E6" s="13" t="s">
        <v>62</v>
      </c>
      <c r="F6" s="10" t="s">
        <v>4</v>
      </c>
      <c r="G6" s="37">
        <v>1</v>
      </c>
      <c r="H6" s="129">
        <v>7360000</v>
      </c>
      <c r="I6" s="130">
        <f>H6*19%</f>
        <v>1398400</v>
      </c>
      <c r="J6" s="130">
        <f>H6+I6</f>
        <v>8758400</v>
      </c>
      <c r="K6" s="131">
        <f>G6*J6</f>
        <v>8758400</v>
      </c>
      <c r="L6" s="132">
        <v>6806722.6890756302</v>
      </c>
      <c r="M6" s="133">
        <f t="shared" ref="M6:M37" si="0">L6*19%</f>
        <v>1293277.3109243698</v>
      </c>
      <c r="N6" s="133">
        <f t="shared" ref="N6:N37" si="1">L6+M6</f>
        <v>8100000</v>
      </c>
      <c r="O6" s="134">
        <f>+G6*N6</f>
        <v>8100000</v>
      </c>
      <c r="P6" s="135">
        <v>7234110</v>
      </c>
      <c r="Q6" s="130">
        <f>+P6*0.19</f>
        <v>1374480.9</v>
      </c>
      <c r="R6" s="130">
        <f>+P6+Q6</f>
        <v>8608590.9000000004</v>
      </c>
      <c r="S6" s="136">
        <f>+G6*R6</f>
        <v>8608590.9000000004</v>
      </c>
      <c r="T6" s="130">
        <v>7604171</v>
      </c>
      <c r="U6" s="130">
        <f>T6*19%</f>
        <v>1444792.49</v>
      </c>
      <c r="V6" s="130">
        <f>T6+U6</f>
        <v>9048963.4900000002</v>
      </c>
      <c r="W6" s="136">
        <f>+G6*V6</f>
        <v>9048963.4900000002</v>
      </c>
      <c r="X6" s="130">
        <v>6935933</v>
      </c>
      <c r="Y6" s="130">
        <f>+X6*0.19</f>
        <v>1317827.27</v>
      </c>
      <c r="Z6" s="130">
        <f>+X6+Y6</f>
        <v>8253760.2699999996</v>
      </c>
      <c r="AA6" s="131">
        <f>+G6*Z6</f>
        <v>8253760.2699999996</v>
      </c>
      <c r="AB6" s="148">
        <f>+AD6/1.19</f>
        <v>2000000</v>
      </c>
      <c r="AC6" s="127">
        <f>+AD6-AB6</f>
        <v>380000</v>
      </c>
      <c r="AD6" s="149">
        <v>2380000</v>
      </c>
      <c r="AE6" s="182">
        <f>+G6*AD6</f>
        <v>2380000</v>
      </c>
      <c r="AF6" s="191">
        <f>+GEOMEAN(H6,L6,P6,T6,X6,AB6)</f>
        <v>5804051.9357137429</v>
      </c>
      <c r="AG6" s="150">
        <f>+GEOMEAN(J6,N6,R6,V6,Z6,AD6)</f>
        <v>6906821.8034993531</v>
      </c>
      <c r="AH6" s="203">
        <f>+HARMEAN(H6,L6,P6,T6,X6,AB6)</f>
        <v>5013785.2562284498</v>
      </c>
      <c r="AI6" s="161">
        <f>+HARMEAN(J6,N6,R6,V6,Z6,AD6)</f>
        <v>5966404.454911856</v>
      </c>
    </row>
    <row r="7" spans="1:35" s="4" customFormat="1" ht="76.5">
      <c r="C7" s="2" t="s">
        <v>100</v>
      </c>
      <c r="D7" s="1" t="s">
        <v>134</v>
      </c>
      <c r="E7" s="15" t="s">
        <v>16</v>
      </c>
      <c r="F7" s="1" t="s">
        <v>4</v>
      </c>
      <c r="G7" s="38">
        <v>3</v>
      </c>
      <c r="H7" s="137">
        <v>2510367</v>
      </c>
      <c r="I7" s="138">
        <f t="shared" ref="I7:I37" si="2">H7*19%</f>
        <v>476969.73</v>
      </c>
      <c r="J7" s="138">
        <f t="shared" ref="J7:J37" si="3">H7+I7</f>
        <v>2987336.73</v>
      </c>
      <c r="K7" s="139">
        <f t="shared" ref="K7:K37" si="4">G7*J7</f>
        <v>8962010.1899999995</v>
      </c>
      <c r="L7" s="137">
        <v>1662605.042016807</v>
      </c>
      <c r="M7" s="138">
        <f t="shared" si="0"/>
        <v>315894.95798319334</v>
      </c>
      <c r="N7" s="138">
        <f t="shared" si="1"/>
        <v>1978500.0000000005</v>
      </c>
      <c r="O7" s="134">
        <f>+G7*N7</f>
        <v>5935500.0000000019</v>
      </c>
      <c r="P7" s="140">
        <v>2506736</v>
      </c>
      <c r="Q7" s="138">
        <f t="shared" ref="Q7:Q37" si="5">+P7*0.19</f>
        <v>476279.84</v>
      </c>
      <c r="R7" s="138">
        <f t="shared" ref="R7:R37" si="6">+P7+Q7</f>
        <v>2983015.84</v>
      </c>
      <c r="S7" s="141">
        <f>+G7*R7</f>
        <v>8949047.5199999996</v>
      </c>
      <c r="T7" s="138">
        <v>2401067</v>
      </c>
      <c r="U7" s="138">
        <f t="shared" ref="U7:U37" si="7">T7*19%</f>
        <v>456202.73</v>
      </c>
      <c r="V7" s="138">
        <f t="shared" ref="V7:V37" si="8">T7+U7</f>
        <v>2857269.73</v>
      </c>
      <c r="W7" s="141">
        <f>+G7*V7</f>
        <v>8571809.1899999995</v>
      </c>
      <c r="X7" s="138">
        <v>2384780</v>
      </c>
      <c r="Y7" s="138">
        <f t="shared" ref="Y7:Y37" si="9">+X7*0.19</f>
        <v>453108.2</v>
      </c>
      <c r="Z7" s="138">
        <f t="shared" ref="Z7:Z37" si="10">+X7+Y7</f>
        <v>2837888.2</v>
      </c>
      <c r="AA7" s="139">
        <f>+G7*Z7</f>
        <v>8513664.6000000015</v>
      </c>
      <c r="AB7" s="152">
        <f t="shared" ref="AB7:AB37" si="11">+AD7/1.19</f>
        <v>885714.2857142858</v>
      </c>
      <c r="AC7" s="125">
        <f t="shared" ref="AC7:AC37" si="12">+AD7-AB7</f>
        <v>168285.7142857142</v>
      </c>
      <c r="AD7" s="153">
        <v>1054000</v>
      </c>
      <c r="AE7" s="183">
        <f t="shared" ref="AE7:AE37" si="13">+G7*AD7</f>
        <v>3162000</v>
      </c>
      <c r="AF7" s="185">
        <f>+GEOMEAN(H7,L7,P7,T7,X7,AB7)</f>
        <v>1938489.8273638887</v>
      </c>
      <c r="AG7" s="154">
        <f t="shared" ref="AG7:AG37" si="14">+GEOMEAN(J7,N7,R7,V7,Z7,AD7)</f>
        <v>2306802.8945630277</v>
      </c>
      <c r="AH7" s="191">
        <f t="shared" ref="AH7:AH37" si="15">+HARMEAN(H7,L7,P7,T7,X7,AB7)</f>
        <v>1783814.3754614801</v>
      </c>
      <c r="AI7" s="150">
        <f t="shared" ref="AI7:AI37" si="16">+HARMEAN(J7,N7,R7,V7,Z7,AD7)</f>
        <v>2122739.1067991611</v>
      </c>
    </row>
    <row r="8" spans="1:35" s="4" customFormat="1" ht="51">
      <c r="C8" s="2" t="s">
        <v>101</v>
      </c>
      <c r="D8" s="1" t="s">
        <v>132</v>
      </c>
      <c r="E8" s="15" t="s">
        <v>17</v>
      </c>
      <c r="F8" s="1" t="s">
        <v>4</v>
      </c>
      <c r="G8" s="38">
        <v>10</v>
      </c>
      <c r="H8" s="137">
        <v>348700</v>
      </c>
      <c r="I8" s="138">
        <f t="shared" si="2"/>
        <v>66253</v>
      </c>
      <c r="J8" s="138">
        <f t="shared" si="3"/>
        <v>414953</v>
      </c>
      <c r="K8" s="139">
        <f t="shared" si="4"/>
        <v>4149530</v>
      </c>
      <c r="L8" s="137">
        <v>214159.66386554623</v>
      </c>
      <c r="M8" s="138">
        <f t="shared" si="0"/>
        <v>40690.336134453784</v>
      </c>
      <c r="N8" s="138">
        <f t="shared" si="1"/>
        <v>254850</v>
      </c>
      <c r="O8" s="134">
        <f>+G8*N8</f>
        <v>2548500</v>
      </c>
      <c r="P8" s="140">
        <v>350928</v>
      </c>
      <c r="Q8" s="138">
        <f t="shared" si="5"/>
        <v>66676.320000000007</v>
      </c>
      <c r="R8" s="138">
        <f t="shared" si="6"/>
        <v>417604.32</v>
      </c>
      <c r="S8" s="141">
        <f t="shared" ref="S8:S37" si="17">+G8*R8</f>
        <v>4176043.2</v>
      </c>
      <c r="T8" s="138">
        <v>332517</v>
      </c>
      <c r="U8" s="138">
        <f t="shared" si="7"/>
        <v>63178.23</v>
      </c>
      <c r="V8" s="138">
        <f t="shared" si="8"/>
        <v>395695.23</v>
      </c>
      <c r="W8" s="141">
        <f t="shared" ref="W8:W37" si="18">+G8*V8</f>
        <v>3956952.3</v>
      </c>
      <c r="X8" s="138">
        <v>326266</v>
      </c>
      <c r="Y8" s="138">
        <f t="shared" si="9"/>
        <v>61990.54</v>
      </c>
      <c r="Z8" s="138">
        <f t="shared" si="10"/>
        <v>388256.54</v>
      </c>
      <c r="AA8" s="139">
        <f t="shared" ref="AA8:AA37" si="19">+G8*Z8</f>
        <v>3882565.4</v>
      </c>
      <c r="AB8" s="152">
        <f t="shared" si="11"/>
        <v>257142.85714285716</v>
      </c>
      <c r="AC8" s="125">
        <f t="shared" si="12"/>
        <v>48857.142857142841</v>
      </c>
      <c r="AD8" s="153">
        <v>306000</v>
      </c>
      <c r="AE8" s="183">
        <f t="shared" si="13"/>
        <v>3060000</v>
      </c>
      <c r="AF8" s="185">
        <f t="shared" ref="AF8:AF37" si="20">+GEOMEAN(H8,L8,P8,T8,X8,AB8)</f>
        <v>300142.82351898297</v>
      </c>
      <c r="AG8" s="154">
        <f t="shared" si="14"/>
        <v>357169.95998758974</v>
      </c>
      <c r="AH8" s="191">
        <f t="shared" si="15"/>
        <v>294868.79440672003</v>
      </c>
      <c r="AI8" s="150">
        <f t="shared" si="16"/>
        <v>350893.86534399691</v>
      </c>
    </row>
    <row r="9" spans="1:35" s="4" customFormat="1" ht="38.25">
      <c r="C9" s="2" t="s">
        <v>102</v>
      </c>
      <c r="D9" s="1" t="s">
        <v>133</v>
      </c>
      <c r="E9" s="15" t="s">
        <v>10</v>
      </c>
      <c r="F9" s="1" t="s">
        <v>4</v>
      </c>
      <c r="G9" s="38">
        <v>20</v>
      </c>
      <c r="H9" s="137">
        <v>75571</v>
      </c>
      <c r="I9" s="138">
        <f t="shared" si="2"/>
        <v>14358.49</v>
      </c>
      <c r="J9" s="138">
        <f t="shared" si="3"/>
        <v>89929.49</v>
      </c>
      <c r="K9" s="139">
        <f t="shared" si="4"/>
        <v>1798589.8</v>
      </c>
      <c r="L9" s="137">
        <v>75504.201680672268</v>
      </c>
      <c r="M9" s="138">
        <f t="shared" si="0"/>
        <v>14345.79831932773</v>
      </c>
      <c r="N9" s="138">
        <f t="shared" si="1"/>
        <v>89850</v>
      </c>
      <c r="O9" s="134">
        <f t="shared" ref="O9:O37" si="21">+G9*N9</f>
        <v>1797000</v>
      </c>
      <c r="P9" s="140">
        <v>88777</v>
      </c>
      <c r="Q9" s="138">
        <f t="shared" si="5"/>
        <v>16867.63</v>
      </c>
      <c r="R9" s="138">
        <f t="shared" si="6"/>
        <v>105644.63</v>
      </c>
      <c r="S9" s="141">
        <f t="shared" si="17"/>
        <v>2112892.6</v>
      </c>
      <c r="T9" s="138">
        <v>76923</v>
      </c>
      <c r="U9" s="138">
        <f t="shared" si="7"/>
        <v>14615.37</v>
      </c>
      <c r="V9" s="138">
        <f t="shared" si="8"/>
        <v>91538.37</v>
      </c>
      <c r="W9" s="141">
        <f t="shared" si="18"/>
        <v>1830767.4</v>
      </c>
      <c r="X9" s="138">
        <v>77771</v>
      </c>
      <c r="Y9" s="138">
        <f t="shared" si="9"/>
        <v>14776.49</v>
      </c>
      <c r="Z9" s="138">
        <f t="shared" si="10"/>
        <v>92547.49</v>
      </c>
      <c r="AA9" s="139">
        <f t="shared" si="19"/>
        <v>1850949.8</v>
      </c>
      <c r="AB9" s="152">
        <f t="shared" si="11"/>
        <v>75571.42857142858</v>
      </c>
      <c r="AC9" s="125">
        <f t="shared" si="12"/>
        <v>14358.57142857142</v>
      </c>
      <c r="AD9" s="153">
        <v>89930</v>
      </c>
      <c r="AE9" s="183">
        <f t="shared" si="13"/>
        <v>1798600</v>
      </c>
      <c r="AF9" s="185">
        <f t="shared" si="20"/>
        <v>78218.541532182891</v>
      </c>
      <c r="AG9" s="154">
        <f t="shared" si="14"/>
        <v>93080.064423297634</v>
      </c>
      <c r="AH9" s="191">
        <f t="shared" si="15"/>
        <v>78092.609264683299</v>
      </c>
      <c r="AI9" s="150">
        <f t="shared" si="16"/>
        <v>92930.205024973111</v>
      </c>
    </row>
    <row r="10" spans="1:35" s="4" customFormat="1" ht="25.5">
      <c r="C10" s="2" t="s">
        <v>103</v>
      </c>
      <c r="D10" s="1" t="s">
        <v>135</v>
      </c>
      <c r="E10" s="15" t="s">
        <v>63</v>
      </c>
      <c r="F10" s="1" t="s">
        <v>4</v>
      </c>
      <c r="G10" s="38">
        <v>6</v>
      </c>
      <c r="H10" s="137">
        <v>143830</v>
      </c>
      <c r="I10" s="138">
        <f t="shared" si="2"/>
        <v>27327.7</v>
      </c>
      <c r="J10" s="138">
        <f t="shared" si="3"/>
        <v>171157.7</v>
      </c>
      <c r="K10" s="139">
        <f t="shared" si="4"/>
        <v>1026946.2000000001</v>
      </c>
      <c r="L10" s="137">
        <v>1008403.3613445379</v>
      </c>
      <c r="M10" s="138">
        <f t="shared" si="0"/>
        <v>191596.63865546221</v>
      </c>
      <c r="N10" s="138">
        <f t="shared" si="1"/>
        <v>1200000.0000000002</v>
      </c>
      <c r="O10" s="134">
        <f t="shared" si="21"/>
        <v>7200000.0000000019</v>
      </c>
      <c r="P10" s="140">
        <v>154904</v>
      </c>
      <c r="Q10" s="138">
        <f t="shared" si="5"/>
        <v>29431.760000000002</v>
      </c>
      <c r="R10" s="138">
        <f t="shared" si="6"/>
        <v>184335.76</v>
      </c>
      <c r="S10" s="141">
        <f t="shared" si="17"/>
        <v>1106014.56</v>
      </c>
      <c r="T10" s="138">
        <v>146740</v>
      </c>
      <c r="U10" s="138">
        <f t="shared" si="7"/>
        <v>27880.6</v>
      </c>
      <c r="V10" s="138">
        <f t="shared" si="8"/>
        <v>174620.6</v>
      </c>
      <c r="W10" s="141">
        <f t="shared" si="18"/>
        <v>1047723.6000000001</v>
      </c>
      <c r="X10" s="138">
        <v>140861</v>
      </c>
      <c r="Y10" s="138">
        <f t="shared" si="9"/>
        <v>26763.59</v>
      </c>
      <c r="Z10" s="138">
        <f t="shared" si="10"/>
        <v>167624.59</v>
      </c>
      <c r="AA10" s="139">
        <f t="shared" si="19"/>
        <v>1005747.54</v>
      </c>
      <c r="AB10" s="152">
        <f t="shared" si="11"/>
        <v>62510.08403361345</v>
      </c>
      <c r="AC10" s="125">
        <f t="shared" si="12"/>
        <v>11876.91596638655</v>
      </c>
      <c r="AD10" s="153">
        <v>74387</v>
      </c>
      <c r="AE10" s="183">
        <f t="shared" si="13"/>
        <v>446322</v>
      </c>
      <c r="AF10" s="185">
        <f t="shared" si="20"/>
        <v>175309.70557778986</v>
      </c>
      <c r="AG10" s="154">
        <f t="shared" si="14"/>
        <v>208618.54963756996</v>
      </c>
      <c r="AH10" s="191">
        <f t="shared" si="15"/>
        <v>135405.57808432236</v>
      </c>
      <c r="AI10" s="150">
        <f t="shared" si="16"/>
        <v>161132.63792034361</v>
      </c>
    </row>
    <row r="11" spans="1:35" s="4" customFormat="1" ht="38.25">
      <c r="C11" s="2" t="s">
        <v>104</v>
      </c>
      <c r="D11" s="1" t="s">
        <v>136</v>
      </c>
      <c r="E11" s="15" t="s">
        <v>18</v>
      </c>
      <c r="F11" s="1" t="s">
        <v>4</v>
      </c>
      <c r="G11" s="38">
        <v>1</v>
      </c>
      <c r="H11" s="137">
        <v>2465261</v>
      </c>
      <c r="I11" s="138">
        <f t="shared" si="2"/>
        <v>468399.59</v>
      </c>
      <c r="J11" s="138">
        <f t="shared" si="3"/>
        <v>2933660.59</v>
      </c>
      <c r="K11" s="139">
        <f t="shared" si="4"/>
        <v>2933660.59</v>
      </c>
      <c r="L11" s="137">
        <v>1890756.3025210085</v>
      </c>
      <c r="M11" s="138">
        <f t="shared" si="0"/>
        <v>359243.69747899164</v>
      </c>
      <c r="N11" s="138">
        <f t="shared" si="1"/>
        <v>2250000</v>
      </c>
      <c r="O11" s="134">
        <f t="shared" si="21"/>
        <v>2250000</v>
      </c>
      <c r="P11" s="140">
        <v>2553398</v>
      </c>
      <c r="Q11" s="138">
        <f t="shared" si="5"/>
        <v>485145.62</v>
      </c>
      <c r="R11" s="138">
        <f t="shared" si="6"/>
        <v>3038543.62</v>
      </c>
      <c r="S11" s="141">
        <f t="shared" si="17"/>
        <v>3038543.62</v>
      </c>
      <c r="T11" s="138">
        <v>2550779</v>
      </c>
      <c r="U11" s="138">
        <f t="shared" si="7"/>
        <v>484648.01</v>
      </c>
      <c r="V11" s="138">
        <f t="shared" si="8"/>
        <v>3035427.01</v>
      </c>
      <c r="W11" s="141">
        <f t="shared" si="18"/>
        <v>3035427.01</v>
      </c>
      <c r="X11" s="138">
        <v>2428755</v>
      </c>
      <c r="Y11" s="138">
        <f t="shared" si="9"/>
        <v>461463.45</v>
      </c>
      <c r="Z11" s="138">
        <f t="shared" si="10"/>
        <v>2890218.45</v>
      </c>
      <c r="AA11" s="139">
        <f t="shared" si="19"/>
        <v>2890218.45</v>
      </c>
      <c r="AB11" s="152">
        <f t="shared" si="11"/>
        <v>788450.42016806721</v>
      </c>
      <c r="AC11" s="125">
        <f t="shared" si="12"/>
        <v>149805.57983193279</v>
      </c>
      <c r="AD11" s="153">
        <v>938256</v>
      </c>
      <c r="AE11" s="183">
        <f t="shared" si="13"/>
        <v>938256</v>
      </c>
      <c r="AF11" s="185">
        <f t="shared" si="20"/>
        <v>1968224.578851315</v>
      </c>
      <c r="AG11" s="154">
        <f t="shared" si="14"/>
        <v>2342187.2488330649</v>
      </c>
      <c r="AH11" s="191">
        <f t="shared" si="15"/>
        <v>1765618.9707202148</v>
      </c>
      <c r="AI11" s="150">
        <f t="shared" si="16"/>
        <v>2101086.5751570556</v>
      </c>
    </row>
    <row r="12" spans="1:35" s="4" customFormat="1" ht="76.5">
      <c r="C12" s="2" t="s">
        <v>105</v>
      </c>
      <c r="D12" s="1" t="s">
        <v>137</v>
      </c>
      <c r="E12" s="15" t="s">
        <v>19</v>
      </c>
      <c r="F12" s="1" t="s">
        <v>4</v>
      </c>
      <c r="G12" s="38">
        <v>3</v>
      </c>
      <c r="H12" s="137">
        <v>405570</v>
      </c>
      <c r="I12" s="138">
        <f t="shared" si="2"/>
        <v>77058.3</v>
      </c>
      <c r="J12" s="138">
        <f t="shared" si="3"/>
        <v>482628.3</v>
      </c>
      <c r="K12" s="139">
        <f t="shared" si="4"/>
        <v>1447884.9</v>
      </c>
      <c r="L12" s="137">
        <v>1384903.3613445379</v>
      </c>
      <c r="M12" s="138">
        <f t="shared" si="0"/>
        <v>263131.63865546219</v>
      </c>
      <c r="N12" s="138">
        <f t="shared" si="1"/>
        <v>1648035</v>
      </c>
      <c r="O12" s="134">
        <f t="shared" si="21"/>
        <v>4944105</v>
      </c>
      <c r="P12" s="140">
        <v>388583</v>
      </c>
      <c r="Q12" s="138">
        <f t="shared" si="5"/>
        <v>73830.77</v>
      </c>
      <c r="R12" s="138">
        <f t="shared" si="6"/>
        <v>462413.77</v>
      </c>
      <c r="S12" s="141">
        <f t="shared" si="17"/>
        <v>1387241.31</v>
      </c>
      <c r="T12" s="138">
        <v>429717</v>
      </c>
      <c r="U12" s="138">
        <f t="shared" si="7"/>
        <v>81646.23</v>
      </c>
      <c r="V12" s="138">
        <f t="shared" si="8"/>
        <v>511363.23</v>
      </c>
      <c r="W12" s="141">
        <f t="shared" si="18"/>
        <v>1534089.69</v>
      </c>
      <c r="X12" s="138">
        <v>380421</v>
      </c>
      <c r="Y12" s="138">
        <f t="shared" si="9"/>
        <v>72279.990000000005</v>
      </c>
      <c r="Z12" s="138">
        <f t="shared" si="10"/>
        <v>452700.99</v>
      </c>
      <c r="AA12" s="139">
        <f t="shared" si="19"/>
        <v>1358102.97</v>
      </c>
      <c r="AB12" s="152">
        <f t="shared" si="11"/>
        <v>840336.13445378153</v>
      </c>
      <c r="AC12" s="125">
        <f t="shared" si="12"/>
        <v>159663.86554621847</v>
      </c>
      <c r="AD12" s="153">
        <v>1000000</v>
      </c>
      <c r="AE12" s="183">
        <f t="shared" si="13"/>
        <v>3000000</v>
      </c>
      <c r="AF12" s="185">
        <f t="shared" si="20"/>
        <v>557371.62752763124</v>
      </c>
      <c r="AG12" s="154">
        <f t="shared" si="14"/>
        <v>663272.23675788112</v>
      </c>
      <c r="AH12" s="191">
        <f t="shared" si="15"/>
        <v>503906.53340738697</v>
      </c>
      <c r="AI12" s="150">
        <f t="shared" si="16"/>
        <v>599648.77475479047</v>
      </c>
    </row>
    <row r="13" spans="1:35" s="4" customFormat="1" ht="38.25">
      <c r="C13" s="2" t="s">
        <v>106</v>
      </c>
      <c r="D13" s="1" t="s">
        <v>138</v>
      </c>
      <c r="E13" s="15" t="s">
        <v>20</v>
      </c>
      <c r="F13" s="1" t="s">
        <v>4</v>
      </c>
      <c r="G13" s="38">
        <v>2</v>
      </c>
      <c r="H13" s="137">
        <v>278942</v>
      </c>
      <c r="I13" s="138">
        <f t="shared" si="2"/>
        <v>52998.98</v>
      </c>
      <c r="J13" s="138">
        <f t="shared" si="3"/>
        <v>331940.98</v>
      </c>
      <c r="K13" s="139">
        <f t="shared" si="4"/>
        <v>663881.96</v>
      </c>
      <c r="L13" s="137">
        <v>176470.58823529413</v>
      </c>
      <c r="M13" s="138">
        <f t="shared" si="0"/>
        <v>33529.411764705881</v>
      </c>
      <c r="N13" s="138">
        <f t="shared" si="1"/>
        <v>210000</v>
      </c>
      <c r="O13" s="134">
        <f t="shared" si="21"/>
        <v>420000</v>
      </c>
      <c r="P13" s="140">
        <v>274590</v>
      </c>
      <c r="Q13" s="138">
        <f t="shared" si="5"/>
        <v>52172.1</v>
      </c>
      <c r="R13" s="138">
        <f t="shared" si="6"/>
        <v>326762.09999999998</v>
      </c>
      <c r="S13" s="141">
        <f t="shared" si="17"/>
        <v>653524.19999999995</v>
      </c>
      <c r="T13" s="138">
        <v>290819</v>
      </c>
      <c r="U13" s="138">
        <f t="shared" si="7"/>
        <v>55255.61</v>
      </c>
      <c r="V13" s="138">
        <f t="shared" si="8"/>
        <v>346074.61</v>
      </c>
      <c r="W13" s="141">
        <f t="shared" si="18"/>
        <v>692149.22</v>
      </c>
      <c r="X13" s="138">
        <v>263944</v>
      </c>
      <c r="Y13" s="138">
        <f t="shared" si="9"/>
        <v>50149.36</v>
      </c>
      <c r="Z13" s="138">
        <f t="shared" si="10"/>
        <v>314093.36</v>
      </c>
      <c r="AA13" s="139">
        <f t="shared" si="19"/>
        <v>628186.72</v>
      </c>
      <c r="AB13" s="152">
        <f t="shared" si="11"/>
        <v>34453.781512605041</v>
      </c>
      <c r="AC13" s="125">
        <f t="shared" si="12"/>
        <v>6546.2184873949591</v>
      </c>
      <c r="AD13" s="153">
        <v>41000</v>
      </c>
      <c r="AE13" s="183">
        <f t="shared" si="13"/>
        <v>82000</v>
      </c>
      <c r="AF13" s="185">
        <f t="shared" si="20"/>
        <v>181498.79157325692</v>
      </c>
      <c r="AG13" s="154">
        <f t="shared" si="14"/>
        <v>215983.56197217572</v>
      </c>
      <c r="AH13" s="191">
        <f t="shared" si="15"/>
        <v>122087.52052108079</v>
      </c>
      <c r="AI13" s="150">
        <f t="shared" si="16"/>
        <v>145284.14942008612</v>
      </c>
    </row>
    <row r="14" spans="1:35" s="4" customFormat="1" ht="38.25">
      <c r="C14" s="2" t="s">
        <v>107</v>
      </c>
      <c r="D14" s="1" t="s">
        <v>139</v>
      </c>
      <c r="E14" s="15" t="s">
        <v>21</v>
      </c>
      <c r="F14" s="1" t="s">
        <v>4</v>
      </c>
      <c r="G14" s="38">
        <v>10</v>
      </c>
      <c r="H14" s="137">
        <v>279142</v>
      </c>
      <c r="I14" s="138">
        <f t="shared" si="2"/>
        <v>53036.98</v>
      </c>
      <c r="J14" s="138">
        <f t="shared" si="3"/>
        <v>332178.98</v>
      </c>
      <c r="K14" s="139">
        <f t="shared" si="4"/>
        <v>3321789.8</v>
      </c>
      <c r="L14" s="137">
        <v>176470.58823529413</v>
      </c>
      <c r="M14" s="138">
        <f t="shared" si="0"/>
        <v>33529.411764705881</v>
      </c>
      <c r="N14" s="138">
        <f t="shared" si="1"/>
        <v>210000</v>
      </c>
      <c r="O14" s="134">
        <f t="shared" si="21"/>
        <v>2100000</v>
      </c>
      <c r="P14" s="140">
        <v>263086</v>
      </c>
      <c r="Q14" s="138">
        <f t="shared" si="5"/>
        <v>49986.340000000004</v>
      </c>
      <c r="R14" s="138">
        <f t="shared" si="6"/>
        <v>313072.34000000003</v>
      </c>
      <c r="S14" s="141">
        <f t="shared" si="17"/>
        <v>3130723.4000000004</v>
      </c>
      <c r="T14" s="138">
        <v>289321</v>
      </c>
      <c r="U14" s="138">
        <f t="shared" si="7"/>
        <v>54970.99</v>
      </c>
      <c r="V14" s="138">
        <f t="shared" si="8"/>
        <v>344291.99</v>
      </c>
      <c r="W14" s="141">
        <f t="shared" si="18"/>
        <v>3442919.9</v>
      </c>
      <c r="X14" s="138">
        <v>270822</v>
      </c>
      <c r="Y14" s="138">
        <f t="shared" si="9"/>
        <v>51456.18</v>
      </c>
      <c r="Z14" s="138">
        <f t="shared" si="10"/>
        <v>322278.18</v>
      </c>
      <c r="AA14" s="139">
        <f t="shared" si="19"/>
        <v>3222781.8</v>
      </c>
      <c r="AB14" s="152">
        <f t="shared" si="11"/>
        <v>117647.05882352941</v>
      </c>
      <c r="AC14" s="125">
        <f t="shared" si="12"/>
        <v>22352.941176470587</v>
      </c>
      <c r="AD14" s="153">
        <v>140000</v>
      </c>
      <c r="AE14" s="183">
        <f t="shared" si="13"/>
        <v>1400000</v>
      </c>
      <c r="AF14" s="185">
        <f t="shared" si="20"/>
        <v>221925.24345399509</v>
      </c>
      <c r="AG14" s="154">
        <f t="shared" si="14"/>
        <v>264091.03971025418</v>
      </c>
      <c r="AH14" s="191">
        <f t="shared" si="15"/>
        <v>209066.94097483341</v>
      </c>
      <c r="AI14" s="150">
        <f t="shared" si="16"/>
        <v>248789.6597600517</v>
      </c>
    </row>
    <row r="15" spans="1:35" s="4" customFormat="1" ht="25.5">
      <c r="C15" s="2" t="s">
        <v>108</v>
      </c>
      <c r="D15" s="1" t="s">
        <v>140</v>
      </c>
      <c r="E15" s="15" t="s">
        <v>22</v>
      </c>
      <c r="F15" s="1" t="s">
        <v>4</v>
      </c>
      <c r="G15" s="38">
        <v>2</v>
      </c>
      <c r="H15" s="137">
        <v>170874</v>
      </c>
      <c r="I15" s="138">
        <f t="shared" si="2"/>
        <v>32466.06</v>
      </c>
      <c r="J15" s="138">
        <f t="shared" si="3"/>
        <v>203340.06</v>
      </c>
      <c r="K15" s="139">
        <f t="shared" si="4"/>
        <v>406680.12</v>
      </c>
      <c r="L15" s="137">
        <v>119117.64705882352</v>
      </c>
      <c r="M15" s="138">
        <f t="shared" si="0"/>
        <v>22632.352941176468</v>
      </c>
      <c r="N15" s="138">
        <f t="shared" si="1"/>
        <v>141750</v>
      </c>
      <c r="O15" s="134">
        <f t="shared" si="21"/>
        <v>283500</v>
      </c>
      <c r="P15" s="140">
        <v>166442</v>
      </c>
      <c r="Q15" s="138">
        <f t="shared" si="5"/>
        <v>31623.98</v>
      </c>
      <c r="R15" s="138">
        <f t="shared" si="6"/>
        <v>198065.98</v>
      </c>
      <c r="S15" s="141">
        <f t="shared" si="17"/>
        <v>396131.96</v>
      </c>
      <c r="T15" s="138">
        <v>176152</v>
      </c>
      <c r="U15" s="138">
        <f t="shared" si="7"/>
        <v>33468.879999999997</v>
      </c>
      <c r="V15" s="138">
        <f t="shared" si="8"/>
        <v>209620.88</v>
      </c>
      <c r="W15" s="141">
        <f t="shared" si="18"/>
        <v>419241.76</v>
      </c>
      <c r="X15" s="138">
        <v>164358</v>
      </c>
      <c r="Y15" s="138">
        <f t="shared" si="9"/>
        <v>31228.02</v>
      </c>
      <c r="Z15" s="138">
        <f t="shared" si="10"/>
        <v>195586.02</v>
      </c>
      <c r="AA15" s="139">
        <f t="shared" si="19"/>
        <v>391172.04</v>
      </c>
      <c r="AB15" s="152">
        <f t="shared" si="11"/>
        <v>117647.05882352941</v>
      </c>
      <c r="AC15" s="125">
        <f t="shared" si="12"/>
        <v>22352.941176470587</v>
      </c>
      <c r="AD15" s="153">
        <v>140000</v>
      </c>
      <c r="AE15" s="183">
        <f t="shared" si="13"/>
        <v>280000</v>
      </c>
      <c r="AF15" s="185">
        <f t="shared" si="20"/>
        <v>150324.26408100215</v>
      </c>
      <c r="AG15" s="154">
        <f t="shared" si="14"/>
        <v>178885.87425639256</v>
      </c>
      <c r="AH15" s="191">
        <f t="shared" si="15"/>
        <v>148087.37423162436</v>
      </c>
      <c r="AI15" s="150">
        <f t="shared" si="16"/>
        <v>176223.975335633</v>
      </c>
    </row>
    <row r="16" spans="1:35" s="4" customFormat="1" ht="38.25">
      <c r="C16" s="2" t="s">
        <v>109</v>
      </c>
      <c r="D16" s="1" t="s">
        <v>141</v>
      </c>
      <c r="E16" s="15" t="s">
        <v>23</v>
      </c>
      <c r="F16" s="1" t="s">
        <v>4</v>
      </c>
      <c r="G16" s="38">
        <v>2</v>
      </c>
      <c r="H16" s="137">
        <v>74571</v>
      </c>
      <c r="I16" s="138">
        <f t="shared" si="2"/>
        <v>14168.49</v>
      </c>
      <c r="J16" s="138">
        <f t="shared" si="3"/>
        <v>88739.49</v>
      </c>
      <c r="K16" s="139">
        <f t="shared" si="4"/>
        <v>177478.98</v>
      </c>
      <c r="L16" s="137">
        <v>52815.126050420178</v>
      </c>
      <c r="M16" s="138">
        <f t="shared" si="0"/>
        <v>10034.873949579835</v>
      </c>
      <c r="N16" s="138">
        <f t="shared" si="1"/>
        <v>62850.000000000015</v>
      </c>
      <c r="O16" s="134">
        <f t="shared" si="21"/>
        <v>125700.00000000003</v>
      </c>
      <c r="P16" s="140">
        <v>73426</v>
      </c>
      <c r="Q16" s="138">
        <f t="shared" si="5"/>
        <v>13950.94</v>
      </c>
      <c r="R16" s="138">
        <f t="shared" si="6"/>
        <v>87376.94</v>
      </c>
      <c r="S16" s="141">
        <f t="shared" si="17"/>
        <v>174753.88</v>
      </c>
      <c r="T16" s="138">
        <v>78699</v>
      </c>
      <c r="U16" s="138">
        <f t="shared" si="7"/>
        <v>14952.81</v>
      </c>
      <c r="V16" s="138">
        <f t="shared" si="8"/>
        <v>93651.81</v>
      </c>
      <c r="W16" s="141">
        <f t="shared" si="18"/>
        <v>187303.62</v>
      </c>
      <c r="X16" s="138">
        <v>78538</v>
      </c>
      <c r="Y16" s="138">
        <f t="shared" si="9"/>
        <v>14922.22</v>
      </c>
      <c r="Z16" s="138">
        <f t="shared" si="10"/>
        <v>93460.22</v>
      </c>
      <c r="AA16" s="139">
        <f t="shared" si="19"/>
        <v>186920.44</v>
      </c>
      <c r="AB16" s="152">
        <f t="shared" si="11"/>
        <v>16806.722689075632</v>
      </c>
      <c r="AC16" s="125">
        <f t="shared" si="12"/>
        <v>3193.2773109243681</v>
      </c>
      <c r="AD16" s="153">
        <v>20000</v>
      </c>
      <c r="AE16" s="183">
        <f t="shared" si="13"/>
        <v>40000</v>
      </c>
      <c r="AF16" s="185">
        <f t="shared" si="20"/>
        <v>55755.156679313863</v>
      </c>
      <c r="AG16" s="154">
        <f t="shared" si="14"/>
        <v>66348.636448383491</v>
      </c>
      <c r="AH16" s="191">
        <f t="shared" si="15"/>
        <v>45835.643071155908</v>
      </c>
      <c r="AI16" s="150">
        <f t="shared" si="16"/>
        <v>54544.415254675529</v>
      </c>
    </row>
    <row r="17" spans="3:35" s="4" customFormat="1" ht="25.5">
      <c r="C17" s="2" t="s">
        <v>110</v>
      </c>
      <c r="D17" s="1" t="s">
        <v>145</v>
      </c>
      <c r="E17" s="15" t="s">
        <v>24</v>
      </c>
      <c r="F17" s="1" t="s">
        <v>4</v>
      </c>
      <c r="G17" s="38">
        <v>4</v>
      </c>
      <c r="H17" s="137">
        <v>398574</v>
      </c>
      <c r="I17" s="138">
        <f t="shared" si="2"/>
        <v>75729.06</v>
      </c>
      <c r="J17" s="138">
        <f t="shared" si="3"/>
        <v>474303.06</v>
      </c>
      <c r="K17" s="139">
        <f t="shared" si="4"/>
        <v>1897212.24</v>
      </c>
      <c r="L17" s="137">
        <v>251974.78991596639</v>
      </c>
      <c r="M17" s="138">
        <f t="shared" si="0"/>
        <v>47875.210084033613</v>
      </c>
      <c r="N17" s="138">
        <f t="shared" si="1"/>
        <v>299850</v>
      </c>
      <c r="O17" s="134">
        <f t="shared" si="21"/>
        <v>1199400</v>
      </c>
      <c r="P17" s="140">
        <v>380486</v>
      </c>
      <c r="Q17" s="138">
        <f t="shared" si="5"/>
        <v>72292.34</v>
      </c>
      <c r="R17" s="138">
        <f t="shared" si="6"/>
        <v>452778.33999999997</v>
      </c>
      <c r="S17" s="141">
        <f t="shared" si="17"/>
        <v>1811113.3599999999</v>
      </c>
      <c r="T17" s="138">
        <v>405317</v>
      </c>
      <c r="U17" s="138">
        <f t="shared" si="7"/>
        <v>77010.23</v>
      </c>
      <c r="V17" s="138">
        <f t="shared" si="8"/>
        <v>482327.23</v>
      </c>
      <c r="W17" s="141">
        <f t="shared" si="18"/>
        <v>1929308.92</v>
      </c>
      <c r="X17" s="138">
        <v>379948</v>
      </c>
      <c r="Y17" s="138">
        <f t="shared" si="9"/>
        <v>72190.12</v>
      </c>
      <c r="Z17" s="138">
        <f t="shared" si="10"/>
        <v>452138.12</v>
      </c>
      <c r="AA17" s="139">
        <f t="shared" si="19"/>
        <v>1808552.48</v>
      </c>
      <c r="AB17" s="152">
        <f t="shared" si="11"/>
        <v>47815.126050420171</v>
      </c>
      <c r="AC17" s="125">
        <f t="shared" si="12"/>
        <v>9084.8739495798291</v>
      </c>
      <c r="AD17" s="153">
        <v>56900</v>
      </c>
      <c r="AE17" s="183">
        <f t="shared" si="13"/>
        <v>227600</v>
      </c>
      <c r="AF17" s="185">
        <f t="shared" si="20"/>
        <v>255985.1886163046</v>
      </c>
      <c r="AG17" s="154">
        <f t="shared" si="14"/>
        <v>304622.37445340247</v>
      </c>
      <c r="AH17" s="191">
        <f t="shared" si="15"/>
        <v>170848.46391148577</v>
      </c>
      <c r="AI17" s="150">
        <f t="shared" si="16"/>
        <v>203309.67205466807</v>
      </c>
    </row>
    <row r="18" spans="3:35" s="4" customFormat="1" ht="51">
      <c r="C18" s="2" t="s">
        <v>111</v>
      </c>
      <c r="D18" s="1" t="s">
        <v>146</v>
      </c>
      <c r="E18" s="15" t="s">
        <v>25</v>
      </c>
      <c r="F18" s="1" t="s">
        <v>4</v>
      </c>
      <c r="G18" s="38">
        <v>3</v>
      </c>
      <c r="H18" s="137">
        <v>88365</v>
      </c>
      <c r="I18" s="138">
        <f t="shared" si="2"/>
        <v>16789.349999999999</v>
      </c>
      <c r="J18" s="138">
        <f t="shared" si="3"/>
        <v>105154.35</v>
      </c>
      <c r="K18" s="139">
        <f t="shared" si="4"/>
        <v>315463.05000000005</v>
      </c>
      <c r="L18" s="137">
        <v>100714.28571428571</v>
      </c>
      <c r="M18" s="138">
        <f t="shared" si="0"/>
        <v>19135.714285714286</v>
      </c>
      <c r="N18" s="138">
        <f t="shared" si="1"/>
        <v>119850</v>
      </c>
      <c r="O18" s="134">
        <f t="shared" si="21"/>
        <v>359550</v>
      </c>
      <c r="P18" s="140">
        <v>83648</v>
      </c>
      <c r="Q18" s="138">
        <f t="shared" si="5"/>
        <v>15893.12</v>
      </c>
      <c r="R18" s="138">
        <f t="shared" si="6"/>
        <v>99541.119999999995</v>
      </c>
      <c r="S18" s="141">
        <f t="shared" si="17"/>
        <v>298623.35999999999</v>
      </c>
      <c r="T18" s="138">
        <v>90057</v>
      </c>
      <c r="U18" s="138">
        <f t="shared" si="7"/>
        <v>17110.830000000002</v>
      </c>
      <c r="V18" s="138">
        <f t="shared" si="8"/>
        <v>107167.83</v>
      </c>
      <c r="W18" s="141">
        <f t="shared" si="18"/>
        <v>321503.49</v>
      </c>
      <c r="X18" s="138">
        <v>92239</v>
      </c>
      <c r="Y18" s="138">
        <f t="shared" si="9"/>
        <v>17525.41</v>
      </c>
      <c r="Z18" s="138">
        <f t="shared" si="10"/>
        <v>109764.41</v>
      </c>
      <c r="AA18" s="139">
        <f t="shared" si="19"/>
        <v>329293.23</v>
      </c>
      <c r="AB18" s="152">
        <f t="shared" si="11"/>
        <v>37731.092436974788</v>
      </c>
      <c r="AC18" s="125">
        <f t="shared" si="12"/>
        <v>7168.9075630252119</v>
      </c>
      <c r="AD18" s="153">
        <v>44900</v>
      </c>
      <c r="AE18" s="183">
        <f t="shared" si="13"/>
        <v>134700</v>
      </c>
      <c r="AF18" s="185">
        <f t="shared" si="20"/>
        <v>78462.063736301672</v>
      </c>
      <c r="AG18" s="154">
        <f t="shared" si="14"/>
        <v>93369.855846199003</v>
      </c>
      <c r="AH18" s="191">
        <f t="shared" si="15"/>
        <v>73484.875351656665</v>
      </c>
      <c r="AI18" s="150">
        <f t="shared" si="16"/>
        <v>87447.001668471421</v>
      </c>
    </row>
    <row r="19" spans="3:35" s="4" customFormat="1" ht="25.5">
      <c r="C19" s="2" t="s">
        <v>112</v>
      </c>
      <c r="D19" s="1" t="s">
        <v>147</v>
      </c>
      <c r="E19" s="15" t="s">
        <v>26</v>
      </c>
      <c r="F19" s="1" t="s">
        <v>4</v>
      </c>
      <c r="G19" s="38">
        <v>2</v>
      </c>
      <c r="H19" s="137">
        <v>48985</v>
      </c>
      <c r="I19" s="138">
        <f t="shared" si="2"/>
        <v>9307.15</v>
      </c>
      <c r="J19" s="138">
        <f t="shared" si="3"/>
        <v>58292.15</v>
      </c>
      <c r="K19" s="139">
        <f t="shared" si="4"/>
        <v>116584.3</v>
      </c>
      <c r="L19" s="137">
        <v>522983.19327731099</v>
      </c>
      <c r="M19" s="138">
        <f t="shared" si="0"/>
        <v>99366.806722689085</v>
      </c>
      <c r="N19" s="138">
        <f t="shared" si="1"/>
        <v>622350.00000000012</v>
      </c>
      <c r="O19" s="134">
        <f t="shared" si="21"/>
        <v>1244700.0000000002</v>
      </c>
      <c r="P19" s="140">
        <v>51426</v>
      </c>
      <c r="Q19" s="138">
        <f t="shared" si="5"/>
        <v>9770.94</v>
      </c>
      <c r="R19" s="138">
        <f t="shared" si="6"/>
        <v>61196.94</v>
      </c>
      <c r="S19" s="141">
        <f t="shared" si="17"/>
        <v>122393.88</v>
      </c>
      <c r="T19" s="138">
        <v>52827</v>
      </c>
      <c r="U19" s="138">
        <f t="shared" si="7"/>
        <v>10037.130000000001</v>
      </c>
      <c r="V19" s="138">
        <f t="shared" si="8"/>
        <v>62864.130000000005</v>
      </c>
      <c r="W19" s="141">
        <f t="shared" si="18"/>
        <v>125728.26000000001</v>
      </c>
      <c r="X19" s="138">
        <v>49586</v>
      </c>
      <c r="Y19" s="138">
        <f t="shared" si="9"/>
        <v>9421.34</v>
      </c>
      <c r="Z19" s="138">
        <f t="shared" si="10"/>
        <v>59007.34</v>
      </c>
      <c r="AA19" s="139">
        <f t="shared" si="19"/>
        <v>118014.68</v>
      </c>
      <c r="AB19" s="152">
        <f t="shared" si="11"/>
        <v>231008.40336134454</v>
      </c>
      <c r="AC19" s="125">
        <f t="shared" si="12"/>
        <v>43891.596638655465</v>
      </c>
      <c r="AD19" s="153">
        <v>274900</v>
      </c>
      <c r="AE19" s="183">
        <f t="shared" si="13"/>
        <v>549800</v>
      </c>
      <c r="AF19" s="185">
        <f t="shared" si="20"/>
        <v>96293.298924152143</v>
      </c>
      <c r="AG19" s="154">
        <f t="shared" si="14"/>
        <v>114589.02571974105</v>
      </c>
      <c r="AH19" s="191">
        <f t="shared" si="15"/>
        <v>70424.61813743152</v>
      </c>
      <c r="AI19" s="150">
        <f t="shared" si="16"/>
        <v>83805.295583543542</v>
      </c>
    </row>
    <row r="20" spans="3:35" s="4" customFormat="1" ht="25.5">
      <c r="C20" s="2" t="s">
        <v>113</v>
      </c>
      <c r="D20" s="1" t="s">
        <v>148</v>
      </c>
      <c r="E20" s="15" t="s">
        <v>64</v>
      </c>
      <c r="F20" s="1" t="s">
        <v>4</v>
      </c>
      <c r="G20" s="38">
        <v>2</v>
      </c>
      <c r="H20" s="137">
        <v>93803</v>
      </c>
      <c r="I20" s="138">
        <f t="shared" si="2"/>
        <v>17822.57</v>
      </c>
      <c r="J20" s="138">
        <f t="shared" si="3"/>
        <v>111625.57</v>
      </c>
      <c r="K20" s="139">
        <f t="shared" si="4"/>
        <v>223251.14</v>
      </c>
      <c r="L20" s="137">
        <v>114240</v>
      </c>
      <c r="M20" s="138">
        <f t="shared" si="0"/>
        <v>21705.599999999999</v>
      </c>
      <c r="N20" s="138">
        <f t="shared" si="1"/>
        <v>135945.60000000001</v>
      </c>
      <c r="O20" s="134">
        <f t="shared" si="21"/>
        <v>271891.20000000001</v>
      </c>
      <c r="P20" s="140">
        <v>97671</v>
      </c>
      <c r="Q20" s="138">
        <f t="shared" si="5"/>
        <v>18557.490000000002</v>
      </c>
      <c r="R20" s="138">
        <f t="shared" si="6"/>
        <v>116228.49</v>
      </c>
      <c r="S20" s="141">
        <f t="shared" si="17"/>
        <v>232456.98</v>
      </c>
      <c r="T20" s="138">
        <v>97205</v>
      </c>
      <c r="U20" s="138">
        <f t="shared" si="7"/>
        <v>18468.95</v>
      </c>
      <c r="V20" s="138">
        <f t="shared" si="8"/>
        <v>115673.95</v>
      </c>
      <c r="W20" s="141">
        <f t="shared" si="18"/>
        <v>231347.9</v>
      </c>
      <c r="X20" s="138">
        <v>96238</v>
      </c>
      <c r="Y20" s="138">
        <f t="shared" si="9"/>
        <v>18285.22</v>
      </c>
      <c r="Z20" s="138">
        <f t="shared" si="10"/>
        <v>114523.22</v>
      </c>
      <c r="AA20" s="139">
        <f t="shared" si="19"/>
        <v>229046.44</v>
      </c>
      <c r="AB20" s="152">
        <f t="shared" si="11"/>
        <v>44800</v>
      </c>
      <c r="AC20" s="125">
        <f t="shared" si="12"/>
        <v>8512</v>
      </c>
      <c r="AD20" s="153">
        <v>53312</v>
      </c>
      <c r="AE20" s="183">
        <f t="shared" si="13"/>
        <v>106624</v>
      </c>
      <c r="AF20" s="185">
        <f t="shared" si="20"/>
        <v>87167.039100741895</v>
      </c>
      <c r="AG20" s="154">
        <f t="shared" si="14"/>
        <v>103728.77652988285</v>
      </c>
      <c r="AH20" s="191">
        <f t="shared" si="15"/>
        <v>82584.946328982609</v>
      </c>
      <c r="AI20" s="150">
        <f t="shared" si="16"/>
        <v>98276.086131489283</v>
      </c>
    </row>
    <row r="21" spans="3:35" s="4" customFormat="1" ht="51">
      <c r="C21" s="2" t="s">
        <v>114</v>
      </c>
      <c r="D21" s="1" t="s">
        <v>142</v>
      </c>
      <c r="E21" s="15" t="s">
        <v>27</v>
      </c>
      <c r="F21" s="1" t="s">
        <v>4</v>
      </c>
      <c r="G21" s="38">
        <v>3</v>
      </c>
      <c r="H21" s="137">
        <v>317761</v>
      </c>
      <c r="I21" s="138">
        <f t="shared" si="2"/>
        <v>60374.590000000004</v>
      </c>
      <c r="J21" s="138">
        <f t="shared" si="3"/>
        <v>378135.59</v>
      </c>
      <c r="K21" s="139">
        <f t="shared" si="4"/>
        <v>1134406.77</v>
      </c>
      <c r="L21" s="137">
        <v>222670.58823529416</v>
      </c>
      <c r="M21" s="138">
        <f t="shared" si="0"/>
        <v>42307.411764705888</v>
      </c>
      <c r="N21" s="138">
        <f t="shared" si="1"/>
        <v>264978.00000000006</v>
      </c>
      <c r="O21" s="134">
        <f t="shared" si="21"/>
        <v>794934.00000000023</v>
      </c>
      <c r="P21" s="140">
        <v>307470</v>
      </c>
      <c r="Q21" s="138">
        <f t="shared" si="5"/>
        <v>58419.3</v>
      </c>
      <c r="R21" s="138">
        <f t="shared" si="6"/>
        <v>365889.3</v>
      </c>
      <c r="S21" s="141">
        <f t="shared" si="17"/>
        <v>1097667.8999999999</v>
      </c>
      <c r="T21" s="138">
        <v>330448</v>
      </c>
      <c r="U21" s="138">
        <f t="shared" si="7"/>
        <v>62785.120000000003</v>
      </c>
      <c r="V21" s="138">
        <f t="shared" si="8"/>
        <v>393233.12</v>
      </c>
      <c r="W21" s="141">
        <f t="shared" si="18"/>
        <v>1179699.3599999999</v>
      </c>
      <c r="X21" s="138">
        <v>311964</v>
      </c>
      <c r="Y21" s="138">
        <f t="shared" si="9"/>
        <v>59273.16</v>
      </c>
      <c r="Z21" s="138">
        <f t="shared" si="10"/>
        <v>371237.16000000003</v>
      </c>
      <c r="AA21" s="139">
        <f t="shared" si="19"/>
        <v>1113711.48</v>
      </c>
      <c r="AB21" s="152">
        <f t="shared" si="11"/>
        <v>142857.14285714287</v>
      </c>
      <c r="AC21" s="125">
        <f t="shared" si="12"/>
        <v>27142.85714285713</v>
      </c>
      <c r="AD21" s="153">
        <v>170000</v>
      </c>
      <c r="AE21" s="183">
        <f t="shared" si="13"/>
        <v>510000</v>
      </c>
      <c r="AF21" s="185">
        <f t="shared" si="20"/>
        <v>261584.87404741714</v>
      </c>
      <c r="AG21" s="154">
        <f t="shared" si="14"/>
        <v>311286.00011642638</v>
      </c>
      <c r="AH21" s="191">
        <f t="shared" si="15"/>
        <v>248735.58575458216</v>
      </c>
      <c r="AI21" s="150">
        <f t="shared" si="16"/>
        <v>295995.34704795276</v>
      </c>
    </row>
    <row r="22" spans="3:35" s="4" customFormat="1" ht="63.75">
      <c r="C22" s="2" t="s">
        <v>115</v>
      </c>
      <c r="D22" s="1" t="s">
        <v>149</v>
      </c>
      <c r="E22" s="15" t="s">
        <v>28</v>
      </c>
      <c r="F22" s="1" t="s">
        <v>4</v>
      </c>
      <c r="G22" s="38">
        <v>1</v>
      </c>
      <c r="H22" s="137">
        <v>120693</v>
      </c>
      <c r="I22" s="138">
        <f t="shared" si="2"/>
        <v>22931.670000000002</v>
      </c>
      <c r="J22" s="138">
        <f t="shared" si="3"/>
        <v>143624.67000000001</v>
      </c>
      <c r="K22" s="139">
        <f t="shared" si="4"/>
        <v>143624.67000000001</v>
      </c>
      <c r="L22" s="137">
        <v>31512.60504201681</v>
      </c>
      <c r="M22" s="138">
        <f t="shared" si="0"/>
        <v>5987.3949579831942</v>
      </c>
      <c r="N22" s="138">
        <f t="shared" si="1"/>
        <v>37500.000000000007</v>
      </c>
      <c r="O22" s="134">
        <f t="shared" si="21"/>
        <v>37500.000000000007</v>
      </c>
      <c r="P22" s="140">
        <v>115021</v>
      </c>
      <c r="Q22" s="138">
        <f t="shared" si="5"/>
        <v>21853.99</v>
      </c>
      <c r="R22" s="138">
        <f t="shared" si="6"/>
        <v>136874.99</v>
      </c>
      <c r="S22" s="141">
        <f t="shared" si="17"/>
        <v>136874.99</v>
      </c>
      <c r="T22" s="138">
        <v>128640</v>
      </c>
      <c r="U22" s="138">
        <f t="shared" si="7"/>
        <v>24441.599999999999</v>
      </c>
      <c r="V22" s="138">
        <f t="shared" si="8"/>
        <v>153081.60000000001</v>
      </c>
      <c r="W22" s="141">
        <f t="shared" si="18"/>
        <v>153081.60000000001</v>
      </c>
      <c r="X22" s="138">
        <v>125061</v>
      </c>
      <c r="Y22" s="138">
        <f t="shared" si="9"/>
        <v>23761.59</v>
      </c>
      <c r="Z22" s="138">
        <f t="shared" si="10"/>
        <v>148822.59</v>
      </c>
      <c r="AA22" s="139">
        <f t="shared" si="19"/>
        <v>148822.59</v>
      </c>
      <c r="AB22" s="152">
        <f t="shared" si="11"/>
        <v>28487.394957983193</v>
      </c>
      <c r="AC22" s="125">
        <f t="shared" si="12"/>
        <v>5412.6050420168067</v>
      </c>
      <c r="AD22" s="153">
        <v>33900</v>
      </c>
      <c r="AE22" s="183">
        <f t="shared" si="13"/>
        <v>33900</v>
      </c>
      <c r="AF22" s="185">
        <f t="shared" si="20"/>
        <v>76503.686924759691</v>
      </c>
      <c r="AG22" s="154">
        <f t="shared" si="14"/>
        <v>91039.387440464023</v>
      </c>
      <c r="AH22" s="191">
        <f t="shared" si="15"/>
        <v>60249.519082876635</v>
      </c>
      <c r="AI22" s="150">
        <f t="shared" si="16"/>
        <v>71696.927708623203</v>
      </c>
    </row>
    <row r="23" spans="3:35" s="4" customFormat="1" ht="63.75">
      <c r="C23" s="2" t="s">
        <v>116</v>
      </c>
      <c r="D23" s="1" t="s">
        <v>143</v>
      </c>
      <c r="E23" s="15" t="s">
        <v>29</v>
      </c>
      <c r="F23" s="1" t="s">
        <v>4</v>
      </c>
      <c r="G23" s="38">
        <v>4</v>
      </c>
      <c r="H23" s="137">
        <v>478809</v>
      </c>
      <c r="I23" s="138">
        <f t="shared" si="2"/>
        <v>90973.71</v>
      </c>
      <c r="J23" s="138">
        <f t="shared" si="3"/>
        <v>569782.71</v>
      </c>
      <c r="K23" s="139">
        <f t="shared" si="4"/>
        <v>2279130.84</v>
      </c>
      <c r="L23" s="137">
        <v>352941.17647058825</v>
      </c>
      <c r="M23" s="138">
        <f t="shared" si="0"/>
        <v>67058.823529411762</v>
      </c>
      <c r="N23" s="138">
        <f t="shared" si="1"/>
        <v>420000</v>
      </c>
      <c r="O23" s="134">
        <f t="shared" si="21"/>
        <v>1680000</v>
      </c>
      <c r="P23" s="140">
        <v>439848</v>
      </c>
      <c r="Q23" s="138">
        <f t="shared" si="5"/>
        <v>83571.12</v>
      </c>
      <c r="R23" s="138">
        <f t="shared" si="6"/>
        <v>523419.12</v>
      </c>
      <c r="S23" s="141">
        <f t="shared" si="17"/>
        <v>2093676.48</v>
      </c>
      <c r="T23" s="138">
        <v>513616</v>
      </c>
      <c r="U23" s="138">
        <f t="shared" si="7"/>
        <v>97587.040000000008</v>
      </c>
      <c r="V23" s="138">
        <f t="shared" si="8"/>
        <v>611203.04</v>
      </c>
      <c r="W23" s="141">
        <f t="shared" si="18"/>
        <v>2444812.16</v>
      </c>
      <c r="X23" s="138">
        <v>411985</v>
      </c>
      <c r="Y23" s="138">
        <f t="shared" si="9"/>
        <v>78277.149999999994</v>
      </c>
      <c r="Z23" s="138">
        <f t="shared" si="10"/>
        <v>490262.15</v>
      </c>
      <c r="AA23" s="139">
        <f t="shared" si="19"/>
        <v>1961048.6</v>
      </c>
      <c r="AB23" s="152">
        <f t="shared" si="11"/>
        <v>336134.45378151262</v>
      </c>
      <c r="AC23" s="125">
        <f t="shared" si="12"/>
        <v>63865.546218487376</v>
      </c>
      <c r="AD23" s="153">
        <v>400000</v>
      </c>
      <c r="AE23" s="183">
        <f t="shared" si="13"/>
        <v>1600000</v>
      </c>
      <c r="AF23" s="185">
        <f t="shared" si="20"/>
        <v>417381.66992819833</v>
      </c>
      <c r="AG23" s="154">
        <f t="shared" si="14"/>
        <v>496684.18721455598</v>
      </c>
      <c r="AH23" s="191">
        <f t="shared" si="15"/>
        <v>412523.83457646589</v>
      </c>
      <c r="AI23" s="150">
        <f t="shared" si="16"/>
        <v>490903.36314599449</v>
      </c>
    </row>
    <row r="24" spans="3:35" s="4" customFormat="1" ht="25.5">
      <c r="C24" s="2" t="s">
        <v>117</v>
      </c>
      <c r="D24" s="1" t="s">
        <v>150</v>
      </c>
      <c r="E24" s="15" t="s">
        <v>30</v>
      </c>
      <c r="F24" s="1" t="s">
        <v>4</v>
      </c>
      <c r="G24" s="38">
        <v>10</v>
      </c>
      <c r="H24" s="137">
        <v>57776</v>
      </c>
      <c r="I24" s="138">
        <f t="shared" si="2"/>
        <v>10977.44</v>
      </c>
      <c r="J24" s="138">
        <f t="shared" si="3"/>
        <v>68753.440000000002</v>
      </c>
      <c r="K24" s="139">
        <f t="shared" si="4"/>
        <v>687534.4</v>
      </c>
      <c r="L24" s="137">
        <v>23823.529411764706</v>
      </c>
      <c r="M24" s="138">
        <f t="shared" si="0"/>
        <v>4526.4705882352946</v>
      </c>
      <c r="N24" s="138">
        <f t="shared" si="1"/>
        <v>28350</v>
      </c>
      <c r="O24" s="134">
        <f t="shared" si="21"/>
        <v>283500</v>
      </c>
      <c r="P24" s="140">
        <v>59049</v>
      </c>
      <c r="Q24" s="138">
        <f t="shared" si="5"/>
        <v>11219.31</v>
      </c>
      <c r="R24" s="138">
        <f t="shared" si="6"/>
        <v>70268.31</v>
      </c>
      <c r="S24" s="141">
        <f t="shared" si="17"/>
        <v>702683.1</v>
      </c>
      <c r="T24" s="138">
        <v>54705</v>
      </c>
      <c r="U24" s="138">
        <f t="shared" si="7"/>
        <v>10393.950000000001</v>
      </c>
      <c r="V24" s="138">
        <f t="shared" si="8"/>
        <v>65098.95</v>
      </c>
      <c r="W24" s="141">
        <f t="shared" si="18"/>
        <v>650989.5</v>
      </c>
      <c r="X24" s="138">
        <v>59340</v>
      </c>
      <c r="Y24" s="138">
        <f t="shared" si="9"/>
        <v>11274.6</v>
      </c>
      <c r="Z24" s="138">
        <f t="shared" si="10"/>
        <v>70614.600000000006</v>
      </c>
      <c r="AA24" s="139">
        <f t="shared" si="19"/>
        <v>706146</v>
      </c>
      <c r="AB24" s="152">
        <f t="shared" si="11"/>
        <v>21008.403361344539</v>
      </c>
      <c r="AC24" s="125">
        <f t="shared" si="12"/>
        <v>3991.596638655461</v>
      </c>
      <c r="AD24" s="153">
        <v>25000</v>
      </c>
      <c r="AE24" s="183">
        <f t="shared" si="13"/>
        <v>250000</v>
      </c>
      <c r="AF24" s="185">
        <f t="shared" si="20"/>
        <v>42068.36389590097</v>
      </c>
      <c r="AG24" s="154">
        <f t="shared" si="14"/>
        <v>50061.353036122156</v>
      </c>
      <c r="AH24" s="191">
        <f t="shared" si="15"/>
        <v>37747.59469678942</v>
      </c>
      <c r="AI24" s="150">
        <f t="shared" si="16"/>
        <v>44919.637689179413</v>
      </c>
    </row>
    <row r="25" spans="3:35" s="4" customFormat="1" ht="25.5">
      <c r="C25" s="2" t="s">
        <v>118</v>
      </c>
      <c r="D25" s="1" t="s">
        <v>151</v>
      </c>
      <c r="E25" s="15" t="s">
        <v>31</v>
      </c>
      <c r="F25" s="1" t="s">
        <v>4</v>
      </c>
      <c r="G25" s="38">
        <v>10</v>
      </c>
      <c r="H25" s="137">
        <v>74317</v>
      </c>
      <c r="I25" s="138">
        <f t="shared" si="2"/>
        <v>14120.23</v>
      </c>
      <c r="J25" s="138">
        <f t="shared" si="3"/>
        <v>88437.23</v>
      </c>
      <c r="K25" s="139">
        <f t="shared" si="4"/>
        <v>884372.29999999993</v>
      </c>
      <c r="L25" s="137">
        <v>74243.697478991598</v>
      </c>
      <c r="M25" s="138">
        <f t="shared" si="0"/>
        <v>14106.302521008403</v>
      </c>
      <c r="N25" s="138">
        <f t="shared" si="1"/>
        <v>88350</v>
      </c>
      <c r="O25" s="134">
        <f t="shared" si="21"/>
        <v>883500</v>
      </c>
      <c r="P25" s="140">
        <v>79790</v>
      </c>
      <c r="Q25" s="138">
        <f t="shared" si="5"/>
        <v>15160.1</v>
      </c>
      <c r="R25" s="138">
        <f t="shared" si="6"/>
        <v>94950.1</v>
      </c>
      <c r="S25" s="141">
        <f t="shared" si="17"/>
        <v>949501</v>
      </c>
      <c r="T25" s="138">
        <v>69427</v>
      </c>
      <c r="U25" s="138">
        <f t="shared" si="7"/>
        <v>13191.130000000001</v>
      </c>
      <c r="V25" s="138">
        <f t="shared" si="8"/>
        <v>82618.13</v>
      </c>
      <c r="W25" s="141">
        <f t="shared" si="18"/>
        <v>826181.3</v>
      </c>
      <c r="X25" s="138">
        <v>74173</v>
      </c>
      <c r="Y25" s="138">
        <f t="shared" si="9"/>
        <v>14092.87</v>
      </c>
      <c r="Z25" s="138">
        <f t="shared" si="10"/>
        <v>88265.87</v>
      </c>
      <c r="AA25" s="139">
        <f t="shared" si="19"/>
        <v>882658.7</v>
      </c>
      <c r="AB25" s="152">
        <f t="shared" si="11"/>
        <v>26890.756302521011</v>
      </c>
      <c r="AC25" s="125">
        <f t="shared" si="12"/>
        <v>5109.2436974789889</v>
      </c>
      <c r="AD25" s="153">
        <v>32000</v>
      </c>
      <c r="AE25" s="183">
        <f t="shared" si="13"/>
        <v>320000</v>
      </c>
      <c r="AF25" s="185">
        <f t="shared" si="20"/>
        <v>62735.338854290414</v>
      </c>
      <c r="AG25" s="154">
        <f t="shared" si="14"/>
        <v>74655.053236605585</v>
      </c>
      <c r="AH25" s="191">
        <f t="shared" si="15"/>
        <v>57399.218410104979</v>
      </c>
      <c r="AI25" s="150">
        <f t="shared" si="16"/>
        <v>68305.069908024918</v>
      </c>
    </row>
    <row r="26" spans="3:35" s="4" customFormat="1" ht="25.5">
      <c r="C26" s="2" t="s">
        <v>119</v>
      </c>
      <c r="D26" s="1" t="s">
        <v>152</v>
      </c>
      <c r="E26" s="15" t="s">
        <v>32</v>
      </c>
      <c r="F26" s="1" t="s">
        <v>4</v>
      </c>
      <c r="G26" s="38">
        <v>10</v>
      </c>
      <c r="H26" s="137">
        <v>141837</v>
      </c>
      <c r="I26" s="138">
        <f t="shared" si="2"/>
        <v>26949.03</v>
      </c>
      <c r="J26" s="138">
        <f t="shared" si="3"/>
        <v>168786.03</v>
      </c>
      <c r="K26" s="139">
        <f t="shared" si="4"/>
        <v>1687860.3</v>
      </c>
      <c r="L26" s="137">
        <v>190210.08403361347</v>
      </c>
      <c r="M26" s="138">
        <f t="shared" si="0"/>
        <v>36139.915966386558</v>
      </c>
      <c r="N26" s="138">
        <f t="shared" si="1"/>
        <v>226350.00000000003</v>
      </c>
      <c r="O26" s="134">
        <f t="shared" si="21"/>
        <v>2263500.0000000005</v>
      </c>
      <c r="P26" s="140">
        <v>141240</v>
      </c>
      <c r="Q26" s="138">
        <f t="shared" si="5"/>
        <v>26835.599999999999</v>
      </c>
      <c r="R26" s="138">
        <f t="shared" si="6"/>
        <v>168075.6</v>
      </c>
      <c r="S26" s="141">
        <f t="shared" si="17"/>
        <v>1680756</v>
      </c>
      <c r="T26" s="138">
        <v>144494</v>
      </c>
      <c r="U26" s="138">
        <f t="shared" si="7"/>
        <v>27453.86</v>
      </c>
      <c r="V26" s="138">
        <f t="shared" si="8"/>
        <v>171947.86</v>
      </c>
      <c r="W26" s="141">
        <f t="shared" si="18"/>
        <v>1719478.5999999999</v>
      </c>
      <c r="X26" s="138">
        <v>144649</v>
      </c>
      <c r="Y26" s="138">
        <f t="shared" si="9"/>
        <v>27483.31</v>
      </c>
      <c r="Z26" s="138">
        <f t="shared" si="10"/>
        <v>172132.31</v>
      </c>
      <c r="AA26" s="139">
        <f t="shared" si="19"/>
        <v>1721323.1</v>
      </c>
      <c r="AB26" s="152">
        <f t="shared" si="11"/>
        <v>58823.529411764706</v>
      </c>
      <c r="AC26" s="125">
        <f t="shared" si="12"/>
        <v>11176.470588235294</v>
      </c>
      <c r="AD26" s="153">
        <v>70000</v>
      </c>
      <c r="AE26" s="183">
        <f t="shared" si="13"/>
        <v>700000</v>
      </c>
      <c r="AF26" s="185">
        <f t="shared" si="20"/>
        <v>129354.89026104758</v>
      </c>
      <c r="AG26" s="154">
        <f t="shared" si="14"/>
        <v>153932.3194106466</v>
      </c>
      <c r="AH26" s="191">
        <f t="shared" si="15"/>
        <v>119469.96469924289</v>
      </c>
      <c r="AI26" s="150">
        <f t="shared" si="16"/>
        <v>142169.25799209904</v>
      </c>
    </row>
    <row r="27" spans="3:35" s="4" customFormat="1" ht="63.75">
      <c r="C27" s="2" t="s">
        <v>120</v>
      </c>
      <c r="D27" s="1" t="s">
        <v>153</v>
      </c>
      <c r="E27" s="15" t="s">
        <v>33</v>
      </c>
      <c r="F27" s="1" t="s">
        <v>4</v>
      </c>
      <c r="G27" s="38">
        <v>3</v>
      </c>
      <c r="H27" s="137">
        <v>236591</v>
      </c>
      <c r="I27" s="138">
        <f t="shared" si="2"/>
        <v>44952.29</v>
      </c>
      <c r="J27" s="138">
        <f t="shared" si="3"/>
        <v>281543.28999999998</v>
      </c>
      <c r="K27" s="139">
        <f t="shared" si="4"/>
        <v>844629.86999999988</v>
      </c>
      <c r="L27" s="137">
        <v>121069.5</v>
      </c>
      <c r="M27" s="138">
        <f t="shared" si="0"/>
        <v>23003.205000000002</v>
      </c>
      <c r="N27" s="138">
        <f t="shared" si="1"/>
        <v>144072.70500000002</v>
      </c>
      <c r="O27" s="134">
        <f t="shared" si="21"/>
        <v>432218.11500000005</v>
      </c>
      <c r="P27" s="140">
        <v>230254</v>
      </c>
      <c r="Q27" s="138">
        <f t="shared" si="5"/>
        <v>43748.26</v>
      </c>
      <c r="R27" s="138">
        <f t="shared" si="6"/>
        <v>274002.26</v>
      </c>
      <c r="S27" s="141">
        <f t="shared" si="17"/>
        <v>822006.78</v>
      </c>
      <c r="T27" s="138">
        <v>227774</v>
      </c>
      <c r="U27" s="138">
        <f t="shared" si="7"/>
        <v>43277.06</v>
      </c>
      <c r="V27" s="138">
        <f t="shared" si="8"/>
        <v>271051.06</v>
      </c>
      <c r="W27" s="141">
        <f t="shared" si="18"/>
        <v>813153.17999999993</v>
      </c>
      <c r="X27" s="138">
        <v>238206</v>
      </c>
      <c r="Y27" s="138">
        <f t="shared" si="9"/>
        <v>45259.14</v>
      </c>
      <c r="Z27" s="138">
        <f t="shared" si="10"/>
        <v>283465.14</v>
      </c>
      <c r="AA27" s="139">
        <f t="shared" si="19"/>
        <v>850395.42</v>
      </c>
      <c r="AB27" s="152">
        <f t="shared" si="11"/>
        <v>263025.21008403361</v>
      </c>
      <c r="AC27" s="125">
        <f t="shared" si="12"/>
        <v>49974.789915966394</v>
      </c>
      <c r="AD27" s="153">
        <v>313000</v>
      </c>
      <c r="AE27" s="183">
        <f t="shared" si="13"/>
        <v>939000</v>
      </c>
      <c r="AF27" s="185">
        <f t="shared" si="20"/>
        <v>213279.47461591178</v>
      </c>
      <c r="AG27" s="154">
        <f t="shared" si="14"/>
        <v>253802.57479293499</v>
      </c>
      <c r="AH27" s="191">
        <f t="shared" si="15"/>
        <v>205340.68781948177</v>
      </c>
      <c r="AI27" s="150">
        <f t="shared" si="16"/>
        <v>244355.41850518333</v>
      </c>
    </row>
    <row r="28" spans="3:35" s="4" customFormat="1" ht="76.5">
      <c r="C28" s="2" t="s">
        <v>121</v>
      </c>
      <c r="D28" s="1" t="s">
        <v>144</v>
      </c>
      <c r="E28" s="15" t="s">
        <v>34</v>
      </c>
      <c r="F28" s="1" t="s">
        <v>4</v>
      </c>
      <c r="G28" s="38">
        <v>3</v>
      </c>
      <c r="H28" s="137">
        <v>883419</v>
      </c>
      <c r="I28" s="138">
        <f t="shared" si="2"/>
        <v>167849.61000000002</v>
      </c>
      <c r="J28" s="138">
        <f t="shared" si="3"/>
        <v>1051268.6100000001</v>
      </c>
      <c r="K28" s="139">
        <f t="shared" si="4"/>
        <v>3153805.83</v>
      </c>
      <c r="L28" s="137">
        <v>491470.5882352941</v>
      </c>
      <c r="M28" s="138">
        <f t="shared" si="0"/>
        <v>93379.411764705874</v>
      </c>
      <c r="N28" s="138">
        <f t="shared" si="1"/>
        <v>584850</v>
      </c>
      <c r="O28" s="134">
        <f t="shared" si="21"/>
        <v>1754550</v>
      </c>
      <c r="P28" s="140">
        <v>867319</v>
      </c>
      <c r="Q28" s="138">
        <f t="shared" si="5"/>
        <v>164790.61000000002</v>
      </c>
      <c r="R28" s="138">
        <f t="shared" si="6"/>
        <v>1032109.61</v>
      </c>
      <c r="S28" s="141">
        <f t="shared" si="17"/>
        <v>3096328.83</v>
      </c>
      <c r="T28" s="138">
        <v>919659</v>
      </c>
      <c r="U28" s="138">
        <f t="shared" si="7"/>
        <v>174735.21</v>
      </c>
      <c r="V28" s="138">
        <f t="shared" si="8"/>
        <v>1094394.21</v>
      </c>
      <c r="W28" s="141">
        <f t="shared" si="18"/>
        <v>3283182.63</v>
      </c>
      <c r="X28" s="138">
        <v>783812</v>
      </c>
      <c r="Y28" s="138">
        <f t="shared" si="9"/>
        <v>148924.28</v>
      </c>
      <c r="Z28" s="138">
        <f t="shared" si="10"/>
        <v>932736.28</v>
      </c>
      <c r="AA28" s="139">
        <f t="shared" si="19"/>
        <v>2798208.84</v>
      </c>
      <c r="AB28" s="152">
        <f t="shared" si="11"/>
        <v>327647.0588235294</v>
      </c>
      <c r="AC28" s="125">
        <f t="shared" si="12"/>
        <v>62252.941176470602</v>
      </c>
      <c r="AD28" s="153">
        <v>389900</v>
      </c>
      <c r="AE28" s="183">
        <f t="shared" si="13"/>
        <v>1169700</v>
      </c>
      <c r="AF28" s="185">
        <f t="shared" si="20"/>
        <v>668110.07773505757</v>
      </c>
      <c r="AG28" s="154">
        <f t="shared" si="14"/>
        <v>795050.9925047186</v>
      </c>
      <c r="AH28" s="191">
        <f t="shared" si="15"/>
        <v>616339.52516609745</v>
      </c>
      <c r="AI28" s="150">
        <f t="shared" si="16"/>
        <v>733444.03494765598</v>
      </c>
    </row>
    <row r="29" spans="3:35" s="4" customFormat="1" ht="63.75">
      <c r="C29" s="2" t="s">
        <v>122</v>
      </c>
      <c r="D29" s="1" t="s">
        <v>154</v>
      </c>
      <c r="E29" s="15" t="s">
        <v>35</v>
      </c>
      <c r="F29" s="1" t="s">
        <v>4</v>
      </c>
      <c r="G29" s="38">
        <v>2</v>
      </c>
      <c r="H29" s="137">
        <v>347279</v>
      </c>
      <c r="I29" s="138">
        <f t="shared" si="2"/>
        <v>65983.009999999995</v>
      </c>
      <c r="J29" s="138">
        <f t="shared" si="3"/>
        <v>413262.01</v>
      </c>
      <c r="K29" s="139">
        <f t="shared" si="4"/>
        <v>826524.02</v>
      </c>
      <c r="L29" s="137">
        <v>197394.95798319328</v>
      </c>
      <c r="M29" s="138">
        <f t="shared" si="0"/>
        <v>37505.042016806721</v>
      </c>
      <c r="N29" s="138">
        <f t="shared" si="1"/>
        <v>234900</v>
      </c>
      <c r="O29" s="134">
        <f t="shared" si="21"/>
        <v>469800</v>
      </c>
      <c r="P29" s="140">
        <v>328829</v>
      </c>
      <c r="Q29" s="138">
        <f t="shared" si="5"/>
        <v>62477.51</v>
      </c>
      <c r="R29" s="138">
        <f t="shared" si="6"/>
        <v>391306.51</v>
      </c>
      <c r="S29" s="141">
        <f t="shared" si="17"/>
        <v>782613.02</v>
      </c>
      <c r="T29" s="138">
        <v>355883</v>
      </c>
      <c r="U29" s="138">
        <f t="shared" si="7"/>
        <v>67617.77</v>
      </c>
      <c r="V29" s="138">
        <f t="shared" si="8"/>
        <v>423500.77</v>
      </c>
      <c r="W29" s="141">
        <f t="shared" si="18"/>
        <v>847001.54</v>
      </c>
      <c r="X29" s="138">
        <v>356295</v>
      </c>
      <c r="Y29" s="138">
        <f t="shared" si="9"/>
        <v>67696.05</v>
      </c>
      <c r="Z29" s="138">
        <f t="shared" si="10"/>
        <v>423991.05</v>
      </c>
      <c r="AA29" s="139">
        <f t="shared" si="19"/>
        <v>847982.1</v>
      </c>
      <c r="AB29" s="152">
        <f t="shared" si="11"/>
        <v>210084.03361344538</v>
      </c>
      <c r="AC29" s="125">
        <f t="shared" si="12"/>
        <v>39915.966386554617</v>
      </c>
      <c r="AD29" s="153">
        <v>250000</v>
      </c>
      <c r="AE29" s="183">
        <f t="shared" si="13"/>
        <v>500000</v>
      </c>
      <c r="AF29" s="185">
        <f t="shared" si="20"/>
        <v>290457.40383261757</v>
      </c>
      <c r="AG29" s="154">
        <f t="shared" si="14"/>
        <v>345644.31056081486</v>
      </c>
      <c r="AH29" s="191">
        <f t="shared" si="15"/>
        <v>280857.00771218655</v>
      </c>
      <c r="AI29" s="150">
        <f t="shared" si="16"/>
        <v>334219.83917750203</v>
      </c>
    </row>
    <row r="30" spans="3:35" s="4" customFormat="1" ht="76.5">
      <c r="C30" s="2" t="s">
        <v>123</v>
      </c>
      <c r="D30" s="1" t="s">
        <v>155</v>
      </c>
      <c r="E30" s="15" t="s">
        <v>67</v>
      </c>
      <c r="F30" s="1" t="s">
        <v>4</v>
      </c>
      <c r="G30" s="38">
        <v>2</v>
      </c>
      <c r="H30" s="137">
        <v>185103</v>
      </c>
      <c r="I30" s="138">
        <f t="shared" si="2"/>
        <v>35169.57</v>
      </c>
      <c r="J30" s="138">
        <f t="shared" si="3"/>
        <v>220272.57</v>
      </c>
      <c r="K30" s="139">
        <f t="shared" si="4"/>
        <v>440545.14</v>
      </c>
      <c r="L30" s="137">
        <v>390630.25210084039</v>
      </c>
      <c r="M30" s="138">
        <f t="shared" si="0"/>
        <v>74219.747899159673</v>
      </c>
      <c r="N30" s="138">
        <f t="shared" si="1"/>
        <v>464850.00000000006</v>
      </c>
      <c r="O30" s="134">
        <f t="shared" si="21"/>
        <v>929700.00000000012</v>
      </c>
      <c r="P30" s="140">
        <v>174719</v>
      </c>
      <c r="Q30" s="138">
        <f t="shared" si="5"/>
        <v>33196.61</v>
      </c>
      <c r="R30" s="138">
        <f t="shared" si="6"/>
        <v>207915.61</v>
      </c>
      <c r="S30" s="141">
        <f t="shared" si="17"/>
        <v>415831.22</v>
      </c>
      <c r="T30" s="138">
        <v>190169</v>
      </c>
      <c r="U30" s="138">
        <f t="shared" si="7"/>
        <v>36132.11</v>
      </c>
      <c r="V30" s="138">
        <f t="shared" si="8"/>
        <v>226301.11</v>
      </c>
      <c r="W30" s="141">
        <f t="shared" si="18"/>
        <v>452602.22</v>
      </c>
      <c r="X30" s="138">
        <v>174464</v>
      </c>
      <c r="Y30" s="138">
        <f t="shared" si="9"/>
        <v>33148.160000000003</v>
      </c>
      <c r="Z30" s="138">
        <f t="shared" si="10"/>
        <v>207612.16</v>
      </c>
      <c r="AA30" s="139">
        <f t="shared" si="19"/>
        <v>415224.32000000001</v>
      </c>
      <c r="AB30" s="152">
        <f t="shared" si="11"/>
        <v>151260.50420168068</v>
      </c>
      <c r="AC30" s="125">
        <f t="shared" si="12"/>
        <v>28739.495798319316</v>
      </c>
      <c r="AD30" s="153">
        <v>180000</v>
      </c>
      <c r="AE30" s="183">
        <f t="shared" si="13"/>
        <v>360000</v>
      </c>
      <c r="AF30" s="185">
        <f t="shared" si="20"/>
        <v>199686.37194340359</v>
      </c>
      <c r="AG30" s="154">
        <f t="shared" si="14"/>
        <v>237626.78261265025</v>
      </c>
      <c r="AH30" s="191">
        <f t="shared" si="15"/>
        <v>191771.2711981601</v>
      </c>
      <c r="AI30" s="150">
        <f t="shared" si="16"/>
        <v>228207.81272581057</v>
      </c>
    </row>
    <row r="31" spans="3:35" s="4" customFormat="1" ht="38.25">
      <c r="C31" s="2" t="s">
        <v>124</v>
      </c>
      <c r="D31" s="1" t="s">
        <v>156</v>
      </c>
      <c r="E31" s="15" t="s">
        <v>65</v>
      </c>
      <c r="F31" s="1" t="s">
        <v>4</v>
      </c>
      <c r="G31" s="38">
        <v>2</v>
      </c>
      <c r="H31" s="137">
        <v>47853</v>
      </c>
      <c r="I31" s="138">
        <f t="shared" si="2"/>
        <v>9092.07</v>
      </c>
      <c r="J31" s="138">
        <f t="shared" si="3"/>
        <v>56945.07</v>
      </c>
      <c r="K31" s="139">
        <f t="shared" si="4"/>
        <v>113890.14</v>
      </c>
      <c r="L31" s="137">
        <v>27731.092436974788</v>
      </c>
      <c r="M31" s="138">
        <f t="shared" si="0"/>
        <v>5268.90756302521</v>
      </c>
      <c r="N31" s="138">
        <f t="shared" si="1"/>
        <v>33000</v>
      </c>
      <c r="O31" s="134">
        <f t="shared" si="21"/>
        <v>66000</v>
      </c>
      <c r="P31" s="140">
        <v>46994</v>
      </c>
      <c r="Q31" s="138">
        <f t="shared" si="5"/>
        <v>8928.86</v>
      </c>
      <c r="R31" s="138">
        <f t="shared" si="6"/>
        <v>55922.86</v>
      </c>
      <c r="S31" s="141">
        <f t="shared" si="17"/>
        <v>111845.72</v>
      </c>
      <c r="T31" s="138">
        <v>51289</v>
      </c>
      <c r="U31" s="138">
        <f t="shared" si="7"/>
        <v>9744.91</v>
      </c>
      <c r="V31" s="138">
        <f t="shared" si="8"/>
        <v>61033.91</v>
      </c>
      <c r="W31" s="141">
        <f t="shared" si="18"/>
        <v>122067.82</v>
      </c>
      <c r="X31" s="138">
        <v>47353</v>
      </c>
      <c r="Y31" s="138">
        <f t="shared" si="9"/>
        <v>8997.07</v>
      </c>
      <c r="Z31" s="138">
        <f t="shared" si="10"/>
        <v>56350.07</v>
      </c>
      <c r="AA31" s="139">
        <f t="shared" si="19"/>
        <v>112700.14</v>
      </c>
      <c r="AB31" s="152">
        <f t="shared" si="11"/>
        <v>20168.067226890758</v>
      </c>
      <c r="AC31" s="125">
        <f t="shared" si="12"/>
        <v>3831.9327731092417</v>
      </c>
      <c r="AD31" s="153">
        <v>24000</v>
      </c>
      <c r="AE31" s="183">
        <f t="shared" si="13"/>
        <v>48000</v>
      </c>
      <c r="AF31" s="185">
        <f t="shared" si="20"/>
        <v>38091.297115456931</v>
      </c>
      <c r="AG31" s="154">
        <f t="shared" si="14"/>
        <v>45328.643567393752</v>
      </c>
      <c r="AH31" s="191">
        <f t="shared" si="15"/>
        <v>35621.853925404983</v>
      </c>
      <c r="AI31" s="150">
        <f t="shared" si="16"/>
        <v>42390.006171231929</v>
      </c>
    </row>
    <row r="32" spans="3:35" s="4" customFormat="1" ht="51">
      <c r="C32" s="2" t="s">
        <v>125</v>
      </c>
      <c r="D32" s="1" t="s">
        <v>157</v>
      </c>
      <c r="E32" s="15" t="s">
        <v>66</v>
      </c>
      <c r="F32" s="1" t="s">
        <v>4</v>
      </c>
      <c r="G32" s="38">
        <v>2</v>
      </c>
      <c r="H32" s="137">
        <v>53834</v>
      </c>
      <c r="I32" s="138">
        <f t="shared" si="2"/>
        <v>10228.460000000001</v>
      </c>
      <c r="J32" s="138">
        <f t="shared" si="3"/>
        <v>64062.46</v>
      </c>
      <c r="K32" s="139">
        <f t="shared" si="4"/>
        <v>128124.92</v>
      </c>
      <c r="L32" s="137">
        <v>34033.613445378149</v>
      </c>
      <c r="M32" s="138">
        <f t="shared" si="0"/>
        <v>6466.3865546218485</v>
      </c>
      <c r="N32" s="138">
        <f t="shared" si="1"/>
        <v>40500</v>
      </c>
      <c r="O32" s="134">
        <f t="shared" si="21"/>
        <v>81000</v>
      </c>
      <c r="P32" s="140">
        <v>54009</v>
      </c>
      <c r="Q32" s="138">
        <f t="shared" si="5"/>
        <v>10261.710000000001</v>
      </c>
      <c r="R32" s="138">
        <f t="shared" si="6"/>
        <v>64270.71</v>
      </c>
      <c r="S32" s="141">
        <f t="shared" si="17"/>
        <v>128541.42</v>
      </c>
      <c r="T32" s="138">
        <v>54067</v>
      </c>
      <c r="U32" s="138">
        <f t="shared" si="7"/>
        <v>10272.73</v>
      </c>
      <c r="V32" s="138">
        <f t="shared" si="8"/>
        <v>64339.729999999996</v>
      </c>
      <c r="W32" s="141">
        <f t="shared" si="18"/>
        <v>128679.45999999999</v>
      </c>
      <c r="X32" s="138">
        <v>55528</v>
      </c>
      <c r="Y32" s="138">
        <f t="shared" si="9"/>
        <v>10550.32</v>
      </c>
      <c r="Z32" s="138">
        <f t="shared" si="10"/>
        <v>66078.320000000007</v>
      </c>
      <c r="AA32" s="139">
        <f t="shared" si="19"/>
        <v>132156.64000000001</v>
      </c>
      <c r="AB32" s="152">
        <f t="shared" si="11"/>
        <v>22689.0756302521</v>
      </c>
      <c r="AC32" s="125">
        <f t="shared" si="12"/>
        <v>4310.9243697478996</v>
      </c>
      <c r="AD32" s="153">
        <v>27000</v>
      </c>
      <c r="AE32" s="183">
        <f t="shared" si="13"/>
        <v>54000</v>
      </c>
      <c r="AF32" s="185">
        <f t="shared" si="20"/>
        <v>43462.562262162821</v>
      </c>
      <c r="AG32" s="154">
        <f t="shared" si="14"/>
        <v>51720.449091973758</v>
      </c>
      <c r="AH32" s="191">
        <f t="shared" si="15"/>
        <v>40801.796973940975</v>
      </c>
      <c r="AI32" s="150">
        <f t="shared" si="16"/>
        <v>48554.138398989766</v>
      </c>
    </row>
    <row r="33" spans="3:35" s="4" customFormat="1" ht="76.5">
      <c r="C33" s="2" t="s">
        <v>126</v>
      </c>
      <c r="D33" s="1" t="s">
        <v>158</v>
      </c>
      <c r="E33" s="15" t="s">
        <v>58</v>
      </c>
      <c r="F33" s="1" t="s">
        <v>4</v>
      </c>
      <c r="G33" s="38">
        <v>2</v>
      </c>
      <c r="H33" s="137">
        <v>240343</v>
      </c>
      <c r="I33" s="138">
        <f t="shared" si="2"/>
        <v>45665.17</v>
      </c>
      <c r="J33" s="138">
        <f t="shared" si="3"/>
        <v>286008.17</v>
      </c>
      <c r="K33" s="139">
        <f t="shared" si="4"/>
        <v>572016.34</v>
      </c>
      <c r="L33" s="137">
        <v>106764.70588235295</v>
      </c>
      <c r="M33" s="138">
        <f t="shared" si="0"/>
        <v>20285.294117647059</v>
      </c>
      <c r="N33" s="138">
        <f t="shared" si="1"/>
        <v>127050.00000000001</v>
      </c>
      <c r="O33" s="134">
        <f t="shared" si="21"/>
        <v>254100.00000000003</v>
      </c>
      <c r="P33" s="140">
        <v>231881</v>
      </c>
      <c r="Q33" s="138">
        <f t="shared" si="5"/>
        <v>44057.39</v>
      </c>
      <c r="R33" s="138">
        <f t="shared" si="6"/>
        <v>275938.39</v>
      </c>
      <c r="S33" s="141">
        <f t="shared" si="17"/>
        <v>551876.78</v>
      </c>
      <c r="T33" s="138">
        <v>253976</v>
      </c>
      <c r="U33" s="138">
        <f t="shared" si="7"/>
        <v>48255.44</v>
      </c>
      <c r="V33" s="138">
        <f t="shared" si="8"/>
        <v>302231.44</v>
      </c>
      <c r="W33" s="141">
        <f t="shared" si="18"/>
        <v>604462.88</v>
      </c>
      <c r="X33" s="138">
        <v>248644</v>
      </c>
      <c r="Y33" s="138">
        <f t="shared" si="9"/>
        <v>47242.36</v>
      </c>
      <c r="Z33" s="138">
        <f t="shared" si="10"/>
        <v>295886.36</v>
      </c>
      <c r="AA33" s="139">
        <f t="shared" si="19"/>
        <v>591772.72</v>
      </c>
      <c r="AB33" s="152">
        <f t="shared" si="11"/>
        <v>126050.42016806723</v>
      </c>
      <c r="AC33" s="125">
        <f t="shared" si="12"/>
        <v>23949.579831932773</v>
      </c>
      <c r="AD33" s="153">
        <v>150000</v>
      </c>
      <c r="AE33" s="183">
        <f t="shared" si="13"/>
        <v>300000</v>
      </c>
      <c r="AF33" s="185">
        <f t="shared" si="20"/>
        <v>190212.86418846296</v>
      </c>
      <c r="AG33" s="154">
        <f t="shared" si="14"/>
        <v>226353.3083842709</v>
      </c>
      <c r="AH33" s="191">
        <f t="shared" si="15"/>
        <v>177871.61006180223</v>
      </c>
      <c r="AI33" s="150">
        <f t="shared" si="16"/>
        <v>211667.21597354463</v>
      </c>
    </row>
    <row r="34" spans="3:35" s="4" customFormat="1" ht="51">
      <c r="C34" s="2" t="s">
        <v>127</v>
      </c>
      <c r="D34" s="1" t="s">
        <v>159</v>
      </c>
      <c r="E34" s="15" t="s">
        <v>36</v>
      </c>
      <c r="F34" s="1" t="s">
        <v>4</v>
      </c>
      <c r="G34" s="38">
        <v>2</v>
      </c>
      <c r="H34" s="137">
        <v>275344</v>
      </c>
      <c r="I34" s="138">
        <f t="shared" si="2"/>
        <v>52315.360000000001</v>
      </c>
      <c r="J34" s="138">
        <f t="shared" si="3"/>
        <v>327659.36</v>
      </c>
      <c r="K34" s="139">
        <f t="shared" si="4"/>
        <v>655318.72</v>
      </c>
      <c r="L34" s="137">
        <v>180124.78991596639</v>
      </c>
      <c r="M34" s="138">
        <f t="shared" si="0"/>
        <v>34223.710084033613</v>
      </c>
      <c r="N34" s="138">
        <f t="shared" si="1"/>
        <v>214348.5</v>
      </c>
      <c r="O34" s="134">
        <f t="shared" si="21"/>
        <v>428697</v>
      </c>
      <c r="P34" s="140">
        <v>273567</v>
      </c>
      <c r="Q34" s="138">
        <f t="shared" si="5"/>
        <v>51977.73</v>
      </c>
      <c r="R34" s="138">
        <f t="shared" si="6"/>
        <v>325544.73</v>
      </c>
      <c r="S34" s="141">
        <f t="shared" si="17"/>
        <v>651089.46</v>
      </c>
      <c r="T34" s="138">
        <v>284707</v>
      </c>
      <c r="U34" s="138">
        <f t="shared" si="7"/>
        <v>54094.33</v>
      </c>
      <c r="V34" s="138">
        <f t="shared" si="8"/>
        <v>338801.33</v>
      </c>
      <c r="W34" s="141">
        <f t="shared" si="18"/>
        <v>677602.66</v>
      </c>
      <c r="X34" s="138">
        <v>279736</v>
      </c>
      <c r="Y34" s="138">
        <f t="shared" si="9"/>
        <v>53149.840000000004</v>
      </c>
      <c r="Z34" s="138">
        <f t="shared" si="10"/>
        <v>332885.84000000003</v>
      </c>
      <c r="AA34" s="139">
        <f t="shared" si="19"/>
        <v>665771.68000000005</v>
      </c>
      <c r="AB34" s="152">
        <f t="shared" si="11"/>
        <v>134453.78151260506</v>
      </c>
      <c r="AC34" s="125">
        <f t="shared" si="12"/>
        <v>25546.218487394945</v>
      </c>
      <c r="AD34" s="153">
        <v>160000</v>
      </c>
      <c r="AE34" s="183">
        <f t="shared" si="13"/>
        <v>320000</v>
      </c>
      <c r="AF34" s="185">
        <f t="shared" si="20"/>
        <v>229283.10613878642</v>
      </c>
      <c r="AG34" s="154">
        <f t="shared" si="14"/>
        <v>272846.89630515582</v>
      </c>
      <c r="AH34" s="191">
        <f t="shared" si="15"/>
        <v>219269.22691310759</v>
      </c>
      <c r="AI34" s="150">
        <f t="shared" si="16"/>
        <v>260930.38002659808</v>
      </c>
    </row>
    <row r="35" spans="3:35" s="4" customFormat="1" ht="63.75">
      <c r="C35" s="2" t="s">
        <v>128</v>
      </c>
      <c r="D35" s="1" t="s">
        <v>159</v>
      </c>
      <c r="E35" s="15" t="s">
        <v>37</v>
      </c>
      <c r="F35" s="1" t="s">
        <v>4</v>
      </c>
      <c r="G35" s="38">
        <v>2</v>
      </c>
      <c r="H35" s="137">
        <v>929711</v>
      </c>
      <c r="I35" s="138">
        <f t="shared" si="2"/>
        <v>176645.09</v>
      </c>
      <c r="J35" s="138">
        <f t="shared" si="3"/>
        <v>1106356.0900000001</v>
      </c>
      <c r="K35" s="139">
        <f t="shared" si="4"/>
        <v>2212712.1800000002</v>
      </c>
      <c r="L35" s="137">
        <v>756176.4705882353</v>
      </c>
      <c r="M35" s="138">
        <f t="shared" si="0"/>
        <v>143673.5294117647</v>
      </c>
      <c r="N35" s="138">
        <f t="shared" si="1"/>
        <v>899850</v>
      </c>
      <c r="O35" s="134">
        <f t="shared" si="21"/>
        <v>1799700</v>
      </c>
      <c r="P35" s="140">
        <v>894678</v>
      </c>
      <c r="Q35" s="138">
        <f t="shared" si="5"/>
        <v>169988.82</v>
      </c>
      <c r="R35" s="138">
        <f t="shared" si="6"/>
        <v>1064666.82</v>
      </c>
      <c r="S35" s="141">
        <f t="shared" si="17"/>
        <v>2129333.64</v>
      </c>
      <c r="T35" s="138">
        <v>949448</v>
      </c>
      <c r="U35" s="138">
        <f t="shared" si="7"/>
        <v>180395.12</v>
      </c>
      <c r="V35" s="138">
        <f t="shared" si="8"/>
        <v>1129843.1200000001</v>
      </c>
      <c r="W35" s="141">
        <f t="shared" si="18"/>
        <v>2259686.2400000002</v>
      </c>
      <c r="X35" s="138">
        <v>872449</v>
      </c>
      <c r="Y35" s="138">
        <f t="shared" si="9"/>
        <v>165765.31</v>
      </c>
      <c r="Z35" s="138">
        <f t="shared" si="10"/>
        <v>1038214.31</v>
      </c>
      <c r="AA35" s="139">
        <f t="shared" si="19"/>
        <v>2076428.62</v>
      </c>
      <c r="AB35" s="152">
        <f t="shared" si="11"/>
        <v>504201.68067226891</v>
      </c>
      <c r="AC35" s="125">
        <f t="shared" si="12"/>
        <v>95798.319327731093</v>
      </c>
      <c r="AD35" s="153">
        <v>600000</v>
      </c>
      <c r="AE35" s="183">
        <f t="shared" si="13"/>
        <v>1200000</v>
      </c>
      <c r="AF35" s="185">
        <f t="shared" si="20"/>
        <v>800280.50018112303</v>
      </c>
      <c r="AG35" s="154">
        <f t="shared" si="14"/>
        <v>952333.79521553637</v>
      </c>
      <c r="AH35" s="191">
        <f t="shared" si="15"/>
        <v>779368.35673981649</v>
      </c>
      <c r="AI35" s="150">
        <f t="shared" si="16"/>
        <v>927448.344520382</v>
      </c>
    </row>
    <row r="36" spans="3:35" s="4" customFormat="1" ht="51">
      <c r="C36" s="2" t="s">
        <v>129</v>
      </c>
      <c r="D36" s="1" t="s">
        <v>160</v>
      </c>
      <c r="E36" s="15" t="s">
        <v>38</v>
      </c>
      <c r="F36" s="1" t="s">
        <v>4</v>
      </c>
      <c r="G36" s="38">
        <v>2</v>
      </c>
      <c r="H36" s="137">
        <v>133036</v>
      </c>
      <c r="I36" s="138">
        <f t="shared" si="2"/>
        <v>25276.84</v>
      </c>
      <c r="J36" s="138">
        <f t="shared" si="3"/>
        <v>158312.84</v>
      </c>
      <c r="K36" s="139">
        <f t="shared" si="4"/>
        <v>316625.68</v>
      </c>
      <c r="L36" s="137">
        <v>88107.983193277323</v>
      </c>
      <c r="M36" s="138">
        <f t="shared" si="0"/>
        <v>16740.516806722691</v>
      </c>
      <c r="N36" s="138">
        <f t="shared" si="1"/>
        <v>104848.50000000001</v>
      </c>
      <c r="O36" s="134">
        <f t="shared" si="21"/>
        <v>209697.00000000003</v>
      </c>
      <c r="P36" s="140">
        <v>132021</v>
      </c>
      <c r="Q36" s="138">
        <f t="shared" si="5"/>
        <v>25083.99</v>
      </c>
      <c r="R36" s="138">
        <f t="shared" si="6"/>
        <v>157104.99</v>
      </c>
      <c r="S36" s="141">
        <f t="shared" si="17"/>
        <v>314209.98</v>
      </c>
      <c r="T36" s="138">
        <v>135509</v>
      </c>
      <c r="U36" s="138">
        <f t="shared" si="7"/>
        <v>25746.71</v>
      </c>
      <c r="V36" s="138">
        <f t="shared" si="8"/>
        <v>161255.71</v>
      </c>
      <c r="W36" s="141">
        <f t="shared" si="18"/>
        <v>322511.42</v>
      </c>
      <c r="X36" s="138">
        <v>136054</v>
      </c>
      <c r="Y36" s="138">
        <f t="shared" si="9"/>
        <v>25850.260000000002</v>
      </c>
      <c r="Z36" s="138">
        <f t="shared" si="10"/>
        <v>161904.26</v>
      </c>
      <c r="AA36" s="139">
        <f t="shared" si="19"/>
        <v>323808.52</v>
      </c>
      <c r="AB36" s="152">
        <f t="shared" si="11"/>
        <v>58823.529411764706</v>
      </c>
      <c r="AC36" s="125">
        <f t="shared" si="12"/>
        <v>11176.470588235294</v>
      </c>
      <c r="AD36" s="153">
        <v>70000</v>
      </c>
      <c r="AE36" s="183">
        <f t="shared" si="13"/>
        <v>140000</v>
      </c>
      <c r="AF36" s="185">
        <f t="shared" si="20"/>
        <v>109012.50808941103</v>
      </c>
      <c r="AG36" s="154">
        <f t="shared" si="14"/>
        <v>129724.88462639911</v>
      </c>
      <c r="AH36" s="191">
        <f t="shared" si="15"/>
        <v>103144.8332148975</v>
      </c>
      <c r="AI36" s="150">
        <f t="shared" si="16"/>
        <v>122742.35152572799</v>
      </c>
    </row>
    <row r="37" spans="3:35" s="4" customFormat="1" ht="102.75" thickBot="1">
      <c r="C37" s="16" t="s">
        <v>130</v>
      </c>
      <c r="D37" s="14" t="s">
        <v>161</v>
      </c>
      <c r="E37" s="17" t="s">
        <v>39</v>
      </c>
      <c r="F37" s="14" t="s">
        <v>4</v>
      </c>
      <c r="G37" s="39">
        <v>1</v>
      </c>
      <c r="H37" s="142">
        <v>10992317</v>
      </c>
      <c r="I37" s="143">
        <f t="shared" si="2"/>
        <v>2088540.23</v>
      </c>
      <c r="J37" s="143">
        <f t="shared" si="3"/>
        <v>13080857.23</v>
      </c>
      <c r="K37" s="144">
        <f t="shared" si="4"/>
        <v>13080857.23</v>
      </c>
      <c r="L37" s="145">
        <v>8010000</v>
      </c>
      <c r="M37" s="146">
        <f t="shared" si="0"/>
        <v>1521900</v>
      </c>
      <c r="N37" s="146">
        <f t="shared" si="1"/>
        <v>9531900</v>
      </c>
      <c r="O37" s="134">
        <f t="shared" si="21"/>
        <v>9531900</v>
      </c>
      <c r="P37" s="147">
        <v>11702759</v>
      </c>
      <c r="Q37" s="143">
        <f t="shared" si="5"/>
        <v>2223524.21</v>
      </c>
      <c r="R37" s="143">
        <f t="shared" si="6"/>
        <v>13926283.210000001</v>
      </c>
      <c r="S37" s="141">
        <f t="shared" si="17"/>
        <v>13926283.210000001</v>
      </c>
      <c r="T37" s="143">
        <v>11023569</v>
      </c>
      <c r="U37" s="143">
        <f t="shared" si="7"/>
        <v>2094478.11</v>
      </c>
      <c r="V37" s="143">
        <f t="shared" si="8"/>
        <v>13118047.109999999</v>
      </c>
      <c r="W37" s="141">
        <f t="shared" si="18"/>
        <v>13118047.109999999</v>
      </c>
      <c r="X37" s="143">
        <v>10214941</v>
      </c>
      <c r="Y37" s="143">
        <f t="shared" si="9"/>
        <v>1940838.79</v>
      </c>
      <c r="Z37" s="143">
        <f t="shared" si="10"/>
        <v>12155779.789999999</v>
      </c>
      <c r="AA37" s="139">
        <f t="shared" si="19"/>
        <v>12155779.789999999</v>
      </c>
      <c r="AB37" s="155">
        <f t="shared" si="11"/>
        <v>5042016.8067226894</v>
      </c>
      <c r="AC37" s="126">
        <f t="shared" si="12"/>
        <v>957983.19327731058</v>
      </c>
      <c r="AD37" s="156">
        <v>6000000</v>
      </c>
      <c r="AE37" s="184">
        <f t="shared" si="13"/>
        <v>6000000</v>
      </c>
      <c r="AF37" s="186">
        <f t="shared" si="20"/>
        <v>9145246.1588837896</v>
      </c>
      <c r="AG37" s="157">
        <f t="shared" si="14"/>
        <v>10882842.92907171</v>
      </c>
      <c r="AH37" s="204">
        <f t="shared" si="15"/>
        <v>8718264.2599947285</v>
      </c>
      <c r="AI37" s="205">
        <f t="shared" si="16"/>
        <v>10374734.469393726</v>
      </c>
    </row>
    <row r="38" spans="3:35" s="4" customFormat="1" ht="13.15" customHeight="1" thickBot="1">
      <c r="C38" s="414" t="s">
        <v>162</v>
      </c>
      <c r="D38" s="415"/>
      <c r="E38" s="415"/>
      <c r="F38" s="415"/>
      <c r="G38" s="415"/>
      <c r="H38" s="158">
        <f t="shared" ref="H38:J38" si="22">SUM(H6:H37)</f>
        <v>30258578</v>
      </c>
      <c r="I38" s="158">
        <f t="shared" si="22"/>
        <v>5749129.8199999984</v>
      </c>
      <c r="J38" s="158">
        <f t="shared" si="22"/>
        <v>36007707.820000008</v>
      </c>
      <c r="K38" s="158">
        <f>SUM(K6:K37)</f>
        <v>65361342.61999999</v>
      </c>
      <c r="L38" s="158">
        <f t="shared" ref="L38:N38" si="23">SUM(L6:L37)</f>
        <v>25856746.474789925</v>
      </c>
      <c r="M38" s="158">
        <f t="shared" si="23"/>
        <v>4912781.8302100841</v>
      </c>
      <c r="N38" s="158">
        <f t="shared" si="23"/>
        <v>30769528.305</v>
      </c>
      <c r="O38" s="158">
        <f>SUM(O6:O37)</f>
        <v>60680142.315000005</v>
      </c>
      <c r="P38" s="158">
        <f t="shared" ref="P38:R38" si="24">SUM(P6:P37)</f>
        <v>30747659</v>
      </c>
      <c r="Q38" s="158">
        <f t="shared" si="24"/>
        <v>5842055.209999999</v>
      </c>
      <c r="R38" s="158">
        <f t="shared" si="24"/>
        <v>36589714.210000008</v>
      </c>
      <c r="S38" s="158">
        <f>SUM(S6:S37)</f>
        <v>65789214.260000005</v>
      </c>
      <c r="T38" s="158">
        <f t="shared" ref="T38:V38" si="25">SUM(T6:T37)</f>
        <v>30709691</v>
      </c>
      <c r="U38" s="158">
        <f t="shared" si="25"/>
        <v>5834841.290000001</v>
      </c>
      <c r="V38" s="158">
        <f t="shared" si="25"/>
        <v>36544532.289999992</v>
      </c>
      <c r="W38" s="158">
        <f>SUM(W6:W37)</f>
        <v>65978475.430000007</v>
      </c>
      <c r="X38" s="158">
        <f t="shared" ref="X38:Z38" si="26">SUM(X6:X37)</f>
        <v>28605114</v>
      </c>
      <c r="Y38" s="158">
        <f t="shared" si="26"/>
        <v>5434971.6600000001</v>
      </c>
      <c r="Z38" s="158">
        <f t="shared" si="26"/>
        <v>34040085.659999996</v>
      </c>
      <c r="AA38" s="158">
        <f>SUM(AA6:AA37)</f>
        <v>62172916.120000005</v>
      </c>
      <c r="AB38" s="192">
        <f t="shared" ref="AB38:AC38" si="27">SUM(AB6:AB37)</f>
        <v>13032256.302521009</v>
      </c>
      <c r="AC38" s="192">
        <f t="shared" si="27"/>
        <v>2476128.697478991</v>
      </c>
      <c r="AD38" s="192">
        <f>SUM(AD6:AD37)</f>
        <v>15508385</v>
      </c>
      <c r="AE38" s="193">
        <f>SUM(AE6:AE37)</f>
        <v>32050502</v>
      </c>
      <c r="AF38" s="195">
        <f t="shared" ref="AF38:AI38" si="28">SUM(AF6:AF37)</f>
        <v>24865971.235148393</v>
      </c>
      <c r="AG38" s="196">
        <f t="shared" si="28"/>
        <v>29590505.769826591</v>
      </c>
      <c r="AH38" s="194">
        <f t="shared" si="28"/>
        <v>22802688.647041194</v>
      </c>
      <c r="AI38" s="192">
        <f t="shared" si="28"/>
        <v>27135199.489979025</v>
      </c>
    </row>
    <row r="39" spans="3:35" ht="13.5" thickBot="1">
      <c r="C39" s="407" t="s">
        <v>163</v>
      </c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  <c r="AD39" s="408"/>
      <c r="AE39" s="408"/>
      <c r="AF39" s="415"/>
      <c r="AG39" s="415"/>
      <c r="AH39" s="408"/>
      <c r="AI39" s="416"/>
    </row>
    <row r="40" spans="3:35" ht="39" thickBot="1">
      <c r="C40" s="59" t="s">
        <v>95</v>
      </c>
      <c r="D40" s="60" t="s">
        <v>96</v>
      </c>
      <c r="E40" s="59" t="s">
        <v>94</v>
      </c>
      <c r="F40" s="61" t="s">
        <v>292</v>
      </c>
      <c r="G40" s="62" t="s">
        <v>0</v>
      </c>
      <c r="H40" s="59" t="s">
        <v>293</v>
      </c>
      <c r="I40" s="61" t="s">
        <v>294</v>
      </c>
      <c r="J40" s="61" t="s">
        <v>295</v>
      </c>
      <c r="K40" s="63" t="s">
        <v>296</v>
      </c>
      <c r="L40" s="59" t="s">
        <v>293</v>
      </c>
      <c r="M40" s="61" t="s">
        <v>294</v>
      </c>
      <c r="N40" s="61" t="s">
        <v>295</v>
      </c>
      <c r="O40" s="63" t="s">
        <v>296</v>
      </c>
      <c r="P40" s="59" t="s">
        <v>293</v>
      </c>
      <c r="Q40" s="61" t="s">
        <v>294</v>
      </c>
      <c r="R40" s="61" t="s">
        <v>295</v>
      </c>
      <c r="S40" s="63" t="s">
        <v>296</v>
      </c>
      <c r="T40" s="59" t="s">
        <v>293</v>
      </c>
      <c r="U40" s="61" t="s">
        <v>294</v>
      </c>
      <c r="V40" s="61" t="s">
        <v>295</v>
      </c>
      <c r="W40" s="63" t="s">
        <v>296</v>
      </c>
      <c r="X40" s="59" t="s">
        <v>293</v>
      </c>
      <c r="Y40" s="61" t="s">
        <v>294</v>
      </c>
      <c r="Z40" s="61" t="s">
        <v>295</v>
      </c>
      <c r="AA40" s="63" t="s">
        <v>296</v>
      </c>
      <c r="AB40" s="59" t="s">
        <v>293</v>
      </c>
      <c r="AC40" s="61" t="s">
        <v>294</v>
      </c>
      <c r="AD40" s="61" t="s">
        <v>295</v>
      </c>
      <c r="AE40" s="115" t="s">
        <v>296</v>
      </c>
      <c r="AF40" s="32" t="s">
        <v>293</v>
      </c>
      <c r="AG40" s="51" t="s">
        <v>295</v>
      </c>
      <c r="AH40" s="7" t="s">
        <v>293</v>
      </c>
      <c r="AI40" s="19" t="s">
        <v>295</v>
      </c>
    </row>
    <row r="41" spans="3:35" ht="76.5">
      <c r="C41" s="9" t="s">
        <v>164</v>
      </c>
      <c r="D41" s="10" t="s">
        <v>167</v>
      </c>
      <c r="E41" s="13" t="s">
        <v>40</v>
      </c>
      <c r="F41" s="10" t="s">
        <v>4</v>
      </c>
      <c r="G41" s="37">
        <v>1</v>
      </c>
      <c r="H41" s="129">
        <v>3806471</v>
      </c>
      <c r="I41" s="130">
        <f t="shared" ref="I41:I69" si="29">H41*19%</f>
        <v>723229.49</v>
      </c>
      <c r="J41" s="130">
        <f t="shared" ref="J41:J69" si="30">H41+I41</f>
        <v>4529700.49</v>
      </c>
      <c r="K41" s="131">
        <f t="shared" ref="K41:K69" si="31">G41*J41</f>
        <v>4529700.49</v>
      </c>
      <c r="L41" s="129">
        <v>2016806.7226890759</v>
      </c>
      <c r="M41" s="130">
        <f t="shared" ref="M41:M69" si="32">L41*19%</f>
        <v>383193.27731092443</v>
      </c>
      <c r="N41" s="130">
        <f t="shared" ref="N41:N69" si="33">L41+M41</f>
        <v>2400000.0000000005</v>
      </c>
      <c r="O41" s="136">
        <f>+G41*N41</f>
        <v>2400000.0000000005</v>
      </c>
      <c r="P41" s="135">
        <v>3744578</v>
      </c>
      <c r="Q41" s="130">
        <f t="shared" ref="Q41:Q69" si="34">+P41*0.19</f>
        <v>711469.82000000007</v>
      </c>
      <c r="R41" s="130">
        <f t="shared" ref="R41:R69" si="35">+P41+Q41</f>
        <v>4456047.82</v>
      </c>
      <c r="S41" s="136">
        <f>+G41*R41</f>
        <v>4456047.82</v>
      </c>
      <c r="T41" s="130">
        <v>3642494</v>
      </c>
      <c r="U41" s="130">
        <f>T41*19%</f>
        <v>692073.86</v>
      </c>
      <c r="V41" s="130">
        <f>T41+U41</f>
        <v>4334567.8600000003</v>
      </c>
      <c r="W41" s="136">
        <f>+G41*V41</f>
        <v>4334567.8600000003</v>
      </c>
      <c r="X41" s="130">
        <v>3900235</v>
      </c>
      <c r="Y41" s="130">
        <f t="shared" ref="Y41:Y69" si="36">+X41*0.19</f>
        <v>741044.65</v>
      </c>
      <c r="Z41" s="130">
        <f t="shared" ref="Z41:Z69" si="37">+X41+Y41</f>
        <v>4641279.6500000004</v>
      </c>
      <c r="AA41" s="131">
        <f>+G41*Z41</f>
        <v>4641279.6500000004</v>
      </c>
      <c r="AB41" s="159"/>
      <c r="AC41" s="128"/>
      <c r="AD41" s="160"/>
      <c r="AE41" s="197"/>
      <c r="AF41" s="191">
        <f>+GEOMEAN(H41,L41,P41,T41,X41,AB41)</f>
        <v>3328249.3931980231</v>
      </c>
      <c r="AG41" s="182">
        <f t="shared" ref="AG41:AG69" si="38">+GEOMEAN(J41,N41,R41,V41,Z41,AD41)</f>
        <v>3960616.7779056476</v>
      </c>
      <c r="AH41" s="203">
        <f t="shared" ref="AH41:AH69" si="39">+HARMEAN(H41,L41,P41,T41,X41,AB41)</f>
        <v>3212276.2867362108</v>
      </c>
      <c r="AI41" s="161">
        <f t="shared" ref="AI41:AI69" si="40">+HARMEAN(J41,N41,R41,V41,Z41,AD41)</f>
        <v>3822608.7812160905</v>
      </c>
    </row>
    <row r="42" spans="3:35" ht="63.75">
      <c r="C42" s="2" t="s">
        <v>197</v>
      </c>
      <c r="D42" s="1" t="s">
        <v>168</v>
      </c>
      <c r="E42" s="15" t="s">
        <v>41</v>
      </c>
      <c r="F42" s="1" t="s">
        <v>4</v>
      </c>
      <c r="G42" s="38">
        <v>1</v>
      </c>
      <c r="H42" s="137">
        <v>618098</v>
      </c>
      <c r="I42" s="138">
        <f t="shared" si="29"/>
        <v>117438.62</v>
      </c>
      <c r="J42" s="138">
        <f t="shared" si="30"/>
        <v>735536.62</v>
      </c>
      <c r="K42" s="139">
        <f t="shared" si="31"/>
        <v>735536.62</v>
      </c>
      <c r="L42" s="137">
        <v>520588.23529411771</v>
      </c>
      <c r="M42" s="138">
        <f t="shared" si="32"/>
        <v>98911.764705882364</v>
      </c>
      <c r="N42" s="138">
        <f t="shared" si="33"/>
        <v>619500.00000000012</v>
      </c>
      <c r="O42" s="141">
        <f>+G42*N42</f>
        <v>619500.00000000012</v>
      </c>
      <c r="P42" s="140">
        <v>587778</v>
      </c>
      <c r="Q42" s="138">
        <f t="shared" si="34"/>
        <v>111677.82</v>
      </c>
      <c r="R42" s="138">
        <f t="shared" si="35"/>
        <v>699455.82000000007</v>
      </c>
      <c r="S42" s="141">
        <f>+G42*R42</f>
        <v>699455.82000000007</v>
      </c>
      <c r="T42" s="138">
        <v>613829</v>
      </c>
      <c r="U42" s="138">
        <f t="shared" ref="U42:U69" si="41">T42*19%</f>
        <v>116627.51</v>
      </c>
      <c r="V42" s="138">
        <f t="shared" ref="V42:V69" si="42">T42+U42</f>
        <v>730456.51</v>
      </c>
      <c r="W42" s="141">
        <f>+G42*V42</f>
        <v>730456.51</v>
      </c>
      <c r="X42" s="138">
        <v>628160</v>
      </c>
      <c r="Y42" s="138">
        <f t="shared" si="36"/>
        <v>119350.39999999999</v>
      </c>
      <c r="Z42" s="138">
        <f t="shared" si="37"/>
        <v>747510.4</v>
      </c>
      <c r="AA42" s="139">
        <f>+G42*Z42</f>
        <v>747510.4</v>
      </c>
      <c r="AB42" s="152">
        <f t="shared" ref="AB42:AB69" si="43">+AD42/1.19</f>
        <v>403361.34453781514</v>
      </c>
      <c r="AC42" s="125">
        <f t="shared" ref="AC42:AC69" si="44">+AD42-AB42</f>
        <v>76638.655462184863</v>
      </c>
      <c r="AD42" s="153">
        <v>480000</v>
      </c>
      <c r="AE42" s="183">
        <f t="shared" ref="AE42:AE69" si="45">+G42*AD42</f>
        <v>480000</v>
      </c>
      <c r="AF42" s="185">
        <f t="shared" ref="AF42:AF69" si="46">+GEOMEAN(H42,L42,P42,T42,X42,AB42)</f>
        <v>555600.75661533815</v>
      </c>
      <c r="AG42" s="183">
        <f t="shared" si="38"/>
        <v>661164.90037225233</v>
      </c>
      <c r="AH42" s="185">
        <f t="shared" si="39"/>
        <v>548429.5787542878</v>
      </c>
      <c r="AI42" s="154">
        <f t="shared" si="40"/>
        <v>652631.19871760276</v>
      </c>
    </row>
    <row r="43" spans="3:35" ht="102">
      <c r="C43" s="2" t="s">
        <v>198</v>
      </c>
      <c r="D43" s="1" t="s">
        <v>169</v>
      </c>
      <c r="E43" s="15" t="s">
        <v>297</v>
      </c>
      <c r="F43" s="1" t="s">
        <v>4</v>
      </c>
      <c r="G43" s="38">
        <v>1</v>
      </c>
      <c r="H43" s="137">
        <v>3990000</v>
      </c>
      <c r="I43" s="138">
        <f t="shared" si="29"/>
        <v>758100</v>
      </c>
      <c r="J43" s="138">
        <f t="shared" si="30"/>
        <v>4748100</v>
      </c>
      <c r="K43" s="139">
        <f t="shared" si="31"/>
        <v>4748100</v>
      </c>
      <c r="L43" s="137">
        <v>2431512.6050420171</v>
      </c>
      <c r="M43" s="138">
        <f t="shared" si="32"/>
        <v>461987.39495798323</v>
      </c>
      <c r="N43" s="138">
        <f t="shared" si="33"/>
        <v>2893500.0000000005</v>
      </c>
      <c r="O43" s="141">
        <f t="shared" ref="O43:O69" si="47">+G43*N43</f>
        <v>2893500.0000000005</v>
      </c>
      <c r="P43" s="140">
        <v>4244254</v>
      </c>
      <c r="Q43" s="138">
        <f t="shared" si="34"/>
        <v>806408.26</v>
      </c>
      <c r="R43" s="138">
        <f t="shared" si="35"/>
        <v>5050662.26</v>
      </c>
      <c r="S43" s="141">
        <f t="shared" ref="S43:S69" si="48">+G43*R43</f>
        <v>5050662.26</v>
      </c>
      <c r="T43" s="138">
        <v>4348132</v>
      </c>
      <c r="U43" s="138">
        <f t="shared" si="41"/>
        <v>826145.08</v>
      </c>
      <c r="V43" s="138">
        <f t="shared" si="42"/>
        <v>5174277.08</v>
      </c>
      <c r="W43" s="141">
        <f t="shared" ref="W43:W69" si="49">+G43*V43</f>
        <v>5174277.08</v>
      </c>
      <c r="X43" s="138">
        <v>4084624</v>
      </c>
      <c r="Y43" s="138">
        <f t="shared" si="36"/>
        <v>776078.56</v>
      </c>
      <c r="Z43" s="138">
        <f t="shared" si="37"/>
        <v>4860702.5600000005</v>
      </c>
      <c r="AA43" s="139">
        <f t="shared" ref="AA43:AA69" si="50">+G43*Z43</f>
        <v>4860702.5600000005</v>
      </c>
      <c r="AB43" s="152">
        <f t="shared" si="43"/>
        <v>1621008.4033613447</v>
      </c>
      <c r="AC43" s="125">
        <f t="shared" si="44"/>
        <v>307991.59663865529</v>
      </c>
      <c r="AD43" s="162">
        <v>1929000</v>
      </c>
      <c r="AE43" s="183">
        <f t="shared" si="45"/>
        <v>1929000</v>
      </c>
      <c r="AF43" s="185">
        <f t="shared" si="46"/>
        <v>3253232.8057068563</v>
      </c>
      <c r="AG43" s="183">
        <f t="shared" si="38"/>
        <v>3871347.0387911592</v>
      </c>
      <c r="AH43" s="185">
        <f t="shared" si="39"/>
        <v>3016272.4780028043</v>
      </c>
      <c r="AI43" s="154">
        <f t="shared" si="40"/>
        <v>3589364.2488233368</v>
      </c>
    </row>
    <row r="44" spans="3:35" ht="76.5">
      <c r="C44" s="2" t="s">
        <v>199</v>
      </c>
      <c r="D44" s="1" t="s">
        <v>170</v>
      </c>
      <c r="E44" s="15" t="s">
        <v>7</v>
      </c>
      <c r="F44" s="1" t="s">
        <v>4</v>
      </c>
      <c r="G44" s="38">
        <v>1</v>
      </c>
      <c r="H44" s="137">
        <v>3220336</v>
      </c>
      <c r="I44" s="138">
        <f t="shared" si="29"/>
        <v>611863.84</v>
      </c>
      <c r="J44" s="138">
        <f t="shared" si="30"/>
        <v>3832199.84</v>
      </c>
      <c r="K44" s="139">
        <f t="shared" si="31"/>
        <v>3832199.84</v>
      </c>
      <c r="L44" s="137">
        <v>2475000</v>
      </c>
      <c r="M44" s="138">
        <f t="shared" si="32"/>
        <v>470250</v>
      </c>
      <c r="N44" s="138">
        <f t="shared" si="33"/>
        <v>2945250</v>
      </c>
      <c r="O44" s="141">
        <f t="shared" si="47"/>
        <v>2945250</v>
      </c>
      <c r="P44" s="140">
        <v>3562886</v>
      </c>
      <c r="Q44" s="138">
        <f t="shared" si="34"/>
        <v>676948.34</v>
      </c>
      <c r="R44" s="138">
        <f t="shared" si="35"/>
        <v>4239834.34</v>
      </c>
      <c r="S44" s="141">
        <f t="shared" si="48"/>
        <v>4239834.34</v>
      </c>
      <c r="T44" s="138">
        <v>3384406</v>
      </c>
      <c r="U44" s="138">
        <f t="shared" si="41"/>
        <v>643037.14</v>
      </c>
      <c r="V44" s="138">
        <f t="shared" si="42"/>
        <v>4027443.14</v>
      </c>
      <c r="W44" s="141">
        <f t="shared" si="49"/>
        <v>4027443.14</v>
      </c>
      <c r="X44" s="138">
        <v>3303044</v>
      </c>
      <c r="Y44" s="138">
        <f t="shared" si="36"/>
        <v>627578.36</v>
      </c>
      <c r="Z44" s="138">
        <f t="shared" si="37"/>
        <v>3930622.36</v>
      </c>
      <c r="AA44" s="139">
        <f t="shared" si="50"/>
        <v>3930622.36</v>
      </c>
      <c r="AB44" s="152">
        <f t="shared" si="43"/>
        <v>2168067.2268907563</v>
      </c>
      <c r="AC44" s="125">
        <f t="shared" si="44"/>
        <v>411932.77310924372</v>
      </c>
      <c r="AD44" s="162">
        <v>2580000</v>
      </c>
      <c r="AE44" s="183">
        <f t="shared" si="45"/>
        <v>2580000</v>
      </c>
      <c r="AF44" s="185">
        <f t="shared" si="46"/>
        <v>2971378.519576855</v>
      </c>
      <c r="AG44" s="183">
        <f t="shared" si="38"/>
        <v>3535940.4382964573</v>
      </c>
      <c r="AH44" s="185">
        <f t="shared" si="39"/>
        <v>2920130.7397007477</v>
      </c>
      <c r="AI44" s="154">
        <f t="shared" si="40"/>
        <v>3474955.5802438902</v>
      </c>
    </row>
    <row r="45" spans="3:35" ht="127.5">
      <c r="C45" s="2" t="s">
        <v>200</v>
      </c>
      <c r="D45" s="1" t="s">
        <v>171</v>
      </c>
      <c r="E45" s="15" t="s">
        <v>42</v>
      </c>
      <c r="F45" s="1" t="s">
        <v>4</v>
      </c>
      <c r="G45" s="38">
        <v>1</v>
      </c>
      <c r="H45" s="137">
        <v>4063000</v>
      </c>
      <c r="I45" s="138">
        <f t="shared" si="29"/>
        <v>771970</v>
      </c>
      <c r="J45" s="138">
        <f t="shared" si="30"/>
        <v>4834970</v>
      </c>
      <c r="K45" s="139">
        <f t="shared" si="31"/>
        <v>4834970</v>
      </c>
      <c r="L45" s="137">
        <v>2646932.7731092442</v>
      </c>
      <c r="M45" s="138">
        <f t="shared" si="32"/>
        <v>502917.2268907564</v>
      </c>
      <c r="N45" s="138">
        <f t="shared" si="33"/>
        <v>3149850.0000000005</v>
      </c>
      <c r="O45" s="141">
        <f t="shared" si="47"/>
        <v>3149850.0000000005</v>
      </c>
      <c r="P45" s="140">
        <v>3907847</v>
      </c>
      <c r="Q45" s="138">
        <f t="shared" si="34"/>
        <v>742490.93</v>
      </c>
      <c r="R45" s="138">
        <f t="shared" si="35"/>
        <v>4650337.93</v>
      </c>
      <c r="S45" s="141">
        <f t="shared" si="48"/>
        <v>4650337.93</v>
      </c>
      <c r="T45" s="138">
        <v>4049283</v>
      </c>
      <c r="U45" s="138">
        <f t="shared" si="41"/>
        <v>769363.77</v>
      </c>
      <c r="V45" s="138">
        <f t="shared" si="42"/>
        <v>4818646.7699999996</v>
      </c>
      <c r="W45" s="141">
        <f t="shared" si="49"/>
        <v>4818646.7699999996</v>
      </c>
      <c r="X45" s="138">
        <v>3790962</v>
      </c>
      <c r="Y45" s="138">
        <f t="shared" si="36"/>
        <v>720282.78</v>
      </c>
      <c r="Z45" s="138">
        <f t="shared" si="37"/>
        <v>4511244.78</v>
      </c>
      <c r="AA45" s="139">
        <f t="shared" si="50"/>
        <v>4511244.78</v>
      </c>
      <c r="AB45" s="152">
        <f t="shared" si="43"/>
        <v>4638428.5714285718</v>
      </c>
      <c r="AC45" s="125">
        <f t="shared" si="44"/>
        <v>881301.42857142817</v>
      </c>
      <c r="AD45" s="153">
        <v>5519730</v>
      </c>
      <c r="AE45" s="183">
        <f t="shared" si="45"/>
        <v>5519730</v>
      </c>
      <c r="AF45" s="185">
        <f t="shared" si="46"/>
        <v>3796099.7861837116</v>
      </c>
      <c r="AG45" s="183">
        <f t="shared" si="38"/>
        <v>4517358.7455586167</v>
      </c>
      <c r="AH45" s="185">
        <f t="shared" si="39"/>
        <v>3735646.8341592355</v>
      </c>
      <c r="AI45" s="154">
        <f t="shared" si="40"/>
        <v>4445419.7326494902</v>
      </c>
    </row>
    <row r="46" spans="3:35" ht="114.75">
      <c r="C46" s="2" t="s">
        <v>201</v>
      </c>
      <c r="D46" s="1" t="s">
        <v>172</v>
      </c>
      <c r="E46" s="15" t="s">
        <v>9</v>
      </c>
      <c r="F46" s="1" t="s">
        <v>4</v>
      </c>
      <c r="G46" s="38">
        <v>1</v>
      </c>
      <c r="H46" s="137">
        <v>1474185</v>
      </c>
      <c r="I46" s="138">
        <f t="shared" si="29"/>
        <v>280095.15000000002</v>
      </c>
      <c r="J46" s="138">
        <f t="shared" si="30"/>
        <v>1754280.15</v>
      </c>
      <c r="K46" s="139">
        <f t="shared" si="31"/>
        <v>1754280.15</v>
      </c>
      <c r="L46" s="137">
        <v>2546092.4369747899</v>
      </c>
      <c r="M46" s="138">
        <f t="shared" si="32"/>
        <v>483757.56302521011</v>
      </c>
      <c r="N46" s="138">
        <f t="shared" si="33"/>
        <v>3029850</v>
      </c>
      <c r="O46" s="141">
        <f t="shared" si="47"/>
        <v>3029850</v>
      </c>
      <c r="P46" s="140">
        <v>1686122</v>
      </c>
      <c r="Q46" s="138">
        <f t="shared" si="34"/>
        <v>320363.18</v>
      </c>
      <c r="R46" s="138">
        <f t="shared" si="35"/>
        <v>2006485.18</v>
      </c>
      <c r="S46" s="141">
        <f t="shared" si="48"/>
        <v>2006485.18</v>
      </c>
      <c r="T46" s="138">
        <v>1526486</v>
      </c>
      <c r="U46" s="138">
        <f t="shared" si="41"/>
        <v>290032.34000000003</v>
      </c>
      <c r="V46" s="138">
        <f t="shared" si="42"/>
        <v>1816518.34</v>
      </c>
      <c r="W46" s="141">
        <f t="shared" si="49"/>
        <v>1816518.34</v>
      </c>
      <c r="X46" s="138">
        <v>1498029</v>
      </c>
      <c r="Y46" s="138">
        <f t="shared" si="36"/>
        <v>284625.51</v>
      </c>
      <c r="Z46" s="138">
        <f t="shared" si="37"/>
        <v>1782654.51</v>
      </c>
      <c r="AA46" s="139">
        <f t="shared" si="50"/>
        <v>1782654.51</v>
      </c>
      <c r="AB46" s="152">
        <f t="shared" si="43"/>
        <v>3142857.1428571432</v>
      </c>
      <c r="AC46" s="125">
        <f t="shared" si="44"/>
        <v>597142.85714285681</v>
      </c>
      <c r="AD46" s="153">
        <v>3740000</v>
      </c>
      <c r="AE46" s="183">
        <f t="shared" si="45"/>
        <v>3740000</v>
      </c>
      <c r="AF46" s="185">
        <f t="shared" si="46"/>
        <v>1889334.287368092</v>
      </c>
      <c r="AG46" s="183">
        <f t="shared" si="38"/>
        <v>2248307.8019680292</v>
      </c>
      <c r="AH46" s="185">
        <f t="shared" si="39"/>
        <v>1815430.3286722915</v>
      </c>
      <c r="AI46" s="154">
        <f t="shared" si="40"/>
        <v>2160362.091120027</v>
      </c>
    </row>
    <row r="47" spans="3:35" ht="53.25" customHeight="1">
      <c r="C47" s="2" t="s">
        <v>202</v>
      </c>
      <c r="D47" s="1" t="s">
        <v>173</v>
      </c>
      <c r="E47" s="15" t="s">
        <v>43</v>
      </c>
      <c r="F47" s="1" t="s">
        <v>4</v>
      </c>
      <c r="G47" s="38">
        <v>1</v>
      </c>
      <c r="H47" s="137">
        <v>173466</v>
      </c>
      <c r="I47" s="138">
        <f t="shared" si="29"/>
        <v>32958.54</v>
      </c>
      <c r="J47" s="138">
        <f t="shared" si="30"/>
        <v>206424.54</v>
      </c>
      <c r="K47" s="139">
        <f t="shared" si="31"/>
        <v>206424.54</v>
      </c>
      <c r="L47" s="137">
        <v>180126.05042016809</v>
      </c>
      <c r="M47" s="138">
        <f t="shared" si="32"/>
        <v>34223.94957983194</v>
      </c>
      <c r="N47" s="138">
        <f t="shared" si="33"/>
        <v>214350.00000000003</v>
      </c>
      <c r="O47" s="141">
        <f t="shared" si="47"/>
        <v>214350.00000000003</v>
      </c>
      <c r="P47" s="140">
        <v>162684</v>
      </c>
      <c r="Q47" s="138">
        <f t="shared" si="34"/>
        <v>30909.96</v>
      </c>
      <c r="R47" s="138">
        <f t="shared" si="35"/>
        <v>193593.96</v>
      </c>
      <c r="S47" s="141">
        <f t="shared" si="48"/>
        <v>193593.96</v>
      </c>
      <c r="T47" s="138">
        <v>175898</v>
      </c>
      <c r="U47" s="138">
        <f t="shared" si="41"/>
        <v>33420.620000000003</v>
      </c>
      <c r="V47" s="138">
        <f t="shared" si="42"/>
        <v>209318.62</v>
      </c>
      <c r="W47" s="141">
        <f t="shared" si="49"/>
        <v>209318.62</v>
      </c>
      <c r="X47" s="138">
        <v>168572</v>
      </c>
      <c r="Y47" s="138">
        <f t="shared" si="36"/>
        <v>32028.68</v>
      </c>
      <c r="Z47" s="138">
        <f t="shared" si="37"/>
        <v>200600.68</v>
      </c>
      <c r="AA47" s="139">
        <f t="shared" si="50"/>
        <v>200600.68</v>
      </c>
      <c r="AB47" s="152">
        <f t="shared" si="43"/>
        <v>147058.82352941178</v>
      </c>
      <c r="AC47" s="125">
        <f t="shared" si="44"/>
        <v>27941.176470588223</v>
      </c>
      <c r="AD47" s="153">
        <v>175000</v>
      </c>
      <c r="AE47" s="183">
        <f t="shared" si="45"/>
        <v>175000</v>
      </c>
      <c r="AF47" s="185">
        <f t="shared" si="46"/>
        <v>167601.87008829133</v>
      </c>
      <c r="AG47" s="183">
        <f t="shared" si="38"/>
        <v>199446.22540506668</v>
      </c>
      <c r="AH47" s="185">
        <f t="shared" si="39"/>
        <v>167220.96454047039</v>
      </c>
      <c r="AI47" s="154">
        <f t="shared" si="40"/>
        <v>198992.94780315971</v>
      </c>
    </row>
    <row r="48" spans="3:35" ht="51.75" customHeight="1">
      <c r="C48" s="2" t="s">
        <v>203</v>
      </c>
      <c r="D48" s="1" t="s">
        <v>174</v>
      </c>
      <c r="E48" s="15" t="s">
        <v>44</v>
      </c>
      <c r="F48" s="1" t="s">
        <v>4</v>
      </c>
      <c r="G48" s="38">
        <v>1</v>
      </c>
      <c r="H48" s="137">
        <v>551748</v>
      </c>
      <c r="I48" s="138">
        <f t="shared" si="29"/>
        <v>104832.12</v>
      </c>
      <c r="J48" s="138">
        <f t="shared" si="30"/>
        <v>656580.12</v>
      </c>
      <c r="K48" s="139">
        <f t="shared" si="31"/>
        <v>656580.12</v>
      </c>
      <c r="L48" s="137">
        <v>804303</v>
      </c>
      <c r="M48" s="138">
        <f t="shared" si="32"/>
        <v>152817.57</v>
      </c>
      <c r="N48" s="138">
        <f t="shared" si="33"/>
        <v>957120.57000000007</v>
      </c>
      <c r="O48" s="141">
        <f t="shared" si="47"/>
        <v>957120.57000000007</v>
      </c>
      <c r="P48" s="140">
        <v>526151</v>
      </c>
      <c r="Q48" s="138">
        <f t="shared" si="34"/>
        <v>99968.69</v>
      </c>
      <c r="R48" s="138">
        <f t="shared" si="35"/>
        <v>626119.68999999994</v>
      </c>
      <c r="S48" s="141">
        <f t="shared" si="48"/>
        <v>626119.68999999994</v>
      </c>
      <c r="T48" s="138">
        <v>593083</v>
      </c>
      <c r="U48" s="138">
        <f t="shared" si="41"/>
        <v>112685.77</v>
      </c>
      <c r="V48" s="138">
        <f t="shared" si="42"/>
        <v>705768.77</v>
      </c>
      <c r="W48" s="141">
        <f t="shared" si="49"/>
        <v>705768.77</v>
      </c>
      <c r="X48" s="138">
        <v>564590</v>
      </c>
      <c r="Y48" s="138">
        <f t="shared" si="36"/>
        <v>107272.1</v>
      </c>
      <c r="Z48" s="138">
        <f t="shared" si="37"/>
        <v>671862.1</v>
      </c>
      <c r="AA48" s="139">
        <f t="shared" si="50"/>
        <v>671862.1</v>
      </c>
      <c r="AB48" s="152">
        <f t="shared" si="43"/>
        <v>450000</v>
      </c>
      <c r="AC48" s="125">
        <f t="shared" si="44"/>
        <v>85500</v>
      </c>
      <c r="AD48" s="153">
        <v>535500</v>
      </c>
      <c r="AE48" s="183">
        <f t="shared" si="45"/>
        <v>535500</v>
      </c>
      <c r="AF48" s="185">
        <f t="shared" si="46"/>
        <v>572429.49692254758</v>
      </c>
      <c r="AG48" s="183">
        <f t="shared" si="38"/>
        <v>681191.10133783158</v>
      </c>
      <c r="AH48" s="185">
        <f t="shared" si="39"/>
        <v>564129.65326157992</v>
      </c>
      <c r="AI48" s="154">
        <f t="shared" si="40"/>
        <v>671314.28738127998</v>
      </c>
    </row>
    <row r="49" spans="3:35" ht="140.25">
      <c r="C49" s="2" t="s">
        <v>204</v>
      </c>
      <c r="D49" s="1" t="s">
        <v>175</v>
      </c>
      <c r="E49" s="15" t="s">
        <v>45</v>
      </c>
      <c r="F49" s="1" t="s">
        <v>4</v>
      </c>
      <c r="G49" s="38">
        <v>1</v>
      </c>
      <c r="H49" s="137">
        <v>2567274</v>
      </c>
      <c r="I49" s="138">
        <f t="shared" si="29"/>
        <v>487782.06</v>
      </c>
      <c r="J49" s="138">
        <f t="shared" si="30"/>
        <v>3055056.06</v>
      </c>
      <c r="K49" s="139">
        <f t="shared" si="31"/>
        <v>3055056.06</v>
      </c>
      <c r="L49" s="137">
        <v>1865546.218487395</v>
      </c>
      <c r="M49" s="138">
        <f t="shared" si="32"/>
        <v>354453.78151260503</v>
      </c>
      <c r="N49" s="138">
        <f t="shared" si="33"/>
        <v>2220000</v>
      </c>
      <c r="O49" s="141">
        <f t="shared" si="47"/>
        <v>2220000</v>
      </c>
      <c r="P49" s="140">
        <v>2493789</v>
      </c>
      <c r="Q49" s="138">
        <f t="shared" si="34"/>
        <v>473819.91000000003</v>
      </c>
      <c r="R49" s="138">
        <f t="shared" si="35"/>
        <v>2967608.91</v>
      </c>
      <c r="S49" s="141">
        <f t="shared" si="48"/>
        <v>2967608.91</v>
      </c>
      <c r="T49" s="138">
        <v>2714089</v>
      </c>
      <c r="U49" s="138">
        <f t="shared" si="41"/>
        <v>515676.91000000003</v>
      </c>
      <c r="V49" s="138">
        <f t="shared" si="42"/>
        <v>3229765.91</v>
      </c>
      <c r="W49" s="141">
        <f t="shared" si="49"/>
        <v>3229765.91</v>
      </c>
      <c r="X49" s="138">
        <v>2685297</v>
      </c>
      <c r="Y49" s="138">
        <f t="shared" si="36"/>
        <v>510206.43</v>
      </c>
      <c r="Z49" s="138">
        <f t="shared" si="37"/>
        <v>3195503.43</v>
      </c>
      <c r="AA49" s="139">
        <f t="shared" si="50"/>
        <v>3195503.43</v>
      </c>
      <c r="AB49" s="152">
        <f t="shared" si="43"/>
        <v>1512605.0420168068</v>
      </c>
      <c r="AC49" s="125">
        <f t="shared" si="44"/>
        <v>287394.95798319322</v>
      </c>
      <c r="AD49" s="153">
        <v>1800000</v>
      </c>
      <c r="AE49" s="183">
        <f t="shared" si="45"/>
        <v>1800000</v>
      </c>
      <c r="AF49" s="185">
        <f t="shared" si="46"/>
        <v>2255519.8280822099</v>
      </c>
      <c r="AG49" s="183">
        <f t="shared" si="38"/>
        <v>2684068.5954178297</v>
      </c>
      <c r="AH49" s="185">
        <f t="shared" si="39"/>
        <v>2199004.2846943592</v>
      </c>
      <c r="AI49" s="154">
        <f t="shared" si="40"/>
        <v>2616815.0987862879</v>
      </c>
    </row>
    <row r="50" spans="3:35" ht="38.25">
      <c r="C50" s="2" t="s">
        <v>205</v>
      </c>
      <c r="D50" s="1" t="s">
        <v>176</v>
      </c>
      <c r="E50" s="15" t="s">
        <v>47</v>
      </c>
      <c r="F50" s="1" t="s">
        <v>4</v>
      </c>
      <c r="G50" s="38">
        <v>1</v>
      </c>
      <c r="H50" s="137">
        <v>706739</v>
      </c>
      <c r="I50" s="138">
        <f t="shared" si="29"/>
        <v>134280.41</v>
      </c>
      <c r="J50" s="138">
        <f t="shared" si="30"/>
        <v>841019.41</v>
      </c>
      <c r="K50" s="139">
        <f t="shared" si="31"/>
        <v>841019.41</v>
      </c>
      <c r="L50" s="137">
        <v>756176.4705882353</v>
      </c>
      <c r="M50" s="138">
        <f t="shared" si="32"/>
        <v>143673.5294117647</v>
      </c>
      <c r="N50" s="138">
        <f t="shared" si="33"/>
        <v>899850</v>
      </c>
      <c r="O50" s="141">
        <f t="shared" si="47"/>
        <v>899850</v>
      </c>
      <c r="P50" s="140">
        <v>670920</v>
      </c>
      <c r="Q50" s="138">
        <f t="shared" si="34"/>
        <v>127474.8</v>
      </c>
      <c r="R50" s="138">
        <f t="shared" si="35"/>
        <v>798394.8</v>
      </c>
      <c r="S50" s="141">
        <f t="shared" si="48"/>
        <v>798394.8</v>
      </c>
      <c r="T50" s="138">
        <v>722567</v>
      </c>
      <c r="U50" s="138">
        <f t="shared" si="41"/>
        <v>137287.73000000001</v>
      </c>
      <c r="V50" s="138">
        <f t="shared" si="42"/>
        <v>859854.73</v>
      </c>
      <c r="W50" s="141">
        <f t="shared" si="49"/>
        <v>859854.73</v>
      </c>
      <c r="X50" s="138">
        <v>722439</v>
      </c>
      <c r="Y50" s="138">
        <f t="shared" si="36"/>
        <v>137263.41</v>
      </c>
      <c r="Z50" s="138">
        <f t="shared" si="37"/>
        <v>859702.41</v>
      </c>
      <c r="AA50" s="139">
        <f t="shared" si="50"/>
        <v>859702.41</v>
      </c>
      <c r="AB50" s="152">
        <f t="shared" si="43"/>
        <v>252100.84033613445</v>
      </c>
      <c r="AC50" s="125">
        <f t="shared" si="44"/>
        <v>47899.159663865546</v>
      </c>
      <c r="AD50" s="153">
        <v>300000</v>
      </c>
      <c r="AE50" s="183">
        <f t="shared" si="45"/>
        <v>300000</v>
      </c>
      <c r="AF50" s="185">
        <f t="shared" si="46"/>
        <v>601129.10963256087</v>
      </c>
      <c r="AG50" s="183">
        <f t="shared" si="38"/>
        <v>715343.64046274743</v>
      </c>
      <c r="AH50" s="185">
        <f t="shared" si="39"/>
        <v>547310.22112580831</v>
      </c>
      <c r="AI50" s="154">
        <f t="shared" si="40"/>
        <v>651299.16313971195</v>
      </c>
    </row>
    <row r="51" spans="3:35" ht="38.25">
      <c r="C51" s="2" t="s">
        <v>206</v>
      </c>
      <c r="D51" s="1" t="s">
        <v>177</v>
      </c>
      <c r="E51" s="15" t="s">
        <v>46</v>
      </c>
      <c r="F51" s="1" t="s">
        <v>4</v>
      </c>
      <c r="G51" s="38">
        <v>1</v>
      </c>
      <c r="H51" s="137">
        <v>1196320</v>
      </c>
      <c r="I51" s="138">
        <f t="shared" si="29"/>
        <v>227300.8</v>
      </c>
      <c r="J51" s="138">
        <f t="shared" si="30"/>
        <v>1423620.8</v>
      </c>
      <c r="K51" s="139">
        <f t="shared" si="31"/>
        <v>1423620.8</v>
      </c>
      <c r="L51" s="137">
        <v>1121340</v>
      </c>
      <c r="M51" s="138">
        <f t="shared" si="32"/>
        <v>213054.6</v>
      </c>
      <c r="N51" s="138">
        <f t="shared" si="33"/>
        <v>1334394.6000000001</v>
      </c>
      <c r="O51" s="141">
        <f t="shared" si="47"/>
        <v>1334394.6000000001</v>
      </c>
      <c r="P51" s="140">
        <v>1180542</v>
      </c>
      <c r="Q51" s="138">
        <f t="shared" si="34"/>
        <v>224302.98</v>
      </c>
      <c r="R51" s="138">
        <f t="shared" si="35"/>
        <v>1404844.98</v>
      </c>
      <c r="S51" s="141">
        <f t="shared" si="48"/>
        <v>1404844.98</v>
      </c>
      <c r="T51" s="138">
        <v>1242088</v>
      </c>
      <c r="U51" s="138">
        <f t="shared" si="41"/>
        <v>235996.72</v>
      </c>
      <c r="V51" s="138">
        <f t="shared" si="42"/>
        <v>1478084.72</v>
      </c>
      <c r="W51" s="141">
        <f t="shared" si="49"/>
        <v>1478084.72</v>
      </c>
      <c r="X51" s="138">
        <v>1175150</v>
      </c>
      <c r="Y51" s="138">
        <f t="shared" si="36"/>
        <v>223278.5</v>
      </c>
      <c r="Z51" s="138">
        <f t="shared" si="37"/>
        <v>1398428.5</v>
      </c>
      <c r="AA51" s="139">
        <f t="shared" si="50"/>
        <v>1398428.5</v>
      </c>
      <c r="AB51" s="152">
        <f t="shared" si="43"/>
        <v>403361.34453781514</v>
      </c>
      <c r="AC51" s="125">
        <f t="shared" si="44"/>
        <v>76638.655462184863</v>
      </c>
      <c r="AD51" s="153">
        <v>480000</v>
      </c>
      <c r="AE51" s="183">
        <f t="shared" si="45"/>
        <v>480000</v>
      </c>
      <c r="AF51" s="185">
        <f t="shared" si="46"/>
        <v>988403.65915281023</v>
      </c>
      <c r="AG51" s="183">
        <f t="shared" si="38"/>
        <v>1176200.3543918442</v>
      </c>
      <c r="AH51" s="185">
        <f t="shared" si="39"/>
        <v>894191.34039189597</v>
      </c>
      <c r="AI51" s="154">
        <f t="shared" si="40"/>
        <v>1064087.6950663561</v>
      </c>
    </row>
    <row r="52" spans="3:35" ht="63.75">
      <c r="C52" s="2" t="s">
        <v>207</v>
      </c>
      <c r="D52" s="1" t="s">
        <v>178</v>
      </c>
      <c r="E52" s="15" t="s">
        <v>48</v>
      </c>
      <c r="F52" s="1" t="s">
        <v>4</v>
      </c>
      <c r="G52" s="38">
        <v>1</v>
      </c>
      <c r="H52" s="137">
        <v>1683911</v>
      </c>
      <c r="I52" s="138">
        <f t="shared" si="29"/>
        <v>319943.09000000003</v>
      </c>
      <c r="J52" s="138">
        <f t="shared" si="30"/>
        <v>2003854.09</v>
      </c>
      <c r="K52" s="139">
        <f t="shared" si="31"/>
        <v>2003854.09</v>
      </c>
      <c r="L52" s="137">
        <v>1687815.1260504203</v>
      </c>
      <c r="M52" s="138">
        <f t="shared" si="32"/>
        <v>320684.87394957989</v>
      </c>
      <c r="N52" s="138">
        <f t="shared" si="33"/>
        <v>2008500.0000000002</v>
      </c>
      <c r="O52" s="141">
        <f t="shared" si="47"/>
        <v>2008500.0000000002</v>
      </c>
      <c r="P52" s="140">
        <v>1599863</v>
      </c>
      <c r="Q52" s="138">
        <f t="shared" si="34"/>
        <v>303973.97000000003</v>
      </c>
      <c r="R52" s="138">
        <f t="shared" si="35"/>
        <v>1903836.97</v>
      </c>
      <c r="S52" s="141">
        <f t="shared" si="48"/>
        <v>1903836.97</v>
      </c>
      <c r="T52" s="138">
        <v>1697456</v>
      </c>
      <c r="U52" s="138">
        <f t="shared" si="41"/>
        <v>322516.64</v>
      </c>
      <c r="V52" s="138">
        <f t="shared" si="42"/>
        <v>2019972.6400000001</v>
      </c>
      <c r="W52" s="141">
        <f t="shared" si="49"/>
        <v>2019972.6400000001</v>
      </c>
      <c r="X52" s="138">
        <v>1644037</v>
      </c>
      <c r="Y52" s="138">
        <f t="shared" si="36"/>
        <v>312367.03000000003</v>
      </c>
      <c r="Z52" s="138">
        <f t="shared" si="37"/>
        <v>1956404.03</v>
      </c>
      <c r="AA52" s="139">
        <f t="shared" si="50"/>
        <v>1956404.03</v>
      </c>
      <c r="AB52" s="152">
        <f t="shared" si="43"/>
        <v>885714.2857142858</v>
      </c>
      <c r="AC52" s="125">
        <f t="shared" si="44"/>
        <v>168285.7142857142</v>
      </c>
      <c r="AD52" s="153">
        <v>1054000</v>
      </c>
      <c r="AE52" s="183">
        <f t="shared" si="45"/>
        <v>1054000</v>
      </c>
      <c r="AF52" s="185">
        <f t="shared" si="46"/>
        <v>1496655.2069651175</v>
      </c>
      <c r="AG52" s="183">
        <f t="shared" si="38"/>
        <v>1781019.6962884895</v>
      </c>
      <c r="AH52" s="185">
        <f t="shared" si="39"/>
        <v>1450046.2509455439</v>
      </c>
      <c r="AI52" s="154">
        <f t="shared" si="40"/>
        <v>1725555.0386251975</v>
      </c>
    </row>
    <row r="53" spans="3:35" ht="38.25">
      <c r="C53" s="2" t="s">
        <v>208</v>
      </c>
      <c r="D53" s="1" t="s">
        <v>179</v>
      </c>
      <c r="E53" s="15" t="s">
        <v>49</v>
      </c>
      <c r="F53" s="1" t="s">
        <v>4</v>
      </c>
      <c r="G53" s="38">
        <v>1</v>
      </c>
      <c r="H53" s="137">
        <v>2120748</v>
      </c>
      <c r="I53" s="138">
        <f t="shared" si="29"/>
        <v>402942.12</v>
      </c>
      <c r="J53" s="138">
        <f t="shared" si="30"/>
        <v>2523690.12</v>
      </c>
      <c r="K53" s="139">
        <f t="shared" si="31"/>
        <v>2523690.12</v>
      </c>
      <c r="L53" s="137">
        <v>3767647.0588235296</v>
      </c>
      <c r="M53" s="138">
        <f t="shared" si="32"/>
        <v>715852.9411764706</v>
      </c>
      <c r="N53" s="138">
        <f t="shared" si="33"/>
        <v>4483500</v>
      </c>
      <c r="O53" s="141">
        <f t="shared" si="47"/>
        <v>4483500</v>
      </c>
      <c r="P53" s="140">
        <v>1999606</v>
      </c>
      <c r="Q53" s="138">
        <f t="shared" si="34"/>
        <v>379925.14</v>
      </c>
      <c r="R53" s="138">
        <f t="shared" si="35"/>
        <v>2379531.14</v>
      </c>
      <c r="S53" s="141">
        <f t="shared" si="48"/>
        <v>2379531.14</v>
      </c>
      <c r="T53" s="138">
        <v>2179377</v>
      </c>
      <c r="U53" s="138">
        <f t="shared" si="41"/>
        <v>414081.63</v>
      </c>
      <c r="V53" s="138">
        <f t="shared" si="42"/>
        <v>2593458.63</v>
      </c>
      <c r="W53" s="141">
        <f t="shared" si="49"/>
        <v>2593458.63</v>
      </c>
      <c r="X53" s="138">
        <v>2159806</v>
      </c>
      <c r="Y53" s="138">
        <f t="shared" si="36"/>
        <v>410363.14</v>
      </c>
      <c r="Z53" s="138">
        <f t="shared" si="37"/>
        <v>2570169.14</v>
      </c>
      <c r="AA53" s="139">
        <f t="shared" si="50"/>
        <v>2570169.14</v>
      </c>
      <c r="AB53" s="152">
        <f t="shared" si="43"/>
        <v>1211764.705882353</v>
      </c>
      <c r="AC53" s="125">
        <f t="shared" si="44"/>
        <v>230235.29411764699</v>
      </c>
      <c r="AD53" s="153">
        <v>1442000</v>
      </c>
      <c r="AE53" s="183">
        <f t="shared" si="45"/>
        <v>1442000</v>
      </c>
      <c r="AF53" s="185">
        <f t="shared" si="46"/>
        <v>2121346.0479243551</v>
      </c>
      <c r="AG53" s="183">
        <f t="shared" si="38"/>
        <v>2524401.7970299828</v>
      </c>
      <c r="AH53" s="185">
        <f t="shared" si="39"/>
        <v>2010628.2506416766</v>
      </c>
      <c r="AI53" s="154">
        <f t="shared" si="40"/>
        <v>2392647.6182635953</v>
      </c>
    </row>
    <row r="54" spans="3:35" ht="51">
      <c r="C54" s="2" t="s">
        <v>209</v>
      </c>
      <c r="D54" s="1" t="s">
        <v>180</v>
      </c>
      <c r="E54" s="15" t="s">
        <v>61</v>
      </c>
      <c r="F54" s="1" t="s">
        <v>4</v>
      </c>
      <c r="G54" s="38">
        <v>20</v>
      </c>
      <c r="H54" s="137">
        <v>169660</v>
      </c>
      <c r="I54" s="138">
        <f t="shared" si="29"/>
        <v>32235.4</v>
      </c>
      <c r="J54" s="138">
        <f t="shared" si="30"/>
        <v>201895.4</v>
      </c>
      <c r="K54" s="139">
        <f t="shared" si="31"/>
        <v>4037908</v>
      </c>
      <c r="L54" s="137">
        <v>107142.85714285716</v>
      </c>
      <c r="M54" s="138">
        <f t="shared" si="32"/>
        <v>20357.142857142862</v>
      </c>
      <c r="N54" s="138">
        <f t="shared" si="33"/>
        <v>127500.00000000003</v>
      </c>
      <c r="O54" s="141">
        <f t="shared" si="47"/>
        <v>2550000.0000000005</v>
      </c>
      <c r="P54" s="140">
        <v>156480</v>
      </c>
      <c r="Q54" s="138">
        <f t="shared" si="34"/>
        <v>29731.200000000001</v>
      </c>
      <c r="R54" s="138">
        <f t="shared" si="35"/>
        <v>186211.20000000001</v>
      </c>
      <c r="S54" s="141">
        <f t="shared" si="48"/>
        <v>3724224</v>
      </c>
      <c r="T54" s="138">
        <v>174047</v>
      </c>
      <c r="U54" s="138">
        <f t="shared" si="41"/>
        <v>33068.93</v>
      </c>
      <c r="V54" s="138">
        <f t="shared" si="42"/>
        <v>207115.93</v>
      </c>
      <c r="W54" s="141">
        <f t="shared" si="49"/>
        <v>4142318.5999999996</v>
      </c>
      <c r="X54" s="138">
        <v>167235</v>
      </c>
      <c r="Y54" s="138">
        <f t="shared" si="36"/>
        <v>31774.65</v>
      </c>
      <c r="Z54" s="138">
        <f t="shared" si="37"/>
        <v>199009.65</v>
      </c>
      <c r="AA54" s="139">
        <f t="shared" si="50"/>
        <v>3980193</v>
      </c>
      <c r="AB54" s="152">
        <f t="shared" si="43"/>
        <v>42016.806722689078</v>
      </c>
      <c r="AC54" s="125">
        <f t="shared" si="44"/>
        <v>7983.193277310922</v>
      </c>
      <c r="AD54" s="153">
        <v>50000</v>
      </c>
      <c r="AE54" s="183">
        <f t="shared" si="45"/>
        <v>1000000</v>
      </c>
      <c r="AF54" s="185">
        <f t="shared" si="46"/>
        <v>123093.85713241471</v>
      </c>
      <c r="AG54" s="183">
        <f t="shared" si="38"/>
        <v>146481.68998757348</v>
      </c>
      <c r="AH54" s="185">
        <f t="shared" si="39"/>
        <v>104999.27517759505</v>
      </c>
      <c r="AI54" s="154">
        <f t="shared" si="40"/>
        <v>124949.1374613381</v>
      </c>
    </row>
    <row r="55" spans="3:35" ht="51">
      <c r="C55" s="2" t="s">
        <v>210</v>
      </c>
      <c r="D55" s="1" t="s">
        <v>181</v>
      </c>
      <c r="E55" s="15" t="s">
        <v>50</v>
      </c>
      <c r="F55" s="1" t="s">
        <v>4</v>
      </c>
      <c r="G55" s="38">
        <v>3</v>
      </c>
      <c r="H55" s="137">
        <v>106037</v>
      </c>
      <c r="I55" s="138">
        <f t="shared" si="29"/>
        <v>20147.03</v>
      </c>
      <c r="J55" s="138">
        <f t="shared" si="30"/>
        <v>126184.03</v>
      </c>
      <c r="K55" s="139">
        <f t="shared" si="31"/>
        <v>378552.08999999997</v>
      </c>
      <c r="L55" s="137">
        <v>123529.41176470587</v>
      </c>
      <c r="M55" s="138">
        <f t="shared" si="32"/>
        <v>23470.588235294115</v>
      </c>
      <c r="N55" s="138">
        <f t="shared" si="33"/>
        <v>147000</v>
      </c>
      <c r="O55" s="141">
        <f t="shared" si="47"/>
        <v>441000</v>
      </c>
      <c r="P55" s="140">
        <v>100210</v>
      </c>
      <c r="Q55" s="138">
        <f t="shared" si="34"/>
        <v>19039.900000000001</v>
      </c>
      <c r="R55" s="138">
        <f t="shared" si="35"/>
        <v>119249.9</v>
      </c>
      <c r="S55" s="141">
        <f t="shared" si="48"/>
        <v>357749.69999999995</v>
      </c>
      <c r="T55" s="138">
        <v>111681</v>
      </c>
      <c r="U55" s="138">
        <f t="shared" si="41"/>
        <v>21219.39</v>
      </c>
      <c r="V55" s="138">
        <f t="shared" si="42"/>
        <v>132900.39000000001</v>
      </c>
      <c r="W55" s="141">
        <f t="shared" si="49"/>
        <v>398701.17000000004</v>
      </c>
      <c r="X55" s="138">
        <v>105833</v>
      </c>
      <c r="Y55" s="138">
        <f t="shared" si="36"/>
        <v>20108.27</v>
      </c>
      <c r="Z55" s="138">
        <f t="shared" si="37"/>
        <v>125941.27</v>
      </c>
      <c r="AA55" s="139">
        <f t="shared" si="50"/>
        <v>377823.81</v>
      </c>
      <c r="AB55" s="152">
        <f t="shared" si="43"/>
        <v>98235.294117647063</v>
      </c>
      <c r="AC55" s="125">
        <f t="shared" si="44"/>
        <v>18664.705882352937</v>
      </c>
      <c r="AD55" s="153">
        <v>116900</v>
      </c>
      <c r="AE55" s="183">
        <f t="shared" si="45"/>
        <v>350700</v>
      </c>
      <c r="AF55" s="185">
        <f t="shared" si="46"/>
        <v>107275.64549003524</v>
      </c>
      <c r="AG55" s="183">
        <f t="shared" si="38"/>
        <v>127658.01813314193</v>
      </c>
      <c r="AH55" s="185">
        <f t="shared" si="39"/>
        <v>106975.67621099226</v>
      </c>
      <c r="AI55" s="154">
        <f t="shared" si="40"/>
        <v>127301.05469108079</v>
      </c>
    </row>
    <row r="56" spans="3:35" ht="51">
      <c r="C56" s="2" t="s">
        <v>211</v>
      </c>
      <c r="D56" s="1" t="s">
        <v>182</v>
      </c>
      <c r="E56" s="15" t="s">
        <v>17</v>
      </c>
      <c r="F56" s="1" t="s">
        <v>4</v>
      </c>
      <c r="G56" s="38">
        <v>6</v>
      </c>
      <c r="H56" s="137">
        <v>348700</v>
      </c>
      <c r="I56" s="138">
        <f t="shared" si="29"/>
        <v>66253</v>
      </c>
      <c r="J56" s="138">
        <f t="shared" si="30"/>
        <v>414953</v>
      </c>
      <c r="K56" s="139">
        <f t="shared" si="31"/>
        <v>2489718</v>
      </c>
      <c r="L56" s="137">
        <v>277184.87394957984</v>
      </c>
      <c r="M56" s="138">
        <f t="shared" si="32"/>
        <v>52665.126050420171</v>
      </c>
      <c r="N56" s="138">
        <f t="shared" si="33"/>
        <v>329850</v>
      </c>
      <c r="O56" s="141">
        <f t="shared" si="47"/>
        <v>1979100</v>
      </c>
      <c r="P56" s="140">
        <v>350928</v>
      </c>
      <c r="Q56" s="138">
        <f t="shared" si="34"/>
        <v>66676.320000000007</v>
      </c>
      <c r="R56" s="138">
        <f t="shared" si="35"/>
        <v>417604.32</v>
      </c>
      <c r="S56" s="141">
        <f t="shared" si="48"/>
        <v>2505625.92</v>
      </c>
      <c r="T56" s="138">
        <v>332517</v>
      </c>
      <c r="U56" s="138">
        <f t="shared" si="41"/>
        <v>63178.23</v>
      </c>
      <c r="V56" s="138">
        <f t="shared" si="42"/>
        <v>395695.23</v>
      </c>
      <c r="W56" s="141">
        <f t="shared" si="49"/>
        <v>2374171.38</v>
      </c>
      <c r="X56" s="138">
        <v>326266</v>
      </c>
      <c r="Y56" s="138">
        <f t="shared" si="36"/>
        <v>61990.54</v>
      </c>
      <c r="Z56" s="138">
        <f t="shared" si="37"/>
        <v>388256.54</v>
      </c>
      <c r="AA56" s="139">
        <f t="shared" si="50"/>
        <v>2329539.2399999998</v>
      </c>
      <c r="AB56" s="152">
        <f t="shared" si="43"/>
        <v>257142.85714285716</v>
      </c>
      <c r="AC56" s="125">
        <f t="shared" si="44"/>
        <v>48857.142857142841</v>
      </c>
      <c r="AD56" s="153">
        <v>306000</v>
      </c>
      <c r="AE56" s="183">
        <f t="shared" si="45"/>
        <v>1836000</v>
      </c>
      <c r="AF56" s="185">
        <f t="shared" si="46"/>
        <v>313328.52829320991</v>
      </c>
      <c r="AG56" s="183">
        <f t="shared" si="38"/>
        <v>372860.94866891979</v>
      </c>
      <c r="AH56" s="185">
        <f t="shared" si="39"/>
        <v>311101.3365522626</v>
      </c>
      <c r="AI56" s="154">
        <f t="shared" si="40"/>
        <v>370210.59049719264</v>
      </c>
    </row>
    <row r="57" spans="3:35" ht="51">
      <c r="C57" s="2" t="s">
        <v>212</v>
      </c>
      <c r="D57" s="1" t="s">
        <v>183</v>
      </c>
      <c r="E57" s="15" t="s">
        <v>51</v>
      </c>
      <c r="F57" s="1" t="s">
        <v>4</v>
      </c>
      <c r="G57" s="38">
        <v>5</v>
      </c>
      <c r="H57" s="137">
        <v>170385</v>
      </c>
      <c r="I57" s="138">
        <f t="shared" si="29"/>
        <v>32373.15</v>
      </c>
      <c r="J57" s="138">
        <f t="shared" si="30"/>
        <v>202758.15</v>
      </c>
      <c r="K57" s="139">
        <f t="shared" si="31"/>
        <v>1013790.75</v>
      </c>
      <c r="L57" s="137">
        <v>70588.23529411765</v>
      </c>
      <c r="M57" s="138">
        <f t="shared" si="32"/>
        <v>13411.764705882353</v>
      </c>
      <c r="N57" s="138">
        <f t="shared" si="33"/>
        <v>84000</v>
      </c>
      <c r="O57" s="141">
        <f t="shared" si="47"/>
        <v>420000</v>
      </c>
      <c r="P57" s="140">
        <v>168045</v>
      </c>
      <c r="Q57" s="138">
        <f t="shared" si="34"/>
        <v>31928.55</v>
      </c>
      <c r="R57" s="138">
        <f t="shared" si="35"/>
        <v>199973.55</v>
      </c>
      <c r="S57" s="141">
        <f t="shared" si="48"/>
        <v>999867.75</v>
      </c>
      <c r="T57" s="138">
        <v>175826</v>
      </c>
      <c r="U57" s="138">
        <f t="shared" si="41"/>
        <v>33406.94</v>
      </c>
      <c r="V57" s="138">
        <f t="shared" si="42"/>
        <v>209232.94</v>
      </c>
      <c r="W57" s="141">
        <f t="shared" si="49"/>
        <v>1046164.7</v>
      </c>
      <c r="X57" s="138">
        <v>167626</v>
      </c>
      <c r="Y57" s="138">
        <f t="shared" si="36"/>
        <v>31848.94</v>
      </c>
      <c r="Z57" s="138">
        <f t="shared" si="37"/>
        <v>199474.94</v>
      </c>
      <c r="AA57" s="139">
        <f t="shared" si="50"/>
        <v>997374.7</v>
      </c>
      <c r="AB57" s="152">
        <f t="shared" si="43"/>
        <v>67226.890756302528</v>
      </c>
      <c r="AC57" s="125">
        <f t="shared" si="44"/>
        <v>12773.109243697472</v>
      </c>
      <c r="AD57" s="153">
        <v>80000</v>
      </c>
      <c r="AE57" s="183">
        <f t="shared" si="45"/>
        <v>400000</v>
      </c>
      <c r="AF57" s="185">
        <f t="shared" si="46"/>
        <v>126016.12772007797</v>
      </c>
      <c r="AG57" s="183">
        <f t="shared" si="38"/>
        <v>149959.19198689278</v>
      </c>
      <c r="AH57" s="185">
        <f t="shared" si="39"/>
        <v>114253.90263420661</v>
      </c>
      <c r="AI57" s="154">
        <f t="shared" si="40"/>
        <v>135962.14413470586</v>
      </c>
    </row>
    <row r="58" spans="3:35" ht="25.5">
      <c r="C58" s="2" t="s">
        <v>213</v>
      </c>
      <c r="D58" s="1" t="s">
        <v>184</v>
      </c>
      <c r="E58" s="15" t="s">
        <v>52</v>
      </c>
      <c r="F58" s="1" t="s">
        <v>4</v>
      </c>
      <c r="G58" s="38">
        <v>10</v>
      </c>
      <c r="H58" s="137">
        <v>59816</v>
      </c>
      <c r="I58" s="138">
        <f t="shared" si="29"/>
        <v>11365.04</v>
      </c>
      <c r="J58" s="138">
        <f t="shared" si="30"/>
        <v>71181.040000000008</v>
      </c>
      <c r="K58" s="139">
        <f t="shared" si="31"/>
        <v>711810.40000000014</v>
      </c>
      <c r="L58" s="137">
        <v>56722.68907563026</v>
      </c>
      <c r="M58" s="138">
        <f t="shared" si="32"/>
        <v>10777.310924369749</v>
      </c>
      <c r="N58" s="138">
        <f t="shared" si="33"/>
        <v>67500.000000000015</v>
      </c>
      <c r="O58" s="141">
        <f t="shared" si="47"/>
        <v>675000.00000000012</v>
      </c>
      <c r="P58" s="140">
        <v>57033</v>
      </c>
      <c r="Q58" s="138">
        <f t="shared" si="34"/>
        <v>10836.27</v>
      </c>
      <c r="R58" s="138">
        <f t="shared" si="35"/>
        <v>67869.27</v>
      </c>
      <c r="S58" s="141">
        <f t="shared" si="48"/>
        <v>678692.70000000007</v>
      </c>
      <c r="T58" s="138">
        <v>62820</v>
      </c>
      <c r="U58" s="138">
        <f t="shared" si="41"/>
        <v>11935.8</v>
      </c>
      <c r="V58" s="138">
        <f t="shared" si="42"/>
        <v>74755.8</v>
      </c>
      <c r="W58" s="141">
        <f t="shared" si="49"/>
        <v>747558</v>
      </c>
      <c r="X58" s="138">
        <v>60980</v>
      </c>
      <c r="Y58" s="138">
        <f t="shared" si="36"/>
        <v>11586.2</v>
      </c>
      <c r="Z58" s="138">
        <f t="shared" si="37"/>
        <v>72566.2</v>
      </c>
      <c r="AA58" s="139">
        <f t="shared" si="50"/>
        <v>725662</v>
      </c>
      <c r="AB58" s="152">
        <f t="shared" si="43"/>
        <v>25210.084033613446</v>
      </c>
      <c r="AC58" s="125">
        <f t="shared" si="44"/>
        <v>4789.9159663865539</v>
      </c>
      <c r="AD58" s="153">
        <v>30000</v>
      </c>
      <c r="AE58" s="183">
        <f t="shared" si="45"/>
        <v>300000</v>
      </c>
      <c r="AF58" s="185">
        <f t="shared" si="46"/>
        <v>51514.16604722121</v>
      </c>
      <c r="AG58" s="183">
        <f t="shared" si="38"/>
        <v>61301.857596193244</v>
      </c>
      <c r="AH58" s="185">
        <f t="shared" si="39"/>
        <v>48439.733407932574</v>
      </c>
      <c r="AI58" s="154">
        <f t="shared" si="40"/>
        <v>57643.282755439766</v>
      </c>
    </row>
    <row r="59" spans="3:35" ht="51">
      <c r="C59" s="2" t="s">
        <v>214</v>
      </c>
      <c r="D59" s="1" t="s">
        <v>185</v>
      </c>
      <c r="E59" s="15" t="s">
        <v>59</v>
      </c>
      <c r="F59" s="1" t="s">
        <v>4</v>
      </c>
      <c r="G59" s="38">
        <v>5</v>
      </c>
      <c r="H59" s="137">
        <v>262827</v>
      </c>
      <c r="I59" s="138">
        <f t="shared" si="29"/>
        <v>49937.13</v>
      </c>
      <c r="J59" s="138">
        <f t="shared" si="30"/>
        <v>312764.13</v>
      </c>
      <c r="K59" s="139">
        <f t="shared" si="31"/>
        <v>1563820.65</v>
      </c>
      <c r="L59" s="137">
        <v>403361.3445378152</v>
      </c>
      <c r="M59" s="138">
        <f t="shared" si="32"/>
        <v>76638.655462184892</v>
      </c>
      <c r="N59" s="138">
        <f t="shared" si="33"/>
        <v>480000.00000000012</v>
      </c>
      <c r="O59" s="141">
        <f t="shared" si="47"/>
        <v>2400000.0000000005</v>
      </c>
      <c r="P59" s="140">
        <v>245769</v>
      </c>
      <c r="Q59" s="138">
        <f t="shared" si="34"/>
        <v>46696.11</v>
      </c>
      <c r="R59" s="138">
        <f t="shared" si="35"/>
        <v>292465.11</v>
      </c>
      <c r="S59" s="141">
        <f t="shared" si="48"/>
        <v>1462325.5499999998</v>
      </c>
      <c r="T59" s="138">
        <v>279594</v>
      </c>
      <c r="U59" s="138">
        <f t="shared" si="41"/>
        <v>53122.86</v>
      </c>
      <c r="V59" s="138">
        <f t="shared" si="42"/>
        <v>332716.86</v>
      </c>
      <c r="W59" s="141">
        <f t="shared" si="49"/>
        <v>1663584.2999999998</v>
      </c>
      <c r="X59" s="138">
        <v>230906</v>
      </c>
      <c r="Y59" s="138">
        <f t="shared" si="36"/>
        <v>43872.14</v>
      </c>
      <c r="Z59" s="138">
        <f t="shared" si="37"/>
        <v>274778.14</v>
      </c>
      <c r="AA59" s="139">
        <f t="shared" si="50"/>
        <v>1373890.7000000002</v>
      </c>
      <c r="AB59" s="152">
        <f t="shared" si="43"/>
        <v>159663.8655462185</v>
      </c>
      <c r="AC59" s="125">
        <f t="shared" si="44"/>
        <v>30336.134453781502</v>
      </c>
      <c r="AD59" s="153">
        <v>190000</v>
      </c>
      <c r="AE59" s="183">
        <f t="shared" si="45"/>
        <v>950000</v>
      </c>
      <c r="AF59" s="185">
        <f t="shared" si="46"/>
        <v>254005.7279062203</v>
      </c>
      <c r="AG59" s="183">
        <f t="shared" si="38"/>
        <v>302266.81620840216</v>
      </c>
      <c r="AH59" s="185">
        <f t="shared" si="39"/>
        <v>244664.76467779255</v>
      </c>
      <c r="AI59" s="154">
        <f t="shared" si="40"/>
        <v>291151.06996657309</v>
      </c>
    </row>
    <row r="60" spans="3:35" ht="25.5">
      <c r="C60" s="2" t="s">
        <v>215</v>
      </c>
      <c r="D60" s="1" t="s">
        <v>186</v>
      </c>
      <c r="E60" s="15" t="s">
        <v>53</v>
      </c>
      <c r="F60" s="1" t="s">
        <v>4</v>
      </c>
      <c r="G60" s="38">
        <v>5</v>
      </c>
      <c r="H60" s="137">
        <v>83380</v>
      </c>
      <c r="I60" s="138">
        <f t="shared" si="29"/>
        <v>15842.2</v>
      </c>
      <c r="J60" s="138">
        <f t="shared" si="30"/>
        <v>99222.2</v>
      </c>
      <c r="K60" s="139">
        <f t="shared" si="31"/>
        <v>496111</v>
      </c>
      <c r="L60" s="137">
        <v>43991.596638655465</v>
      </c>
      <c r="M60" s="138">
        <f t="shared" si="32"/>
        <v>8358.403361344539</v>
      </c>
      <c r="N60" s="138">
        <f t="shared" si="33"/>
        <v>52350</v>
      </c>
      <c r="O60" s="141">
        <f t="shared" si="47"/>
        <v>261750</v>
      </c>
      <c r="P60" s="140">
        <v>80392</v>
      </c>
      <c r="Q60" s="138">
        <f t="shared" si="34"/>
        <v>15274.48</v>
      </c>
      <c r="R60" s="138">
        <f t="shared" si="35"/>
        <v>95666.48</v>
      </c>
      <c r="S60" s="141">
        <f t="shared" si="48"/>
        <v>478332.39999999997</v>
      </c>
      <c r="T60" s="138">
        <v>86394</v>
      </c>
      <c r="U60" s="138">
        <f t="shared" si="41"/>
        <v>16414.86</v>
      </c>
      <c r="V60" s="138">
        <f t="shared" si="42"/>
        <v>102808.86</v>
      </c>
      <c r="W60" s="141">
        <f t="shared" si="49"/>
        <v>514044.3</v>
      </c>
      <c r="X60" s="138">
        <v>85003</v>
      </c>
      <c r="Y60" s="138">
        <f t="shared" si="36"/>
        <v>16150.57</v>
      </c>
      <c r="Z60" s="138">
        <f t="shared" si="37"/>
        <v>101153.57</v>
      </c>
      <c r="AA60" s="139">
        <f t="shared" si="50"/>
        <v>505767.85000000003</v>
      </c>
      <c r="AB60" s="152">
        <f t="shared" si="43"/>
        <v>25210.084033613446</v>
      </c>
      <c r="AC60" s="125">
        <f t="shared" si="44"/>
        <v>4789.9159663865539</v>
      </c>
      <c r="AD60" s="153">
        <v>30000</v>
      </c>
      <c r="AE60" s="183">
        <f t="shared" si="45"/>
        <v>150000</v>
      </c>
      <c r="AF60" s="185">
        <f t="shared" si="46"/>
        <v>61591.781071789046</v>
      </c>
      <c r="AG60" s="183">
        <f t="shared" si="38"/>
        <v>73294.219475428967</v>
      </c>
      <c r="AH60" s="185">
        <f t="shared" si="39"/>
        <v>54461.394975515235</v>
      </c>
      <c r="AI60" s="154">
        <f t="shared" si="40"/>
        <v>64809.060020863122</v>
      </c>
    </row>
    <row r="61" spans="3:35" ht="76.5">
      <c r="C61" s="2" t="s">
        <v>216</v>
      </c>
      <c r="D61" s="1" t="s">
        <v>187</v>
      </c>
      <c r="E61" s="15" t="s">
        <v>54</v>
      </c>
      <c r="F61" s="1" t="s">
        <v>4</v>
      </c>
      <c r="G61" s="38">
        <v>5</v>
      </c>
      <c r="H61" s="137">
        <v>191456</v>
      </c>
      <c r="I61" s="138">
        <f t="shared" si="29"/>
        <v>36376.639999999999</v>
      </c>
      <c r="J61" s="138">
        <f t="shared" si="30"/>
        <v>227832.64</v>
      </c>
      <c r="K61" s="139">
        <f t="shared" si="31"/>
        <v>1139163.2000000002</v>
      </c>
      <c r="L61" s="137">
        <v>88865.546218487405</v>
      </c>
      <c r="M61" s="138">
        <f t="shared" si="32"/>
        <v>16884.453781512606</v>
      </c>
      <c r="N61" s="138">
        <f t="shared" si="33"/>
        <v>105750.00000000001</v>
      </c>
      <c r="O61" s="141">
        <f t="shared" si="47"/>
        <v>528750.00000000012</v>
      </c>
      <c r="P61" s="140">
        <v>179264</v>
      </c>
      <c r="Q61" s="138">
        <f t="shared" si="34"/>
        <v>34060.160000000003</v>
      </c>
      <c r="R61" s="138">
        <f t="shared" si="35"/>
        <v>213324.16</v>
      </c>
      <c r="S61" s="141">
        <f t="shared" si="48"/>
        <v>1066620.8</v>
      </c>
      <c r="T61" s="138">
        <v>191331</v>
      </c>
      <c r="U61" s="138">
        <f t="shared" si="41"/>
        <v>36352.89</v>
      </c>
      <c r="V61" s="138">
        <f t="shared" si="42"/>
        <v>227683.89</v>
      </c>
      <c r="W61" s="141">
        <f t="shared" si="49"/>
        <v>1138419.4500000002</v>
      </c>
      <c r="X61" s="138">
        <v>194325</v>
      </c>
      <c r="Y61" s="138">
        <f t="shared" si="36"/>
        <v>36921.75</v>
      </c>
      <c r="Z61" s="138">
        <f t="shared" si="37"/>
        <v>231246.75</v>
      </c>
      <c r="AA61" s="139">
        <f t="shared" si="50"/>
        <v>1156233.75</v>
      </c>
      <c r="AB61" s="152">
        <f t="shared" si="43"/>
        <v>59243.697478991598</v>
      </c>
      <c r="AC61" s="125">
        <f t="shared" si="44"/>
        <v>11256.302521008402</v>
      </c>
      <c r="AD61" s="153">
        <v>70500</v>
      </c>
      <c r="AE61" s="183">
        <f t="shared" si="45"/>
        <v>352500</v>
      </c>
      <c r="AF61" s="185">
        <f t="shared" si="46"/>
        <v>137364.74216981564</v>
      </c>
      <c r="AG61" s="183">
        <f t="shared" si="38"/>
        <v>163464.04318208061</v>
      </c>
      <c r="AH61" s="185">
        <f t="shared" si="39"/>
        <v>121687.93917863944</v>
      </c>
      <c r="AI61" s="154">
        <f t="shared" si="40"/>
        <v>144808.64762258096</v>
      </c>
    </row>
    <row r="62" spans="3:35" ht="76.5">
      <c r="C62" s="2" t="s">
        <v>217</v>
      </c>
      <c r="D62" s="1" t="s">
        <v>188</v>
      </c>
      <c r="E62" s="15" t="s">
        <v>298</v>
      </c>
      <c r="F62" s="1" t="s">
        <v>4</v>
      </c>
      <c r="G62" s="38">
        <v>10</v>
      </c>
      <c r="H62" s="137">
        <v>73637</v>
      </c>
      <c r="I62" s="138">
        <f t="shared" si="29"/>
        <v>13991.03</v>
      </c>
      <c r="J62" s="138">
        <f t="shared" si="30"/>
        <v>87628.03</v>
      </c>
      <c r="K62" s="139">
        <f t="shared" si="31"/>
        <v>876280.3</v>
      </c>
      <c r="L62" s="137">
        <v>72983.193277310929</v>
      </c>
      <c r="M62" s="138">
        <f t="shared" si="32"/>
        <v>13866.806722689076</v>
      </c>
      <c r="N62" s="138">
        <f t="shared" si="33"/>
        <v>86850</v>
      </c>
      <c r="O62" s="141">
        <f t="shared" si="47"/>
        <v>868500</v>
      </c>
      <c r="P62" s="140">
        <v>70936</v>
      </c>
      <c r="Q62" s="138">
        <f t="shared" si="34"/>
        <v>13477.84</v>
      </c>
      <c r="R62" s="138">
        <f t="shared" si="35"/>
        <v>84413.84</v>
      </c>
      <c r="S62" s="141">
        <f t="shared" si="48"/>
        <v>844138.39999999991</v>
      </c>
      <c r="T62" s="138">
        <v>76887</v>
      </c>
      <c r="U62" s="138">
        <f t="shared" si="41"/>
        <v>14608.53</v>
      </c>
      <c r="V62" s="138">
        <f t="shared" si="42"/>
        <v>91495.53</v>
      </c>
      <c r="W62" s="141">
        <f t="shared" si="49"/>
        <v>914955.3</v>
      </c>
      <c r="X62" s="138">
        <v>75878</v>
      </c>
      <c r="Y62" s="138">
        <f t="shared" si="36"/>
        <v>14416.82</v>
      </c>
      <c r="Z62" s="138">
        <f t="shared" si="37"/>
        <v>90294.82</v>
      </c>
      <c r="AA62" s="139">
        <f t="shared" si="50"/>
        <v>902948.20000000007</v>
      </c>
      <c r="AB62" s="152">
        <f t="shared" si="43"/>
        <v>50420.168067226892</v>
      </c>
      <c r="AC62" s="125">
        <f t="shared" si="44"/>
        <v>9579.8319327731078</v>
      </c>
      <c r="AD62" s="153">
        <v>60000</v>
      </c>
      <c r="AE62" s="183">
        <f t="shared" si="45"/>
        <v>600000</v>
      </c>
      <c r="AF62" s="185">
        <f t="shared" si="46"/>
        <v>69442.676920222832</v>
      </c>
      <c r="AG62" s="183">
        <f t="shared" si="38"/>
        <v>82636.785535065166</v>
      </c>
      <c r="AH62" s="185">
        <f t="shared" si="39"/>
        <v>68651.761012584888</v>
      </c>
      <c r="AI62" s="154">
        <f t="shared" si="40"/>
        <v>81695.595604976013</v>
      </c>
    </row>
    <row r="63" spans="3:35" ht="25.5">
      <c r="C63" s="2" t="s">
        <v>218</v>
      </c>
      <c r="D63" s="1" t="s">
        <v>189</v>
      </c>
      <c r="E63" s="15" t="s">
        <v>190</v>
      </c>
      <c r="F63" s="1" t="s">
        <v>4</v>
      </c>
      <c r="G63" s="38">
        <v>10</v>
      </c>
      <c r="H63" s="137">
        <v>8157</v>
      </c>
      <c r="I63" s="138">
        <f t="shared" si="29"/>
        <v>1549.83</v>
      </c>
      <c r="J63" s="138">
        <f t="shared" si="30"/>
        <v>9706.83</v>
      </c>
      <c r="K63" s="139">
        <f t="shared" si="31"/>
        <v>97068.3</v>
      </c>
      <c r="L63" s="137">
        <v>18907.563025210085</v>
      </c>
      <c r="M63" s="138">
        <f t="shared" si="32"/>
        <v>3592.4369747899163</v>
      </c>
      <c r="N63" s="138">
        <f t="shared" si="33"/>
        <v>22500</v>
      </c>
      <c r="O63" s="141">
        <f t="shared" si="47"/>
        <v>225000</v>
      </c>
      <c r="P63" s="140">
        <v>8081</v>
      </c>
      <c r="Q63" s="138">
        <f t="shared" si="34"/>
        <v>1535.39</v>
      </c>
      <c r="R63" s="138">
        <f t="shared" si="35"/>
        <v>9616.39</v>
      </c>
      <c r="S63" s="141">
        <f t="shared" si="48"/>
        <v>96163.9</v>
      </c>
      <c r="T63" s="138">
        <v>8460</v>
      </c>
      <c r="U63" s="138">
        <f t="shared" si="41"/>
        <v>1607.4</v>
      </c>
      <c r="V63" s="138">
        <f t="shared" si="42"/>
        <v>10067.4</v>
      </c>
      <c r="W63" s="141">
        <f t="shared" si="49"/>
        <v>100674</v>
      </c>
      <c r="X63" s="138">
        <v>8465</v>
      </c>
      <c r="Y63" s="138">
        <f t="shared" si="36"/>
        <v>1608.35</v>
      </c>
      <c r="Z63" s="138">
        <f t="shared" si="37"/>
        <v>10073.35</v>
      </c>
      <c r="AA63" s="139">
        <f t="shared" si="50"/>
        <v>100733.5</v>
      </c>
      <c r="AB63" s="152">
        <f t="shared" si="43"/>
        <v>9243.6974789915967</v>
      </c>
      <c r="AC63" s="125">
        <f t="shared" si="44"/>
        <v>1756.3025210084033</v>
      </c>
      <c r="AD63" s="153">
        <v>11000</v>
      </c>
      <c r="AE63" s="183">
        <f t="shared" si="45"/>
        <v>110000</v>
      </c>
      <c r="AF63" s="185">
        <f t="shared" si="46"/>
        <v>9684.5407116800016</v>
      </c>
      <c r="AG63" s="183">
        <f t="shared" si="38"/>
        <v>11524.6034468992</v>
      </c>
      <c r="AH63" s="185">
        <f t="shared" si="39"/>
        <v>9320.407756519724</v>
      </c>
      <c r="AI63" s="154">
        <f t="shared" si="40"/>
        <v>11091.285230258471</v>
      </c>
    </row>
    <row r="64" spans="3:35" ht="38.25">
      <c r="C64" s="2" t="s">
        <v>219</v>
      </c>
      <c r="D64" s="1" t="s">
        <v>191</v>
      </c>
      <c r="E64" s="15" t="s">
        <v>299</v>
      </c>
      <c r="F64" s="1" t="s">
        <v>4</v>
      </c>
      <c r="G64" s="38">
        <v>25</v>
      </c>
      <c r="H64" s="137">
        <v>190324</v>
      </c>
      <c r="I64" s="138">
        <f t="shared" si="29"/>
        <v>36161.56</v>
      </c>
      <c r="J64" s="138">
        <f t="shared" si="30"/>
        <v>226485.56</v>
      </c>
      <c r="K64" s="139">
        <f t="shared" si="31"/>
        <v>5662139</v>
      </c>
      <c r="L64" s="137">
        <v>54201.680672268914</v>
      </c>
      <c r="M64" s="138">
        <f t="shared" si="32"/>
        <v>10298.319327731095</v>
      </c>
      <c r="N64" s="138">
        <f t="shared" si="33"/>
        <v>64500.000000000007</v>
      </c>
      <c r="O64" s="141">
        <f t="shared" si="47"/>
        <v>1612500.0000000002</v>
      </c>
      <c r="P64" s="140">
        <v>177525</v>
      </c>
      <c r="Q64" s="138">
        <f t="shared" si="34"/>
        <v>33729.75</v>
      </c>
      <c r="R64" s="138">
        <f t="shared" si="35"/>
        <v>211254.75</v>
      </c>
      <c r="S64" s="141">
        <f t="shared" si="48"/>
        <v>5281368.75</v>
      </c>
      <c r="T64" s="138">
        <v>199692</v>
      </c>
      <c r="U64" s="138">
        <f t="shared" si="41"/>
        <v>37941.480000000003</v>
      </c>
      <c r="V64" s="138">
        <f t="shared" si="42"/>
        <v>237633.48</v>
      </c>
      <c r="W64" s="141">
        <f t="shared" si="49"/>
        <v>5940837</v>
      </c>
      <c r="X64" s="138">
        <v>188831</v>
      </c>
      <c r="Y64" s="138">
        <f t="shared" si="36"/>
        <v>35877.89</v>
      </c>
      <c r="Z64" s="138">
        <f t="shared" si="37"/>
        <v>224708.89</v>
      </c>
      <c r="AA64" s="139">
        <f t="shared" si="50"/>
        <v>5617722.25</v>
      </c>
      <c r="AB64" s="152">
        <f t="shared" si="43"/>
        <v>26890.756302521011</v>
      </c>
      <c r="AC64" s="125">
        <f t="shared" si="44"/>
        <v>5109.2436974789889</v>
      </c>
      <c r="AD64" s="153">
        <v>32000</v>
      </c>
      <c r="AE64" s="183">
        <f t="shared" si="45"/>
        <v>800000</v>
      </c>
      <c r="AF64" s="185">
        <f t="shared" si="46"/>
        <v>110866.53335999711</v>
      </c>
      <c r="AG64" s="183">
        <f t="shared" si="38"/>
        <v>131931.17469839656</v>
      </c>
      <c r="AH64" s="185">
        <f t="shared" si="39"/>
        <v>78096.758610723497</v>
      </c>
      <c r="AI64" s="154">
        <f t="shared" si="40"/>
        <v>92935.14274676099</v>
      </c>
    </row>
    <row r="65" spans="3:35" ht="51">
      <c r="C65" s="2" t="s">
        <v>220</v>
      </c>
      <c r="D65" s="1" t="s">
        <v>192</v>
      </c>
      <c r="E65" s="15" t="s">
        <v>300</v>
      </c>
      <c r="F65" s="1" t="s">
        <v>4</v>
      </c>
      <c r="G65" s="38">
        <v>10</v>
      </c>
      <c r="H65" s="137">
        <v>77761</v>
      </c>
      <c r="I65" s="138">
        <f t="shared" si="29"/>
        <v>14774.59</v>
      </c>
      <c r="J65" s="138">
        <f t="shared" si="30"/>
        <v>92535.59</v>
      </c>
      <c r="K65" s="139">
        <f t="shared" si="31"/>
        <v>925355.89999999991</v>
      </c>
      <c r="L65" s="137">
        <v>352941.17647058825</v>
      </c>
      <c r="M65" s="138">
        <f t="shared" si="32"/>
        <v>67058.823529411762</v>
      </c>
      <c r="N65" s="138">
        <f t="shared" si="33"/>
        <v>420000</v>
      </c>
      <c r="O65" s="141">
        <f t="shared" si="47"/>
        <v>4200000</v>
      </c>
      <c r="P65" s="140">
        <v>74817</v>
      </c>
      <c r="Q65" s="138">
        <f t="shared" si="34"/>
        <v>14215.23</v>
      </c>
      <c r="R65" s="138">
        <f t="shared" si="35"/>
        <v>89032.23</v>
      </c>
      <c r="S65" s="141">
        <f t="shared" si="48"/>
        <v>890322.29999999993</v>
      </c>
      <c r="T65" s="138">
        <v>80081</v>
      </c>
      <c r="U65" s="138">
        <f t="shared" si="41"/>
        <v>15215.39</v>
      </c>
      <c r="V65" s="138">
        <f t="shared" si="42"/>
        <v>95296.39</v>
      </c>
      <c r="W65" s="141">
        <f t="shared" si="49"/>
        <v>952963.9</v>
      </c>
      <c r="X65" s="138">
        <v>77835</v>
      </c>
      <c r="Y65" s="138">
        <f t="shared" si="36"/>
        <v>14788.65</v>
      </c>
      <c r="Z65" s="138">
        <f t="shared" si="37"/>
        <v>92623.65</v>
      </c>
      <c r="AA65" s="139">
        <f t="shared" si="50"/>
        <v>926236.5</v>
      </c>
      <c r="AB65" s="152">
        <f t="shared" si="43"/>
        <v>92436.97478991597</v>
      </c>
      <c r="AC65" s="125">
        <f t="shared" si="44"/>
        <v>17563.02521008403</v>
      </c>
      <c r="AD65" s="153">
        <v>110000</v>
      </c>
      <c r="AE65" s="183">
        <f t="shared" si="45"/>
        <v>1100000</v>
      </c>
      <c r="AF65" s="185">
        <f t="shared" si="46"/>
        <v>102841.66506854822</v>
      </c>
      <c r="AG65" s="183">
        <f t="shared" si="38"/>
        <v>122381.58143157237</v>
      </c>
      <c r="AH65" s="185">
        <f t="shared" si="39"/>
        <v>92007.005631312102</v>
      </c>
      <c r="AI65" s="154">
        <f t="shared" si="40"/>
        <v>109488.33670126142</v>
      </c>
    </row>
    <row r="66" spans="3:35">
      <c r="C66" s="2" t="s">
        <v>221</v>
      </c>
      <c r="D66" s="1" t="s">
        <v>195</v>
      </c>
      <c r="E66" s="15" t="s">
        <v>55</v>
      </c>
      <c r="F66" s="20" t="s">
        <v>1</v>
      </c>
      <c r="G66" s="38">
        <v>30</v>
      </c>
      <c r="H66" s="137">
        <v>31041</v>
      </c>
      <c r="I66" s="138">
        <f t="shared" si="29"/>
        <v>5897.79</v>
      </c>
      <c r="J66" s="138">
        <f t="shared" si="30"/>
        <v>36938.79</v>
      </c>
      <c r="K66" s="139">
        <f t="shared" si="31"/>
        <v>1108163.7</v>
      </c>
      <c r="L66" s="137">
        <v>41974.789915966387</v>
      </c>
      <c r="M66" s="138">
        <f t="shared" si="32"/>
        <v>7975.2100840336134</v>
      </c>
      <c r="N66" s="138">
        <f t="shared" si="33"/>
        <v>49950</v>
      </c>
      <c r="O66" s="141">
        <f t="shared" si="47"/>
        <v>1498500</v>
      </c>
      <c r="P66" s="140">
        <v>29241</v>
      </c>
      <c r="Q66" s="138">
        <f t="shared" si="34"/>
        <v>5555.79</v>
      </c>
      <c r="R66" s="138">
        <f t="shared" si="35"/>
        <v>34796.79</v>
      </c>
      <c r="S66" s="141">
        <f t="shared" si="48"/>
        <v>1043903.7000000001</v>
      </c>
      <c r="T66" s="138">
        <v>31848</v>
      </c>
      <c r="U66" s="138">
        <f t="shared" si="41"/>
        <v>6051.12</v>
      </c>
      <c r="V66" s="138">
        <f t="shared" si="42"/>
        <v>37899.120000000003</v>
      </c>
      <c r="W66" s="141">
        <f t="shared" si="49"/>
        <v>1136973.6000000001</v>
      </c>
      <c r="X66" s="138">
        <v>31991</v>
      </c>
      <c r="Y66" s="138">
        <f t="shared" si="36"/>
        <v>6078.29</v>
      </c>
      <c r="Z66" s="138">
        <f t="shared" si="37"/>
        <v>38069.29</v>
      </c>
      <c r="AA66" s="139">
        <f t="shared" si="50"/>
        <v>1142078.7</v>
      </c>
      <c r="AB66" s="152">
        <f t="shared" si="43"/>
        <v>27731.092436974792</v>
      </c>
      <c r="AC66" s="125">
        <f t="shared" si="44"/>
        <v>5268.9075630252082</v>
      </c>
      <c r="AD66" s="153">
        <v>33000</v>
      </c>
      <c r="AE66" s="183">
        <f t="shared" si="45"/>
        <v>990000</v>
      </c>
      <c r="AF66" s="185">
        <f t="shared" si="46"/>
        <v>32013.432043707828</v>
      </c>
      <c r="AG66" s="183">
        <f t="shared" si="38"/>
        <v>38095.984132012316</v>
      </c>
      <c r="AH66" s="185">
        <f t="shared" si="39"/>
        <v>31753.360025038819</v>
      </c>
      <c r="AI66" s="154">
        <f t="shared" si="40"/>
        <v>37786.4984297962</v>
      </c>
    </row>
    <row r="67" spans="3:35" ht="25.5">
      <c r="C67" s="2" t="s">
        <v>222</v>
      </c>
      <c r="D67" s="1" t="s">
        <v>196</v>
      </c>
      <c r="E67" s="15" t="s">
        <v>56</v>
      </c>
      <c r="F67" s="1" t="s">
        <v>4</v>
      </c>
      <c r="G67" s="38">
        <v>30</v>
      </c>
      <c r="H67" s="137">
        <v>111022</v>
      </c>
      <c r="I67" s="138">
        <f t="shared" si="29"/>
        <v>21094.18</v>
      </c>
      <c r="J67" s="138">
        <f t="shared" si="30"/>
        <v>132116.18</v>
      </c>
      <c r="K67" s="139">
        <f t="shared" si="31"/>
        <v>3963485.4</v>
      </c>
      <c r="L67" s="137">
        <v>24957.983193277309</v>
      </c>
      <c r="M67" s="138">
        <f t="shared" si="32"/>
        <v>4742.0168067226887</v>
      </c>
      <c r="N67" s="138">
        <f t="shared" si="33"/>
        <v>29699.999999999996</v>
      </c>
      <c r="O67" s="141">
        <f t="shared" si="47"/>
        <v>890999.99999999988</v>
      </c>
      <c r="P67" s="140">
        <v>106037</v>
      </c>
      <c r="Q67" s="138">
        <f t="shared" si="34"/>
        <v>20147.03</v>
      </c>
      <c r="R67" s="138">
        <f t="shared" si="35"/>
        <v>126184.03</v>
      </c>
      <c r="S67" s="141">
        <f t="shared" si="48"/>
        <v>3785520.9</v>
      </c>
      <c r="T67" s="138">
        <v>111314</v>
      </c>
      <c r="U67" s="138">
        <f t="shared" si="41"/>
        <v>21149.66</v>
      </c>
      <c r="V67" s="138">
        <f t="shared" si="42"/>
        <v>132463.66</v>
      </c>
      <c r="W67" s="141">
        <f t="shared" si="49"/>
        <v>3973909.8000000003</v>
      </c>
      <c r="X67" s="138">
        <v>116022</v>
      </c>
      <c r="Y67" s="138">
        <f t="shared" si="36"/>
        <v>22044.18</v>
      </c>
      <c r="Z67" s="138">
        <f t="shared" si="37"/>
        <v>138066.18</v>
      </c>
      <c r="AA67" s="139">
        <f t="shared" si="50"/>
        <v>4141985.4</v>
      </c>
      <c r="AB67" s="152">
        <f t="shared" si="43"/>
        <v>26050.420168067227</v>
      </c>
      <c r="AC67" s="125">
        <f t="shared" si="44"/>
        <v>4949.5798319327732</v>
      </c>
      <c r="AD67" s="153">
        <v>31000</v>
      </c>
      <c r="AE67" s="183">
        <f t="shared" si="45"/>
        <v>930000</v>
      </c>
      <c r="AF67" s="185">
        <f t="shared" si="46"/>
        <v>67998.10440745583</v>
      </c>
      <c r="AG67" s="183">
        <f t="shared" si="38"/>
        <v>80917.744244872432</v>
      </c>
      <c r="AH67" s="185">
        <f t="shared" si="39"/>
        <v>52404.043339196054</v>
      </c>
      <c r="AI67" s="154">
        <f t="shared" si="40"/>
        <v>62360.811573643288</v>
      </c>
    </row>
    <row r="68" spans="3:35" ht="25.5">
      <c r="C68" s="2" t="s">
        <v>223</v>
      </c>
      <c r="D68" s="1" t="s">
        <v>193</v>
      </c>
      <c r="E68" s="15" t="s">
        <v>57</v>
      </c>
      <c r="F68" s="1" t="s">
        <v>4</v>
      </c>
      <c r="G68" s="38">
        <v>10</v>
      </c>
      <c r="H68" s="137">
        <v>217513</v>
      </c>
      <c r="I68" s="138">
        <f t="shared" si="29"/>
        <v>41327.47</v>
      </c>
      <c r="J68" s="138">
        <f t="shared" si="30"/>
        <v>258840.47</v>
      </c>
      <c r="K68" s="139">
        <f t="shared" si="31"/>
        <v>2588404.7000000002</v>
      </c>
      <c r="L68" s="137">
        <v>15126.050420168069</v>
      </c>
      <c r="M68" s="138">
        <f t="shared" si="32"/>
        <v>2873.9495798319331</v>
      </c>
      <c r="N68" s="138">
        <f t="shared" si="33"/>
        <v>18000</v>
      </c>
      <c r="O68" s="141">
        <f t="shared" si="47"/>
        <v>180000</v>
      </c>
      <c r="P68" s="140">
        <v>215166</v>
      </c>
      <c r="Q68" s="138">
        <f t="shared" si="34"/>
        <v>40881.54</v>
      </c>
      <c r="R68" s="138">
        <f t="shared" si="35"/>
        <v>256047.54</v>
      </c>
      <c r="S68" s="141">
        <f t="shared" si="48"/>
        <v>2560475.4</v>
      </c>
      <c r="T68" s="138">
        <v>223554</v>
      </c>
      <c r="U68" s="138">
        <f t="shared" si="41"/>
        <v>42475.26</v>
      </c>
      <c r="V68" s="138">
        <f t="shared" si="42"/>
        <v>266029.26</v>
      </c>
      <c r="W68" s="141">
        <f t="shared" si="49"/>
        <v>2660292.6</v>
      </c>
      <c r="X68" s="138">
        <v>218622</v>
      </c>
      <c r="Y68" s="138">
        <f t="shared" si="36"/>
        <v>41538.18</v>
      </c>
      <c r="Z68" s="138">
        <f t="shared" si="37"/>
        <v>260160.18</v>
      </c>
      <c r="AA68" s="139">
        <f t="shared" si="50"/>
        <v>2601601.7999999998</v>
      </c>
      <c r="AB68" s="152">
        <f t="shared" si="43"/>
        <v>58823.529411764706</v>
      </c>
      <c r="AC68" s="125">
        <f t="shared" si="44"/>
        <v>11176.470588235294</v>
      </c>
      <c r="AD68" s="153">
        <v>70000</v>
      </c>
      <c r="AE68" s="183">
        <f t="shared" si="45"/>
        <v>700000</v>
      </c>
      <c r="AF68" s="185">
        <f t="shared" si="46"/>
        <v>112573.27456488757</v>
      </c>
      <c r="AG68" s="183">
        <f t="shared" si="38"/>
        <v>133962.19673221622</v>
      </c>
      <c r="AH68" s="185">
        <f t="shared" si="39"/>
        <v>59169.608309783885</v>
      </c>
      <c r="AI68" s="154">
        <f t="shared" si="40"/>
        <v>70411.833888642825</v>
      </c>
    </row>
    <row r="69" spans="3:35" ht="39" thickBot="1">
      <c r="C69" s="16" t="s">
        <v>224</v>
      </c>
      <c r="D69" s="14" t="s">
        <v>194</v>
      </c>
      <c r="E69" s="17" t="s">
        <v>60</v>
      </c>
      <c r="F69" s="14" t="s">
        <v>4</v>
      </c>
      <c r="G69" s="39">
        <v>30</v>
      </c>
      <c r="H69" s="142">
        <v>31268</v>
      </c>
      <c r="I69" s="143">
        <f t="shared" si="29"/>
        <v>5940.92</v>
      </c>
      <c r="J69" s="143">
        <f t="shared" si="30"/>
        <v>37208.92</v>
      </c>
      <c r="K69" s="144">
        <f t="shared" si="31"/>
        <v>1116267.5999999999</v>
      </c>
      <c r="L69" s="145">
        <v>13500</v>
      </c>
      <c r="M69" s="146">
        <f t="shared" si="32"/>
        <v>2565</v>
      </c>
      <c r="N69" s="146">
        <f t="shared" si="33"/>
        <v>16065</v>
      </c>
      <c r="O69" s="141">
        <f t="shared" si="47"/>
        <v>481950</v>
      </c>
      <c r="P69" s="147">
        <v>30768</v>
      </c>
      <c r="Q69" s="143">
        <f t="shared" si="34"/>
        <v>5845.92</v>
      </c>
      <c r="R69" s="143">
        <f t="shared" si="35"/>
        <v>36613.919999999998</v>
      </c>
      <c r="S69" s="141">
        <f t="shared" si="48"/>
        <v>1098417.5999999999</v>
      </c>
      <c r="T69" s="143">
        <v>32588</v>
      </c>
      <c r="U69" s="143">
        <f t="shared" si="41"/>
        <v>6191.72</v>
      </c>
      <c r="V69" s="143">
        <f t="shared" si="42"/>
        <v>38779.72</v>
      </c>
      <c r="W69" s="141">
        <f t="shared" si="49"/>
        <v>1163391.6000000001</v>
      </c>
      <c r="X69" s="143">
        <v>32076</v>
      </c>
      <c r="Y69" s="143">
        <f t="shared" si="36"/>
        <v>6094.4400000000005</v>
      </c>
      <c r="Z69" s="143">
        <f t="shared" si="37"/>
        <v>38170.44</v>
      </c>
      <c r="AA69" s="139">
        <f t="shared" si="50"/>
        <v>1145113.2000000002</v>
      </c>
      <c r="AB69" s="155">
        <f t="shared" si="43"/>
        <v>80588.23529411765</v>
      </c>
      <c r="AC69" s="126">
        <f t="shared" si="44"/>
        <v>15311.76470588235</v>
      </c>
      <c r="AD69" s="156">
        <v>95900</v>
      </c>
      <c r="AE69" s="184">
        <f t="shared" si="45"/>
        <v>2877000</v>
      </c>
      <c r="AF69" s="186">
        <f t="shared" si="46"/>
        <v>32100.154016127766</v>
      </c>
      <c r="AG69" s="184">
        <f t="shared" si="38"/>
        <v>38199.183279192046</v>
      </c>
      <c r="AH69" s="186">
        <f t="shared" si="39"/>
        <v>28191.804299266438</v>
      </c>
      <c r="AI69" s="157">
        <f t="shared" si="40"/>
        <v>33548.247116127066</v>
      </c>
    </row>
    <row r="70" spans="3:35" ht="13.15" customHeight="1" thickBot="1">
      <c r="C70" s="410" t="s">
        <v>166</v>
      </c>
      <c r="D70" s="411"/>
      <c r="E70" s="411"/>
      <c r="F70" s="411"/>
      <c r="G70" s="411"/>
      <c r="H70" s="158">
        <f t="shared" ref="H70:J70" si="51">SUM(H41:H69)</f>
        <v>28305280</v>
      </c>
      <c r="I70" s="158">
        <f t="shared" si="51"/>
        <v>5378003.2000000002</v>
      </c>
      <c r="J70" s="158">
        <f t="shared" si="51"/>
        <v>33683283.199999996</v>
      </c>
      <c r="K70" s="158">
        <f>SUM(K41:K69)</f>
        <v>59313071.229999997</v>
      </c>
      <c r="L70" s="158">
        <f t="shared" ref="L70:N70" si="52">SUM(L41:L69)</f>
        <v>24585865.689075641</v>
      </c>
      <c r="M70" s="158">
        <f t="shared" si="52"/>
        <v>4671314.4809243707</v>
      </c>
      <c r="N70" s="158">
        <f t="shared" si="52"/>
        <v>29257180.170000002</v>
      </c>
      <c r="O70" s="158">
        <f>SUM(O41:O69)</f>
        <v>46368715.170000002</v>
      </c>
      <c r="P70" s="158">
        <f t="shared" ref="P70:R70" si="53">SUM(P41:P69)</f>
        <v>28417712</v>
      </c>
      <c r="Q70" s="158">
        <f t="shared" si="53"/>
        <v>5399365.2800000012</v>
      </c>
      <c r="R70" s="158">
        <f t="shared" si="53"/>
        <v>33817077.280000009</v>
      </c>
      <c r="S70" s="158">
        <f>SUM(S41:S69)</f>
        <v>58250503.57</v>
      </c>
      <c r="T70" s="158">
        <f t="shared" ref="T70:V70" si="54">SUM(T41:T69)</f>
        <v>29067822</v>
      </c>
      <c r="U70" s="158">
        <f t="shared" si="54"/>
        <v>5522886.1800000006</v>
      </c>
      <c r="V70" s="158">
        <f t="shared" si="54"/>
        <v>34590708.179999985</v>
      </c>
      <c r="W70" s="158">
        <f>SUM(W41:W69)</f>
        <v>60867093.420000002</v>
      </c>
      <c r="X70" s="158">
        <f t="shared" ref="X70:Z70" si="55">SUM(X41:X69)</f>
        <v>28412839</v>
      </c>
      <c r="Y70" s="158">
        <f t="shared" si="55"/>
        <v>5398439.4100000011</v>
      </c>
      <c r="Z70" s="158">
        <f t="shared" si="55"/>
        <v>33811278.410000004</v>
      </c>
      <c r="AA70" s="158">
        <f>SUM(AA41:AA69)</f>
        <v>59351589.150000021</v>
      </c>
      <c r="AB70" s="158">
        <f t="shared" ref="AB70:AD70" si="56">SUM(AB41:AB69)</f>
        <v>17942462.18487395</v>
      </c>
      <c r="AC70" s="158">
        <f t="shared" si="56"/>
        <v>3409067.8151260484</v>
      </c>
      <c r="AD70" s="158">
        <f t="shared" si="56"/>
        <v>21351530</v>
      </c>
      <c r="AE70" s="198">
        <f>SUM(AE41:AE69)</f>
        <v>33481430</v>
      </c>
      <c r="AF70" s="200">
        <f t="shared" ref="AF70:AI70" si="57">SUM(AF41:AF69)</f>
        <v>25708691.724340182</v>
      </c>
      <c r="AG70" s="201">
        <f t="shared" si="57"/>
        <v>30593343.151964813</v>
      </c>
      <c r="AH70" s="194">
        <f t="shared" si="57"/>
        <v>24606895.983426269</v>
      </c>
      <c r="AI70" s="206">
        <f t="shared" si="57"/>
        <v>29282206.220277257</v>
      </c>
    </row>
    <row r="71" spans="3:35" ht="13.5" thickBot="1">
      <c r="C71" s="412" t="s">
        <v>165</v>
      </c>
      <c r="D71" s="413"/>
      <c r="E71" s="413"/>
      <c r="F71" s="413"/>
      <c r="G71" s="413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3"/>
      <c r="S71" s="413"/>
      <c r="T71" s="413"/>
      <c r="U71" s="413"/>
      <c r="V71" s="413"/>
      <c r="W71" s="413"/>
      <c r="X71" s="413"/>
      <c r="Y71" s="413"/>
      <c r="Z71" s="413"/>
      <c r="AA71" s="413"/>
      <c r="AB71" s="413"/>
      <c r="AC71" s="413"/>
      <c r="AD71" s="413"/>
      <c r="AE71" s="413"/>
      <c r="AF71" s="417"/>
      <c r="AG71" s="417"/>
      <c r="AH71" s="413"/>
      <c r="AI71" s="418"/>
    </row>
    <row r="72" spans="3:35" ht="39" thickBot="1">
      <c r="C72" s="59" t="s">
        <v>95</v>
      </c>
      <c r="D72" s="60" t="s">
        <v>96</v>
      </c>
      <c r="E72" s="59" t="s">
        <v>94</v>
      </c>
      <c r="F72" s="61" t="s">
        <v>292</v>
      </c>
      <c r="G72" s="62" t="s">
        <v>0</v>
      </c>
      <c r="H72" s="59" t="s">
        <v>293</v>
      </c>
      <c r="I72" s="61" t="s">
        <v>294</v>
      </c>
      <c r="J72" s="61" t="s">
        <v>295</v>
      </c>
      <c r="K72" s="63" t="s">
        <v>296</v>
      </c>
      <c r="L72" s="59" t="s">
        <v>293</v>
      </c>
      <c r="M72" s="61" t="s">
        <v>294</v>
      </c>
      <c r="N72" s="61" t="s">
        <v>295</v>
      </c>
      <c r="O72" s="63" t="s">
        <v>296</v>
      </c>
      <c r="P72" s="59" t="s">
        <v>293</v>
      </c>
      <c r="Q72" s="61" t="s">
        <v>294</v>
      </c>
      <c r="R72" s="61" t="s">
        <v>295</v>
      </c>
      <c r="S72" s="63" t="s">
        <v>296</v>
      </c>
      <c r="T72" s="59" t="s">
        <v>293</v>
      </c>
      <c r="U72" s="61" t="s">
        <v>294</v>
      </c>
      <c r="V72" s="61" t="s">
        <v>295</v>
      </c>
      <c r="W72" s="63" t="s">
        <v>296</v>
      </c>
      <c r="X72" s="59" t="s">
        <v>293</v>
      </c>
      <c r="Y72" s="61" t="s">
        <v>294</v>
      </c>
      <c r="Z72" s="61" t="s">
        <v>295</v>
      </c>
      <c r="AA72" s="115" t="s">
        <v>296</v>
      </c>
      <c r="AB72" s="6" t="s">
        <v>293</v>
      </c>
      <c r="AC72" s="8" t="s">
        <v>294</v>
      </c>
      <c r="AD72" s="8" t="s">
        <v>295</v>
      </c>
      <c r="AE72" s="74" t="s">
        <v>296</v>
      </c>
      <c r="AF72" s="32" t="s">
        <v>293</v>
      </c>
      <c r="AG72" s="51" t="s">
        <v>295</v>
      </c>
      <c r="AH72" s="32" t="s">
        <v>293</v>
      </c>
      <c r="AI72" s="51" t="s">
        <v>295</v>
      </c>
    </row>
    <row r="73" spans="3:35" ht="76.5">
      <c r="C73" s="9" t="s">
        <v>225</v>
      </c>
      <c r="D73" s="10" t="s">
        <v>236</v>
      </c>
      <c r="E73" s="13" t="s">
        <v>7</v>
      </c>
      <c r="F73" s="10" t="s">
        <v>4</v>
      </c>
      <c r="G73" s="37">
        <v>1</v>
      </c>
      <c r="H73" s="129">
        <v>3220336</v>
      </c>
      <c r="I73" s="130">
        <f t="shared" ref="I73:I82" si="58">H73*19%</f>
        <v>611863.84</v>
      </c>
      <c r="J73" s="130">
        <f t="shared" ref="J73:J82" si="59">H73+I73</f>
        <v>3832199.84</v>
      </c>
      <c r="K73" s="131">
        <f t="shared" ref="K73:K82" si="60">G73*J73</f>
        <v>3832199.84</v>
      </c>
      <c r="L73" s="129">
        <v>3700065.1260504201</v>
      </c>
      <c r="M73" s="130">
        <f t="shared" ref="M73:M82" si="61">L73*19%</f>
        <v>703012.37394957978</v>
      </c>
      <c r="N73" s="130">
        <f t="shared" ref="N73:N82" si="62">L73+M73</f>
        <v>4403077.5</v>
      </c>
      <c r="O73" s="136">
        <f>+G73*N73</f>
        <v>4403077.5</v>
      </c>
      <c r="P73" s="135">
        <v>3562886</v>
      </c>
      <c r="Q73" s="130">
        <f t="shared" ref="Q73:Q82" si="63">+P73*0.19</f>
        <v>676948.34</v>
      </c>
      <c r="R73" s="130">
        <f t="shared" ref="R73:R82" si="64">+P73+Q73</f>
        <v>4239834.34</v>
      </c>
      <c r="S73" s="136">
        <f>+G73*R73</f>
        <v>4239834.34</v>
      </c>
      <c r="T73" s="130">
        <v>3384406</v>
      </c>
      <c r="U73" s="130">
        <f>T73*19%</f>
        <v>643037.14</v>
      </c>
      <c r="V73" s="130">
        <f>T73+U73</f>
        <v>4027443.14</v>
      </c>
      <c r="W73" s="136">
        <f>+G73*V73</f>
        <v>4027443.14</v>
      </c>
      <c r="X73" s="130">
        <v>3303044</v>
      </c>
      <c r="Y73" s="130">
        <f t="shared" ref="Y73:Y82" si="65">+X73*0.19</f>
        <v>627578.36</v>
      </c>
      <c r="Z73" s="130">
        <f t="shared" ref="Z73:Z82" si="66">+X73+Y73</f>
        <v>3930622.36</v>
      </c>
      <c r="AA73" s="131">
        <f>+G73*Z73</f>
        <v>3930622.36</v>
      </c>
      <c r="AB73" s="159">
        <f t="shared" ref="AB73:AB82" si="67">+AD73/1.19</f>
        <v>2168067.2268907563</v>
      </c>
      <c r="AC73" s="128">
        <f t="shared" ref="AC73:AC82" si="68">+AD73-AB73</f>
        <v>411932.77310924372</v>
      </c>
      <c r="AD73" s="163">
        <v>2580000</v>
      </c>
      <c r="AE73" s="197">
        <f t="shared" ref="AE73:AE82" si="69">+G73*AD73</f>
        <v>2580000</v>
      </c>
      <c r="AF73" s="191">
        <f t="shared" ref="AF73:AF82" si="70">+GEOMEAN(H73,L73,P73,T73,X73,AB73)</f>
        <v>3177339.8789226692</v>
      </c>
      <c r="AG73" s="182">
        <f t="shared" ref="AG73:AG82" si="71">+GEOMEAN(J73,N73,R73,V73,Z73,AD73)</f>
        <v>3781034.4559179763</v>
      </c>
      <c r="AH73" s="203">
        <f>+HARMEAN(H73,L73,P73,T73,X73,AB73)</f>
        <v>3123490.910291329</v>
      </c>
      <c r="AI73" s="161">
        <f>+HARMEAN(J73,N73,R73,V73,Z73,AD73)</f>
        <v>3716954.183246681</v>
      </c>
    </row>
    <row r="74" spans="3:35" ht="178.5">
      <c r="C74" s="2" t="s">
        <v>228</v>
      </c>
      <c r="D74" s="1" t="s">
        <v>237</v>
      </c>
      <c r="E74" s="15" t="s">
        <v>8</v>
      </c>
      <c r="F74" s="1" t="s">
        <v>4</v>
      </c>
      <c r="G74" s="38">
        <v>2</v>
      </c>
      <c r="H74" s="137">
        <v>3937368</v>
      </c>
      <c r="I74" s="138">
        <f t="shared" si="58"/>
        <v>748099.92</v>
      </c>
      <c r="J74" s="138">
        <f t="shared" si="59"/>
        <v>4685467.92</v>
      </c>
      <c r="K74" s="139">
        <f t="shared" si="60"/>
        <v>9370935.8399999999</v>
      </c>
      <c r="L74" s="137">
        <v>5555400</v>
      </c>
      <c r="M74" s="138">
        <f t="shared" si="61"/>
        <v>1055526</v>
      </c>
      <c r="N74" s="138">
        <f t="shared" si="62"/>
        <v>6610926</v>
      </c>
      <c r="O74" s="141">
        <f>+G74*N74</f>
        <v>13221852</v>
      </c>
      <c r="P74" s="140">
        <v>4348849</v>
      </c>
      <c r="Q74" s="138">
        <f t="shared" si="63"/>
        <v>826281.31</v>
      </c>
      <c r="R74" s="138">
        <f t="shared" si="64"/>
        <v>5175130.3100000005</v>
      </c>
      <c r="S74" s="141">
        <f>+G74*R74</f>
        <v>10350260.620000001</v>
      </c>
      <c r="T74" s="138">
        <v>4048272</v>
      </c>
      <c r="U74" s="138">
        <f t="shared" ref="U74:U82" si="72">T74*19%</f>
        <v>769171.68</v>
      </c>
      <c r="V74" s="138">
        <f t="shared" ref="V74:V82" si="73">T74+U74</f>
        <v>4817443.68</v>
      </c>
      <c r="W74" s="141">
        <f>+G74*V74</f>
        <v>9634887.3599999994</v>
      </c>
      <c r="X74" s="138">
        <v>4087929</v>
      </c>
      <c r="Y74" s="138">
        <f t="shared" si="65"/>
        <v>776706.51</v>
      </c>
      <c r="Z74" s="138">
        <f t="shared" si="66"/>
        <v>4864635.51</v>
      </c>
      <c r="AA74" s="139">
        <f>+G74*Z74</f>
        <v>9729271.0199999996</v>
      </c>
      <c r="AB74" s="152">
        <f t="shared" si="67"/>
        <v>3557142.8571428573</v>
      </c>
      <c r="AC74" s="125">
        <f t="shared" si="68"/>
        <v>675857.14285714272</v>
      </c>
      <c r="AD74" s="153">
        <v>4233000</v>
      </c>
      <c r="AE74" s="183">
        <f t="shared" si="69"/>
        <v>8466000</v>
      </c>
      <c r="AF74" s="185">
        <f t="shared" si="70"/>
        <v>4214004.5583136873</v>
      </c>
      <c r="AG74" s="183">
        <f t="shared" si="71"/>
        <v>5014665.4243932879</v>
      </c>
      <c r="AH74" s="185">
        <f t="shared" ref="AH74:AH82" si="74">+HARMEAN(H74,L74,P74,T74,X74,AB74)</f>
        <v>4176255.1574034444</v>
      </c>
      <c r="AI74" s="154">
        <f t="shared" ref="AI74:AI82" si="75">+HARMEAN(J74,N74,R74,V74,Z74,AD74)</f>
        <v>4969743.6373100989</v>
      </c>
    </row>
    <row r="75" spans="3:35" ht="114.75">
      <c r="C75" s="2" t="s">
        <v>99</v>
      </c>
      <c r="D75" s="1" t="s">
        <v>172</v>
      </c>
      <c r="E75" s="15" t="s">
        <v>9</v>
      </c>
      <c r="F75" s="1" t="s">
        <v>4</v>
      </c>
      <c r="G75" s="38">
        <v>1</v>
      </c>
      <c r="H75" s="137">
        <v>1474185</v>
      </c>
      <c r="I75" s="138">
        <f t="shared" si="58"/>
        <v>280095.15000000002</v>
      </c>
      <c r="J75" s="138">
        <f t="shared" si="59"/>
        <v>1754280.15</v>
      </c>
      <c r="K75" s="139">
        <f t="shared" si="60"/>
        <v>1754280.15</v>
      </c>
      <c r="L75" s="137">
        <v>1586974.7899159666</v>
      </c>
      <c r="M75" s="138">
        <f t="shared" si="61"/>
        <v>301525.21008403366</v>
      </c>
      <c r="N75" s="138">
        <f t="shared" si="62"/>
        <v>1888500.0000000002</v>
      </c>
      <c r="O75" s="141">
        <f t="shared" ref="O75:O82" si="76">+G75*N75</f>
        <v>1888500.0000000002</v>
      </c>
      <c r="P75" s="140">
        <v>1686122</v>
      </c>
      <c r="Q75" s="138">
        <f t="shared" si="63"/>
        <v>320363.18</v>
      </c>
      <c r="R75" s="138">
        <f t="shared" si="64"/>
        <v>2006485.18</v>
      </c>
      <c r="S75" s="141">
        <f t="shared" ref="S75:S82" si="77">+G75*R75</f>
        <v>2006485.18</v>
      </c>
      <c r="T75" s="138">
        <v>1526486</v>
      </c>
      <c r="U75" s="138">
        <f t="shared" si="72"/>
        <v>290032.34000000003</v>
      </c>
      <c r="V75" s="138">
        <f t="shared" si="73"/>
        <v>1816518.34</v>
      </c>
      <c r="W75" s="141">
        <f t="shared" ref="W75:W82" si="78">+G75*V75</f>
        <v>1816518.34</v>
      </c>
      <c r="X75" s="138">
        <v>1498029</v>
      </c>
      <c r="Y75" s="138">
        <f t="shared" si="65"/>
        <v>284625.51</v>
      </c>
      <c r="Z75" s="138">
        <f t="shared" si="66"/>
        <v>1782654.51</v>
      </c>
      <c r="AA75" s="139">
        <f t="shared" ref="AA75:AA82" si="79">+G75*Z75</f>
        <v>1782654.51</v>
      </c>
      <c r="AB75" s="152">
        <f t="shared" si="67"/>
        <v>3142857.1428571432</v>
      </c>
      <c r="AC75" s="125">
        <f t="shared" si="68"/>
        <v>597142.85714285681</v>
      </c>
      <c r="AD75" s="153">
        <v>3740000</v>
      </c>
      <c r="AE75" s="183">
        <f t="shared" si="69"/>
        <v>3740000</v>
      </c>
      <c r="AF75" s="185">
        <f t="shared" si="70"/>
        <v>1746189.8104199148</v>
      </c>
      <c r="AG75" s="183">
        <f t="shared" si="71"/>
        <v>2077965.8743996983</v>
      </c>
      <c r="AH75" s="185">
        <f t="shared" si="74"/>
        <v>1693780.0687091579</v>
      </c>
      <c r="AI75" s="154">
        <f t="shared" si="75"/>
        <v>2015598.2817638984</v>
      </c>
    </row>
    <row r="76" spans="3:35" ht="38.25">
      <c r="C76" s="2" t="s">
        <v>229</v>
      </c>
      <c r="D76" s="1" t="s">
        <v>238</v>
      </c>
      <c r="E76" s="15" t="s">
        <v>10</v>
      </c>
      <c r="F76" s="1" t="s">
        <v>4</v>
      </c>
      <c r="G76" s="38">
        <v>40</v>
      </c>
      <c r="H76" s="137">
        <v>75571</v>
      </c>
      <c r="I76" s="138">
        <f t="shared" si="58"/>
        <v>14358.49</v>
      </c>
      <c r="J76" s="138">
        <f t="shared" si="59"/>
        <v>89929.49</v>
      </c>
      <c r="K76" s="139">
        <f t="shared" si="60"/>
        <v>3597179.6</v>
      </c>
      <c r="L76" s="137">
        <v>75504.201680672268</v>
      </c>
      <c r="M76" s="138">
        <f t="shared" si="61"/>
        <v>14345.79831932773</v>
      </c>
      <c r="N76" s="138">
        <f t="shared" si="62"/>
        <v>89850</v>
      </c>
      <c r="O76" s="141">
        <f t="shared" si="76"/>
        <v>3594000</v>
      </c>
      <c r="P76" s="140">
        <v>88777</v>
      </c>
      <c r="Q76" s="138">
        <f t="shared" si="63"/>
        <v>16867.63</v>
      </c>
      <c r="R76" s="138">
        <f t="shared" si="64"/>
        <v>105644.63</v>
      </c>
      <c r="S76" s="141">
        <f t="shared" si="77"/>
        <v>4225785.2</v>
      </c>
      <c r="T76" s="138">
        <v>76923</v>
      </c>
      <c r="U76" s="138">
        <f t="shared" si="72"/>
        <v>14615.37</v>
      </c>
      <c r="V76" s="138">
        <f t="shared" si="73"/>
        <v>91538.37</v>
      </c>
      <c r="W76" s="141">
        <f t="shared" si="78"/>
        <v>3661534.8</v>
      </c>
      <c r="X76" s="138">
        <v>77771</v>
      </c>
      <c r="Y76" s="138">
        <f t="shared" si="65"/>
        <v>14776.49</v>
      </c>
      <c r="Z76" s="138">
        <f t="shared" si="66"/>
        <v>92547.49</v>
      </c>
      <c r="AA76" s="139">
        <f t="shared" si="79"/>
        <v>3701899.6</v>
      </c>
      <c r="AB76" s="152">
        <f t="shared" si="67"/>
        <v>75571.42857142858</v>
      </c>
      <c r="AC76" s="125">
        <f t="shared" si="68"/>
        <v>14358.57142857142</v>
      </c>
      <c r="AD76" s="153">
        <v>89930</v>
      </c>
      <c r="AE76" s="183">
        <f t="shared" si="69"/>
        <v>3597200</v>
      </c>
      <c r="AF76" s="185">
        <f t="shared" si="70"/>
        <v>78218.541532182891</v>
      </c>
      <c r="AG76" s="183">
        <f t="shared" si="71"/>
        <v>93080.064423297634</v>
      </c>
      <c r="AH76" s="185">
        <f t="shared" si="74"/>
        <v>78092.609264683299</v>
      </c>
      <c r="AI76" s="154">
        <f t="shared" si="75"/>
        <v>92930.205024973111</v>
      </c>
    </row>
    <row r="77" spans="3:35" ht="25.5">
      <c r="C77" s="2" t="s">
        <v>230</v>
      </c>
      <c r="D77" s="1" t="s">
        <v>239</v>
      </c>
      <c r="E77" s="15" t="s">
        <v>11</v>
      </c>
      <c r="F77" s="1" t="s">
        <v>4</v>
      </c>
      <c r="G77" s="38">
        <v>10</v>
      </c>
      <c r="H77" s="137">
        <v>231765</v>
      </c>
      <c r="I77" s="138">
        <f t="shared" si="58"/>
        <v>44035.35</v>
      </c>
      <c r="J77" s="138">
        <f t="shared" si="59"/>
        <v>275800.34999999998</v>
      </c>
      <c r="K77" s="139">
        <f t="shared" si="60"/>
        <v>2758003.5</v>
      </c>
      <c r="L77" s="137">
        <v>176344.53781512607</v>
      </c>
      <c r="M77" s="138">
        <f t="shared" si="61"/>
        <v>33505.462184873955</v>
      </c>
      <c r="N77" s="138">
        <f t="shared" si="62"/>
        <v>209850.00000000003</v>
      </c>
      <c r="O77" s="141">
        <f t="shared" si="76"/>
        <v>2098500.0000000005</v>
      </c>
      <c r="P77" s="140">
        <v>266769</v>
      </c>
      <c r="Q77" s="138">
        <f t="shared" si="63"/>
        <v>50686.11</v>
      </c>
      <c r="R77" s="138">
        <f t="shared" si="64"/>
        <v>317455.11</v>
      </c>
      <c r="S77" s="141">
        <f t="shared" si="77"/>
        <v>3174551.0999999996</v>
      </c>
      <c r="T77" s="138">
        <v>245747</v>
      </c>
      <c r="U77" s="138">
        <f t="shared" si="72"/>
        <v>46691.93</v>
      </c>
      <c r="V77" s="138">
        <f t="shared" si="73"/>
        <v>292438.93</v>
      </c>
      <c r="W77" s="141">
        <f t="shared" si="78"/>
        <v>2924389.3</v>
      </c>
      <c r="X77" s="138">
        <v>232709</v>
      </c>
      <c r="Y77" s="138">
        <f t="shared" si="65"/>
        <v>44214.71</v>
      </c>
      <c r="Z77" s="138">
        <f t="shared" si="66"/>
        <v>276923.71000000002</v>
      </c>
      <c r="AA77" s="139">
        <f t="shared" si="79"/>
        <v>2769237.1</v>
      </c>
      <c r="AB77" s="152">
        <f t="shared" si="67"/>
        <v>178571.42857142858</v>
      </c>
      <c r="AC77" s="125">
        <f t="shared" si="68"/>
        <v>33928.57142857142</v>
      </c>
      <c r="AD77" s="153">
        <v>212500</v>
      </c>
      <c r="AE77" s="183">
        <f t="shared" si="69"/>
        <v>2125000</v>
      </c>
      <c r="AF77" s="185">
        <f t="shared" si="70"/>
        <v>219335.92323675466</v>
      </c>
      <c r="AG77" s="183">
        <f t="shared" si="71"/>
        <v>261009.74865173807</v>
      </c>
      <c r="AH77" s="185">
        <f t="shared" si="74"/>
        <v>216603.1195734572</v>
      </c>
      <c r="AI77" s="154">
        <f t="shared" si="75"/>
        <v>257757.7122924141</v>
      </c>
    </row>
    <row r="78" spans="3:35" ht="63.75">
      <c r="C78" s="2" t="s">
        <v>231</v>
      </c>
      <c r="D78" s="1" t="s">
        <v>240</v>
      </c>
      <c r="E78" s="15" t="s">
        <v>12</v>
      </c>
      <c r="F78" s="1" t="s">
        <v>4</v>
      </c>
      <c r="G78" s="38">
        <v>2</v>
      </c>
      <c r="H78" s="137">
        <v>1951113</v>
      </c>
      <c r="I78" s="138">
        <f t="shared" si="58"/>
        <v>370711.47000000003</v>
      </c>
      <c r="J78" s="138">
        <f t="shared" si="59"/>
        <v>2321824.4700000002</v>
      </c>
      <c r="K78" s="139">
        <f t="shared" si="60"/>
        <v>4643648.9400000004</v>
      </c>
      <c r="L78" s="137">
        <v>1277521.0084033615</v>
      </c>
      <c r="M78" s="138">
        <f t="shared" si="61"/>
        <v>242728.99159663869</v>
      </c>
      <c r="N78" s="138">
        <f t="shared" si="62"/>
        <v>1520250.0000000002</v>
      </c>
      <c r="O78" s="141">
        <f t="shared" si="76"/>
        <v>3040500.0000000005</v>
      </c>
      <c r="P78" s="140">
        <v>1949551</v>
      </c>
      <c r="Q78" s="138">
        <f t="shared" si="63"/>
        <v>370414.69</v>
      </c>
      <c r="R78" s="138">
        <f t="shared" si="64"/>
        <v>2319965.69</v>
      </c>
      <c r="S78" s="141">
        <f t="shared" si="77"/>
        <v>4639931.38</v>
      </c>
      <c r="T78" s="138">
        <v>1986238</v>
      </c>
      <c r="U78" s="138">
        <f t="shared" si="72"/>
        <v>377385.22000000003</v>
      </c>
      <c r="V78" s="138">
        <f t="shared" si="73"/>
        <v>2363623.2200000002</v>
      </c>
      <c r="W78" s="141">
        <f t="shared" si="78"/>
        <v>4727246.4400000004</v>
      </c>
      <c r="X78" s="138">
        <v>1896105</v>
      </c>
      <c r="Y78" s="138">
        <f t="shared" si="65"/>
        <v>360259.95</v>
      </c>
      <c r="Z78" s="138">
        <f t="shared" si="66"/>
        <v>2256364.9500000002</v>
      </c>
      <c r="AA78" s="139">
        <f t="shared" si="79"/>
        <v>4512729.9000000004</v>
      </c>
      <c r="AB78" s="152">
        <f t="shared" si="67"/>
        <v>1500000</v>
      </c>
      <c r="AC78" s="125">
        <f t="shared" si="68"/>
        <v>285000</v>
      </c>
      <c r="AD78" s="153">
        <v>1785000</v>
      </c>
      <c r="AE78" s="183">
        <f t="shared" si="69"/>
        <v>3570000</v>
      </c>
      <c r="AF78" s="185">
        <f t="shared" si="70"/>
        <v>1736847.4171700531</v>
      </c>
      <c r="AG78" s="183">
        <f t="shared" si="71"/>
        <v>2066848.4264323632</v>
      </c>
      <c r="AH78" s="185">
        <f t="shared" si="74"/>
        <v>1711468.8574298625</v>
      </c>
      <c r="AI78" s="154">
        <f t="shared" si="75"/>
        <v>2036647.9403415362</v>
      </c>
    </row>
    <row r="79" spans="3:35" ht="89.25">
      <c r="C79" s="2" t="s">
        <v>232</v>
      </c>
      <c r="D79" s="1" t="s">
        <v>241</v>
      </c>
      <c r="E79" s="15" t="s">
        <v>13</v>
      </c>
      <c r="F79" s="1" t="s">
        <v>4</v>
      </c>
      <c r="G79" s="38">
        <v>1</v>
      </c>
      <c r="H79" s="137">
        <v>2880113</v>
      </c>
      <c r="I79" s="138">
        <f t="shared" si="58"/>
        <v>547221.47</v>
      </c>
      <c r="J79" s="138">
        <f t="shared" si="59"/>
        <v>3427334.4699999997</v>
      </c>
      <c r="K79" s="139">
        <f t="shared" si="60"/>
        <v>3427334.4699999997</v>
      </c>
      <c r="L79" s="137">
        <v>4033487.3949579839</v>
      </c>
      <c r="M79" s="138">
        <f t="shared" si="61"/>
        <v>766362.60504201695</v>
      </c>
      <c r="N79" s="138">
        <f t="shared" si="62"/>
        <v>4799850.0000000009</v>
      </c>
      <c r="O79" s="141">
        <f t="shared" si="76"/>
        <v>4799850.0000000009</v>
      </c>
      <c r="P79" s="140">
        <v>2994945</v>
      </c>
      <c r="Q79" s="138">
        <f t="shared" si="63"/>
        <v>569039.55000000005</v>
      </c>
      <c r="R79" s="138">
        <f t="shared" si="64"/>
        <v>3563984.55</v>
      </c>
      <c r="S79" s="141">
        <f t="shared" si="77"/>
        <v>3563984.55</v>
      </c>
      <c r="T79" s="138">
        <v>3139360</v>
      </c>
      <c r="U79" s="138">
        <f t="shared" si="72"/>
        <v>596478.4</v>
      </c>
      <c r="V79" s="138">
        <f t="shared" si="73"/>
        <v>3735838.4</v>
      </c>
      <c r="W79" s="141">
        <f t="shared" si="78"/>
        <v>3735838.4</v>
      </c>
      <c r="X79" s="138">
        <v>2878378</v>
      </c>
      <c r="Y79" s="138">
        <f t="shared" si="65"/>
        <v>546891.81999999995</v>
      </c>
      <c r="Z79" s="138">
        <f t="shared" si="66"/>
        <v>3425269.82</v>
      </c>
      <c r="AA79" s="139">
        <f t="shared" si="79"/>
        <v>3425269.82</v>
      </c>
      <c r="AB79" s="152">
        <f t="shared" si="67"/>
        <v>2642857.1428571432</v>
      </c>
      <c r="AC79" s="125">
        <f t="shared" si="68"/>
        <v>502142.85714285681</v>
      </c>
      <c r="AD79" s="153">
        <v>3145000</v>
      </c>
      <c r="AE79" s="183">
        <f t="shared" si="69"/>
        <v>3145000</v>
      </c>
      <c r="AF79" s="185">
        <f t="shared" si="70"/>
        <v>3066128.036851177</v>
      </c>
      <c r="AG79" s="183">
        <f t="shared" si="71"/>
        <v>3648692.3638529005</v>
      </c>
      <c r="AH79" s="185">
        <f t="shared" si="74"/>
        <v>3040497.1600273983</v>
      </c>
      <c r="AI79" s="154">
        <f t="shared" si="75"/>
        <v>3618191.6204326041</v>
      </c>
    </row>
    <row r="80" spans="3:35" ht="102">
      <c r="C80" s="2" t="s">
        <v>233</v>
      </c>
      <c r="D80" s="1" t="s">
        <v>169</v>
      </c>
      <c r="E80" s="15" t="s">
        <v>72</v>
      </c>
      <c r="F80" s="1" t="s">
        <v>4</v>
      </c>
      <c r="G80" s="38">
        <v>1</v>
      </c>
      <c r="H80" s="137">
        <v>3990000</v>
      </c>
      <c r="I80" s="138">
        <f t="shared" si="58"/>
        <v>758100</v>
      </c>
      <c r="J80" s="138">
        <f t="shared" si="59"/>
        <v>4748100</v>
      </c>
      <c r="K80" s="139">
        <f t="shared" si="60"/>
        <v>4748100</v>
      </c>
      <c r="L80" s="137">
        <v>5221008.4033613447</v>
      </c>
      <c r="M80" s="138">
        <f t="shared" si="61"/>
        <v>991991.59663865552</v>
      </c>
      <c r="N80" s="138">
        <f t="shared" si="62"/>
        <v>6213000</v>
      </c>
      <c r="O80" s="141">
        <f t="shared" si="76"/>
        <v>6213000</v>
      </c>
      <c r="P80" s="140">
        <v>4244254</v>
      </c>
      <c r="Q80" s="138">
        <f t="shared" si="63"/>
        <v>806408.26</v>
      </c>
      <c r="R80" s="138">
        <f t="shared" si="64"/>
        <v>5050662.26</v>
      </c>
      <c r="S80" s="141">
        <f t="shared" si="77"/>
        <v>5050662.26</v>
      </c>
      <c r="T80" s="138">
        <v>4348132</v>
      </c>
      <c r="U80" s="138">
        <f t="shared" si="72"/>
        <v>826145.08</v>
      </c>
      <c r="V80" s="138">
        <f t="shared" si="73"/>
        <v>5174277.08</v>
      </c>
      <c r="W80" s="141">
        <f t="shared" si="78"/>
        <v>5174277.08</v>
      </c>
      <c r="X80" s="138">
        <v>4084624</v>
      </c>
      <c r="Y80" s="138">
        <f t="shared" si="65"/>
        <v>776078.56</v>
      </c>
      <c r="Z80" s="138">
        <f t="shared" si="66"/>
        <v>4860702.5600000005</v>
      </c>
      <c r="AA80" s="139">
        <f t="shared" si="79"/>
        <v>4860702.5600000005</v>
      </c>
      <c r="AB80" s="152">
        <f t="shared" si="67"/>
        <v>1621008.4033613447</v>
      </c>
      <c r="AC80" s="125">
        <f t="shared" si="68"/>
        <v>307991.59663865529</v>
      </c>
      <c r="AD80" s="162">
        <v>1929000</v>
      </c>
      <c r="AE80" s="183">
        <f t="shared" si="69"/>
        <v>1929000</v>
      </c>
      <c r="AF80" s="185">
        <f t="shared" si="70"/>
        <v>3695116.3764824416</v>
      </c>
      <c r="AG80" s="183">
        <f t="shared" si="71"/>
        <v>4397188.4880141057</v>
      </c>
      <c r="AH80" s="185">
        <f t="shared" si="74"/>
        <v>3390831.5598155782</v>
      </c>
      <c r="AI80" s="154">
        <f t="shared" si="75"/>
        <v>4035089.5561805372</v>
      </c>
    </row>
    <row r="81" spans="3:35" ht="51">
      <c r="C81" s="2" t="s">
        <v>234</v>
      </c>
      <c r="D81" s="1" t="s">
        <v>242</v>
      </c>
      <c r="E81" s="15" t="s">
        <v>14</v>
      </c>
      <c r="F81" s="1" t="s">
        <v>4</v>
      </c>
      <c r="G81" s="38">
        <v>1</v>
      </c>
      <c r="H81" s="137">
        <v>3581710</v>
      </c>
      <c r="I81" s="138">
        <f t="shared" si="58"/>
        <v>680524.9</v>
      </c>
      <c r="J81" s="138">
        <f t="shared" si="59"/>
        <v>4262234.9000000004</v>
      </c>
      <c r="K81" s="139">
        <f t="shared" si="60"/>
        <v>4262234.9000000004</v>
      </c>
      <c r="L81" s="137">
        <v>2389915.9663865548</v>
      </c>
      <c r="M81" s="138">
        <f t="shared" si="61"/>
        <v>454084.03361344541</v>
      </c>
      <c r="N81" s="138">
        <f t="shared" si="62"/>
        <v>2844000</v>
      </c>
      <c r="O81" s="141">
        <f t="shared" si="76"/>
        <v>2844000</v>
      </c>
      <c r="P81" s="140">
        <v>3653488</v>
      </c>
      <c r="Q81" s="138">
        <f t="shared" si="63"/>
        <v>694162.72</v>
      </c>
      <c r="R81" s="138">
        <f t="shared" si="64"/>
        <v>4347650.72</v>
      </c>
      <c r="S81" s="141">
        <f t="shared" si="77"/>
        <v>4347650.72</v>
      </c>
      <c r="T81" s="138">
        <v>3900735</v>
      </c>
      <c r="U81" s="138">
        <f t="shared" si="72"/>
        <v>741139.65</v>
      </c>
      <c r="V81" s="138">
        <f t="shared" si="73"/>
        <v>4641874.6500000004</v>
      </c>
      <c r="W81" s="141">
        <f t="shared" si="78"/>
        <v>4641874.6500000004</v>
      </c>
      <c r="X81" s="138">
        <v>3438769</v>
      </c>
      <c r="Y81" s="138">
        <f t="shared" si="65"/>
        <v>653366.11</v>
      </c>
      <c r="Z81" s="138">
        <f t="shared" si="66"/>
        <v>4092135.11</v>
      </c>
      <c r="AA81" s="139">
        <f t="shared" si="79"/>
        <v>4092135.11</v>
      </c>
      <c r="AB81" s="152">
        <f t="shared" si="67"/>
        <v>1596638.6554621849</v>
      </c>
      <c r="AC81" s="125">
        <f t="shared" si="68"/>
        <v>303361.34453781508</v>
      </c>
      <c r="AD81" s="153">
        <v>1900000</v>
      </c>
      <c r="AE81" s="183">
        <f t="shared" si="69"/>
        <v>1900000</v>
      </c>
      <c r="AF81" s="185">
        <f t="shared" si="70"/>
        <v>2957940.752485862</v>
      </c>
      <c r="AG81" s="183">
        <f t="shared" si="71"/>
        <v>3519949.4954581759</v>
      </c>
      <c r="AH81" s="185">
        <f t="shared" si="74"/>
        <v>2797448.6170666981</v>
      </c>
      <c r="AI81" s="154">
        <f t="shared" si="75"/>
        <v>3328963.8543093703</v>
      </c>
    </row>
    <row r="82" spans="3:35" ht="51.75" thickBot="1">
      <c r="C82" s="16" t="s">
        <v>235</v>
      </c>
      <c r="D82" s="14" t="s">
        <v>243</v>
      </c>
      <c r="E82" s="17" t="s">
        <v>15</v>
      </c>
      <c r="F82" s="14" t="s">
        <v>4</v>
      </c>
      <c r="G82" s="39">
        <v>4</v>
      </c>
      <c r="H82" s="142">
        <v>3338403</v>
      </c>
      <c r="I82" s="143">
        <f t="shared" si="58"/>
        <v>634296.57000000007</v>
      </c>
      <c r="J82" s="143">
        <f t="shared" si="59"/>
        <v>3972699.5700000003</v>
      </c>
      <c r="K82" s="144">
        <f t="shared" si="60"/>
        <v>15890798.280000001</v>
      </c>
      <c r="L82" s="145">
        <v>2235000</v>
      </c>
      <c r="M82" s="146">
        <f t="shared" si="61"/>
        <v>424650</v>
      </c>
      <c r="N82" s="146">
        <f t="shared" si="62"/>
        <v>2659650</v>
      </c>
      <c r="O82" s="164">
        <f t="shared" si="76"/>
        <v>10638600</v>
      </c>
      <c r="P82" s="147">
        <v>3629003</v>
      </c>
      <c r="Q82" s="143">
        <f t="shared" si="63"/>
        <v>689510.57000000007</v>
      </c>
      <c r="R82" s="143">
        <f t="shared" si="64"/>
        <v>4318513.57</v>
      </c>
      <c r="S82" s="141">
        <f t="shared" si="77"/>
        <v>17274054.280000001</v>
      </c>
      <c r="T82" s="143">
        <v>3385825</v>
      </c>
      <c r="U82" s="143">
        <f t="shared" si="72"/>
        <v>643306.75</v>
      </c>
      <c r="V82" s="143">
        <f t="shared" si="73"/>
        <v>4029131.75</v>
      </c>
      <c r="W82" s="141">
        <f t="shared" si="78"/>
        <v>16116527</v>
      </c>
      <c r="X82" s="143">
        <v>3269943</v>
      </c>
      <c r="Y82" s="143">
        <f t="shared" si="65"/>
        <v>621289.17000000004</v>
      </c>
      <c r="Z82" s="143">
        <f t="shared" si="66"/>
        <v>3891232.17</v>
      </c>
      <c r="AA82" s="139">
        <f t="shared" si="79"/>
        <v>15564928.68</v>
      </c>
      <c r="AB82" s="155">
        <f t="shared" si="67"/>
        <v>3784285.7142857146</v>
      </c>
      <c r="AC82" s="126">
        <f t="shared" si="68"/>
        <v>719014.28571428545</v>
      </c>
      <c r="AD82" s="156">
        <v>4503300</v>
      </c>
      <c r="AE82" s="184">
        <f t="shared" si="69"/>
        <v>18013200</v>
      </c>
      <c r="AF82" s="199">
        <f t="shared" si="70"/>
        <v>3229475.8217514032</v>
      </c>
      <c r="AG82" s="207">
        <f t="shared" si="71"/>
        <v>3843076.2278841692</v>
      </c>
      <c r="AH82" s="186">
        <f t="shared" si="74"/>
        <v>3178058.8953232327</v>
      </c>
      <c r="AI82" s="157">
        <f t="shared" si="75"/>
        <v>3781890.0854346473</v>
      </c>
    </row>
    <row r="83" spans="3:35" ht="13.15" customHeight="1" thickBot="1">
      <c r="C83" s="407" t="s">
        <v>226</v>
      </c>
      <c r="D83" s="408"/>
      <c r="E83" s="408"/>
      <c r="F83" s="408"/>
      <c r="G83" s="409"/>
      <c r="H83" s="158">
        <f t="shared" ref="H83:J83" si="80">SUM(H73:H82)</f>
        <v>24680564</v>
      </c>
      <c r="I83" s="158">
        <f t="shared" si="80"/>
        <v>4689307.16</v>
      </c>
      <c r="J83" s="158">
        <f t="shared" si="80"/>
        <v>29369871.160000004</v>
      </c>
      <c r="K83" s="158">
        <f>SUM(K73:K82)</f>
        <v>54284715.520000003</v>
      </c>
      <c r="L83" s="158">
        <f t="shared" ref="L83:N83" si="81">SUM(L73:L82)</f>
        <v>26251221.428571425</v>
      </c>
      <c r="M83" s="158">
        <f t="shared" si="81"/>
        <v>4987732.0714285718</v>
      </c>
      <c r="N83" s="158">
        <f t="shared" si="81"/>
        <v>31238953.5</v>
      </c>
      <c r="O83" s="158">
        <f>SUM(O73:O82)</f>
        <v>52741879.5</v>
      </c>
      <c r="P83" s="158">
        <f t="shared" ref="P83:R83" si="82">SUM(P73:P82)</f>
        <v>26424644</v>
      </c>
      <c r="Q83" s="158">
        <f t="shared" si="82"/>
        <v>5020682.3599999994</v>
      </c>
      <c r="R83" s="158">
        <f t="shared" si="82"/>
        <v>31445326.359999999</v>
      </c>
      <c r="S83" s="158">
        <f>SUM(S73:S82)</f>
        <v>58873199.629999995</v>
      </c>
      <c r="T83" s="158">
        <f t="shared" ref="T83:V83" si="83">SUM(T73:T82)</f>
        <v>26042124</v>
      </c>
      <c r="U83" s="158">
        <f t="shared" si="83"/>
        <v>4948003.5600000005</v>
      </c>
      <c r="V83" s="158">
        <f t="shared" si="83"/>
        <v>30990127.559999995</v>
      </c>
      <c r="W83" s="158">
        <f>SUM(W73:W82)</f>
        <v>56460536.509999998</v>
      </c>
      <c r="X83" s="158">
        <f t="shared" ref="X83:Z83" si="84">SUM(X73:X82)</f>
        <v>24767301</v>
      </c>
      <c r="Y83" s="158">
        <f t="shared" si="84"/>
        <v>4705787.1900000004</v>
      </c>
      <c r="Z83" s="158">
        <f t="shared" si="84"/>
        <v>29473088.190000005</v>
      </c>
      <c r="AA83" s="158">
        <f>SUM(AA73:AA82)</f>
        <v>54369450.660000004</v>
      </c>
      <c r="AB83" s="158">
        <f t="shared" ref="AB83:AD83" si="85">SUM(AB73:AB82)</f>
        <v>20267000.000000004</v>
      </c>
      <c r="AC83" s="158">
        <f t="shared" si="85"/>
        <v>3850729.9999999986</v>
      </c>
      <c r="AD83" s="158">
        <f t="shared" si="85"/>
        <v>24117730</v>
      </c>
      <c r="AE83" s="198">
        <f>SUM(AE73:AE82)</f>
        <v>49065400</v>
      </c>
      <c r="AF83" s="200">
        <f t="shared" ref="AF83:AG83" si="86">SUM(AF73:AF82)</f>
        <v>24120597.117166143</v>
      </c>
      <c r="AG83" s="201">
        <f t="shared" si="86"/>
        <v>28703510.56942771</v>
      </c>
      <c r="AH83" s="194">
        <f>SUM(AH73:AH82)</f>
        <v>23406526.954904839</v>
      </c>
      <c r="AI83" s="206">
        <f>SUM(AI73:AI82)</f>
        <v>27853767.076336756</v>
      </c>
    </row>
    <row r="84" spans="3:35" ht="13.5" customHeight="1" thickBot="1">
      <c r="C84" s="388" t="s">
        <v>244</v>
      </c>
      <c r="D84" s="389"/>
      <c r="E84" s="389"/>
      <c r="F84" s="389"/>
      <c r="G84" s="389"/>
      <c r="H84" s="389"/>
      <c r="I84" s="389"/>
      <c r="J84" s="389"/>
      <c r="K84" s="389"/>
      <c r="L84" s="389"/>
      <c r="M84" s="389"/>
      <c r="N84" s="389"/>
      <c r="O84" s="389"/>
      <c r="P84" s="389"/>
      <c r="Q84" s="389"/>
      <c r="R84" s="389"/>
      <c r="S84" s="389"/>
      <c r="T84" s="389"/>
      <c r="U84" s="389"/>
      <c r="V84" s="389"/>
      <c r="W84" s="389"/>
      <c r="X84" s="389"/>
      <c r="Y84" s="389"/>
      <c r="Z84" s="389"/>
      <c r="AA84" s="389"/>
      <c r="AB84" s="389"/>
      <c r="AC84" s="389"/>
      <c r="AD84" s="389"/>
      <c r="AE84" s="389"/>
      <c r="AF84" s="419"/>
      <c r="AG84" s="419"/>
      <c r="AH84" s="389"/>
      <c r="AI84" s="420"/>
    </row>
    <row r="85" spans="3:35" ht="39" thickBot="1">
      <c r="C85" s="59" t="s">
        <v>95</v>
      </c>
      <c r="D85" s="60" t="s">
        <v>96</v>
      </c>
      <c r="E85" s="59" t="s">
        <v>94</v>
      </c>
      <c r="F85" s="61" t="s">
        <v>292</v>
      </c>
      <c r="G85" s="62" t="s">
        <v>0</v>
      </c>
      <c r="H85" s="59" t="s">
        <v>293</v>
      </c>
      <c r="I85" s="61" t="s">
        <v>294</v>
      </c>
      <c r="J85" s="61" t="s">
        <v>295</v>
      </c>
      <c r="K85" s="63" t="s">
        <v>296</v>
      </c>
      <c r="L85" s="59" t="s">
        <v>293</v>
      </c>
      <c r="M85" s="61" t="s">
        <v>294</v>
      </c>
      <c r="N85" s="61" t="s">
        <v>295</v>
      </c>
      <c r="O85" s="63" t="s">
        <v>296</v>
      </c>
      <c r="P85" s="59" t="s">
        <v>293</v>
      </c>
      <c r="Q85" s="61" t="s">
        <v>294</v>
      </c>
      <c r="R85" s="61" t="s">
        <v>295</v>
      </c>
      <c r="S85" s="63" t="s">
        <v>296</v>
      </c>
      <c r="T85" s="59" t="s">
        <v>293</v>
      </c>
      <c r="U85" s="61" t="s">
        <v>294</v>
      </c>
      <c r="V85" s="61" t="s">
        <v>295</v>
      </c>
      <c r="W85" s="63" t="s">
        <v>296</v>
      </c>
      <c r="X85" s="59" t="s">
        <v>293</v>
      </c>
      <c r="Y85" s="61" t="s">
        <v>294</v>
      </c>
      <c r="Z85" s="61" t="s">
        <v>295</v>
      </c>
      <c r="AA85" s="115" t="s">
        <v>296</v>
      </c>
      <c r="AB85" s="32" t="s">
        <v>293</v>
      </c>
      <c r="AC85" s="33" t="s">
        <v>294</v>
      </c>
      <c r="AD85" s="33" t="s">
        <v>295</v>
      </c>
      <c r="AE85" s="51" t="s">
        <v>296</v>
      </c>
      <c r="AF85" s="6" t="s">
        <v>293</v>
      </c>
      <c r="AG85" s="8" t="s">
        <v>295</v>
      </c>
      <c r="AH85" s="32" t="s">
        <v>293</v>
      </c>
      <c r="AI85" s="51" t="s">
        <v>295</v>
      </c>
    </row>
    <row r="86" spans="3:35" ht="30" customHeight="1">
      <c r="C86" s="9" t="s">
        <v>245</v>
      </c>
      <c r="D86" s="10" t="s">
        <v>268</v>
      </c>
      <c r="E86" s="13" t="s">
        <v>73</v>
      </c>
      <c r="F86" s="10" t="s">
        <v>4</v>
      </c>
      <c r="G86" s="40">
        <v>2</v>
      </c>
      <c r="H86" s="159">
        <v>60726</v>
      </c>
      <c r="I86" s="165">
        <f t="shared" ref="I86:I108" si="87">H86*19%</f>
        <v>11537.94</v>
      </c>
      <c r="J86" s="165">
        <f t="shared" ref="J86:J108" si="88">H86+I86</f>
        <v>72263.94</v>
      </c>
      <c r="K86" s="166">
        <f t="shared" ref="K86:K108" si="89">G86*J86</f>
        <v>144527.88</v>
      </c>
      <c r="L86" s="167">
        <v>29513.44537815126</v>
      </c>
      <c r="M86" s="168">
        <f>+N86-L86</f>
        <v>5607.5546218487398</v>
      </c>
      <c r="N86" s="136">
        <v>35121</v>
      </c>
      <c r="O86" s="228">
        <f>+G86*N86</f>
        <v>70242</v>
      </c>
      <c r="P86" s="169">
        <v>56844</v>
      </c>
      <c r="Q86" s="165">
        <f t="shared" ref="Q86:Q108" si="90">+P86*0.19</f>
        <v>10800.36</v>
      </c>
      <c r="R86" s="165">
        <f t="shared" ref="R86:R108" si="91">+P86+Q86</f>
        <v>67644.36</v>
      </c>
      <c r="S86" s="170">
        <f>+G86*R86</f>
        <v>135288.72</v>
      </c>
      <c r="T86" s="165">
        <v>64891</v>
      </c>
      <c r="U86" s="165">
        <f>T86*19%</f>
        <v>12329.29</v>
      </c>
      <c r="V86" s="165">
        <f>T86+U86</f>
        <v>77220.290000000008</v>
      </c>
      <c r="W86" s="170">
        <f>+G86*V86</f>
        <v>154440.58000000002</v>
      </c>
      <c r="X86" s="165">
        <v>62636</v>
      </c>
      <c r="Y86" s="165">
        <f t="shared" ref="Y86:Y108" si="92">+X86*0.19</f>
        <v>11900.84</v>
      </c>
      <c r="Z86" s="165">
        <f t="shared" ref="Z86:Z108" si="93">+X86+Y86</f>
        <v>74536.84</v>
      </c>
      <c r="AA86" s="166">
        <f>+G86*Z86</f>
        <v>149073.68</v>
      </c>
      <c r="AB86" s="148">
        <f t="shared" ref="AB86:AB108" si="94">+AD86/1.19</f>
        <v>30842.857142857145</v>
      </c>
      <c r="AC86" s="127">
        <f t="shared" ref="AC86:AC108" si="95">+AD86-AB86</f>
        <v>5860.1428571428551</v>
      </c>
      <c r="AD86" s="149">
        <v>36703</v>
      </c>
      <c r="AE86" s="182">
        <f t="shared" ref="AE86:AE108" si="96">+G86*AD86</f>
        <v>73406</v>
      </c>
      <c r="AF86" s="203">
        <f t="shared" ref="AF86:AF108" si="97">+GEOMEAN(H86,L86,P86,T86,X86,AB86)</f>
        <v>48347.466044263281</v>
      </c>
      <c r="AG86" s="197">
        <f t="shared" ref="AG86:AG108" si="98">+GEOMEAN(J86,N86,R86,V86,Z86,AD86)</f>
        <v>57533.484592673296</v>
      </c>
      <c r="AH86" s="203">
        <f t="shared" ref="AH86:AH108" si="99">+HARMEAN(H86,L86,P86,T86,X86,AB86)</f>
        <v>45544.110636269928</v>
      </c>
      <c r="AI86" s="161">
        <f t="shared" ref="AI86:AI108" si="100">+HARMEAN(J86,N86,R86,V86,Z86,AD86)</f>
        <v>54197.491657161219</v>
      </c>
    </row>
    <row r="87" spans="3:35" ht="30" customHeight="1">
      <c r="C87" s="2" t="s">
        <v>246</v>
      </c>
      <c r="D87" s="1" t="s">
        <v>270</v>
      </c>
      <c r="E87" s="15" t="s">
        <v>74</v>
      </c>
      <c r="F87" s="1" t="s">
        <v>2</v>
      </c>
      <c r="G87" s="41">
        <v>16</v>
      </c>
      <c r="H87" s="152">
        <v>19234</v>
      </c>
      <c r="I87" s="153">
        <f t="shared" si="87"/>
        <v>3654.46</v>
      </c>
      <c r="J87" s="153">
        <f t="shared" si="88"/>
        <v>22888.46</v>
      </c>
      <c r="K87" s="171">
        <f t="shared" si="89"/>
        <v>366215.36</v>
      </c>
      <c r="L87" s="172">
        <v>8365.0416171224733</v>
      </c>
      <c r="M87" s="173">
        <f t="shared" ref="M87:M108" si="101">+N87-L87</f>
        <v>2890.9583828775267</v>
      </c>
      <c r="N87" s="141">
        <v>11256</v>
      </c>
      <c r="O87" s="229">
        <f t="shared" ref="O87:O108" si="102">+G87*N87</f>
        <v>180096</v>
      </c>
      <c r="P87" s="174">
        <v>18274</v>
      </c>
      <c r="Q87" s="153">
        <f t="shared" si="90"/>
        <v>3472.06</v>
      </c>
      <c r="R87" s="153">
        <f t="shared" si="91"/>
        <v>21746.06</v>
      </c>
      <c r="S87" s="151">
        <f>+G87*R87</f>
        <v>347936.96</v>
      </c>
      <c r="T87" s="153">
        <v>19330</v>
      </c>
      <c r="U87" s="153">
        <f t="shared" ref="U87:U108" si="103">T87*19%</f>
        <v>3672.7</v>
      </c>
      <c r="V87" s="153">
        <f t="shared" ref="V87:V108" si="104">T87+U87</f>
        <v>23002.7</v>
      </c>
      <c r="W87" s="151">
        <f>+G87*V87</f>
        <v>368043.2</v>
      </c>
      <c r="X87" s="153">
        <v>19411</v>
      </c>
      <c r="Y87" s="153">
        <f t="shared" si="92"/>
        <v>3688.09</v>
      </c>
      <c r="Z87" s="153">
        <f t="shared" si="93"/>
        <v>23099.09</v>
      </c>
      <c r="AA87" s="171">
        <f>+G87*Z87</f>
        <v>369585.44</v>
      </c>
      <c r="AB87" s="152">
        <f t="shared" si="94"/>
        <v>9768.0672268907565</v>
      </c>
      <c r="AC87" s="125">
        <f t="shared" si="95"/>
        <v>1855.9327731092435</v>
      </c>
      <c r="AD87" s="153">
        <v>11624</v>
      </c>
      <c r="AE87" s="183">
        <f t="shared" si="96"/>
        <v>185984</v>
      </c>
      <c r="AF87" s="185">
        <f t="shared" si="97"/>
        <v>14861.978326474695</v>
      </c>
      <c r="AG87" s="183">
        <f t="shared" si="98"/>
        <v>18051.71304335992</v>
      </c>
      <c r="AH87" s="185">
        <f t="shared" si="99"/>
        <v>13892.632509818726</v>
      </c>
      <c r="AI87" s="154">
        <f t="shared" si="100"/>
        <v>17078.894270981422</v>
      </c>
    </row>
    <row r="88" spans="3:35" ht="30" customHeight="1">
      <c r="C88" s="2" t="s">
        <v>247</v>
      </c>
      <c r="D88" s="1" t="s">
        <v>271</v>
      </c>
      <c r="E88" s="15" t="s">
        <v>75</v>
      </c>
      <c r="F88" s="1" t="s">
        <v>2</v>
      </c>
      <c r="G88" s="42">
        <v>6.4</v>
      </c>
      <c r="H88" s="152">
        <v>116254</v>
      </c>
      <c r="I88" s="153">
        <f t="shared" si="87"/>
        <v>22088.260000000002</v>
      </c>
      <c r="J88" s="153">
        <f t="shared" si="88"/>
        <v>138342.26</v>
      </c>
      <c r="K88" s="171">
        <f t="shared" si="89"/>
        <v>885390.46400000015</v>
      </c>
      <c r="L88" s="172">
        <v>53914.239001189067</v>
      </c>
      <c r="M88" s="173">
        <f t="shared" si="101"/>
        <v>18632.760998810933</v>
      </c>
      <c r="N88" s="141">
        <v>72547</v>
      </c>
      <c r="O88" s="229">
        <f t="shared" si="102"/>
        <v>464300.80000000005</v>
      </c>
      <c r="P88" s="174">
        <v>111535</v>
      </c>
      <c r="Q88" s="153">
        <f t="shared" si="90"/>
        <v>21191.65</v>
      </c>
      <c r="R88" s="153">
        <f t="shared" si="91"/>
        <v>132726.65</v>
      </c>
      <c r="S88" s="151">
        <f t="shared" ref="S88:S108" si="105">+G88*R88</f>
        <v>849450.56</v>
      </c>
      <c r="T88" s="153">
        <v>117595</v>
      </c>
      <c r="U88" s="153">
        <f t="shared" si="103"/>
        <v>22343.05</v>
      </c>
      <c r="V88" s="153">
        <f t="shared" si="104"/>
        <v>139938.04999999999</v>
      </c>
      <c r="W88" s="151">
        <f t="shared" ref="W88:W108" si="106">+G88*V88</f>
        <v>895603.52</v>
      </c>
      <c r="X88" s="153">
        <v>121116</v>
      </c>
      <c r="Y88" s="153">
        <f t="shared" si="92"/>
        <v>23012.04</v>
      </c>
      <c r="Z88" s="153">
        <f t="shared" si="93"/>
        <v>144128.04</v>
      </c>
      <c r="AA88" s="171">
        <f t="shared" ref="AA88:AA108" si="107">+G88*Z88</f>
        <v>922419.45600000012</v>
      </c>
      <c r="AB88" s="152">
        <f t="shared" si="94"/>
        <v>20035.294117647059</v>
      </c>
      <c r="AC88" s="125">
        <f t="shared" si="95"/>
        <v>3806.7058823529405</v>
      </c>
      <c r="AD88" s="153">
        <v>23842</v>
      </c>
      <c r="AE88" s="183">
        <f t="shared" si="96"/>
        <v>152588.80000000002</v>
      </c>
      <c r="AF88" s="185">
        <f t="shared" si="97"/>
        <v>76439.547762563976</v>
      </c>
      <c r="AG88" s="183">
        <f t="shared" si="98"/>
        <v>92845.296303249124</v>
      </c>
      <c r="AH88" s="185">
        <f t="shared" si="99"/>
        <v>58372.654255646099</v>
      </c>
      <c r="AI88" s="154">
        <f t="shared" si="100"/>
        <v>70943.803054411692</v>
      </c>
    </row>
    <row r="89" spans="3:35" ht="30" customHeight="1">
      <c r="C89" s="2" t="s">
        <v>248</v>
      </c>
      <c r="D89" s="1" t="s">
        <v>269</v>
      </c>
      <c r="E89" s="15" t="s">
        <v>76</v>
      </c>
      <c r="F89" s="1" t="s">
        <v>3</v>
      </c>
      <c r="G89" s="43">
        <v>2.9</v>
      </c>
      <c r="H89" s="152">
        <v>138503</v>
      </c>
      <c r="I89" s="153">
        <f t="shared" si="87"/>
        <v>26315.57</v>
      </c>
      <c r="J89" s="153">
        <f t="shared" si="88"/>
        <v>164818.57</v>
      </c>
      <c r="K89" s="139">
        <f t="shared" si="89"/>
        <v>477973.853</v>
      </c>
      <c r="L89" s="172">
        <v>35078.775267538651</v>
      </c>
      <c r="M89" s="173">
        <f t="shared" si="101"/>
        <v>12123.224732461349</v>
      </c>
      <c r="N89" s="141">
        <v>47202</v>
      </c>
      <c r="O89" s="229">
        <f t="shared" si="102"/>
        <v>136885.79999999999</v>
      </c>
      <c r="P89" s="174">
        <v>129507</v>
      </c>
      <c r="Q89" s="153">
        <f t="shared" si="90"/>
        <v>24606.33</v>
      </c>
      <c r="R89" s="153">
        <f t="shared" si="91"/>
        <v>154113.33000000002</v>
      </c>
      <c r="S89" s="151">
        <f t="shared" si="105"/>
        <v>446928.65700000001</v>
      </c>
      <c r="T89" s="153">
        <v>143879</v>
      </c>
      <c r="U89" s="153">
        <f t="shared" si="103"/>
        <v>27337.010000000002</v>
      </c>
      <c r="V89" s="153">
        <f t="shared" si="104"/>
        <v>171216.01</v>
      </c>
      <c r="W89" s="151">
        <f t="shared" si="106"/>
        <v>496526.429</v>
      </c>
      <c r="X89" s="153">
        <v>141945</v>
      </c>
      <c r="Y89" s="153">
        <f t="shared" si="92"/>
        <v>26969.55</v>
      </c>
      <c r="Z89" s="153">
        <f t="shared" si="93"/>
        <v>168914.55</v>
      </c>
      <c r="AA89" s="171">
        <f t="shared" si="107"/>
        <v>489852.19499999995</v>
      </c>
      <c r="AB89" s="152">
        <f t="shared" si="94"/>
        <v>70344.537815126052</v>
      </c>
      <c r="AC89" s="125">
        <f t="shared" si="95"/>
        <v>13365.462184873948</v>
      </c>
      <c r="AD89" s="153">
        <v>83710</v>
      </c>
      <c r="AE89" s="183">
        <f t="shared" si="96"/>
        <v>242759</v>
      </c>
      <c r="AF89" s="185">
        <f t="shared" si="97"/>
        <v>98331.075508372815</v>
      </c>
      <c r="AG89" s="183">
        <f t="shared" si="98"/>
        <v>119435.26758884381</v>
      </c>
      <c r="AH89" s="185">
        <f t="shared" si="99"/>
        <v>83728.802078577879</v>
      </c>
      <c r="AI89" s="154">
        <f t="shared" si="100"/>
        <v>104441.7612960354</v>
      </c>
    </row>
    <row r="90" spans="3:35" ht="30" customHeight="1">
      <c r="C90" s="2" t="s">
        <v>249</v>
      </c>
      <c r="D90" s="1" t="s">
        <v>272</v>
      </c>
      <c r="E90" s="15" t="s">
        <v>77</v>
      </c>
      <c r="F90" s="1" t="s">
        <v>3</v>
      </c>
      <c r="G90" s="43">
        <v>3.8</v>
      </c>
      <c r="H90" s="152">
        <v>357211</v>
      </c>
      <c r="I90" s="153">
        <f t="shared" si="87"/>
        <v>67870.09</v>
      </c>
      <c r="J90" s="153">
        <f t="shared" si="88"/>
        <v>425081.08999999997</v>
      </c>
      <c r="K90" s="139">
        <f t="shared" si="89"/>
        <v>1615308.1419999998</v>
      </c>
      <c r="L90" s="172">
        <v>84134.215219976235</v>
      </c>
      <c r="M90" s="173">
        <f t="shared" si="101"/>
        <v>29076.784780023765</v>
      </c>
      <c r="N90" s="141">
        <v>113211</v>
      </c>
      <c r="O90" s="229">
        <f t="shared" si="102"/>
        <v>430201.8</v>
      </c>
      <c r="P90" s="174">
        <v>341911</v>
      </c>
      <c r="Q90" s="153">
        <f t="shared" si="90"/>
        <v>64963.090000000004</v>
      </c>
      <c r="R90" s="153">
        <f t="shared" si="91"/>
        <v>406874.09</v>
      </c>
      <c r="S90" s="151">
        <f t="shared" si="105"/>
        <v>1546121.5420000001</v>
      </c>
      <c r="T90" s="153">
        <v>356323</v>
      </c>
      <c r="U90" s="153">
        <f t="shared" si="103"/>
        <v>67701.37</v>
      </c>
      <c r="V90" s="153">
        <f t="shared" si="104"/>
        <v>424024.37</v>
      </c>
      <c r="W90" s="151">
        <f t="shared" si="106"/>
        <v>1611292.6059999999</v>
      </c>
      <c r="X90" s="153">
        <v>368220</v>
      </c>
      <c r="Y90" s="153">
        <f t="shared" si="92"/>
        <v>69961.8</v>
      </c>
      <c r="Z90" s="153">
        <f t="shared" si="93"/>
        <v>438181.8</v>
      </c>
      <c r="AA90" s="171">
        <f t="shared" si="107"/>
        <v>1665090.8399999999</v>
      </c>
      <c r="AB90" s="152">
        <f t="shared" si="94"/>
        <v>181426.05042016809</v>
      </c>
      <c r="AC90" s="125">
        <f t="shared" si="95"/>
        <v>34470.949579831911</v>
      </c>
      <c r="AD90" s="153">
        <v>215897</v>
      </c>
      <c r="AE90" s="183">
        <f t="shared" si="96"/>
        <v>820408.6</v>
      </c>
      <c r="AF90" s="185">
        <f t="shared" si="97"/>
        <v>250078.81546870826</v>
      </c>
      <c r="AG90" s="183">
        <f t="shared" si="98"/>
        <v>303751.688765603</v>
      </c>
      <c r="AH90" s="185">
        <f t="shared" si="99"/>
        <v>209467.42317659067</v>
      </c>
      <c r="AI90" s="154">
        <f t="shared" si="100"/>
        <v>261829.56723234063</v>
      </c>
    </row>
    <row r="91" spans="3:35" ht="30" customHeight="1">
      <c r="C91" s="2" t="s">
        <v>250</v>
      </c>
      <c r="D91" s="1" t="s">
        <v>273</v>
      </c>
      <c r="E91" s="15" t="s">
        <v>89</v>
      </c>
      <c r="F91" s="1" t="s">
        <v>3</v>
      </c>
      <c r="G91" s="43">
        <v>3.37</v>
      </c>
      <c r="H91" s="152">
        <v>2488603</v>
      </c>
      <c r="I91" s="153">
        <f t="shared" si="87"/>
        <v>472834.57</v>
      </c>
      <c r="J91" s="153">
        <f t="shared" si="88"/>
        <v>2961437.57</v>
      </c>
      <c r="K91" s="139">
        <f t="shared" si="89"/>
        <v>9980044.6108999997</v>
      </c>
      <c r="L91" s="172">
        <v>817479.19143876352</v>
      </c>
      <c r="M91" s="173">
        <f t="shared" si="101"/>
        <v>282520.80856123648</v>
      </c>
      <c r="N91" s="141">
        <v>1100000</v>
      </c>
      <c r="O91" s="229">
        <f t="shared" si="102"/>
        <v>3707000</v>
      </c>
      <c r="P91" s="174">
        <v>2496916</v>
      </c>
      <c r="Q91" s="153">
        <f t="shared" si="90"/>
        <v>474414.04</v>
      </c>
      <c r="R91" s="153">
        <f t="shared" si="91"/>
        <v>2971330.04</v>
      </c>
      <c r="S91" s="151">
        <f t="shared" si="105"/>
        <v>10013382.2348</v>
      </c>
      <c r="T91" s="153">
        <v>2542459</v>
      </c>
      <c r="U91" s="153">
        <f t="shared" si="103"/>
        <v>483067.21</v>
      </c>
      <c r="V91" s="153">
        <f t="shared" si="104"/>
        <v>3025526.21</v>
      </c>
      <c r="W91" s="151">
        <f t="shared" si="106"/>
        <v>10196023.3277</v>
      </c>
      <c r="X91" s="153">
        <v>2590931</v>
      </c>
      <c r="Y91" s="153">
        <f t="shared" si="92"/>
        <v>492276.89</v>
      </c>
      <c r="Z91" s="153">
        <f t="shared" si="93"/>
        <v>3083207.89</v>
      </c>
      <c r="AA91" s="171">
        <f t="shared" si="107"/>
        <v>10390410.589300001</v>
      </c>
      <c r="AB91" s="152">
        <f t="shared" si="94"/>
        <v>1122689.0756302522</v>
      </c>
      <c r="AC91" s="125">
        <f t="shared" si="95"/>
        <v>213310.92436974775</v>
      </c>
      <c r="AD91" s="153">
        <v>1336000</v>
      </c>
      <c r="AE91" s="183">
        <f t="shared" si="96"/>
        <v>4502320</v>
      </c>
      <c r="AF91" s="185">
        <f t="shared" si="97"/>
        <v>1830069.5441240002</v>
      </c>
      <c r="AG91" s="183">
        <f t="shared" si="98"/>
        <v>2222846.0797220911</v>
      </c>
      <c r="AH91" s="185">
        <f t="shared" si="99"/>
        <v>1623552.8291338705</v>
      </c>
      <c r="AI91" s="154">
        <f t="shared" si="100"/>
        <v>2008922.3590602034</v>
      </c>
    </row>
    <row r="92" spans="3:35" ht="30" customHeight="1">
      <c r="C92" s="2" t="s">
        <v>251</v>
      </c>
      <c r="D92" s="11" t="s">
        <v>274</v>
      </c>
      <c r="E92" s="15" t="s">
        <v>78</v>
      </c>
      <c r="F92" s="1" t="s">
        <v>4</v>
      </c>
      <c r="G92" s="41">
        <v>2</v>
      </c>
      <c r="H92" s="152">
        <v>774984</v>
      </c>
      <c r="I92" s="153">
        <f t="shared" si="87"/>
        <v>147246.96</v>
      </c>
      <c r="J92" s="153">
        <f t="shared" si="88"/>
        <v>922230.96</v>
      </c>
      <c r="K92" s="171">
        <f t="shared" si="89"/>
        <v>1844461.92</v>
      </c>
      <c r="L92" s="172">
        <v>321587.39595719386</v>
      </c>
      <c r="M92" s="173">
        <f t="shared" si="101"/>
        <v>111140.60404280614</v>
      </c>
      <c r="N92" s="141">
        <v>432728</v>
      </c>
      <c r="O92" s="229">
        <f t="shared" si="102"/>
        <v>865456</v>
      </c>
      <c r="P92" s="174">
        <v>744300</v>
      </c>
      <c r="Q92" s="153">
        <f t="shared" si="90"/>
        <v>141417</v>
      </c>
      <c r="R92" s="153">
        <f t="shared" si="91"/>
        <v>885717</v>
      </c>
      <c r="S92" s="151">
        <f t="shared" si="105"/>
        <v>1771434</v>
      </c>
      <c r="T92" s="153">
        <v>799211</v>
      </c>
      <c r="U92" s="153">
        <f t="shared" si="103"/>
        <v>151850.09</v>
      </c>
      <c r="V92" s="153">
        <f t="shared" si="104"/>
        <v>951061.09</v>
      </c>
      <c r="W92" s="151">
        <f t="shared" si="106"/>
        <v>1902122.18</v>
      </c>
      <c r="X92" s="153">
        <v>783083</v>
      </c>
      <c r="Y92" s="153">
        <f t="shared" si="92"/>
        <v>148785.76999999999</v>
      </c>
      <c r="Z92" s="153">
        <f t="shared" si="93"/>
        <v>931868.77</v>
      </c>
      <c r="AA92" s="171">
        <f t="shared" si="107"/>
        <v>1863737.54</v>
      </c>
      <c r="AB92" s="152">
        <f t="shared" si="94"/>
        <v>385209.24369747902</v>
      </c>
      <c r="AC92" s="125">
        <f t="shared" si="95"/>
        <v>73189.756302520982</v>
      </c>
      <c r="AD92" s="153">
        <v>458399</v>
      </c>
      <c r="AE92" s="183">
        <f t="shared" si="96"/>
        <v>916798</v>
      </c>
      <c r="AF92" s="185">
        <f t="shared" si="97"/>
        <v>595777.75991959102</v>
      </c>
      <c r="AG92" s="183">
        <f t="shared" si="98"/>
        <v>723645.86486618221</v>
      </c>
      <c r="AH92" s="185">
        <f t="shared" si="99"/>
        <v>552094.85786162061</v>
      </c>
      <c r="AI92" s="154">
        <f t="shared" si="100"/>
        <v>679474.64045354421</v>
      </c>
    </row>
    <row r="93" spans="3:35" ht="30" customHeight="1">
      <c r="C93" s="2" t="s">
        <v>252</v>
      </c>
      <c r="D93" s="11" t="s">
        <v>275</v>
      </c>
      <c r="E93" s="15" t="s">
        <v>79</v>
      </c>
      <c r="F93" s="20" t="s">
        <v>1</v>
      </c>
      <c r="G93" s="41">
        <v>35</v>
      </c>
      <c r="H93" s="152">
        <v>22421</v>
      </c>
      <c r="I93" s="153">
        <f t="shared" si="87"/>
        <v>4259.99</v>
      </c>
      <c r="J93" s="153">
        <f t="shared" si="88"/>
        <v>26680.989999999998</v>
      </c>
      <c r="K93" s="171">
        <f t="shared" si="89"/>
        <v>933834.64999999991</v>
      </c>
      <c r="L93" s="172">
        <v>14198.870392390016</v>
      </c>
      <c r="M93" s="173">
        <f t="shared" si="101"/>
        <v>4907.1296076099843</v>
      </c>
      <c r="N93" s="141">
        <v>19106</v>
      </c>
      <c r="O93" s="229">
        <f t="shared" si="102"/>
        <v>668710</v>
      </c>
      <c r="P93" s="174">
        <v>20655</v>
      </c>
      <c r="Q93" s="153">
        <f t="shared" si="90"/>
        <v>3924.4500000000003</v>
      </c>
      <c r="R93" s="153">
        <f t="shared" si="91"/>
        <v>24579.45</v>
      </c>
      <c r="S93" s="151">
        <f t="shared" si="105"/>
        <v>860280.75</v>
      </c>
      <c r="T93" s="153">
        <v>23298</v>
      </c>
      <c r="U93" s="153">
        <f t="shared" si="103"/>
        <v>4426.62</v>
      </c>
      <c r="V93" s="153">
        <f t="shared" si="104"/>
        <v>27724.62</v>
      </c>
      <c r="W93" s="151">
        <f t="shared" si="106"/>
        <v>970361.7</v>
      </c>
      <c r="X93" s="153">
        <v>23713</v>
      </c>
      <c r="Y93" s="153">
        <f t="shared" si="92"/>
        <v>4505.47</v>
      </c>
      <c r="Z93" s="153">
        <f t="shared" si="93"/>
        <v>28218.47</v>
      </c>
      <c r="AA93" s="171">
        <f t="shared" si="107"/>
        <v>987646.45000000007</v>
      </c>
      <c r="AB93" s="152">
        <f t="shared" si="94"/>
        <v>91099.159663865546</v>
      </c>
      <c r="AC93" s="125">
        <f t="shared" si="95"/>
        <v>17308.840336134454</v>
      </c>
      <c r="AD93" s="153">
        <v>108408</v>
      </c>
      <c r="AE93" s="183">
        <f t="shared" si="96"/>
        <v>3794280</v>
      </c>
      <c r="AF93" s="185">
        <f t="shared" si="97"/>
        <v>26300.191718399765</v>
      </c>
      <c r="AG93" s="183">
        <f t="shared" si="98"/>
        <v>31944.839607266389</v>
      </c>
      <c r="AH93" s="185">
        <f t="shared" si="99"/>
        <v>23120.161433439273</v>
      </c>
      <c r="AI93" s="154">
        <f t="shared" si="100"/>
        <v>28404.375790449929</v>
      </c>
    </row>
    <row r="94" spans="3:35" ht="30" customHeight="1">
      <c r="C94" s="2" t="s">
        <v>253</v>
      </c>
      <c r="D94" s="11" t="s">
        <v>277</v>
      </c>
      <c r="E94" s="15" t="s">
        <v>68</v>
      </c>
      <c r="F94" s="1" t="s">
        <v>4</v>
      </c>
      <c r="G94" s="41">
        <v>3</v>
      </c>
      <c r="H94" s="152">
        <v>89899</v>
      </c>
      <c r="I94" s="153">
        <f t="shared" si="87"/>
        <v>17080.810000000001</v>
      </c>
      <c r="J94" s="153">
        <f t="shared" si="88"/>
        <v>106979.81</v>
      </c>
      <c r="K94" s="171">
        <f t="shared" si="89"/>
        <v>320939.43</v>
      </c>
      <c r="L94" s="172">
        <v>41742.717003567188</v>
      </c>
      <c r="M94" s="173">
        <f t="shared" si="101"/>
        <v>14426.282996432812</v>
      </c>
      <c r="N94" s="141">
        <v>56169</v>
      </c>
      <c r="O94" s="229">
        <f t="shared" si="102"/>
        <v>168507</v>
      </c>
      <c r="P94" s="174">
        <v>88112</v>
      </c>
      <c r="Q94" s="153">
        <f t="shared" si="90"/>
        <v>16741.28</v>
      </c>
      <c r="R94" s="153">
        <f t="shared" si="91"/>
        <v>104853.28</v>
      </c>
      <c r="S94" s="151">
        <f t="shared" si="105"/>
        <v>314559.83999999997</v>
      </c>
      <c r="T94" s="153">
        <v>96037</v>
      </c>
      <c r="U94" s="153">
        <f t="shared" si="103"/>
        <v>18247.03</v>
      </c>
      <c r="V94" s="153">
        <f t="shared" si="104"/>
        <v>114284.03</v>
      </c>
      <c r="W94" s="151">
        <f t="shared" si="106"/>
        <v>342852.08999999997</v>
      </c>
      <c r="X94" s="153">
        <v>93916</v>
      </c>
      <c r="Y94" s="153">
        <f t="shared" si="92"/>
        <v>17844.04</v>
      </c>
      <c r="Z94" s="153">
        <f t="shared" si="93"/>
        <v>111760.04000000001</v>
      </c>
      <c r="AA94" s="171">
        <f t="shared" si="107"/>
        <v>335280.12</v>
      </c>
      <c r="AB94" s="152">
        <f t="shared" si="94"/>
        <v>45659.663865546223</v>
      </c>
      <c r="AC94" s="125">
        <f t="shared" si="95"/>
        <v>8675.336134453777</v>
      </c>
      <c r="AD94" s="153">
        <v>54335</v>
      </c>
      <c r="AE94" s="183">
        <f t="shared" si="96"/>
        <v>163005</v>
      </c>
      <c r="AF94" s="185">
        <f t="shared" si="97"/>
        <v>71726.601294270513</v>
      </c>
      <c r="AG94" s="183">
        <f t="shared" si="98"/>
        <v>87120.839211100305</v>
      </c>
      <c r="AH94" s="185">
        <f t="shared" si="99"/>
        <v>67121.07929825777</v>
      </c>
      <c r="AI94" s="154">
        <f t="shared" si="100"/>
        <v>82428.538935784323</v>
      </c>
    </row>
    <row r="95" spans="3:35" ht="30" customHeight="1">
      <c r="C95" s="2" t="s">
        <v>254</v>
      </c>
      <c r="D95" s="11" t="s">
        <v>278</v>
      </c>
      <c r="E95" s="15" t="s">
        <v>80</v>
      </c>
      <c r="F95" s="1" t="s">
        <v>4</v>
      </c>
      <c r="G95" s="41">
        <v>1</v>
      </c>
      <c r="H95" s="152">
        <v>506958</v>
      </c>
      <c r="I95" s="153">
        <f t="shared" si="87"/>
        <v>96322.02</v>
      </c>
      <c r="J95" s="153">
        <f t="shared" si="88"/>
        <v>603280.02</v>
      </c>
      <c r="K95" s="171">
        <f t="shared" si="89"/>
        <v>603280.02</v>
      </c>
      <c r="L95" s="172">
        <v>213961.0582639715</v>
      </c>
      <c r="M95" s="173">
        <f t="shared" si="101"/>
        <v>73944.941736028501</v>
      </c>
      <c r="N95" s="141">
        <v>287906</v>
      </c>
      <c r="O95" s="229">
        <f t="shared" si="102"/>
        <v>287906</v>
      </c>
      <c r="P95" s="174">
        <v>477095</v>
      </c>
      <c r="Q95" s="153">
        <f t="shared" si="90"/>
        <v>90648.05</v>
      </c>
      <c r="R95" s="153">
        <f t="shared" si="91"/>
        <v>567743.05000000005</v>
      </c>
      <c r="S95" s="151">
        <f t="shared" si="105"/>
        <v>567743.05000000005</v>
      </c>
      <c r="T95" s="153">
        <v>522421</v>
      </c>
      <c r="U95" s="153">
        <f t="shared" si="103"/>
        <v>99259.99</v>
      </c>
      <c r="V95" s="153">
        <f t="shared" si="104"/>
        <v>621680.99</v>
      </c>
      <c r="W95" s="151">
        <f t="shared" si="106"/>
        <v>621680.99</v>
      </c>
      <c r="X95" s="153">
        <v>502834</v>
      </c>
      <c r="Y95" s="153">
        <f t="shared" si="92"/>
        <v>95538.46</v>
      </c>
      <c r="Z95" s="153">
        <f t="shared" si="93"/>
        <v>598372.46</v>
      </c>
      <c r="AA95" s="171">
        <f t="shared" si="107"/>
        <v>598372.46</v>
      </c>
      <c r="AB95" s="152">
        <f t="shared" si="94"/>
        <v>136978.99159663866</v>
      </c>
      <c r="AC95" s="125">
        <f t="shared" si="95"/>
        <v>26026.008403361338</v>
      </c>
      <c r="AD95" s="153">
        <v>163005</v>
      </c>
      <c r="AE95" s="183">
        <f t="shared" si="96"/>
        <v>163005</v>
      </c>
      <c r="AF95" s="185">
        <f t="shared" si="97"/>
        <v>350753.32900105923</v>
      </c>
      <c r="AG95" s="183">
        <f t="shared" si="98"/>
        <v>426033.35202361521</v>
      </c>
      <c r="AH95" s="185">
        <f t="shared" si="99"/>
        <v>300818.24442765192</v>
      </c>
      <c r="AI95" s="154">
        <f t="shared" si="100"/>
        <v>367943.66425969102</v>
      </c>
    </row>
    <row r="96" spans="3:35" ht="30" customHeight="1">
      <c r="C96" s="2" t="s">
        <v>255</v>
      </c>
      <c r="D96" s="11" t="s">
        <v>279</v>
      </c>
      <c r="E96" s="15" t="s">
        <v>81</v>
      </c>
      <c r="F96" s="1" t="s">
        <v>2</v>
      </c>
      <c r="G96" s="43">
        <v>48.6</v>
      </c>
      <c r="H96" s="152">
        <v>89959</v>
      </c>
      <c r="I96" s="153">
        <f t="shared" si="87"/>
        <v>17092.21</v>
      </c>
      <c r="J96" s="153">
        <f t="shared" si="88"/>
        <v>107051.20999999999</v>
      </c>
      <c r="K96" s="139">
        <f t="shared" si="89"/>
        <v>5202688.8059999999</v>
      </c>
      <c r="L96" s="172">
        <v>40735.731272294892</v>
      </c>
      <c r="M96" s="173">
        <f t="shared" si="101"/>
        <v>14078.268727705108</v>
      </c>
      <c r="N96" s="141">
        <v>54814</v>
      </c>
      <c r="O96" s="229">
        <f t="shared" si="102"/>
        <v>2663960.4</v>
      </c>
      <c r="P96" s="174">
        <v>86625</v>
      </c>
      <c r="Q96" s="153">
        <f t="shared" si="90"/>
        <v>16458.75</v>
      </c>
      <c r="R96" s="153">
        <f t="shared" si="91"/>
        <v>103083.75</v>
      </c>
      <c r="S96" s="151">
        <f t="shared" si="105"/>
        <v>5009870.25</v>
      </c>
      <c r="T96" s="153">
        <v>92443</v>
      </c>
      <c r="U96" s="153">
        <f t="shared" si="103"/>
        <v>17564.170000000002</v>
      </c>
      <c r="V96" s="153">
        <f t="shared" si="104"/>
        <v>110007.17</v>
      </c>
      <c r="W96" s="151">
        <f t="shared" si="106"/>
        <v>5346348.4620000003</v>
      </c>
      <c r="X96" s="153">
        <v>92906</v>
      </c>
      <c r="Y96" s="153">
        <f t="shared" si="92"/>
        <v>17652.14</v>
      </c>
      <c r="Z96" s="153">
        <f t="shared" si="93"/>
        <v>110558.14</v>
      </c>
      <c r="AA96" s="171">
        <f t="shared" si="107"/>
        <v>5373125.6040000003</v>
      </c>
      <c r="AB96" s="152">
        <f t="shared" si="94"/>
        <v>73624.369747899167</v>
      </c>
      <c r="AC96" s="125">
        <f t="shared" si="95"/>
        <v>13988.630252100833</v>
      </c>
      <c r="AD96" s="153">
        <v>87613</v>
      </c>
      <c r="AE96" s="183">
        <f t="shared" si="96"/>
        <v>4257991.8</v>
      </c>
      <c r="AF96" s="185">
        <f t="shared" si="97"/>
        <v>76518.61979449472</v>
      </c>
      <c r="AG96" s="183">
        <f t="shared" si="98"/>
        <v>92941.339077556375</v>
      </c>
      <c r="AH96" s="185">
        <f t="shared" si="99"/>
        <v>72840.141285659338</v>
      </c>
      <c r="AI96" s="154">
        <f t="shared" si="100"/>
        <v>89773.522963226889</v>
      </c>
    </row>
    <row r="97" spans="3:35" ht="30" customHeight="1">
      <c r="C97" s="2" t="s">
        <v>256</v>
      </c>
      <c r="D97" s="1" t="s">
        <v>276</v>
      </c>
      <c r="E97" s="15" t="s">
        <v>5</v>
      </c>
      <c r="F97" s="1" t="s">
        <v>2</v>
      </c>
      <c r="G97" s="43">
        <v>48.6</v>
      </c>
      <c r="H97" s="152">
        <v>33121</v>
      </c>
      <c r="I97" s="153">
        <f t="shared" si="87"/>
        <v>6292.99</v>
      </c>
      <c r="J97" s="153">
        <f t="shared" si="88"/>
        <v>39413.99</v>
      </c>
      <c r="K97" s="139">
        <f t="shared" si="89"/>
        <v>1915519.9139999999</v>
      </c>
      <c r="L97" s="172">
        <v>14170.630202140312</v>
      </c>
      <c r="M97" s="173">
        <f t="shared" si="101"/>
        <v>4897.3697978596883</v>
      </c>
      <c r="N97" s="141">
        <v>19068</v>
      </c>
      <c r="O97" s="229">
        <f t="shared" si="102"/>
        <v>926704.8</v>
      </c>
      <c r="P97" s="174">
        <v>32030</v>
      </c>
      <c r="Q97" s="153">
        <f t="shared" si="90"/>
        <v>6085.7</v>
      </c>
      <c r="R97" s="153">
        <f t="shared" si="91"/>
        <v>38115.699999999997</v>
      </c>
      <c r="S97" s="151">
        <f t="shared" si="105"/>
        <v>1852423.02</v>
      </c>
      <c r="T97" s="153">
        <v>35146</v>
      </c>
      <c r="U97" s="153">
        <f t="shared" si="103"/>
        <v>6677.74</v>
      </c>
      <c r="V97" s="153">
        <f t="shared" si="104"/>
        <v>41823.74</v>
      </c>
      <c r="W97" s="151">
        <f t="shared" si="106"/>
        <v>2032633.764</v>
      </c>
      <c r="X97" s="153">
        <v>33866</v>
      </c>
      <c r="Y97" s="153">
        <f t="shared" si="92"/>
        <v>6434.54</v>
      </c>
      <c r="Z97" s="153">
        <f t="shared" si="93"/>
        <v>40300.54</v>
      </c>
      <c r="AA97" s="171">
        <f t="shared" si="107"/>
        <v>1958606.2440000002</v>
      </c>
      <c r="AB97" s="152">
        <f t="shared" si="94"/>
        <v>16319.327731092437</v>
      </c>
      <c r="AC97" s="125">
        <f t="shared" si="95"/>
        <v>3100.6722689075632</v>
      </c>
      <c r="AD97" s="153">
        <v>19420</v>
      </c>
      <c r="AE97" s="183">
        <f t="shared" si="96"/>
        <v>943812</v>
      </c>
      <c r="AF97" s="185">
        <f t="shared" si="97"/>
        <v>25757.197191278548</v>
      </c>
      <c r="AG97" s="183">
        <f t="shared" si="98"/>
        <v>31285.305514806696</v>
      </c>
      <c r="AH97" s="185">
        <f t="shared" si="99"/>
        <v>23881.598693096665</v>
      </c>
      <c r="AI97" s="154">
        <f t="shared" si="100"/>
        <v>29373.143404876511</v>
      </c>
    </row>
    <row r="98" spans="3:35" ht="30" customHeight="1">
      <c r="C98" s="2" t="s">
        <v>257</v>
      </c>
      <c r="D98" s="11" t="s">
        <v>280</v>
      </c>
      <c r="E98" s="15" t="s">
        <v>69</v>
      </c>
      <c r="F98" s="20" t="s">
        <v>1</v>
      </c>
      <c r="G98" s="43">
        <v>42.8</v>
      </c>
      <c r="H98" s="152">
        <v>144694</v>
      </c>
      <c r="I98" s="153">
        <f t="shared" si="87"/>
        <v>27491.86</v>
      </c>
      <c r="J98" s="153">
        <f t="shared" si="88"/>
        <v>172185.86</v>
      </c>
      <c r="K98" s="139">
        <f t="shared" si="89"/>
        <v>7369554.8079999993</v>
      </c>
      <c r="L98" s="172">
        <v>37864.149821640909</v>
      </c>
      <c r="M98" s="173">
        <f t="shared" si="101"/>
        <v>13085.850178359091</v>
      </c>
      <c r="N98" s="141">
        <v>50950</v>
      </c>
      <c r="O98" s="229">
        <f t="shared" si="102"/>
        <v>2180660</v>
      </c>
      <c r="P98" s="174">
        <v>133578</v>
      </c>
      <c r="Q98" s="153">
        <f t="shared" si="90"/>
        <v>25379.82</v>
      </c>
      <c r="R98" s="153">
        <f t="shared" si="91"/>
        <v>158957.82</v>
      </c>
      <c r="S98" s="151">
        <f t="shared" si="105"/>
        <v>6803394.6959999995</v>
      </c>
      <c r="T98" s="153">
        <v>151783</v>
      </c>
      <c r="U98" s="153">
        <f t="shared" si="103"/>
        <v>28838.77</v>
      </c>
      <c r="V98" s="153">
        <f t="shared" si="104"/>
        <v>180621.77</v>
      </c>
      <c r="W98" s="151">
        <f t="shared" si="106"/>
        <v>7730611.7559999991</v>
      </c>
      <c r="X98" s="153">
        <v>148967</v>
      </c>
      <c r="Y98" s="153">
        <f t="shared" si="92"/>
        <v>28303.73</v>
      </c>
      <c r="Z98" s="153">
        <f t="shared" si="93"/>
        <v>177270.73</v>
      </c>
      <c r="AA98" s="171">
        <f t="shared" si="107"/>
        <v>7587187.2439999999</v>
      </c>
      <c r="AB98" s="152">
        <f t="shared" si="94"/>
        <v>42694.117647058825</v>
      </c>
      <c r="AC98" s="125">
        <f t="shared" si="95"/>
        <v>8111.8823529411748</v>
      </c>
      <c r="AD98" s="153">
        <v>50806</v>
      </c>
      <c r="AE98" s="183">
        <f t="shared" si="96"/>
        <v>2174496.7999999998</v>
      </c>
      <c r="AF98" s="185">
        <f t="shared" si="97"/>
        <v>94373.302420382854</v>
      </c>
      <c r="AG98" s="183">
        <f t="shared" si="98"/>
        <v>114628.06208055305</v>
      </c>
      <c r="AH98" s="185">
        <f t="shared" si="99"/>
        <v>77388.114930677693</v>
      </c>
      <c r="AI98" s="154">
        <f t="shared" si="100"/>
        <v>95868.123372748349</v>
      </c>
    </row>
    <row r="99" spans="3:35" ht="30" customHeight="1">
      <c r="C99" s="2" t="s">
        <v>258</v>
      </c>
      <c r="D99" s="1" t="s">
        <v>281</v>
      </c>
      <c r="E99" s="15" t="s">
        <v>90</v>
      </c>
      <c r="F99" s="1" t="s">
        <v>2</v>
      </c>
      <c r="G99" s="41">
        <v>28</v>
      </c>
      <c r="H99" s="152">
        <v>239284</v>
      </c>
      <c r="I99" s="153">
        <f t="shared" si="87"/>
        <v>45463.96</v>
      </c>
      <c r="J99" s="153">
        <f t="shared" si="88"/>
        <v>284747.96000000002</v>
      </c>
      <c r="K99" s="171">
        <f t="shared" si="89"/>
        <v>7972942.8800000008</v>
      </c>
      <c r="L99" s="172">
        <v>81747.919143876352</v>
      </c>
      <c r="M99" s="173">
        <f t="shared" si="101"/>
        <v>28252.080856123648</v>
      </c>
      <c r="N99" s="141">
        <v>110000</v>
      </c>
      <c r="O99" s="229">
        <f t="shared" si="102"/>
        <v>3080000</v>
      </c>
      <c r="P99" s="174">
        <v>235390</v>
      </c>
      <c r="Q99" s="153">
        <f t="shared" si="90"/>
        <v>44724.1</v>
      </c>
      <c r="R99" s="153">
        <f t="shared" si="91"/>
        <v>280114.09999999998</v>
      </c>
      <c r="S99" s="151">
        <f t="shared" si="105"/>
        <v>7843194.7999999989</v>
      </c>
      <c r="T99" s="153">
        <v>240915</v>
      </c>
      <c r="U99" s="153">
        <f t="shared" si="103"/>
        <v>45773.85</v>
      </c>
      <c r="V99" s="153">
        <f t="shared" si="104"/>
        <v>286688.84999999998</v>
      </c>
      <c r="W99" s="151">
        <f t="shared" si="106"/>
        <v>8027287.7999999989</v>
      </c>
      <c r="X99" s="153">
        <v>239035</v>
      </c>
      <c r="Y99" s="153">
        <f t="shared" si="92"/>
        <v>45416.65</v>
      </c>
      <c r="Z99" s="153">
        <f t="shared" si="93"/>
        <v>284451.65000000002</v>
      </c>
      <c r="AA99" s="171">
        <f t="shared" si="107"/>
        <v>7964646.2000000011</v>
      </c>
      <c r="AB99" s="152">
        <f t="shared" si="94"/>
        <v>84773.94957983194</v>
      </c>
      <c r="AC99" s="125">
        <f t="shared" si="95"/>
        <v>16107.05042016806</v>
      </c>
      <c r="AD99" s="153">
        <v>100881</v>
      </c>
      <c r="AE99" s="183">
        <f t="shared" si="96"/>
        <v>2824668</v>
      </c>
      <c r="AF99" s="185">
        <f t="shared" si="97"/>
        <v>167994.2259206</v>
      </c>
      <c r="AG99" s="183">
        <f t="shared" si="98"/>
        <v>204049.79018559676</v>
      </c>
      <c r="AH99" s="185">
        <f t="shared" si="99"/>
        <v>147092.94172569196</v>
      </c>
      <c r="AI99" s="154">
        <f t="shared" si="100"/>
        <v>181328.76965703376</v>
      </c>
    </row>
    <row r="100" spans="3:35" ht="30" customHeight="1">
      <c r="C100" s="2" t="s">
        <v>259</v>
      </c>
      <c r="D100" s="11" t="s">
        <v>284</v>
      </c>
      <c r="E100" s="15" t="s">
        <v>82</v>
      </c>
      <c r="F100" s="1" t="s">
        <v>2</v>
      </c>
      <c r="G100" s="41">
        <v>392</v>
      </c>
      <c r="H100" s="152">
        <v>18894</v>
      </c>
      <c r="I100" s="153">
        <f t="shared" si="87"/>
        <v>3589.86</v>
      </c>
      <c r="J100" s="153">
        <f t="shared" si="88"/>
        <v>22483.86</v>
      </c>
      <c r="K100" s="171">
        <f t="shared" si="89"/>
        <v>8813673.120000001</v>
      </c>
      <c r="L100" s="172">
        <v>8683.8585017835921</v>
      </c>
      <c r="M100" s="173">
        <f t="shared" si="101"/>
        <v>3001.1414982164079</v>
      </c>
      <c r="N100" s="141">
        <v>11685</v>
      </c>
      <c r="O100" s="229">
        <f t="shared" si="102"/>
        <v>4580520</v>
      </c>
      <c r="P100" s="174">
        <v>17879</v>
      </c>
      <c r="Q100" s="153">
        <f t="shared" si="90"/>
        <v>3397.01</v>
      </c>
      <c r="R100" s="153">
        <f t="shared" si="91"/>
        <v>21276.010000000002</v>
      </c>
      <c r="S100" s="151">
        <f t="shared" si="105"/>
        <v>8340195.9200000009</v>
      </c>
      <c r="T100" s="153">
        <v>19401</v>
      </c>
      <c r="U100" s="153">
        <f t="shared" si="103"/>
        <v>3686.19</v>
      </c>
      <c r="V100" s="153">
        <f t="shared" si="104"/>
        <v>23087.19</v>
      </c>
      <c r="W100" s="151">
        <f t="shared" si="106"/>
        <v>9050178.4799999986</v>
      </c>
      <c r="X100" s="153">
        <v>19860</v>
      </c>
      <c r="Y100" s="153">
        <f t="shared" si="92"/>
        <v>3773.4</v>
      </c>
      <c r="Z100" s="153">
        <f t="shared" si="93"/>
        <v>23633.4</v>
      </c>
      <c r="AA100" s="171">
        <f t="shared" si="107"/>
        <v>9264292.8000000007</v>
      </c>
      <c r="AB100" s="152">
        <f t="shared" si="94"/>
        <v>9596.6386554621859</v>
      </c>
      <c r="AC100" s="125">
        <f t="shared" si="95"/>
        <v>1823.3613445378141</v>
      </c>
      <c r="AD100" s="153">
        <v>11420</v>
      </c>
      <c r="AE100" s="183">
        <f t="shared" si="96"/>
        <v>4476640</v>
      </c>
      <c r="AF100" s="185">
        <f t="shared" si="97"/>
        <v>14878.200123117058</v>
      </c>
      <c r="AG100" s="183">
        <f t="shared" si="98"/>
        <v>18071.416424134877</v>
      </c>
      <c r="AH100" s="185">
        <f t="shared" si="99"/>
        <v>13949.79224433588</v>
      </c>
      <c r="AI100" s="154">
        <f t="shared" si="100"/>
        <v>17130.612142477741</v>
      </c>
    </row>
    <row r="101" spans="3:35" ht="30" customHeight="1">
      <c r="C101" s="2" t="s">
        <v>260</v>
      </c>
      <c r="D101" s="1" t="s">
        <v>282</v>
      </c>
      <c r="E101" s="15" t="s">
        <v>70</v>
      </c>
      <c r="F101" s="1" t="s">
        <v>2</v>
      </c>
      <c r="G101" s="41">
        <v>125</v>
      </c>
      <c r="H101" s="152">
        <v>45372</v>
      </c>
      <c r="I101" s="153">
        <f t="shared" si="87"/>
        <v>8620.68</v>
      </c>
      <c r="J101" s="153">
        <f t="shared" si="88"/>
        <v>53992.68</v>
      </c>
      <c r="K101" s="171">
        <f t="shared" si="89"/>
        <v>6749085</v>
      </c>
      <c r="L101" s="172">
        <v>24144.619500594534</v>
      </c>
      <c r="M101" s="173">
        <f t="shared" si="101"/>
        <v>8344.3804994054663</v>
      </c>
      <c r="N101" s="141">
        <v>32489</v>
      </c>
      <c r="O101" s="229">
        <f t="shared" si="102"/>
        <v>4061125</v>
      </c>
      <c r="P101" s="174">
        <v>43892</v>
      </c>
      <c r="Q101" s="153">
        <f t="shared" si="90"/>
        <v>8339.48</v>
      </c>
      <c r="R101" s="153">
        <f t="shared" si="91"/>
        <v>52231.479999999996</v>
      </c>
      <c r="S101" s="151">
        <f t="shared" si="105"/>
        <v>6528934.9999999991</v>
      </c>
      <c r="T101" s="153">
        <v>46755</v>
      </c>
      <c r="U101" s="153">
        <f t="shared" si="103"/>
        <v>8883.4500000000007</v>
      </c>
      <c r="V101" s="153">
        <f t="shared" si="104"/>
        <v>55638.45</v>
      </c>
      <c r="W101" s="151">
        <f t="shared" si="106"/>
        <v>6954806.25</v>
      </c>
      <c r="X101" s="153">
        <v>45803</v>
      </c>
      <c r="Y101" s="153">
        <f t="shared" si="92"/>
        <v>8702.57</v>
      </c>
      <c r="Z101" s="153">
        <f t="shared" si="93"/>
        <v>54505.57</v>
      </c>
      <c r="AA101" s="171">
        <f t="shared" si="107"/>
        <v>6813196.25</v>
      </c>
      <c r="AB101" s="152">
        <f t="shared" si="94"/>
        <v>22204.201680672271</v>
      </c>
      <c r="AC101" s="125">
        <f t="shared" si="95"/>
        <v>4218.7983193277287</v>
      </c>
      <c r="AD101" s="153">
        <v>26423</v>
      </c>
      <c r="AE101" s="183">
        <f t="shared" si="96"/>
        <v>3302875</v>
      </c>
      <c r="AF101" s="185">
        <f t="shared" si="97"/>
        <v>36295.975081811514</v>
      </c>
      <c r="AG101" s="183">
        <f t="shared" si="98"/>
        <v>44085.956284745836</v>
      </c>
      <c r="AH101" s="185">
        <f t="shared" si="99"/>
        <v>34384.436144627318</v>
      </c>
      <c r="AI101" s="154">
        <f t="shared" si="100"/>
        <v>42072.205653421384</v>
      </c>
    </row>
    <row r="102" spans="3:35" ht="30" customHeight="1">
      <c r="C102" s="2" t="s">
        <v>261</v>
      </c>
      <c r="D102" s="11" t="s">
        <v>283</v>
      </c>
      <c r="E102" s="15" t="s">
        <v>83</v>
      </c>
      <c r="F102" s="1" t="s">
        <v>2</v>
      </c>
      <c r="G102" s="41">
        <v>137</v>
      </c>
      <c r="H102" s="152">
        <v>10728</v>
      </c>
      <c r="I102" s="153">
        <f t="shared" si="87"/>
        <v>2038.32</v>
      </c>
      <c r="J102" s="153">
        <f t="shared" si="88"/>
        <v>12766.32</v>
      </c>
      <c r="K102" s="171">
        <f t="shared" si="89"/>
        <v>1748985.8399999999</v>
      </c>
      <c r="L102" s="172">
        <v>17022.146254458981</v>
      </c>
      <c r="M102" s="173">
        <f t="shared" si="101"/>
        <v>5882.8537455410187</v>
      </c>
      <c r="N102" s="141">
        <v>22905</v>
      </c>
      <c r="O102" s="229">
        <f t="shared" si="102"/>
        <v>3137985</v>
      </c>
      <c r="P102" s="174">
        <v>10677</v>
      </c>
      <c r="Q102" s="153">
        <f t="shared" si="90"/>
        <v>2028.63</v>
      </c>
      <c r="R102" s="153">
        <f t="shared" si="91"/>
        <v>12705.630000000001</v>
      </c>
      <c r="S102" s="151">
        <f t="shared" si="105"/>
        <v>1740671.31</v>
      </c>
      <c r="T102" s="153">
        <v>11229</v>
      </c>
      <c r="U102" s="153">
        <f t="shared" si="103"/>
        <v>2133.5100000000002</v>
      </c>
      <c r="V102" s="153">
        <f t="shared" si="104"/>
        <v>13362.51</v>
      </c>
      <c r="W102" s="151">
        <f t="shared" si="106"/>
        <v>1830663.87</v>
      </c>
      <c r="X102" s="153">
        <v>10916</v>
      </c>
      <c r="Y102" s="153">
        <f t="shared" si="92"/>
        <v>2074.04</v>
      </c>
      <c r="Z102" s="153">
        <f t="shared" si="93"/>
        <v>12990.04</v>
      </c>
      <c r="AA102" s="171">
        <f t="shared" si="107"/>
        <v>1779635.4800000002</v>
      </c>
      <c r="AB102" s="152">
        <f t="shared" si="94"/>
        <v>23639.495798319327</v>
      </c>
      <c r="AC102" s="125">
        <f t="shared" si="95"/>
        <v>4491.5042016806728</v>
      </c>
      <c r="AD102" s="153">
        <v>28131</v>
      </c>
      <c r="AE102" s="183">
        <f t="shared" si="96"/>
        <v>3853947</v>
      </c>
      <c r="AF102" s="185">
        <f t="shared" si="97"/>
        <v>13345.582178442444</v>
      </c>
      <c r="AG102" s="183">
        <f t="shared" si="98"/>
        <v>16209.862145517329</v>
      </c>
      <c r="AH102" s="185">
        <f t="shared" si="99"/>
        <v>12804.475895997117</v>
      </c>
      <c r="AI102" s="154">
        <f t="shared" si="100"/>
        <v>15461.477400024709</v>
      </c>
    </row>
    <row r="103" spans="3:35" ht="30" customHeight="1">
      <c r="C103" s="2" t="s">
        <v>262</v>
      </c>
      <c r="D103" s="1" t="s">
        <v>285</v>
      </c>
      <c r="E103" s="15" t="s">
        <v>84</v>
      </c>
      <c r="F103" s="1" t="s">
        <v>2</v>
      </c>
      <c r="G103" s="43">
        <v>38.36</v>
      </c>
      <c r="H103" s="152">
        <v>55744</v>
      </c>
      <c r="I103" s="153">
        <f t="shared" si="87"/>
        <v>10591.36</v>
      </c>
      <c r="J103" s="153">
        <f t="shared" si="88"/>
        <v>66335.360000000001</v>
      </c>
      <c r="K103" s="139">
        <f t="shared" si="89"/>
        <v>2544624.4095999999</v>
      </c>
      <c r="L103" s="172">
        <v>24642.538644470871</v>
      </c>
      <c r="M103" s="173">
        <f t="shared" si="101"/>
        <v>8516.4613555291289</v>
      </c>
      <c r="N103" s="141">
        <v>33159</v>
      </c>
      <c r="O103" s="229">
        <f t="shared" si="102"/>
        <v>1271979.24</v>
      </c>
      <c r="P103" s="174">
        <v>53519</v>
      </c>
      <c r="Q103" s="153">
        <f t="shared" si="90"/>
        <v>10168.61</v>
      </c>
      <c r="R103" s="153">
        <f t="shared" si="91"/>
        <v>63687.61</v>
      </c>
      <c r="S103" s="151">
        <f t="shared" si="105"/>
        <v>2443056.7196</v>
      </c>
      <c r="T103" s="153">
        <v>58979</v>
      </c>
      <c r="U103" s="153">
        <f t="shared" si="103"/>
        <v>11206.01</v>
      </c>
      <c r="V103" s="153">
        <f t="shared" si="104"/>
        <v>70185.009999999995</v>
      </c>
      <c r="W103" s="151">
        <f t="shared" si="106"/>
        <v>2692296.9835999999</v>
      </c>
      <c r="X103" s="153">
        <v>57185</v>
      </c>
      <c r="Y103" s="153">
        <f t="shared" si="92"/>
        <v>10865.15</v>
      </c>
      <c r="Z103" s="153">
        <f t="shared" si="93"/>
        <v>68050.149999999994</v>
      </c>
      <c r="AA103" s="171">
        <f t="shared" si="107"/>
        <v>2610403.7539999997</v>
      </c>
      <c r="AB103" s="152">
        <f t="shared" si="94"/>
        <v>26537.81512605042</v>
      </c>
      <c r="AC103" s="125">
        <f t="shared" si="95"/>
        <v>5042.1848739495799</v>
      </c>
      <c r="AD103" s="153">
        <v>31580</v>
      </c>
      <c r="AE103" s="183">
        <f t="shared" si="96"/>
        <v>1211408.8</v>
      </c>
      <c r="AF103" s="185">
        <f t="shared" si="97"/>
        <v>43288.517217276589</v>
      </c>
      <c r="AG103" s="183">
        <f t="shared" si="98"/>
        <v>52579.264598092042</v>
      </c>
      <c r="AH103" s="185">
        <f t="shared" si="99"/>
        <v>40179.816464406016</v>
      </c>
      <c r="AI103" s="154">
        <f t="shared" si="100"/>
        <v>49365.247267413615</v>
      </c>
    </row>
    <row r="104" spans="3:35" ht="30" customHeight="1">
      <c r="C104" s="2" t="s">
        <v>263</v>
      </c>
      <c r="D104" s="11" t="s">
        <v>286</v>
      </c>
      <c r="E104" s="15" t="s">
        <v>71</v>
      </c>
      <c r="F104" s="1" t="s">
        <v>6</v>
      </c>
      <c r="G104" s="41">
        <v>8</v>
      </c>
      <c r="H104" s="152">
        <v>147669</v>
      </c>
      <c r="I104" s="153">
        <f t="shared" si="87"/>
        <v>28057.11</v>
      </c>
      <c r="J104" s="153">
        <f t="shared" si="88"/>
        <v>175726.11</v>
      </c>
      <c r="K104" s="171">
        <f t="shared" si="89"/>
        <v>1405808.88</v>
      </c>
      <c r="L104" s="172">
        <v>62080.112960761013</v>
      </c>
      <c r="M104" s="173">
        <f t="shared" si="101"/>
        <v>21454.887039238987</v>
      </c>
      <c r="N104" s="141">
        <v>83535</v>
      </c>
      <c r="O104" s="229">
        <f t="shared" si="102"/>
        <v>668280</v>
      </c>
      <c r="P104" s="174">
        <v>140599</v>
      </c>
      <c r="Q104" s="153">
        <f t="shared" si="90"/>
        <v>26713.81</v>
      </c>
      <c r="R104" s="153">
        <f t="shared" si="91"/>
        <v>167312.81</v>
      </c>
      <c r="S104" s="151">
        <f t="shared" si="105"/>
        <v>1338502.48</v>
      </c>
      <c r="T104" s="153">
        <v>152597</v>
      </c>
      <c r="U104" s="153">
        <f t="shared" si="103"/>
        <v>28993.43</v>
      </c>
      <c r="V104" s="153">
        <f t="shared" si="104"/>
        <v>181590.43</v>
      </c>
      <c r="W104" s="151">
        <f t="shared" si="106"/>
        <v>1452723.44</v>
      </c>
      <c r="X104" s="153">
        <v>153654</v>
      </c>
      <c r="Y104" s="153">
        <f t="shared" si="92"/>
        <v>29194.260000000002</v>
      </c>
      <c r="Z104" s="153">
        <f t="shared" si="93"/>
        <v>182848.26</v>
      </c>
      <c r="AA104" s="171">
        <f t="shared" si="107"/>
        <v>1462786.08</v>
      </c>
      <c r="AB104" s="152">
        <f t="shared" si="94"/>
        <v>75000.840336134454</v>
      </c>
      <c r="AC104" s="125">
        <f t="shared" si="95"/>
        <v>14250.159663865546</v>
      </c>
      <c r="AD104" s="153">
        <v>89251</v>
      </c>
      <c r="AE104" s="183">
        <f t="shared" si="96"/>
        <v>714008</v>
      </c>
      <c r="AF104" s="185">
        <f t="shared" si="97"/>
        <v>114611.97858311608</v>
      </c>
      <c r="AG104" s="183">
        <f t="shared" si="98"/>
        <v>139210.44044510348</v>
      </c>
      <c r="AH104" s="185">
        <f t="shared" si="99"/>
        <v>106407.37765352432</v>
      </c>
      <c r="AI104" s="154">
        <f t="shared" si="100"/>
        <v>130950.60612575019</v>
      </c>
    </row>
    <row r="105" spans="3:35" ht="30" customHeight="1">
      <c r="C105" s="2" t="s">
        <v>264</v>
      </c>
      <c r="D105" s="11" t="s">
        <v>287</v>
      </c>
      <c r="E105" s="15" t="s">
        <v>85</v>
      </c>
      <c r="F105" s="1" t="s">
        <v>6</v>
      </c>
      <c r="G105" s="41">
        <v>8</v>
      </c>
      <c r="H105" s="152">
        <v>133863</v>
      </c>
      <c r="I105" s="153">
        <f t="shared" si="87"/>
        <v>25433.97</v>
      </c>
      <c r="J105" s="153">
        <f t="shared" si="88"/>
        <v>159296.97</v>
      </c>
      <c r="K105" s="171">
        <f t="shared" si="89"/>
        <v>1274375.76</v>
      </c>
      <c r="L105" s="172">
        <v>60064.655172413797</v>
      </c>
      <c r="M105" s="173">
        <f t="shared" si="101"/>
        <v>20758.344827586203</v>
      </c>
      <c r="N105" s="141">
        <v>80823</v>
      </c>
      <c r="O105" s="229">
        <f t="shared" si="102"/>
        <v>646584</v>
      </c>
      <c r="P105" s="174">
        <v>122777</v>
      </c>
      <c r="Q105" s="153">
        <f t="shared" si="90"/>
        <v>23327.63</v>
      </c>
      <c r="R105" s="153">
        <f t="shared" si="91"/>
        <v>146104.63</v>
      </c>
      <c r="S105" s="151">
        <f t="shared" si="105"/>
        <v>1168837.04</v>
      </c>
      <c r="T105" s="153">
        <v>136923</v>
      </c>
      <c r="U105" s="153">
        <f t="shared" si="103"/>
        <v>26015.37</v>
      </c>
      <c r="V105" s="153">
        <f t="shared" si="104"/>
        <v>162938.37</v>
      </c>
      <c r="W105" s="151">
        <f t="shared" si="106"/>
        <v>1303506.96</v>
      </c>
      <c r="X105" s="153">
        <v>136537</v>
      </c>
      <c r="Y105" s="153">
        <f t="shared" si="92"/>
        <v>25942.03</v>
      </c>
      <c r="Z105" s="153">
        <f t="shared" si="93"/>
        <v>162479.03</v>
      </c>
      <c r="AA105" s="171">
        <f t="shared" si="107"/>
        <v>1299832.24</v>
      </c>
      <c r="AB105" s="152">
        <f t="shared" si="94"/>
        <v>67129.411764705888</v>
      </c>
      <c r="AC105" s="125">
        <f t="shared" si="95"/>
        <v>12754.588235294112</v>
      </c>
      <c r="AD105" s="153">
        <v>79884</v>
      </c>
      <c r="AE105" s="183">
        <f t="shared" si="96"/>
        <v>639072</v>
      </c>
      <c r="AF105" s="185">
        <f t="shared" si="97"/>
        <v>103634.89869202935</v>
      </c>
      <c r="AG105" s="183">
        <f t="shared" si="98"/>
        <v>125877.41762034626</v>
      </c>
      <c r="AH105" s="185">
        <f t="shared" si="99"/>
        <v>97106.398669502887</v>
      </c>
      <c r="AI105" s="154">
        <f t="shared" si="100"/>
        <v>119272.93463913926</v>
      </c>
    </row>
    <row r="106" spans="3:35" ht="30" customHeight="1">
      <c r="C106" s="2" t="s">
        <v>265</v>
      </c>
      <c r="D106" s="11" t="s">
        <v>288</v>
      </c>
      <c r="E106" s="15" t="s">
        <v>86</v>
      </c>
      <c r="F106" s="20" t="s">
        <v>1</v>
      </c>
      <c r="G106" s="41">
        <v>45</v>
      </c>
      <c r="H106" s="152">
        <v>53368</v>
      </c>
      <c r="I106" s="153">
        <f t="shared" si="87"/>
        <v>10139.92</v>
      </c>
      <c r="J106" s="153">
        <f t="shared" si="88"/>
        <v>63507.92</v>
      </c>
      <c r="K106" s="171">
        <f t="shared" si="89"/>
        <v>2857856.4</v>
      </c>
      <c r="L106" s="172">
        <v>23325.653983353153</v>
      </c>
      <c r="M106" s="173">
        <f t="shared" si="101"/>
        <v>8061.3460166468467</v>
      </c>
      <c r="N106" s="141">
        <v>31387</v>
      </c>
      <c r="O106" s="229">
        <f t="shared" si="102"/>
        <v>1412415</v>
      </c>
      <c r="P106" s="174">
        <v>51972</v>
      </c>
      <c r="Q106" s="153">
        <f t="shared" si="90"/>
        <v>9874.68</v>
      </c>
      <c r="R106" s="153">
        <f t="shared" si="91"/>
        <v>61846.68</v>
      </c>
      <c r="S106" s="151">
        <f t="shared" si="105"/>
        <v>2783100.6</v>
      </c>
      <c r="T106" s="153">
        <v>57659</v>
      </c>
      <c r="U106" s="153">
        <f t="shared" si="103"/>
        <v>10955.210000000001</v>
      </c>
      <c r="V106" s="153">
        <f t="shared" si="104"/>
        <v>68614.210000000006</v>
      </c>
      <c r="W106" s="151">
        <f t="shared" si="106"/>
        <v>3087639.45</v>
      </c>
      <c r="X106" s="153">
        <v>55569</v>
      </c>
      <c r="Y106" s="153">
        <f t="shared" si="92"/>
        <v>10558.11</v>
      </c>
      <c r="Z106" s="153">
        <f t="shared" si="93"/>
        <v>66127.11</v>
      </c>
      <c r="AA106" s="171">
        <f t="shared" si="107"/>
        <v>2975719.95</v>
      </c>
      <c r="AB106" s="152">
        <f t="shared" si="94"/>
        <v>27105.882352941178</v>
      </c>
      <c r="AC106" s="125">
        <f t="shared" si="95"/>
        <v>5150.1176470588216</v>
      </c>
      <c r="AD106" s="153">
        <v>32256</v>
      </c>
      <c r="AE106" s="183">
        <f t="shared" si="96"/>
        <v>1451520</v>
      </c>
      <c r="AF106" s="185">
        <f t="shared" si="97"/>
        <v>42163.944901740637</v>
      </c>
      <c r="AG106" s="183">
        <f t="shared" si="98"/>
        <v>51213.332264548051</v>
      </c>
      <c r="AH106" s="185">
        <f t="shared" si="99"/>
        <v>39194.793892985239</v>
      </c>
      <c r="AI106" s="154">
        <f t="shared" si="100"/>
        <v>48202.828230553023</v>
      </c>
    </row>
    <row r="107" spans="3:35" ht="30" customHeight="1">
      <c r="C107" s="2" t="s">
        <v>266</v>
      </c>
      <c r="D107" s="11" t="s">
        <v>289</v>
      </c>
      <c r="E107" s="15" t="s">
        <v>87</v>
      </c>
      <c r="F107" s="20" t="s">
        <v>1</v>
      </c>
      <c r="G107" s="41">
        <v>45</v>
      </c>
      <c r="H107" s="152">
        <v>22032</v>
      </c>
      <c r="I107" s="153">
        <f t="shared" si="87"/>
        <v>4186.08</v>
      </c>
      <c r="J107" s="153">
        <f t="shared" si="88"/>
        <v>26218.080000000002</v>
      </c>
      <c r="K107" s="171">
        <f t="shared" si="89"/>
        <v>1179813.6000000001</v>
      </c>
      <c r="L107" s="172">
        <v>14491.676575505351</v>
      </c>
      <c r="M107" s="173">
        <f t="shared" si="101"/>
        <v>5008.3234244946489</v>
      </c>
      <c r="N107" s="141">
        <v>19500</v>
      </c>
      <c r="O107" s="229">
        <f t="shared" si="102"/>
        <v>877500</v>
      </c>
      <c r="P107" s="174">
        <v>21168</v>
      </c>
      <c r="Q107" s="153">
        <f t="shared" si="90"/>
        <v>4021.92</v>
      </c>
      <c r="R107" s="153">
        <f t="shared" si="91"/>
        <v>25189.919999999998</v>
      </c>
      <c r="S107" s="151">
        <f t="shared" si="105"/>
        <v>1133546.3999999999</v>
      </c>
      <c r="T107" s="153">
        <v>23133</v>
      </c>
      <c r="U107" s="153">
        <f t="shared" si="103"/>
        <v>4395.2700000000004</v>
      </c>
      <c r="V107" s="153">
        <f t="shared" si="104"/>
        <v>27528.27</v>
      </c>
      <c r="W107" s="151">
        <f t="shared" si="106"/>
        <v>1238772.1499999999</v>
      </c>
      <c r="X107" s="153">
        <v>22935</v>
      </c>
      <c r="Y107" s="153">
        <f t="shared" si="92"/>
        <v>4357.6499999999996</v>
      </c>
      <c r="Z107" s="153">
        <f t="shared" si="93"/>
        <v>27292.65</v>
      </c>
      <c r="AA107" s="171">
        <f t="shared" si="107"/>
        <v>1228169.25</v>
      </c>
      <c r="AB107" s="152">
        <f t="shared" si="94"/>
        <v>11189.075630252102</v>
      </c>
      <c r="AC107" s="125">
        <f t="shared" si="95"/>
        <v>2125.9243697478978</v>
      </c>
      <c r="AD107" s="153">
        <v>13315</v>
      </c>
      <c r="AE107" s="183">
        <f t="shared" si="96"/>
        <v>599175</v>
      </c>
      <c r="AF107" s="185">
        <f t="shared" si="97"/>
        <v>18502.463198149871</v>
      </c>
      <c r="AG107" s="183">
        <f t="shared" si="98"/>
        <v>22473.532722985401</v>
      </c>
      <c r="AH107" s="185">
        <f t="shared" si="99"/>
        <v>17760.021365323799</v>
      </c>
      <c r="AI107" s="154">
        <f t="shared" si="100"/>
        <v>21645.681496228528</v>
      </c>
    </row>
    <row r="108" spans="3:35" ht="30" customHeight="1" thickBot="1">
      <c r="C108" s="16" t="s">
        <v>267</v>
      </c>
      <c r="D108" s="18" t="s">
        <v>290</v>
      </c>
      <c r="E108" s="17" t="s">
        <v>88</v>
      </c>
      <c r="F108" s="21" t="s">
        <v>1</v>
      </c>
      <c r="G108" s="44">
        <v>80</v>
      </c>
      <c r="H108" s="175">
        <v>12169</v>
      </c>
      <c r="I108" s="176">
        <f t="shared" si="87"/>
        <v>2312.11</v>
      </c>
      <c r="J108" s="176">
        <f t="shared" si="88"/>
        <v>14481.11</v>
      </c>
      <c r="K108" s="177">
        <f t="shared" si="89"/>
        <v>1158488.8</v>
      </c>
      <c r="L108" s="178">
        <v>12855.975029726518</v>
      </c>
      <c r="M108" s="179">
        <f t="shared" si="101"/>
        <v>4443.0249702734818</v>
      </c>
      <c r="N108" s="164">
        <v>17299</v>
      </c>
      <c r="O108" s="230">
        <f t="shared" si="102"/>
        <v>1383920</v>
      </c>
      <c r="P108" s="180">
        <v>12147</v>
      </c>
      <c r="Q108" s="176">
        <f t="shared" si="90"/>
        <v>2307.9299999999998</v>
      </c>
      <c r="R108" s="176">
        <f t="shared" si="91"/>
        <v>14454.93</v>
      </c>
      <c r="S108" s="151">
        <f t="shared" si="105"/>
        <v>1156394.3999999999</v>
      </c>
      <c r="T108" s="176">
        <v>12623</v>
      </c>
      <c r="U108" s="176">
        <f t="shared" si="103"/>
        <v>2398.37</v>
      </c>
      <c r="V108" s="176">
        <f t="shared" si="104"/>
        <v>15021.369999999999</v>
      </c>
      <c r="W108" s="151">
        <f t="shared" si="106"/>
        <v>1201709.5999999999</v>
      </c>
      <c r="X108" s="176">
        <v>12721</v>
      </c>
      <c r="Y108" s="176">
        <f t="shared" si="92"/>
        <v>2416.9900000000002</v>
      </c>
      <c r="Z108" s="176">
        <f t="shared" si="93"/>
        <v>15137.99</v>
      </c>
      <c r="AA108" s="171">
        <f t="shared" si="107"/>
        <v>1211039.2</v>
      </c>
      <c r="AB108" s="155">
        <f t="shared" si="94"/>
        <v>6180.6722689075632</v>
      </c>
      <c r="AC108" s="126">
        <f t="shared" si="95"/>
        <v>1174.3277310924368</v>
      </c>
      <c r="AD108" s="156">
        <v>7355</v>
      </c>
      <c r="AE108" s="184">
        <f t="shared" si="96"/>
        <v>588400</v>
      </c>
      <c r="AF108" s="186">
        <f t="shared" si="97"/>
        <v>11115.391118868658</v>
      </c>
      <c r="AG108" s="184">
        <f t="shared" si="98"/>
        <v>13501.018938043597</v>
      </c>
      <c r="AH108" s="186">
        <f t="shared" si="99"/>
        <v>10677.846453994636</v>
      </c>
      <c r="AI108" s="157">
        <f t="shared" si="100"/>
        <v>12913.346486391505</v>
      </c>
    </row>
    <row r="109" spans="3:35" ht="13.5" thickBot="1">
      <c r="C109" s="405" t="s">
        <v>227</v>
      </c>
      <c r="D109" s="406"/>
      <c r="E109" s="406"/>
      <c r="F109" s="406"/>
      <c r="G109" s="406"/>
      <c r="H109" s="181">
        <f t="shared" ref="H109:J109" si="108">SUM(H86:H108)</f>
        <v>5581690</v>
      </c>
      <c r="I109" s="181">
        <f t="shared" si="108"/>
        <v>1060521.1000000001</v>
      </c>
      <c r="J109" s="181">
        <f t="shared" si="108"/>
        <v>6642211.1000000015</v>
      </c>
      <c r="K109" s="181">
        <f>SUM(K86:K108)</f>
        <v>67365394.547499999</v>
      </c>
      <c r="L109" s="202">
        <f t="shared" ref="L109:N109" si="109">SUM(L86:L108)</f>
        <v>2041804.6166028839</v>
      </c>
      <c r="M109" s="202">
        <f t="shared" si="109"/>
        <v>701055.38339711586</v>
      </c>
      <c r="N109" s="202">
        <f t="shared" si="109"/>
        <v>2742860</v>
      </c>
      <c r="O109" s="181">
        <f>SUM(O86:O108)</f>
        <v>33870938.840000004</v>
      </c>
      <c r="P109" s="181">
        <f t="shared" ref="P109:R109" si="110">SUM(P86:P108)</f>
        <v>5447402</v>
      </c>
      <c r="Q109" s="181">
        <f t="shared" si="110"/>
        <v>1035006.3800000001</v>
      </c>
      <c r="R109" s="181">
        <f t="shared" si="110"/>
        <v>6482408.3799999999</v>
      </c>
      <c r="S109" s="181">
        <f>SUM(S86:S108)</f>
        <v>64995248.949399993</v>
      </c>
      <c r="T109" s="181">
        <f t="shared" ref="T109:V109" si="111">SUM(T86:T108)</f>
        <v>5725030</v>
      </c>
      <c r="U109" s="181">
        <f t="shared" si="111"/>
        <v>1087755.7000000002</v>
      </c>
      <c r="V109" s="181">
        <f t="shared" si="111"/>
        <v>6812785.6999999993</v>
      </c>
      <c r="W109" s="181">
        <f>SUM(W86:W108)</f>
        <v>69508125.58829999</v>
      </c>
      <c r="X109" s="181">
        <f t="shared" ref="X109:Z109" si="112">SUM(X86:X108)</f>
        <v>5737759</v>
      </c>
      <c r="Y109" s="181">
        <f t="shared" si="112"/>
        <v>1090174.21</v>
      </c>
      <c r="Z109" s="181">
        <f t="shared" si="112"/>
        <v>6827933.2100000028</v>
      </c>
      <c r="AA109" s="181">
        <f>SUM(AA86:AA108)</f>
        <v>69300109.06630002</v>
      </c>
      <c r="AB109" s="181">
        <f t="shared" ref="AB109:AD109" si="113">SUM(AB86:AB108)</f>
        <v>2580048.7394957989</v>
      </c>
      <c r="AC109" s="181">
        <f t="shared" si="113"/>
        <v>490209.26050420135</v>
      </c>
      <c r="AD109" s="181">
        <f t="shared" si="113"/>
        <v>3070258</v>
      </c>
      <c r="AE109" s="181">
        <f>SUM(AE86:AE108)</f>
        <v>38052568.799999997</v>
      </c>
      <c r="AF109" s="202">
        <f t="shared" ref="AF109:AI109" si="114">SUM(AF86:AF108)</f>
        <v>4125166.6055890131</v>
      </c>
      <c r="AG109" s="202">
        <f t="shared" si="114"/>
        <v>5009335.1640260126</v>
      </c>
      <c r="AH109" s="202">
        <f t="shared" si="114"/>
        <v>3671380.5502315657</v>
      </c>
      <c r="AI109" s="202">
        <f t="shared" si="114"/>
        <v>4529023.5948498892</v>
      </c>
    </row>
    <row r="110" spans="3:35" ht="24" customHeight="1" thickBot="1">
      <c r="C110" s="407" t="s">
        <v>291</v>
      </c>
      <c r="D110" s="408"/>
      <c r="E110" s="408"/>
      <c r="F110" s="408"/>
      <c r="G110" s="408"/>
      <c r="H110" s="35">
        <f t="shared" ref="H110:AD110" si="115">SUM(H109,H83,H70,H38)</f>
        <v>88826112</v>
      </c>
      <c r="I110" s="35">
        <f t="shared" si="115"/>
        <v>16876961.280000001</v>
      </c>
      <c r="J110" s="35">
        <f t="shared" si="115"/>
        <v>105703073.28000002</v>
      </c>
      <c r="K110" s="35">
        <f t="shared" si="115"/>
        <v>246324523.91749996</v>
      </c>
      <c r="L110" s="35">
        <f t="shared" si="115"/>
        <v>78735638.209039867</v>
      </c>
      <c r="M110" s="35">
        <f t="shared" si="115"/>
        <v>15272883.765960144</v>
      </c>
      <c r="N110" s="35">
        <f t="shared" si="115"/>
        <v>94008521.974999994</v>
      </c>
      <c r="O110" s="35">
        <f t="shared" si="115"/>
        <v>193661675.82500002</v>
      </c>
      <c r="P110" s="35">
        <f t="shared" si="115"/>
        <v>91037417</v>
      </c>
      <c r="Q110" s="35">
        <f t="shared" si="115"/>
        <v>17297109.229999997</v>
      </c>
      <c r="R110" s="35">
        <f t="shared" si="115"/>
        <v>108334526.23000002</v>
      </c>
      <c r="S110" s="35">
        <f t="shared" si="115"/>
        <v>247908166.40939999</v>
      </c>
      <c r="T110" s="35">
        <f t="shared" si="115"/>
        <v>91544667</v>
      </c>
      <c r="U110" s="35">
        <f t="shared" si="115"/>
        <v>17393486.730000004</v>
      </c>
      <c r="V110" s="35">
        <f t="shared" si="115"/>
        <v>108938153.72999996</v>
      </c>
      <c r="W110" s="35">
        <f t="shared" si="115"/>
        <v>252814230.9483</v>
      </c>
      <c r="X110" s="35">
        <f t="shared" si="115"/>
        <v>87523013</v>
      </c>
      <c r="Y110" s="35">
        <f t="shared" si="115"/>
        <v>16629372.470000003</v>
      </c>
      <c r="Z110" s="35">
        <f t="shared" si="115"/>
        <v>104152385.47</v>
      </c>
      <c r="AA110" s="35">
        <f t="shared" si="115"/>
        <v>245194064.99630004</v>
      </c>
      <c r="AB110" s="35">
        <f t="shared" si="115"/>
        <v>53821767.226890758</v>
      </c>
      <c r="AC110" s="35">
        <f t="shared" si="115"/>
        <v>10226135.773109239</v>
      </c>
      <c r="AD110" s="35">
        <f t="shared" si="115"/>
        <v>64047903</v>
      </c>
      <c r="AE110" s="35">
        <f>SUM(AE109,AE83,AE70,AE38)</f>
        <v>152649900.80000001</v>
      </c>
      <c r="AF110" s="35">
        <f>SUM(AF109,AF83,AF70,AF38)</f>
        <v>78820426.682243735</v>
      </c>
      <c r="AG110" s="35">
        <f>SUM(AG109,AG83,AG70,AG38)</f>
        <v>93896694.655245125</v>
      </c>
      <c r="AH110" s="35">
        <f>SUM(AH109,AH83,AH70,AH38)</f>
        <v>74487492.135603875</v>
      </c>
      <c r="AI110" s="35">
        <f>SUM(AI109,AI83,AI70,AI38)</f>
        <v>88800196.381442934</v>
      </c>
    </row>
    <row r="117" spans="26:34" ht="47.45" customHeight="1">
      <c r="Z117" s="421" t="s">
        <v>354</v>
      </c>
      <c r="AA117" s="421"/>
      <c r="AB117" s="421" t="s">
        <v>356</v>
      </c>
      <c r="AC117" s="421"/>
      <c r="AD117" s="240" t="s">
        <v>357</v>
      </c>
      <c r="AE117" s="236"/>
    </row>
    <row r="118" spans="26:34" ht="45.6" customHeight="1">
      <c r="Z118" s="422" t="s">
        <v>301</v>
      </c>
      <c r="AA118" s="422"/>
      <c r="AB118" s="423">
        <v>246324523.91999999</v>
      </c>
      <c r="AC118" s="424"/>
      <c r="AD118" s="241">
        <f>+((AB118/$AB$123)-1)</f>
        <v>0.61365663469153908</v>
      </c>
      <c r="AH118" s="238"/>
    </row>
    <row r="119" spans="26:34" ht="45.6" customHeight="1">
      <c r="Z119" s="421" t="s">
        <v>302</v>
      </c>
      <c r="AA119" s="421"/>
      <c r="AB119" s="423">
        <v>199661675.83000001</v>
      </c>
      <c r="AC119" s="424"/>
      <c r="AD119" s="241">
        <f t="shared" ref="AD119:AD122" si="116">+((AB119/$AB$123)-1)</f>
        <v>0.30797121930639992</v>
      </c>
      <c r="AH119" s="238"/>
    </row>
    <row r="120" spans="26:34" ht="78.599999999999994" customHeight="1">
      <c r="Z120" s="422" t="s">
        <v>355</v>
      </c>
      <c r="AA120" s="422"/>
      <c r="AB120" s="423">
        <v>247908166.41</v>
      </c>
      <c r="AC120" s="424"/>
      <c r="AD120" s="241">
        <f t="shared" si="116"/>
        <v>0.62403097814017561</v>
      </c>
      <c r="AH120" s="237"/>
    </row>
    <row r="121" spans="26:34" ht="45.6" customHeight="1">
      <c r="Z121" s="421" t="s">
        <v>304</v>
      </c>
      <c r="AA121" s="421"/>
      <c r="AB121" s="423">
        <v>252814230.94999999</v>
      </c>
      <c r="AC121" s="424"/>
      <c r="AD121" s="241">
        <f t="shared" si="116"/>
        <v>0.65617030178205149</v>
      </c>
    </row>
    <row r="122" spans="26:34" ht="31.9" customHeight="1">
      <c r="Z122" s="422" t="s">
        <v>305</v>
      </c>
      <c r="AA122" s="422"/>
      <c r="AB122" s="423">
        <v>245194065</v>
      </c>
      <c r="AC122" s="424"/>
      <c r="AD122" s="241">
        <f t="shared" si="116"/>
        <v>0.60625106862172862</v>
      </c>
      <c r="AH122" s="239"/>
    </row>
    <row r="123" spans="26:34" ht="41.45" customHeight="1">
      <c r="Z123" s="421" t="s">
        <v>358</v>
      </c>
      <c r="AA123" s="421"/>
      <c r="AB123" s="423">
        <v>152649900</v>
      </c>
      <c r="AC123" s="424"/>
    </row>
  </sheetData>
  <mergeCells count="34">
    <mergeCell ref="Z123:AA123"/>
    <mergeCell ref="AB123:AC123"/>
    <mergeCell ref="Z121:AA121"/>
    <mergeCell ref="Z122:AA122"/>
    <mergeCell ref="AB118:AC118"/>
    <mergeCell ref="AB119:AC119"/>
    <mergeCell ref="AB120:AC120"/>
    <mergeCell ref="AB121:AC121"/>
    <mergeCell ref="AB122:AC122"/>
    <mergeCell ref="AB117:AC117"/>
    <mergeCell ref="Z117:AA117"/>
    <mergeCell ref="Z118:AA118"/>
    <mergeCell ref="Z119:AA119"/>
    <mergeCell ref="Z120:AA120"/>
    <mergeCell ref="C4:AI4"/>
    <mergeCell ref="C1:G1"/>
    <mergeCell ref="H1:K3"/>
    <mergeCell ref="L1:O3"/>
    <mergeCell ref="P1:S3"/>
    <mergeCell ref="T1:W3"/>
    <mergeCell ref="X1:AA3"/>
    <mergeCell ref="AB1:AE3"/>
    <mergeCell ref="AF1:AG3"/>
    <mergeCell ref="AH1:AI3"/>
    <mergeCell ref="C2:G2"/>
    <mergeCell ref="C3:G3"/>
    <mergeCell ref="C109:G109"/>
    <mergeCell ref="C110:G110"/>
    <mergeCell ref="C38:G38"/>
    <mergeCell ref="C39:AI39"/>
    <mergeCell ref="C70:G70"/>
    <mergeCell ref="C71:AI71"/>
    <mergeCell ref="C83:G83"/>
    <mergeCell ref="C84:AI84"/>
  </mergeCells>
  <pageMargins left="0.7" right="0.7" top="0.75" bottom="0.75" header="0.3" footer="0.3"/>
  <pageSetup paperSize="9" orientation="portrait" r:id="rId1"/>
  <colBreaks count="1" manualBreakCount="1">
    <brk id="15" max="10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0"/>
  <sheetViews>
    <sheetView showGridLines="0" topLeftCell="B77" zoomScale="80" zoomScaleNormal="80" workbookViewId="0">
      <selection activeCell="AE79" sqref="AE79"/>
    </sheetView>
  </sheetViews>
  <sheetFormatPr baseColWidth="10" defaultColWidth="8.83203125" defaultRowHeight="12.75"/>
  <cols>
    <col min="1" max="2" width="8.83203125" style="3" customWidth="1"/>
    <col min="3" max="3" width="16" style="3" bestFit="1" customWidth="1"/>
    <col min="4" max="4" width="66.1640625" style="3" bestFit="1" customWidth="1"/>
    <col min="5" max="5" width="67.33203125" style="3" customWidth="1"/>
    <col min="6" max="6" width="14.6640625" style="3" hidden="1" customWidth="1"/>
    <col min="7" max="7" width="14.6640625" style="12" hidden="1" customWidth="1"/>
    <col min="8" max="10" width="14.6640625" style="3" hidden="1" customWidth="1"/>
    <col min="11" max="11" width="25" style="3" hidden="1" customWidth="1"/>
    <col min="12" max="14" width="14.6640625" style="3" hidden="1" customWidth="1"/>
    <col min="15" max="15" width="25" style="3" hidden="1" customWidth="1"/>
    <col min="16" max="18" width="14.6640625" style="3" hidden="1" customWidth="1"/>
    <col min="19" max="19" width="25" style="3" hidden="1" customWidth="1"/>
    <col min="20" max="22" width="14.83203125" style="3" hidden="1" customWidth="1"/>
    <col min="23" max="23" width="25" style="3" hidden="1" customWidth="1"/>
    <col min="24" max="26" width="14.83203125" style="3" hidden="1" customWidth="1"/>
    <col min="27" max="27" width="25.1640625" style="3" hidden="1" customWidth="1"/>
    <col min="28" max="28" width="24.83203125" style="3" bestFit="1" customWidth="1"/>
    <col min="29" max="30" width="19" style="3" customWidth="1"/>
    <col min="31" max="31" width="33.6640625" style="3" customWidth="1"/>
    <col min="32" max="16384" width="8.83203125" style="3"/>
  </cols>
  <sheetData>
    <row r="1" spans="1:32" ht="13.15" customHeight="1">
      <c r="C1" s="403" t="s">
        <v>91</v>
      </c>
      <c r="D1" s="404"/>
      <c r="E1" s="404"/>
      <c r="F1" s="404"/>
      <c r="G1" s="404"/>
      <c r="H1" s="382" t="s">
        <v>301</v>
      </c>
      <c r="I1" s="383"/>
      <c r="J1" s="383"/>
      <c r="K1" s="384"/>
      <c r="L1" s="382" t="s">
        <v>302</v>
      </c>
      <c r="M1" s="383"/>
      <c r="N1" s="383"/>
      <c r="O1" s="384"/>
      <c r="P1" s="382" t="s">
        <v>303</v>
      </c>
      <c r="Q1" s="383"/>
      <c r="R1" s="383"/>
      <c r="S1" s="384"/>
      <c r="T1" s="382" t="s">
        <v>304</v>
      </c>
      <c r="U1" s="383"/>
      <c r="V1" s="383"/>
      <c r="W1" s="384"/>
      <c r="X1" s="382" t="s">
        <v>305</v>
      </c>
      <c r="Y1" s="383"/>
      <c r="Z1" s="383"/>
      <c r="AA1" s="384"/>
      <c r="AB1" s="382" t="s">
        <v>306</v>
      </c>
      <c r="AC1" s="383"/>
      <c r="AD1" s="383"/>
      <c r="AE1" s="383"/>
      <c r="AF1" s="103"/>
    </row>
    <row r="2" spans="1:32" ht="13.15" customHeight="1">
      <c r="C2" s="399" t="s">
        <v>92</v>
      </c>
      <c r="D2" s="400"/>
      <c r="E2" s="400"/>
      <c r="F2" s="400"/>
      <c r="G2" s="400"/>
      <c r="H2" s="385"/>
      <c r="I2" s="386"/>
      <c r="J2" s="386"/>
      <c r="K2" s="387"/>
      <c r="L2" s="385"/>
      <c r="M2" s="386"/>
      <c r="N2" s="386"/>
      <c r="O2" s="387"/>
      <c r="P2" s="385"/>
      <c r="Q2" s="386"/>
      <c r="R2" s="386"/>
      <c r="S2" s="387"/>
      <c r="T2" s="385"/>
      <c r="U2" s="386"/>
      <c r="V2" s="386"/>
      <c r="W2" s="387"/>
      <c r="X2" s="385"/>
      <c r="Y2" s="386"/>
      <c r="Z2" s="386"/>
      <c r="AA2" s="387"/>
      <c r="AB2" s="385"/>
      <c r="AC2" s="386"/>
      <c r="AD2" s="386"/>
      <c r="AE2" s="386"/>
      <c r="AF2" s="103"/>
    </row>
    <row r="3" spans="1:32" ht="41.25" customHeight="1" thickBot="1">
      <c r="C3" s="401" t="s">
        <v>93</v>
      </c>
      <c r="D3" s="402"/>
      <c r="E3" s="402"/>
      <c r="F3" s="402"/>
      <c r="G3" s="402"/>
      <c r="H3" s="385"/>
      <c r="I3" s="386"/>
      <c r="J3" s="386"/>
      <c r="K3" s="387"/>
      <c r="L3" s="385"/>
      <c r="M3" s="386"/>
      <c r="N3" s="386"/>
      <c r="O3" s="387"/>
      <c r="P3" s="385"/>
      <c r="Q3" s="386"/>
      <c r="R3" s="386"/>
      <c r="S3" s="387"/>
      <c r="T3" s="385"/>
      <c r="U3" s="386"/>
      <c r="V3" s="386"/>
      <c r="W3" s="387"/>
      <c r="X3" s="385"/>
      <c r="Y3" s="386"/>
      <c r="Z3" s="386"/>
      <c r="AA3" s="387"/>
      <c r="AB3" s="385"/>
      <c r="AC3" s="386"/>
      <c r="AD3" s="386"/>
      <c r="AE3" s="386"/>
      <c r="AF3" s="103"/>
    </row>
    <row r="4" spans="1:32" ht="13.5" thickBot="1">
      <c r="C4" s="388" t="s">
        <v>97</v>
      </c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89"/>
      <c r="Z4" s="389"/>
      <c r="AA4" s="420"/>
      <c r="AB4" s="106"/>
      <c r="AC4" s="107"/>
      <c r="AD4" s="107"/>
      <c r="AE4" s="108"/>
    </row>
    <row r="5" spans="1:32" ht="47.25" customHeight="1" thickBot="1">
      <c r="A5" s="5"/>
      <c r="B5" s="5"/>
      <c r="C5" s="6" t="s">
        <v>95</v>
      </c>
      <c r="D5" s="7" t="s">
        <v>96</v>
      </c>
      <c r="E5" s="6" t="s">
        <v>94</v>
      </c>
      <c r="F5" s="8" t="s">
        <v>292</v>
      </c>
      <c r="G5" s="36" t="s">
        <v>0</v>
      </c>
      <c r="H5" s="6" t="s">
        <v>293</v>
      </c>
      <c r="I5" s="8" t="s">
        <v>294</v>
      </c>
      <c r="J5" s="8" t="s">
        <v>295</v>
      </c>
      <c r="K5" s="74" t="s">
        <v>296</v>
      </c>
      <c r="L5" s="6" t="s">
        <v>293</v>
      </c>
      <c r="M5" s="8" t="s">
        <v>294</v>
      </c>
      <c r="N5" s="8" t="s">
        <v>295</v>
      </c>
      <c r="O5" s="19" t="s">
        <v>296</v>
      </c>
      <c r="P5" s="7" t="s">
        <v>293</v>
      </c>
      <c r="Q5" s="8" t="s">
        <v>294</v>
      </c>
      <c r="R5" s="8" t="s">
        <v>295</v>
      </c>
      <c r="S5" s="19" t="s">
        <v>296</v>
      </c>
      <c r="T5" s="6" t="s">
        <v>293</v>
      </c>
      <c r="U5" s="8" t="s">
        <v>294</v>
      </c>
      <c r="V5" s="8" t="s">
        <v>295</v>
      </c>
      <c r="W5" s="19" t="s">
        <v>296</v>
      </c>
      <c r="X5" s="6" t="s">
        <v>293</v>
      </c>
      <c r="Y5" s="8" t="s">
        <v>294</v>
      </c>
      <c r="Z5" s="8" t="s">
        <v>295</v>
      </c>
      <c r="AA5" s="19" t="s">
        <v>296</v>
      </c>
      <c r="AB5" s="8" t="s">
        <v>295</v>
      </c>
      <c r="AC5" s="104" t="s">
        <v>307</v>
      </c>
      <c r="AD5" s="8" t="s">
        <v>384</v>
      </c>
      <c r="AE5" s="253" t="s">
        <v>308</v>
      </c>
    </row>
    <row r="6" spans="1:32" s="4" customFormat="1" ht="63.75">
      <c r="C6" s="9" t="s">
        <v>98</v>
      </c>
      <c r="D6" s="10" t="s">
        <v>131</v>
      </c>
      <c r="E6" s="13" t="s">
        <v>62</v>
      </c>
      <c r="F6" s="10" t="s">
        <v>4</v>
      </c>
      <c r="G6" s="37">
        <v>1</v>
      </c>
      <c r="H6" s="45">
        <v>7360000</v>
      </c>
      <c r="I6" s="22">
        <f>H6*19%</f>
        <v>1398400</v>
      </c>
      <c r="J6" s="22">
        <f>H6+I6</f>
        <v>8758400</v>
      </c>
      <c r="K6" s="68">
        <f>G6*J6</f>
        <v>8758400</v>
      </c>
      <c r="L6" s="82">
        <v>6806722.6890756302</v>
      </c>
      <c r="M6" s="66">
        <f t="shared" ref="M6:M37" si="0">L6*19%</f>
        <v>1293277.3109243698</v>
      </c>
      <c r="N6" s="66">
        <f t="shared" ref="N6:N37" si="1">L6+M6</f>
        <v>8100000</v>
      </c>
      <c r="O6" s="23">
        <f>+G6*N6</f>
        <v>8100000</v>
      </c>
      <c r="P6" s="71">
        <v>7234110</v>
      </c>
      <c r="Q6" s="22">
        <f>+P6*0.19</f>
        <v>1374480.9</v>
      </c>
      <c r="R6" s="22">
        <f>+P6+Q6</f>
        <v>8608590.9000000004</v>
      </c>
      <c r="S6" s="23">
        <f>+G6*R6</f>
        <v>8608590.9000000004</v>
      </c>
      <c r="T6" s="22">
        <v>7604171</v>
      </c>
      <c r="U6" s="22">
        <f>T6*19%</f>
        <v>1444792.49</v>
      </c>
      <c r="V6" s="22">
        <f>T6+U6</f>
        <v>9048963.4900000002</v>
      </c>
      <c r="W6" s="23">
        <f>+G6*V6</f>
        <v>9048963.4900000002</v>
      </c>
      <c r="X6" s="52">
        <v>6935933</v>
      </c>
      <c r="Y6" s="52">
        <f>+X6*0.19</f>
        <v>1317827.27</v>
      </c>
      <c r="Z6" s="52">
        <f>+X6+Y6</f>
        <v>8253760.2699999996</v>
      </c>
      <c r="AA6" s="68">
        <f>+G6*Z6</f>
        <v>8253760.2699999996</v>
      </c>
      <c r="AB6" s="268">
        <v>3100000</v>
      </c>
      <c r="AC6" s="266" t="s">
        <v>403</v>
      </c>
      <c r="AD6" s="280">
        <f>+AB6/1.19</f>
        <v>2605042.0168067226</v>
      </c>
      <c r="AE6" s="267" t="s">
        <v>404</v>
      </c>
      <c r="AF6" s="337" t="s">
        <v>386</v>
      </c>
    </row>
    <row r="7" spans="1:32" s="4" customFormat="1" ht="76.5">
      <c r="C7" s="2" t="s">
        <v>100</v>
      </c>
      <c r="D7" s="1" t="s">
        <v>134</v>
      </c>
      <c r="E7" s="15" t="s">
        <v>16</v>
      </c>
      <c r="F7" s="1" t="s">
        <v>4</v>
      </c>
      <c r="G7" s="38">
        <v>3</v>
      </c>
      <c r="H7" s="46">
        <v>2510367</v>
      </c>
      <c r="I7" s="24">
        <f t="shared" ref="I7:I37" si="2">H7*19%</f>
        <v>476969.73</v>
      </c>
      <c r="J7" s="24">
        <f t="shared" ref="J7:J37" si="3">H7+I7</f>
        <v>2987336.73</v>
      </c>
      <c r="K7" s="69">
        <f t="shared" ref="K7:K37" si="4">G7*J7</f>
        <v>8962010.1899999995</v>
      </c>
      <c r="L7" s="75">
        <v>1662605.042016807</v>
      </c>
      <c r="M7" s="67">
        <f t="shared" si="0"/>
        <v>315894.95798319334</v>
      </c>
      <c r="N7" s="67">
        <f t="shared" si="1"/>
        <v>1978500.0000000005</v>
      </c>
      <c r="O7" s="76">
        <f>+G7*N7</f>
        <v>5935500.0000000019</v>
      </c>
      <c r="P7" s="72">
        <v>2506736</v>
      </c>
      <c r="Q7" s="24">
        <f t="shared" ref="Q7:Q37" si="5">+P7*0.19</f>
        <v>476279.84</v>
      </c>
      <c r="R7" s="24">
        <f t="shared" ref="R7:R37" si="6">+P7+Q7</f>
        <v>2983015.84</v>
      </c>
      <c r="S7" s="25">
        <f>+G7*R7</f>
        <v>8949047.5199999996</v>
      </c>
      <c r="T7" s="24">
        <v>2401067</v>
      </c>
      <c r="U7" s="24">
        <f t="shared" ref="U7:U37" si="7">T7*19%</f>
        <v>456202.73</v>
      </c>
      <c r="V7" s="24">
        <f t="shared" ref="V7:V37" si="8">T7+U7</f>
        <v>2857269.73</v>
      </c>
      <c r="W7" s="25">
        <f>+G7*V7</f>
        <v>8571809.1899999995</v>
      </c>
      <c r="X7" s="53">
        <v>2384780</v>
      </c>
      <c r="Y7" s="53">
        <f t="shared" ref="Y7:Y37" si="9">+X7*0.19</f>
        <v>453108.2</v>
      </c>
      <c r="Z7" s="53">
        <f t="shared" ref="Z7:Z37" si="10">+X7+Y7</f>
        <v>2837888.2</v>
      </c>
      <c r="AA7" s="69">
        <f>+G7*Z7</f>
        <v>8513664.6000000015</v>
      </c>
      <c r="AB7" s="269">
        <f>+'[1]CASA SOCIALES'!$F$7</f>
        <v>1054000</v>
      </c>
      <c r="AC7" s="11" t="s">
        <v>309</v>
      </c>
      <c r="AD7" s="281">
        <f>+AB7/1.19</f>
        <v>885714.2857142858</v>
      </c>
      <c r="AE7" s="254" t="s">
        <v>360</v>
      </c>
      <c r="AF7" s="337" t="s">
        <v>386</v>
      </c>
    </row>
    <row r="8" spans="1:32" s="4" customFormat="1" ht="102">
      <c r="C8" s="2" t="s">
        <v>101</v>
      </c>
      <c r="D8" s="1" t="s">
        <v>132</v>
      </c>
      <c r="E8" s="15" t="s">
        <v>17</v>
      </c>
      <c r="F8" s="1" t="s">
        <v>4</v>
      </c>
      <c r="G8" s="38">
        <v>10</v>
      </c>
      <c r="H8" s="46">
        <v>348700</v>
      </c>
      <c r="I8" s="24">
        <f t="shared" si="2"/>
        <v>66253</v>
      </c>
      <c r="J8" s="24">
        <f t="shared" si="3"/>
        <v>414953</v>
      </c>
      <c r="K8" s="69">
        <f t="shared" si="4"/>
        <v>4149530</v>
      </c>
      <c r="L8" s="75">
        <v>214159.66386554623</v>
      </c>
      <c r="M8" s="67">
        <f t="shared" si="0"/>
        <v>40690.336134453784</v>
      </c>
      <c r="N8" s="67">
        <f t="shared" si="1"/>
        <v>254850</v>
      </c>
      <c r="O8" s="77">
        <f>+G8*N8</f>
        <v>2548500</v>
      </c>
      <c r="P8" s="72">
        <v>350928</v>
      </c>
      <c r="Q8" s="24">
        <f t="shared" si="5"/>
        <v>66676.320000000007</v>
      </c>
      <c r="R8" s="24">
        <f t="shared" si="6"/>
        <v>417604.32</v>
      </c>
      <c r="S8" s="25">
        <f t="shared" ref="S8:S37" si="11">+G8*R8</f>
        <v>4176043.2</v>
      </c>
      <c r="T8" s="24">
        <v>332517</v>
      </c>
      <c r="U8" s="24">
        <f t="shared" si="7"/>
        <v>63178.23</v>
      </c>
      <c r="V8" s="24">
        <f t="shared" si="8"/>
        <v>395695.23</v>
      </c>
      <c r="W8" s="25">
        <f t="shared" ref="W8:W37" si="12">+G8*V8</f>
        <v>3956952.3</v>
      </c>
      <c r="X8" s="53">
        <v>326266</v>
      </c>
      <c r="Y8" s="53">
        <f t="shared" si="9"/>
        <v>61990.54</v>
      </c>
      <c r="Z8" s="53">
        <f t="shared" si="10"/>
        <v>388256.54</v>
      </c>
      <c r="AA8" s="69">
        <f t="shared" ref="AA8:AA37" si="13">+G8*Z8</f>
        <v>3882565.4</v>
      </c>
      <c r="AB8" s="109">
        <v>179900</v>
      </c>
      <c r="AC8" s="336" t="s">
        <v>314</v>
      </c>
      <c r="AD8" s="281">
        <f t="shared" ref="AD8:AD36" si="14">+AB8/1.19</f>
        <v>151176.4705882353</v>
      </c>
      <c r="AE8" s="110" t="s">
        <v>310</v>
      </c>
      <c r="AF8" s="337" t="s">
        <v>386</v>
      </c>
    </row>
    <row r="9" spans="1:32" s="4" customFormat="1" ht="102">
      <c r="C9" s="2" t="s">
        <v>102</v>
      </c>
      <c r="D9" s="1" t="s">
        <v>133</v>
      </c>
      <c r="E9" s="15" t="s">
        <v>10</v>
      </c>
      <c r="F9" s="1" t="s">
        <v>4</v>
      </c>
      <c r="G9" s="38">
        <v>20</v>
      </c>
      <c r="H9" s="46">
        <v>75571</v>
      </c>
      <c r="I9" s="24">
        <f t="shared" si="2"/>
        <v>14358.49</v>
      </c>
      <c r="J9" s="24">
        <f t="shared" si="3"/>
        <v>89929.49</v>
      </c>
      <c r="K9" s="69">
        <f t="shared" si="4"/>
        <v>1798589.8</v>
      </c>
      <c r="L9" s="75">
        <v>75504.201680672268</v>
      </c>
      <c r="M9" s="67">
        <f t="shared" si="0"/>
        <v>14345.79831932773</v>
      </c>
      <c r="N9" s="67">
        <f t="shared" si="1"/>
        <v>89850</v>
      </c>
      <c r="O9" s="77">
        <f t="shared" ref="O9:O37" si="15">+G9*N9</f>
        <v>1797000</v>
      </c>
      <c r="P9" s="72">
        <v>88777</v>
      </c>
      <c r="Q9" s="24">
        <f t="shared" si="5"/>
        <v>16867.63</v>
      </c>
      <c r="R9" s="24">
        <f t="shared" si="6"/>
        <v>105644.63</v>
      </c>
      <c r="S9" s="25">
        <f t="shared" si="11"/>
        <v>2112892.6</v>
      </c>
      <c r="T9" s="24">
        <v>76923</v>
      </c>
      <c r="U9" s="24">
        <f t="shared" si="7"/>
        <v>14615.37</v>
      </c>
      <c r="V9" s="24">
        <f t="shared" si="8"/>
        <v>91538.37</v>
      </c>
      <c r="W9" s="25">
        <f t="shared" si="12"/>
        <v>1830767.4</v>
      </c>
      <c r="X9" s="53">
        <v>77771</v>
      </c>
      <c r="Y9" s="53">
        <f t="shared" si="9"/>
        <v>14776.49</v>
      </c>
      <c r="Z9" s="53">
        <f t="shared" si="10"/>
        <v>92547.49</v>
      </c>
      <c r="AA9" s="69">
        <f t="shared" si="13"/>
        <v>1850949.8</v>
      </c>
      <c r="AB9" s="109">
        <v>89930</v>
      </c>
      <c r="AC9" s="105" t="s">
        <v>309</v>
      </c>
      <c r="AD9" s="281">
        <f t="shared" si="14"/>
        <v>75571.42857142858</v>
      </c>
      <c r="AE9" s="110" t="s">
        <v>310</v>
      </c>
    </row>
    <row r="10" spans="1:32" s="4" customFormat="1" ht="38.25">
      <c r="C10" s="2" t="s">
        <v>103</v>
      </c>
      <c r="D10" s="1" t="s">
        <v>135</v>
      </c>
      <c r="E10" s="15" t="s">
        <v>63</v>
      </c>
      <c r="F10" s="1" t="s">
        <v>4</v>
      </c>
      <c r="G10" s="38">
        <v>6</v>
      </c>
      <c r="H10" s="46">
        <v>143830</v>
      </c>
      <c r="I10" s="24">
        <f t="shared" si="2"/>
        <v>27327.7</v>
      </c>
      <c r="J10" s="24">
        <f t="shared" si="3"/>
        <v>171157.7</v>
      </c>
      <c r="K10" s="69">
        <f t="shared" si="4"/>
        <v>1026946.2000000001</v>
      </c>
      <c r="L10" s="75">
        <v>1008403.3613445379</v>
      </c>
      <c r="M10" s="67">
        <f t="shared" si="0"/>
        <v>191596.63865546221</v>
      </c>
      <c r="N10" s="67">
        <f t="shared" si="1"/>
        <v>1200000.0000000002</v>
      </c>
      <c r="O10" s="77">
        <f t="shared" si="15"/>
        <v>7200000.0000000019</v>
      </c>
      <c r="P10" s="72">
        <v>154904</v>
      </c>
      <c r="Q10" s="24">
        <f t="shared" si="5"/>
        <v>29431.760000000002</v>
      </c>
      <c r="R10" s="24">
        <f t="shared" si="6"/>
        <v>184335.76</v>
      </c>
      <c r="S10" s="25">
        <f t="shared" si="11"/>
        <v>1106014.56</v>
      </c>
      <c r="T10" s="24">
        <v>146740</v>
      </c>
      <c r="U10" s="24">
        <f t="shared" si="7"/>
        <v>27880.6</v>
      </c>
      <c r="V10" s="24">
        <f t="shared" si="8"/>
        <v>174620.6</v>
      </c>
      <c r="W10" s="25">
        <f t="shared" si="12"/>
        <v>1047723.6000000001</v>
      </c>
      <c r="X10" s="53">
        <v>140861</v>
      </c>
      <c r="Y10" s="53">
        <f t="shared" si="9"/>
        <v>26763.59</v>
      </c>
      <c r="Z10" s="53">
        <f t="shared" si="10"/>
        <v>167624.59</v>
      </c>
      <c r="AA10" s="69">
        <f t="shared" si="13"/>
        <v>1005747.54</v>
      </c>
      <c r="AB10" s="269">
        <v>97580</v>
      </c>
      <c r="AC10" s="251" t="s">
        <v>361</v>
      </c>
      <c r="AD10" s="281">
        <f t="shared" si="14"/>
        <v>82000</v>
      </c>
      <c r="AE10" s="254" t="s">
        <v>360</v>
      </c>
    </row>
    <row r="11" spans="1:32" s="4" customFormat="1" ht="140.25">
      <c r="C11" s="2" t="s">
        <v>104</v>
      </c>
      <c r="D11" s="1" t="s">
        <v>136</v>
      </c>
      <c r="E11" s="15" t="s">
        <v>18</v>
      </c>
      <c r="F11" s="1" t="s">
        <v>4</v>
      </c>
      <c r="G11" s="38">
        <v>1</v>
      </c>
      <c r="H11" s="46">
        <v>2465261</v>
      </c>
      <c r="I11" s="24">
        <f t="shared" si="2"/>
        <v>468399.59</v>
      </c>
      <c r="J11" s="24">
        <f t="shared" si="3"/>
        <v>2933660.59</v>
      </c>
      <c r="K11" s="69">
        <f t="shared" si="4"/>
        <v>2933660.59</v>
      </c>
      <c r="L11" s="75">
        <v>1890756.3025210085</v>
      </c>
      <c r="M11" s="67">
        <f t="shared" si="0"/>
        <v>359243.69747899164</v>
      </c>
      <c r="N11" s="67">
        <f t="shared" si="1"/>
        <v>2250000</v>
      </c>
      <c r="O11" s="77">
        <f t="shared" si="15"/>
        <v>2250000</v>
      </c>
      <c r="P11" s="72">
        <v>2553398</v>
      </c>
      <c r="Q11" s="24">
        <f t="shared" si="5"/>
        <v>485145.62</v>
      </c>
      <c r="R11" s="24">
        <f t="shared" si="6"/>
        <v>3038543.62</v>
      </c>
      <c r="S11" s="25">
        <f t="shared" si="11"/>
        <v>3038543.62</v>
      </c>
      <c r="T11" s="24">
        <v>2550779</v>
      </c>
      <c r="U11" s="24">
        <f t="shared" si="7"/>
        <v>484648.01</v>
      </c>
      <c r="V11" s="24">
        <f t="shared" si="8"/>
        <v>3035427.01</v>
      </c>
      <c r="W11" s="25">
        <f t="shared" si="12"/>
        <v>3035427.01</v>
      </c>
      <c r="X11" s="53">
        <v>2428755</v>
      </c>
      <c r="Y11" s="53">
        <f t="shared" si="9"/>
        <v>461463.45</v>
      </c>
      <c r="Z11" s="53">
        <f t="shared" si="10"/>
        <v>2890218.45</v>
      </c>
      <c r="AA11" s="69">
        <f t="shared" si="13"/>
        <v>2890218.45</v>
      </c>
      <c r="AB11" s="109">
        <f>+'[1]CASA SOCIALES'!$F$11</f>
        <v>938256</v>
      </c>
      <c r="AC11" s="336" t="s">
        <v>311</v>
      </c>
      <c r="AD11" s="281">
        <f t="shared" si="14"/>
        <v>788450.42016806721</v>
      </c>
      <c r="AE11" s="254" t="s">
        <v>387</v>
      </c>
      <c r="AF11" s="337" t="s">
        <v>386</v>
      </c>
    </row>
    <row r="12" spans="1:32" s="4" customFormat="1" ht="76.5">
      <c r="C12" s="2" t="s">
        <v>105</v>
      </c>
      <c r="D12" s="1" t="s">
        <v>137</v>
      </c>
      <c r="E12" s="15" t="s">
        <v>19</v>
      </c>
      <c r="F12" s="1" t="s">
        <v>4</v>
      </c>
      <c r="G12" s="38">
        <v>3</v>
      </c>
      <c r="H12" s="46">
        <v>405570</v>
      </c>
      <c r="I12" s="24">
        <f t="shared" si="2"/>
        <v>77058.3</v>
      </c>
      <c r="J12" s="24">
        <f t="shared" si="3"/>
        <v>482628.3</v>
      </c>
      <c r="K12" s="69">
        <f t="shared" si="4"/>
        <v>1447884.9</v>
      </c>
      <c r="L12" s="75">
        <v>1384903.3613445379</v>
      </c>
      <c r="M12" s="67">
        <f t="shared" si="0"/>
        <v>263131.63865546219</v>
      </c>
      <c r="N12" s="67">
        <f t="shared" si="1"/>
        <v>1648035</v>
      </c>
      <c r="O12" s="77">
        <f t="shared" si="15"/>
        <v>4944105</v>
      </c>
      <c r="P12" s="72">
        <v>388583</v>
      </c>
      <c r="Q12" s="24">
        <f t="shared" si="5"/>
        <v>73830.77</v>
      </c>
      <c r="R12" s="24">
        <f t="shared" si="6"/>
        <v>462413.77</v>
      </c>
      <c r="S12" s="25">
        <f t="shared" si="11"/>
        <v>1387241.31</v>
      </c>
      <c r="T12" s="24">
        <v>429717</v>
      </c>
      <c r="U12" s="24">
        <f t="shared" si="7"/>
        <v>81646.23</v>
      </c>
      <c r="V12" s="24">
        <f t="shared" si="8"/>
        <v>511363.23</v>
      </c>
      <c r="W12" s="25">
        <f t="shared" si="12"/>
        <v>1534089.69</v>
      </c>
      <c r="X12" s="53">
        <v>380421</v>
      </c>
      <c r="Y12" s="53">
        <f t="shared" si="9"/>
        <v>72279.990000000005</v>
      </c>
      <c r="Z12" s="53">
        <f t="shared" si="10"/>
        <v>452700.99</v>
      </c>
      <c r="AA12" s="69">
        <f t="shared" si="13"/>
        <v>1358102.97</v>
      </c>
      <c r="AB12" s="109">
        <v>409000</v>
      </c>
      <c r="AC12" s="336" t="s">
        <v>312</v>
      </c>
      <c r="AD12" s="281">
        <f t="shared" si="14"/>
        <v>343697.47899159667</v>
      </c>
      <c r="AE12" s="110" t="s">
        <v>313</v>
      </c>
    </row>
    <row r="13" spans="1:32" s="4" customFormat="1" ht="38.25">
      <c r="C13" s="2" t="s">
        <v>106</v>
      </c>
      <c r="D13" s="1" t="s">
        <v>138</v>
      </c>
      <c r="E13" s="15" t="s">
        <v>20</v>
      </c>
      <c r="F13" s="1" t="s">
        <v>4</v>
      </c>
      <c r="G13" s="38">
        <v>2</v>
      </c>
      <c r="H13" s="46">
        <v>278942</v>
      </c>
      <c r="I13" s="24">
        <f t="shared" si="2"/>
        <v>52998.98</v>
      </c>
      <c r="J13" s="24">
        <f t="shared" si="3"/>
        <v>331940.98</v>
      </c>
      <c r="K13" s="69">
        <f t="shared" si="4"/>
        <v>663881.96</v>
      </c>
      <c r="L13" s="75">
        <v>176470.58823529413</v>
      </c>
      <c r="M13" s="67">
        <f t="shared" si="0"/>
        <v>33529.411764705881</v>
      </c>
      <c r="N13" s="67">
        <f t="shared" si="1"/>
        <v>210000</v>
      </c>
      <c r="O13" s="77">
        <f t="shared" si="15"/>
        <v>420000</v>
      </c>
      <c r="P13" s="72">
        <v>274590</v>
      </c>
      <c r="Q13" s="24">
        <f t="shared" si="5"/>
        <v>52172.1</v>
      </c>
      <c r="R13" s="24">
        <f t="shared" si="6"/>
        <v>326762.09999999998</v>
      </c>
      <c r="S13" s="25">
        <f t="shared" si="11"/>
        <v>653524.19999999995</v>
      </c>
      <c r="T13" s="24">
        <v>290819</v>
      </c>
      <c r="U13" s="24">
        <f t="shared" si="7"/>
        <v>55255.61</v>
      </c>
      <c r="V13" s="24">
        <f t="shared" si="8"/>
        <v>346074.61</v>
      </c>
      <c r="W13" s="25">
        <f t="shared" si="12"/>
        <v>692149.22</v>
      </c>
      <c r="X13" s="53">
        <v>263944</v>
      </c>
      <c r="Y13" s="53">
        <f t="shared" si="9"/>
        <v>50149.36</v>
      </c>
      <c r="Z13" s="53">
        <f t="shared" si="10"/>
        <v>314093.36</v>
      </c>
      <c r="AA13" s="69">
        <f t="shared" si="13"/>
        <v>628186.72</v>
      </c>
      <c r="AB13" s="269">
        <v>149000</v>
      </c>
      <c r="AC13" s="11" t="s">
        <v>405</v>
      </c>
      <c r="AD13" s="281">
        <f t="shared" si="14"/>
        <v>125210.08403361346</v>
      </c>
      <c r="AE13" s="254" t="s">
        <v>406</v>
      </c>
      <c r="AF13" s="337" t="s">
        <v>386</v>
      </c>
    </row>
    <row r="14" spans="1:32" s="4" customFormat="1" ht="76.5">
      <c r="C14" s="2" t="s">
        <v>107</v>
      </c>
      <c r="D14" s="1" t="s">
        <v>139</v>
      </c>
      <c r="E14" s="15" t="s">
        <v>21</v>
      </c>
      <c r="F14" s="1" t="s">
        <v>4</v>
      </c>
      <c r="G14" s="38">
        <v>10</v>
      </c>
      <c r="H14" s="46">
        <v>279142</v>
      </c>
      <c r="I14" s="24">
        <f t="shared" si="2"/>
        <v>53036.98</v>
      </c>
      <c r="J14" s="24">
        <f t="shared" si="3"/>
        <v>332178.98</v>
      </c>
      <c r="K14" s="69">
        <f t="shared" si="4"/>
        <v>3321789.8</v>
      </c>
      <c r="L14" s="75">
        <v>176470.58823529413</v>
      </c>
      <c r="M14" s="67">
        <f t="shared" si="0"/>
        <v>33529.411764705881</v>
      </c>
      <c r="N14" s="67">
        <f t="shared" si="1"/>
        <v>210000</v>
      </c>
      <c r="O14" s="77">
        <f t="shared" si="15"/>
        <v>2100000</v>
      </c>
      <c r="P14" s="72">
        <v>263086</v>
      </c>
      <c r="Q14" s="24">
        <f t="shared" si="5"/>
        <v>49986.340000000004</v>
      </c>
      <c r="R14" s="24">
        <f t="shared" si="6"/>
        <v>313072.34000000003</v>
      </c>
      <c r="S14" s="25">
        <f t="shared" si="11"/>
        <v>3130723.4000000004</v>
      </c>
      <c r="T14" s="24">
        <v>289321</v>
      </c>
      <c r="U14" s="24">
        <f t="shared" si="7"/>
        <v>54970.99</v>
      </c>
      <c r="V14" s="24">
        <f t="shared" si="8"/>
        <v>344291.99</v>
      </c>
      <c r="W14" s="25">
        <f t="shared" si="12"/>
        <v>3442919.9</v>
      </c>
      <c r="X14" s="53">
        <v>270822</v>
      </c>
      <c r="Y14" s="53">
        <f t="shared" si="9"/>
        <v>51456.18</v>
      </c>
      <c r="Z14" s="53">
        <f t="shared" si="10"/>
        <v>322278.18</v>
      </c>
      <c r="AA14" s="69">
        <f t="shared" si="13"/>
        <v>3222781.8</v>
      </c>
      <c r="AB14" s="109">
        <v>140000</v>
      </c>
      <c r="AC14" s="336" t="s">
        <v>408</v>
      </c>
      <c r="AD14" s="281">
        <f t="shared" si="14"/>
        <v>117647.05882352941</v>
      </c>
      <c r="AE14" s="110" t="s">
        <v>407</v>
      </c>
      <c r="AF14" s="337" t="s">
        <v>386</v>
      </c>
    </row>
    <row r="15" spans="1:32" s="4" customFormat="1" ht="51">
      <c r="C15" s="2" t="s">
        <v>108</v>
      </c>
      <c r="D15" s="1" t="s">
        <v>140</v>
      </c>
      <c r="E15" s="15" t="s">
        <v>22</v>
      </c>
      <c r="F15" s="1" t="s">
        <v>4</v>
      </c>
      <c r="G15" s="38">
        <v>2</v>
      </c>
      <c r="H15" s="46">
        <v>170874</v>
      </c>
      <c r="I15" s="24">
        <f t="shared" si="2"/>
        <v>32466.06</v>
      </c>
      <c r="J15" s="24">
        <f t="shared" si="3"/>
        <v>203340.06</v>
      </c>
      <c r="K15" s="69">
        <f t="shared" si="4"/>
        <v>406680.12</v>
      </c>
      <c r="L15" s="75">
        <v>119117.64705882352</v>
      </c>
      <c r="M15" s="67">
        <f t="shared" si="0"/>
        <v>22632.352941176468</v>
      </c>
      <c r="N15" s="67">
        <f t="shared" si="1"/>
        <v>141750</v>
      </c>
      <c r="O15" s="77">
        <f t="shared" si="15"/>
        <v>283500</v>
      </c>
      <c r="P15" s="72">
        <v>166442</v>
      </c>
      <c r="Q15" s="24">
        <f t="shared" si="5"/>
        <v>31623.98</v>
      </c>
      <c r="R15" s="24">
        <f t="shared" si="6"/>
        <v>198065.98</v>
      </c>
      <c r="S15" s="25">
        <f t="shared" si="11"/>
        <v>396131.96</v>
      </c>
      <c r="T15" s="24">
        <v>176152</v>
      </c>
      <c r="U15" s="24">
        <f t="shared" si="7"/>
        <v>33468.879999999997</v>
      </c>
      <c r="V15" s="24">
        <f t="shared" si="8"/>
        <v>209620.88</v>
      </c>
      <c r="W15" s="25">
        <f t="shared" si="12"/>
        <v>419241.76</v>
      </c>
      <c r="X15" s="53">
        <v>164358</v>
      </c>
      <c r="Y15" s="53">
        <f t="shared" si="9"/>
        <v>31228.02</v>
      </c>
      <c r="Z15" s="53">
        <f t="shared" si="10"/>
        <v>195586.02</v>
      </c>
      <c r="AA15" s="69">
        <f t="shared" si="13"/>
        <v>391172.04</v>
      </c>
      <c r="AB15" s="269">
        <f>+'[2]ESTUDIO MERCADO'!$J$15</f>
        <v>110000.03</v>
      </c>
      <c r="AC15" s="11"/>
      <c r="AD15" s="281">
        <f t="shared" si="14"/>
        <v>92437</v>
      </c>
      <c r="AE15" s="254" t="s">
        <v>388</v>
      </c>
      <c r="AF15" s="337" t="s">
        <v>386</v>
      </c>
    </row>
    <row r="16" spans="1:32" s="4" customFormat="1" ht="63.75">
      <c r="C16" s="2" t="s">
        <v>109</v>
      </c>
      <c r="D16" s="1" t="s">
        <v>141</v>
      </c>
      <c r="E16" s="15" t="s">
        <v>23</v>
      </c>
      <c r="F16" s="1" t="s">
        <v>4</v>
      </c>
      <c r="G16" s="38">
        <v>2</v>
      </c>
      <c r="H16" s="46">
        <v>74571</v>
      </c>
      <c r="I16" s="24">
        <f t="shared" si="2"/>
        <v>14168.49</v>
      </c>
      <c r="J16" s="24">
        <f t="shared" si="3"/>
        <v>88739.49</v>
      </c>
      <c r="K16" s="69">
        <f t="shared" si="4"/>
        <v>177478.98</v>
      </c>
      <c r="L16" s="75">
        <v>52815.126050420178</v>
      </c>
      <c r="M16" s="67">
        <f t="shared" si="0"/>
        <v>10034.873949579835</v>
      </c>
      <c r="N16" s="67">
        <f t="shared" si="1"/>
        <v>62850.000000000015</v>
      </c>
      <c r="O16" s="77">
        <f t="shared" si="15"/>
        <v>125700.00000000003</v>
      </c>
      <c r="P16" s="72">
        <v>73426</v>
      </c>
      <c r="Q16" s="24">
        <f t="shared" si="5"/>
        <v>13950.94</v>
      </c>
      <c r="R16" s="24">
        <f t="shared" si="6"/>
        <v>87376.94</v>
      </c>
      <c r="S16" s="25">
        <f t="shared" si="11"/>
        <v>174753.88</v>
      </c>
      <c r="T16" s="24">
        <v>78699</v>
      </c>
      <c r="U16" s="24">
        <f t="shared" si="7"/>
        <v>14952.81</v>
      </c>
      <c r="V16" s="24">
        <f t="shared" si="8"/>
        <v>93651.81</v>
      </c>
      <c r="W16" s="25">
        <f t="shared" si="12"/>
        <v>187303.62</v>
      </c>
      <c r="X16" s="53">
        <v>78538</v>
      </c>
      <c r="Y16" s="53">
        <f t="shared" si="9"/>
        <v>14922.22</v>
      </c>
      <c r="Z16" s="53">
        <f t="shared" si="10"/>
        <v>93460.22</v>
      </c>
      <c r="AA16" s="69">
        <f t="shared" si="13"/>
        <v>186920.44</v>
      </c>
      <c r="AB16" s="270">
        <f>+'[2]ESTUDIO MERCADO'!$J$16</f>
        <v>44076.41</v>
      </c>
      <c r="AC16" s="11"/>
      <c r="AD16" s="281">
        <f t="shared" si="14"/>
        <v>37039.000000000007</v>
      </c>
      <c r="AE16" s="254" t="s">
        <v>389</v>
      </c>
      <c r="AF16" s="337" t="s">
        <v>386</v>
      </c>
    </row>
    <row r="17" spans="3:32" s="4" customFormat="1" ht="63.75">
      <c r="C17" s="2" t="s">
        <v>110</v>
      </c>
      <c r="D17" s="1" t="s">
        <v>145</v>
      </c>
      <c r="E17" s="15" t="s">
        <v>24</v>
      </c>
      <c r="F17" s="1" t="s">
        <v>4</v>
      </c>
      <c r="G17" s="38">
        <v>4</v>
      </c>
      <c r="H17" s="46">
        <v>398574</v>
      </c>
      <c r="I17" s="24">
        <f t="shared" si="2"/>
        <v>75729.06</v>
      </c>
      <c r="J17" s="24">
        <f t="shared" si="3"/>
        <v>474303.06</v>
      </c>
      <c r="K17" s="69">
        <f t="shared" si="4"/>
        <v>1897212.24</v>
      </c>
      <c r="L17" s="75">
        <v>251974.78991596639</v>
      </c>
      <c r="M17" s="67">
        <f t="shared" si="0"/>
        <v>47875.210084033613</v>
      </c>
      <c r="N17" s="67">
        <f t="shared" si="1"/>
        <v>299850</v>
      </c>
      <c r="O17" s="77">
        <f t="shared" si="15"/>
        <v>1199400</v>
      </c>
      <c r="P17" s="72">
        <v>380486</v>
      </c>
      <c r="Q17" s="24">
        <f t="shared" si="5"/>
        <v>72292.34</v>
      </c>
      <c r="R17" s="24">
        <f t="shared" si="6"/>
        <v>452778.33999999997</v>
      </c>
      <c r="S17" s="25">
        <f t="shared" si="11"/>
        <v>1811113.3599999999</v>
      </c>
      <c r="T17" s="24">
        <v>405317</v>
      </c>
      <c r="U17" s="24">
        <f t="shared" si="7"/>
        <v>77010.23</v>
      </c>
      <c r="V17" s="24">
        <f t="shared" si="8"/>
        <v>482327.23</v>
      </c>
      <c r="W17" s="25">
        <f t="shared" si="12"/>
        <v>1929308.92</v>
      </c>
      <c r="X17" s="53">
        <v>379948</v>
      </c>
      <c r="Y17" s="53">
        <f t="shared" si="9"/>
        <v>72190.12</v>
      </c>
      <c r="Z17" s="53">
        <f t="shared" si="10"/>
        <v>452138.12</v>
      </c>
      <c r="AA17" s="69">
        <f t="shared" si="13"/>
        <v>1808552.48</v>
      </c>
      <c r="AB17" s="269">
        <f>+'[2]ESTUDIO MERCADO'!$J$17</f>
        <v>158989.95000000001</v>
      </c>
      <c r="AC17" s="11"/>
      <c r="AD17" s="281">
        <f t="shared" si="14"/>
        <v>133605.00000000003</v>
      </c>
      <c r="AE17" s="254" t="s">
        <v>390</v>
      </c>
      <c r="AF17" s="337" t="s">
        <v>386</v>
      </c>
    </row>
    <row r="18" spans="3:32" s="4" customFormat="1" ht="51">
      <c r="C18" s="2" t="s">
        <v>111</v>
      </c>
      <c r="D18" s="1" t="s">
        <v>146</v>
      </c>
      <c r="E18" s="15" t="s">
        <v>25</v>
      </c>
      <c r="F18" s="1" t="s">
        <v>4</v>
      </c>
      <c r="G18" s="38">
        <v>3</v>
      </c>
      <c r="H18" s="46">
        <v>88365</v>
      </c>
      <c r="I18" s="24">
        <f t="shared" si="2"/>
        <v>16789.349999999999</v>
      </c>
      <c r="J18" s="24">
        <f t="shared" si="3"/>
        <v>105154.35</v>
      </c>
      <c r="K18" s="69">
        <f t="shared" si="4"/>
        <v>315463.05000000005</v>
      </c>
      <c r="L18" s="75">
        <v>100714.28571428571</v>
      </c>
      <c r="M18" s="67">
        <f t="shared" si="0"/>
        <v>19135.714285714286</v>
      </c>
      <c r="N18" s="67">
        <f t="shared" si="1"/>
        <v>119850</v>
      </c>
      <c r="O18" s="77">
        <f t="shared" si="15"/>
        <v>359550</v>
      </c>
      <c r="P18" s="72">
        <v>83648</v>
      </c>
      <c r="Q18" s="24">
        <f t="shared" si="5"/>
        <v>15893.12</v>
      </c>
      <c r="R18" s="24">
        <f t="shared" si="6"/>
        <v>99541.119999999995</v>
      </c>
      <c r="S18" s="25">
        <f t="shared" si="11"/>
        <v>298623.35999999999</v>
      </c>
      <c r="T18" s="24">
        <v>90057</v>
      </c>
      <c r="U18" s="24">
        <f t="shared" si="7"/>
        <v>17110.830000000002</v>
      </c>
      <c r="V18" s="24">
        <f t="shared" si="8"/>
        <v>107167.83</v>
      </c>
      <c r="W18" s="25">
        <f t="shared" si="12"/>
        <v>321503.49</v>
      </c>
      <c r="X18" s="53">
        <v>92239</v>
      </c>
      <c r="Y18" s="53">
        <f t="shared" si="9"/>
        <v>17525.41</v>
      </c>
      <c r="Z18" s="53">
        <f t="shared" si="10"/>
        <v>109764.41</v>
      </c>
      <c r="AA18" s="69">
        <f t="shared" si="13"/>
        <v>329293.23</v>
      </c>
      <c r="AB18" s="109">
        <v>75600</v>
      </c>
      <c r="AC18" s="336" t="s">
        <v>316</v>
      </c>
      <c r="AD18" s="281">
        <f t="shared" si="14"/>
        <v>63529.411764705888</v>
      </c>
      <c r="AE18" s="255" t="s">
        <v>363</v>
      </c>
    </row>
    <row r="19" spans="3:32" s="4" customFormat="1" ht="51">
      <c r="C19" s="2" t="s">
        <v>112</v>
      </c>
      <c r="D19" s="1" t="s">
        <v>147</v>
      </c>
      <c r="E19" s="15" t="s">
        <v>26</v>
      </c>
      <c r="F19" s="1" t="s">
        <v>4</v>
      </c>
      <c r="G19" s="38">
        <v>2</v>
      </c>
      <c r="H19" s="46">
        <v>48985</v>
      </c>
      <c r="I19" s="24">
        <f t="shared" si="2"/>
        <v>9307.15</v>
      </c>
      <c r="J19" s="24">
        <f t="shared" si="3"/>
        <v>58292.15</v>
      </c>
      <c r="K19" s="69">
        <f t="shared" si="4"/>
        <v>116584.3</v>
      </c>
      <c r="L19" s="75">
        <v>522983.19327731099</v>
      </c>
      <c r="M19" s="67">
        <f t="shared" si="0"/>
        <v>99366.806722689085</v>
      </c>
      <c r="N19" s="67">
        <f t="shared" si="1"/>
        <v>622350.00000000012</v>
      </c>
      <c r="O19" s="77">
        <f t="shared" si="15"/>
        <v>1244700.0000000002</v>
      </c>
      <c r="P19" s="72">
        <v>51426</v>
      </c>
      <c r="Q19" s="24">
        <f t="shared" si="5"/>
        <v>9770.94</v>
      </c>
      <c r="R19" s="24">
        <f t="shared" si="6"/>
        <v>61196.94</v>
      </c>
      <c r="S19" s="25">
        <f t="shared" si="11"/>
        <v>122393.88</v>
      </c>
      <c r="T19" s="24">
        <v>52827</v>
      </c>
      <c r="U19" s="24">
        <f t="shared" si="7"/>
        <v>10037.130000000001</v>
      </c>
      <c r="V19" s="24">
        <f t="shared" si="8"/>
        <v>62864.130000000005</v>
      </c>
      <c r="W19" s="25">
        <f t="shared" si="12"/>
        <v>125728.26000000001</v>
      </c>
      <c r="X19" s="53">
        <v>49586</v>
      </c>
      <c r="Y19" s="53">
        <f t="shared" si="9"/>
        <v>9421.34</v>
      </c>
      <c r="Z19" s="53">
        <f t="shared" si="10"/>
        <v>59007.34</v>
      </c>
      <c r="AA19" s="69">
        <f t="shared" si="13"/>
        <v>118014.68</v>
      </c>
      <c r="AB19" s="109">
        <v>75000</v>
      </c>
      <c r="AC19" s="336" t="s">
        <v>314</v>
      </c>
      <c r="AD19" s="281">
        <f t="shared" si="14"/>
        <v>63025.210084033613</v>
      </c>
      <c r="AE19" s="110" t="s">
        <v>317</v>
      </c>
    </row>
    <row r="20" spans="3:32" s="4" customFormat="1" ht="76.5">
      <c r="C20" s="2" t="s">
        <v>113</v>
      </c>
      <c r="D20" s="1" t="s">
        <v>148</v>
      </c>
      <c r="E20" s="15" t="s">
        <v>64</v>
      </c>
      <c r="F20" s="1" t="s">
        <v>4</v>
      </c>
      <c r="G20" s="38">
        <v>2</v>
      </c>
      <c r="H20" s="46">
        <v>93803</v>
      </c>
      <c r="I20" s="24">
        <f t="shared" si="2"/>
        <v>17822.57</v>
      </c>
      <c r="J20" s="24">
        <f t="shared" si="3"/>
        <v>111625.57</v>
      </c>
      <c r="K20" s="69">
        <f t="shared" si="4"/>
        <v>223251.14</v>
      </c>
      <c r="L20" s="75">
        <v>114240</v>
      </c>
      <c r="M20" s="67">
        <f t="shared" si="0"/>
        <v>21705.599999999999</v>
      </c>
      <c r="N20" s="67">
        <f t="shared" si="1"/>
        <v>135945.60000000001</v>
      </c>
      <c r="O20" s="77">
        <f t="shared" si="15"/>
        <v>271891.20000000001</v>
      </c>
      <c r="P20" s="72">
        <v>97671</v>
      </c>
      <c r="Q20" s="24">
        <f t="shared" si="5"/>
        <v>18557.490000000002</v>
      </c>
      <c r="R20" s="24">
        <f t="shared" si="6"/>
        <v>116228.49</v>
      </c>
      <c r="S20" s="25">
        <f t="shared" si="11"/>
        <v>232456.98</v>
      </c>
      <c r="T20" s="24">
        <v>97205</v>
      </c>
      <c r="U20" s="24">
        <f t="shared" si="7"/>
        <v>18468.95</v>
      </c>
      <c r="V20" s="24">
        <f t="shared" si="8"/>
        <v>115673.95</v>
      </c>
      <c r="W20" s="25">
        <f t="shared" si="12"/>
        <v>231347.9</v>
      </c>
      <c r="X20" s="53">
        <v>96238</v>
      </c>
      <c r="Y20" s="53">
        <f t="shared" si="9"/>
        <v>18285.22</v>
      </c>
      <c r="Z20" s="53">
        <f t="shared" si="10"/>
        <v>114523.22</v>
      </c>
      <c r="AA20" s="69">
        <f t="shared" si="13"/>
        <v>229046.44</v>
      </c>
      <c r="AB20" s="271">
        <f>+'[1]CASA SOCIALES'!$F$20</f>
        <v>53312</v>
      </c>
      <c r="AC20" s="252" t="s">
        <v>311</v>
      </c>
      <c r="AD20" s="281">
        <f t="shared" si="14"/>
        <v>44800</v>
      </c>
      <c r="AE20" s="254" t="s">
        <v>391</v>
      </c>
      <c r="AF20" s="337" t="s">
        <v>386</v>
      </c>
    </row>
    <row r="21" spans="3:32" s="4" customFormat="1" ht="102">
      <c r="C21" s="2" t="s">
        <v>114</v>
      </c>
      <c r="D21" s="1" t="s">
        <v>142</v>
      </c>
      <c r="E21" s="15" t="s">
        <v>27</v>
      </c>
      <c r="F21" s="1" t="s">
        <v>4</v>
      </c>
      <c r="G21" s="38">
        <v>3</v>
      </c>
      <c r="H21" s="46">
        <v>317761</v>
      </c>
      <c r="I21" s="24">
        <f t="shared" si="2"/>
        <v>60374.590000000004</v>
      </c>
      <c r="J21" s="24">
        <f t="shared" si="3"/>
        <v>378135.59</v>
      </c>
      <c r="K21" s="69">
        <f t="shared" si="4"/>
        <v>1134406.77</v>
      </c>
      <c r="L21" s="75">
        <v>222670.58823529416</v>
      </c>
      <c r="M21" s="67">
        <f t="shared" si="0"/>
        <v>42307.411764705888</v>
      </c>
      <c r="N21" s="67">
        <f t="shared" si="1"/>
        <v>264978.00000000006</v>
      </c>
      <c r="O21" s="77">
        <f t="shared" si="15"/>
        <v>794934.00000000023</v>
      </c>
      <c r="P21" s="72">
        <v>307470</v>
      </c>
      <c r="Q21" s="24">
        <f t="shared" si="5"/>
        <v>58419.3</v>
      </c>
      <c r="R21" s="24">
        <f t="shared" si="6"/>
        <v>365889.3</v>
      </c>
      <c r="S21" s="25">
        <f t="shared" si="11"/>
        <v>1097667.8999999999</v>
      </c>
      <c r="T21" s="24">
        <v>330448</v>
      </c>
      <c r="U21" s="24">
        <f t="shared" si="7"/>
        <v>62785.120000000003</v>
      </c>
      <c r="V21" s="24">
        <f t="shared" si="8"/>
        <v>393233.12</v>
      </c>
      <c r="W21" s="25">
        <f t="shared" si="12"/>
        <v>1179699.3599999999</v>
      </c>
      <c r="X21" s="53">
        <v>311964</v>
      </c>
      <c r="Y21" s="53">
        <f t="shared" si="9"/>
        <v>59273.16</v>
      </c>
      <c r="Z21" s="53">
        <f t="shared" si="10"/>
        <v>371237.16000000003</v>
      </c>
      <c r="AA21" s="69">
        <f t="shared" si="13"/>
        <v>1113711.48</v>
      </c>
      <c r="AB21" s="109">
        <f>+'[2]ESTUDIO MERCADO'!$J$21</f>
        <v>134794.87</v>
      </c>
      <c r="AC21" s="105"/>
      <c r="AD21" s="281">
        <f t="shared" si="14"/>
        <v>113273</v>
      </c>
      <c r="AE21" s="110" t="s">
        <v>392</v>
      </c>
      <c r="AF21" s="337" t="s">
        <v>386</v>
      </c>
    </row>
    <row r="22" spans="3:32" s="4" customFormat="1" ht="89.25">
      <c r="C22" s="2" t="s">
        <v>115</v>
      </c>
      <c r="D22" s="1" t="s">
        <v>149</v>
      </c>
      <c r="E22" s="15" t="s">
        <v>28</v>
      </c>
      <c r="F22" s="1" t="s">
        <v>4</v>
      </c>
      <c r="G22" s="38">
        <v>1</v>
      </c>
      <c r="H22" s="46">
        <v>120693</v>
      </c>
      <c r="I22" s="24">
        <f t="shared" si="2"/>
        <v>22931.670000000002</v>
      </c>
      <c r="J22" s="24">
        <f t="shared" si="3"/>
        <v>143624.67000000001</v>
      </c>
      <c r="K22" s="69">
        <f t="shared" si="4"/>
        <v>143624.67000000001</v>
      </c>
      <c r="L22" s="75">
        <v>31512.60504201681</v>
      </c>
      <c r="M22" s="67">
        <f t="shared" si="0"/>
        <v>5987.3949579831942</v>
      </c>
      <c r="N22" s="67">
        <f t="shared" si="1"/>
        <v>37500.000000000007</v>
      </c>
      <c r="O22" s="77">
        <f t="shared" si="15"/>
        <v>37500.000000000007</v>
      </c>
      <c r="P22" s="72">
        <v>115021</v>
      </c>
      <c r="Q22" s="24">
        <f t="shared" si="5"/>
        <v>21853.99</v>
      </c>
      <c r="R22" s="24">
        <f t="shared" si="6"/>
        <v>136874.99</v>
      </c>
      <c r="S22" s="25">
        <f t="shared" si="11"/>
        <v>136874.99</v>
      </c>
      <c r="T22" s="24">
        <v>128640</v>
      </c>
      <c r="U22" s="24">
        <f t="shared" si="7"/>
        <v>24441.599999999999</v>
      </c>
      <c r="V22" s="24">
        <f t="shared" si="8"/>
        <v>153081.60000000001</v>
      </c>
      <c r="W22" s="25">
        <f t="shared" si="12"/>
        <v>153081.60000000001</v>
      </c>
      <c r="X22" s="53">
        <v>125061</v>
      </c>
      <c r="Y22" s="53">
        <f t="shared" si="9"/>
        <v>23761.59</v>
      </c>
      <c r="Z22" s="53">
        <f t="shared" si="10"/>
        <v>148822.59</v>
      </c>
      <c r="AA22" s="69">
        <f t="shared" si="13"/>
        <v>148822.59</v>
      </c>
      <c r="AB22" s="109">
        <v>33900</v>
      </c>
      <c r="AC22" s="336" t="s">
        <v>318</v>
      </c>
      <c r="AD22" s="281">
        <f t="shared" si="14"/>
        <v>28487.394957983193</v>
      </c>
      <c r="AE22" s="110" t="s">
        <v>319</v>
      </c>
    </row>
    <row r="23" spans="3:32" s="4" customFormat="1" ht="63.75">
      <c r="C23" s="2" t="s">
        <v>116</v>
      </c>
      <c r="D23" s="1" t="s">
        <v>143</v>
      </c>
      <c r="E23" s="15" t="s">
        <v>29</v>
      </c>
      <c r="F23" s="1" t="s">
        <v>4</v>
      </c>
      <c r="G23" s="38">
        <v>4</v>
      </c>
      <c r="H23" s="46">
        <v>478809</v>
      </c>
      <c r="I23" s="24">
        <f t="shared" si="2"/>
        <v>90973.71</v>
      </c>
      <c r="J23" s="24">
        <f t="shared" si="3"/>
        <v>569782.71</v>
      </c>
      <c r="K23" s="69">
        <f t="shared" si="4"/>
        <v>2279130.84</v>
      </c>
      <c r="L23" s="75">
        <v>352941.17647058825</v>
      </c>
      <c r="M23" s="67">
        <f t="shared" si="0"/>
        <v>67058.823529411762</v>
      </c>
      <c r="N23" s="67">
        <f t="shared" si="1"/>
        <v>420000</v>
      </c>
      <c r="O23" s="77">
        <f t="shared" si="15"/>
        <v>1680000</v>
      </c>
      <c r="P23" s="72">
        <v>439848</v>
      </c>
      <c r="Q23" s="24">
        <f t="shared" si="5"/>
        <v>83571.12</v>
      </c>
      <c r="R23" s="24">
        <f t="shared" si="6"/>
        <v>523419.12</v>
      </c>
      <c r="S23" s="25">
        <f t="shared" si="11"/>
        <v>2093676.48</v>
      </c>
      <c r="T23" s="24">
        <v>513616</v>
      </c>
      <c r="U23" s="24">
        <f t="shared" si="7"/>
        <v>97587.040000000008</v>
      </c>
      <c r="V23" s="24">
        <f t="shared" si="8"/>
        <v>611203.04</v>
      </c>
      <c r="W23" s="25">
        <f t="shared" si="12"/>
        <v>2444812.16</v>
      </c>
      <c r="X23" s="53">
        <v>411985</v>
      </c>
      <c r="Y23" s="53">
        <f t="shared" si="9"/>
        <v>78277.149999999994</v>
      </c>
      <c r="Z23" s="53">
        <f t="shared" si="10"/>
        <v>490262.15</v>
      </c>
      <c r="AA23" s="69">
        <f t="shared" si="13"/>
        <v>1961048.6</v>
      </c>
      <c r="AB23" s="109">
        <v>400000</v>
      </c>
      <c r="AC23" s="105" t="s">
        <v>312</v>
      </c>
      <c r="AD23" s="281">
        <f t="shared" si="14"/>
        <v>336134.45378151262</v>
      </c>
      <c r="AE23" s="110" t="s">
        <v>320</v>
      </c>
    </row>
    <row r="24" spans="3:32" s="4" customFormat="1" ht="114.75">
      <c r="C24" s="2" t="s">
        <v>117</v>
      </c>
      <c r="D24" s="1" t="s">
        <v>150</v>
      </c>
      <c r="E24" s="15" t="s">
        <v>30</v>
      </c>
      <c r="F24" s="1" t="s">
        <v>4</v>
      </c>
      <c r="G24" s="38">
        <v>10</v>
      </c>
      <c r="H24" s="46">
        <v>57776</v>
      </c>
      <c r="I24" s="24">
        <f t="shared" si="2"/>
        <v>10977.44</v>
      </c>
      <c r="J24" s="24">
        <f t="shared" si="3"/>
        <v>68753.440000000002</v>
      </c>
      <c r="K24" s="69">
        <f t="shared" si="4"/>
        <v>687534.4</v>
      </c>
      <c r="L24" s="75">
        <v>23823.529411764706</v>
      </c>
      <c r="M24" s="67">
        <f t="shared" si="0"/>
        <v>4526.4705882352946</v>
      </c>
      <c r="N24" s="67">
        <f t="shared" si="1"/>
        <v>28350</v>
      </c>
      <c r="O24" s="77">
        <f t="shared" si="15"/>
        <v>283500</v>
      </c>
      <c r="P24" s="72">
        <v>59049</v>
      </c>
      <c r="Q24" s="24">
        <f t="shared" si="5"/>
        <v>11219.31</v>
      </c>
      <c r="R24" s="24">
        <f t="shared" si="6"/>
        <v>70268.31</v>
      </c>
      <c r="S24" s="25">
        <f t="shared" si="11"/>
        <v>702683.1</v>
      </c>
      <c r="T24" s="24">
        <v>54705</v>
      </c>
      <c r="U24" s="24">
        <f t="shared" si="7"/>
        <v>10393.950000000001</v>
      </c>
      <c r="V24" s="24">
        <f t="shared" si="8"/>
        <v>65098.95</v>
      </c>
      <c r="W24" s="25">
        <f t="shared" si="12"/>
        <v>650989.5</v>
      </c>
      <c r="X24" s="53">
        <v>59340</v>
      </c>
      <c r="Y24" s="53">
        <f t="shared" si="9"/>
        <v>11274.6</v>
      </c>
      <c r="Z24" s="53">
        <f t="shared" si="10"/>
        <v>70614.600000000006</v>
      </c>
      <c r="AA24" s="69">
        <f t="shared" si="13"/>
        <v>706146</v>
      </c>
      <c r="AB24" s="109">
        <v>25000</v>
      </c>
      <c r="AC24" s="105" t="s">
        <v>316</v>
      </c>
      <c r="AD24" s="281">
        <f t="shared" si="14"/>
        <v>21008.403361344539</v>
      </c>
      <c r="AE24" s="110" t="s">
        <v>321</v>
      </c>
    </row>
    <row r="25" spans="3:32" s="4" customFormat="1" ht="38.25">
      <c r="C25" s="2" t="s">
        <v>118</v>
      </c>
      <c r="D25" s="1" t="s">
        <v>151</v>
      </c>
      <c r="E25" s="15" t="s">
        <v>31</v>
      </c>
      <c r="F25" s="1" t="s">
        <v>4</v>
      </c>
      <c r="G25" s="38">
        <v>10</v>
      </c>
      <c r="H25" s="46">
        <v>74317</v>
      </c>
      <c r="I25" s="24">
        <f t="shared" si="2"/>
        <v>14120.23</v>
      </c>
      <c r="J25" s="24">
        <f t="shared" si="3"/>
        <v>88437.23</v>
      </c>
      <c r="K25" s="69">
        <f t="shared" si="4"/>
        <v>884372.29999999993</v>
      </c>
      <c r="L25" s="75">
        <v>74243.697478991598</v>
      </c>
      <c r="M25" s="67">
        <f t="shared" si="0"/>
        <v>14106.302521008403</v>
      </c>
      <c r="N25" s="67">
        <f t="shared" si="1"/>
        <v>88350</v>
      </c>
      <c r="O25" s="77">
        <f t="shared" si="15"/>
        <v>883500</v>
      </c>
      <c r="P25" s="72">
        <v>79790</v>
      </c>
      <c r="Q25" s="24">
        <f t="shared" si="5"/>
        <v>15160.1</v>
      </c>
      <c r="R25" s="24">
        <f t="shared" si="6"/>
        <v>94950.1</v>
      </c>
      <c r="S25" s="25">
        <f t="shared" si="11"/>
        <v>949501</v>
      </c>
      <c r="T25" s="24">
        <v>69427</v>
      </c>
      <c r="U25" s="24">
        <f t="shared" si="7"/>
        <v>13191.130000000001</v>
      </c>
      <c r="V25" s="24">
        <f t="shared" si="8"/>
        <v>82618.13</v>
      </c>
      <c r="W25" s="25">
        <f t="shared" si="12"/>
        <v>826181.3</v>
      </c>
      <c r="X25" s="53">
        <v>74173</v>
      </c>
      <c r="Y25" s="53">
        <f t="shared" si="9"/>
        <v>14092.87</v>
      </c>
      <c r="Z25" s="53">
        <f t="shared" si="10"/>
        <v>88265.87</v>
      </c>
      <c r="AA25" s="69">
        <f t="shared" si="13"/>
        <v>882658.7</v>
      </c>
      <c r="AB25" s="109">
        <f>+'[2]ESTUDIO MERCADO'!$N$25</f>
        <v>13000</v>
      </c>
      <c r="AC25" s="336" t="s">
        <v>393</v>
      </c>
      <c r="AD25" s="281">
        <f t="shared" si="14"/>
        <v>10924.36974789916</v>
      </c>
      <c r="AE25" s="110" t="s">
        <v>360</v>
      </c>
      <c r="AF25" s="337" t="s">
        <v>386</v>
      </c>
    </row>
    <row r="26" spans="3:32" s="4" customFormat="1" ht="63.75">
      <c r="C26" s="2" t="s">
        <v>119</v>
      </c>
      <c r="D26" s="1" t="s">
        <v>152</v>
      </c>
      <c r="E26" s="15" t="s">
        <v>32</v>
      </c>
      <c r="F26" s="1" t="s">
        <v>4</v>
      </c>
      <c r="G26" s="38">
        <v>10</v>
      </c>
      <c r="H26" s="46">
        <v>141837</v>
      </c>
      <c r="I26" s="24">
        <f t="shared" si="2"/>
        <v>26949.03</v>
      </c>
      <c r="J26" s="24">
        <f t="shared" si="3"/>
        <v>168786.03</v>
      </c>
      <c r="K26" s="69">
        <f t="shared" si="4"/>
        <v>1687860.3</v>
      </c>
      <c r="L26" s="75">
        <v>190210.08403361347</v>
      </c>
      <c r="M26" s="67">
        <f t="shared" si="0"/>
        <v>36139.915966386558</v>
      </c>
      <c r="N26" s="67">
        <f t="shared" si="1"/>
        <v>226350.00000000003</v>
      </c>
      <c r="O26" s="77">
        <f t="shared" si="15"/>
        <v>2263500.0000000005</v>
      </c>
      <c r="P26" s="72">
        <v>141240</v>
      </c>
      <c r="Q26" s="24">
        <f t="shared" si="5"/>
        <v>26835.599999999999</v>
      </c>
      <c r="R26" s="24">
        <f t="shared" si="6"/>
        <v>168075.6</v>
      </c>
      <c r="S26" s="25">
        <f t="shared" si="11"/>
        <v>1680756</v>
      </c>
      <c r="T26" s="24">
        <v>144494</v>
      </c>
      <c r="U26" s="24">
        <f t="shared" si="7"/>
        <v>27453.86</v>
      </c>
      <c r="V26" s="24">
        <f t="shared" si="8"/>
        <v>171947.86</v>
      </c>
      <c r="W26" s="25">
        <f t="shared" si="12"/>
        <v>1719478.5999999999</v>
      </c>
      <c r="X26" s="53">
        <v>144649</v>
      </c>
      <c r="Y26" s="53">
        <f t="shared" si="9"/>
        <v>27483.31</v>
      </c>
      <c r="Z26" s="53">
        <f t="shared" si="10"/>
        <v>172132.31</v>
      </c>
      <c r="AA26" s="69">
        <f t="shared" si="13"/>
        <v>1721323.1</v>
      </c>
      <c r="AB26" s="109">
        <f>+'[2]ESTUDIO MERCADO'!$N$26</f>
        <v>41250</v>
      </c>
      <c r="AC26" s="11" t="s">
        <v>394</v>
      </c>
      <c r="AD26" s="281">
        <f t="shared" si="14"/>
        <v>34663.865546218491</v>
      </c>
      <c r="AE26" s="110" t="s">
        <v>360</v>
      </c>
      <c r="AF26" s="337" t="s">
        <v>386</v>
      </c>
    </row>
    <row r="27" spans="3:32" s="4" customFormat="1" ht="63.75">
      <c r="C27" s="2" t="s">
        <v>120</v>
      </c>
      <c r="D27" s="1" t="s">
        <v>153</v>
      </c>
      <c r="E27" s="15" t="s">
        <v>33</v>
      </c>
      <c r="F27" s="1" t="s">
        <v>4</v>
      </c>
      <c r="G27" s="38">
        <v>3</v>
      </c>
      <c r="H27" s="46">
        <v>236591</v>
      </c>
      <c r="I27" s="24">
        <f t="shared" si="2"/>
        <v>44952.29</v>
      </c>
      <c r="J27" s="24">
        <f t="shared" si="3"/>
        <v>281543.28999999998</v>
      </c>
      <c r="K27" s="69">
        <f t="shared" si="4"/>
        <v>844629.86999999988</v>
      </c>
      <c r="L27" s="75">
        <v>121069.5</v>
      </c>
      <c r="M27" s="67">
        <f t="shared" si="0"/>
        <v>23003.205000000002</v>
      </c>
      <c r="N27" s="67">
        <f t="shared" si="1"/>
        <v>144072.70500000002</v>
      </c>
      <c r="O27" s="77">
        <f t="shared" si="15"/>
        <v>432218.11500000005</v>
      </c>
      <c r="P27" s="72">
        <v>230254</v>
      </c>
      <c r="Q27" s="24">
        <f t="shared" si="5"/>
        <v>43748.26</v>
      </c>
      <c r="R27" s="24">
        <f t="shared" si="6"/>
        <v>274002.26</v>
      </c>
      <c r="S27" s="25">
        <f t="shared" si="11"/>
        <v>822006.78</v>
      </c>
      <c r="T27" s="24">
        <v>227774</v>
      </c>
      <c r="U27" s="24">
        <f t="shared" si="7"/>
        <v>43277.06</v>
      </c>
      <c r="V27" s="24">
        <f t="shared" si="8"/>
        <v>271051.06</v>
      </c>
      <c r="W27" s="25">
        <f t="shared" si="12"/>
        <v>813153.17999999993</v>
      </c>
      <c r="X27" s="53">
        <v>238206</v>
      </c>
      <c r="Y27" s="53">
        <f t="shared" si="9"/>
        <v>45259.14</v>
      </c>
      <c r="Z27" s="53">
        <f t="shared" si="10"/>
        <v>283465.14</v>
      </c>
      <c r="AA27" s="69">
        <f t="shared" si="13"/>
        <v>850395.42</v>
      </c>
      <c r="AB27" s="109">
        <f>+'[2]ESTUDIO MERCADO'!$N$27</f>
        <v>70000</v>
      </c>
      <c r="AC27" s="336" t="s">
        <v>393</v>
      </c>
      <c r="AD27" s="281">
        <f t="shared" si="14"/>
        <v>58823.529411764706</v>
      </c>
      <c r="AE27" s="110" t="s">
        <v>360</v>
      </c>
      <c r="AF27" s="337" t="s">
        <v>386</v>
      </c>
    </row>
    <row r="28" spans="3:32" s="4" customFormat="1" ht="76.5">
      <c r="C28" s="2" t="s">
        <v>121</v>
      </c>
      <c r="D28" s="1" t="s">
        <v>144</v>
      </c>
      <c r="E28" s="15" t="s">
        <v>34</v>
      </c>
      <c r="F28" s="1" t="s">
        <v>4</v>
      </c>
      <c r="G28" s="38">
        <v>3</v>
      </c>
      <c r="H28" s="46">
        <v>883419</v>
      </c>
      <c r="I28" s="24">
        <f t="shared" si="2"/>
        <v>167849.61000000002</v>
      </c>
      <c r="J28" s="24">
        <f t="shared" si="3"/>
        <v>1051268.6100000001</v>
      </c>
      <c r="K28" s="69">
        <f t="shared" si="4"/>
        <v>3153805.83</v>
      </c>
      <c r="L28" s="75">
        <v>491470.5882352941</v>
      </c>
      <c r="M28" s="67">
        <f t="shared" si="0"/>
        <v>93379.411764705874</v>
      </c>
      <c r="N28" s="67">
        <f t="shared" si="1"/>
        <v>584850</v>
      </c>
      <c r="O28" s="77">
        <f t="shared" si="15"/>
        <v>1754550</v>
      </c>
      <c r="P28" s="72">
        <v>867319</v>
      </c>
      <c r="Q28" s="24">
        <f t="shared" si="5"/>
        <v>164790.61000000002</v>
      </c>
      <c r="R28" s="24">
        <f t="shared" si="6"/>
        <v>1032109.61</v>
      </c>
      <c r="S28" s="25">
        <f t="shared" si="11"/>
        <v>3096328.83</v>
      </c>
      <c r="T28" s="24">
        <v>919659</v>
      </c>
      <c r="U28" s="24">
        <f t="shared" si="7"/>
        <v>174735.21</v>
      </c>
      <c r="V28" s="24">
        <f t="shared" si="8"/>
        <v>1094394.21</v>
      </c>
      <c r="W28" s="25">
        <f t="shared" si="12"/>
        <v>3283182.63</v>
      </c>
      <c r="X28" s="53">
        <v>783812</v>
      </c>
      <c r="Y28" s="53">
        <f t="shared" si="9"/>
        <v>148924.28</v>
      </c>
      <c r="Z28" s="53">
        <f t="shared" si="10"/>
        <v>932736.28</v>
      </c>
      <c r="AA28" s="69">
        <f t="shared" si="13"/>
        <v>2798208.84</v>
      </c>
      <c r="AB28" s="109">
        <v>389900</v>
      </c>
      <c r="AC28" s="105" t="s">
        <v>315</v>
      </c>
      <c r="AD28" s="281">
        <f t="shared" si="14"/>
        <v>327647.0588235294</v>
      </c>
      <c r="AE28" s="110" t="s">
        <v>322</v>
      </c>
      <c r="AF28" s="337" t="s">
        <v>395</v>
      </c>
    </row>
    <row r="29" spans="3:32" s="4" customFormat="1" ht="63.75">
      <c r="C29" s="2" t="s">
        <v>122</v>
      </c>
      <c r="D29" s="1" t="s">
        <v>154</v>
      </c>
      <c r="E29" s="15" t="s">
        <v>35</v>
      </c>
      <c r="F29" s="1" t="s">
        <v>4</v>
      </c>
      <c r="G29" s="38">
        <v>2</v>
      </c>
      <c r="H29" s="46">
        <v>347279</v>
      </c>
      <c r="I29" s="24">
        <f t="shared" si="2"/>
        <v>65983.009999999995</v>
      </c>
      <c r="J29" s="24">
        <f t="shared" si="3"/>
        <v>413262.01</v>
      </c>
      <c r="K29" s="69">
        <f t="shared" si="4"/>
        <v>826524.02</v>
      </c>
      <c r="L29" s="75">
        <v>197394.95798319328</v>
      </c>
      <c r="M29" s="67">
        <f t="shared" si="0"/>
        <v>37505.042016806721</v>
      </c>
      <c r="N29" s="67">
        <f t="shared" si="1"/>
        <v>234900</v>
      </c>
      <c r="O29" s="77">
        <f t="shared" si="15"/>
        <v>469800</v>
      </c>
      <c r="P29" s="72">
        <v>328829</v>
      </c>
      <c r="Q29" s="24">
        <f t="shared" si="5"/>
        <v>62477.51</v>
      </c>
      <c r="R29" s="24">
        <f t="shared" si="6"/>
        <v>391306.51</v>
      </c>
      <c r="S29" s="25">
        <f t="shared" si="11"/>
        <v>782613.02</v>
      </c>
      <c r="T29" s="24">
        <v>355883</v>
      </c>
      <c r="U29" s="24">
        <f t="shared" si="7"/>
        <v>67617.77</v>
      </c>
      <c r="V29" s="24">
        <f t="shared" si="8"/>
        <v>423500.77</v>
      </c>
      <c r="W29" s="25">
        <f t="shared" si="12"/>
        <v>847001.54</v>
      </c>
      <c r="X29" s="53">
        <v>356295</v>
      </c>
      <c r="Y29" s="53">
        <f t="shared" si="9"/>
        <v>67696.05</v>
      </c>
      <c r="Z29" s="53">
        <f t="shared" si="10"/>
        <v>423991.05</v>
      </c>
      <c r="AA29" s="69">
        <f t="shared" si="13"/>
        <v>847982.1</v>
      </c>
      <c r="AB29" s="109">
        <f>+'[2]ESTUDIO MERCADO'!$J$29</f>
        <v>172699.94</v>
      </c>
      <c r="AC29" s="105" t="s">
        <v>315</v>
      </c>
      <c r="AD29" s="281">
        <f t="shared" si="14"/>
        <v>145126</v>
      </c>
      <c r="AE29" s="110" t="s">
        <v>323</v>
      </c>
      <c r="AF29" s="337" t="s">
        <v>386</v>
      </c>
    </row>
    <row r="30" spans="3:32" s="4" customFormat="1" ht="76.5">
      <c r="C30" s="2" t="s">
        <v>123</v>
      </c>
      <c r="D30" s="1" t="s">
        <v>155</v>
      </c>
      <c r="E30" s="15" t="s">
        <v>67</v>
      </c>
      <c r="F30" s="1" t="s">
        <v>4</v>
      </c>
      <c r="G30" s="38">
        <v>2</v>
      </c>
      <c r="H30" s="46">
        <v>185103</v>
      </c>
      <c r="I30" s="24">
        <f t="shared" si="2"/>
        <v>35169.57</v>
      </c>
      <c r="J30" s="24">
        <f t="shared" si="3"/>
        <v>220272.57</v>
      </c>
      <c r="K30" s="69">
        <f t="shared" si="4"/>
        <v>440545.14</v>
      </c>
      <c r="L30" s="75">
        <v>390630.25210084039</v>
      </c>
      <c r="M30" s="67">
        <f t="shared" si="0"/>
        <v>74219.747899159673</v>
      </c>
      <c r="N30" s="67">
        <f t="shared" si="1"/>
        <v>464850.00000000006</v>
      </c>
      <c r="O30" s="77">
        <f t="shared" si="15"/>
        <v>929700.00000000012</v>
      </c>
      <c r="P30" s="72">
        <v>174719</v>
      </c>
      <c r="Q30" s="24">
        <f t="shared" si="5"/>
        <v>33196.61</v>
      </c>
      <c r="R30" s="24">
        <f t="shared" si="6"/>
        <v>207915.61</v>
      </c>
      <c r="S30" s="25">
        <f t="shared" si="11"/>
        <v>415831.22</v>
      </c>
      <c r="T30" s="24">
        <v>190169</v>
      </c>
      <c r="U30" s="24">
        <f t="shared" si="7"/>
        <v>36132.11</v>
      </c>
      <c r="V30" s="24">
        <f t="shared" si="8"/>
        <v>226301.11</v>
      </c>
      <c r="W30" s="25">
        <f t="shared" si="12"/>
        <v>452602.22</v>
      </c>
      <c r="X30" s="53">
        <v>174464</v>
      </c>
      <c r="Y30" s="53">
        <f t="shared" si="9"/>
        <v>33148.160000000003</v>
      </c>
      <c r="Z30" s="53">
        <f t="shared" si="10"/>
        <v>207612.16</v>
      </c>
      <c r="AA30" s="69">
        <f t="shared" si="13"/>
        <v>415224.32000000001</v>
      </c>
      <c r="AB30" s="109">
        <v>180000</v>
      </c>
      <c r="AC30" s="105" t="s">
        <v>315</v>
      </c>
      <c r="AD30" s="281">
        <f t="shared" si="14"/>
        <v>151260.50420168068</v>
      </c>
      <c r="AE30" s="110" t="s">
        <v>323</v>
      </c>
    </row>
    <row r="31" spans="3:32" s="4" customFormat="1" ht="38.25">
      <c r="C31" s="2" t="s">
        <v>124</v>
      </c>
      <c r="D31" s="1" t="s">
        <v>156</v>
      </c>
      <c r="E31" s="15" t="s">
        <v>65</v>
      </c>
      <c r="F31" s="1" t="s">
        <v>4</v>
      </c>
      <c r="G31" s="38">
        <v>2</v>
      </c>
      <c r="H31" s="46">
        <v>47853</v>
      </c>
      <c r="I31" s="24">
        <f t="shared" si="2"/>
        <v>9092.07</v>
      </c>
      <c r="J31" s="24">
        <f t="shared" si="3"/>
        <v>56945.07</v>
      </c>
      <c r="K31" s="69">
        <f t="shared" si="4"/>
        <v>113890.14</v>
      </c>
      <c r="L31" s="75">
        <v>27731.092436974788</v>
      </c>
      <c r="M31" s="67">
        <f t="shared" si="0"/>
        <v>5268.90756302521</v>
      </c>
      <c r="N31" s="67">
        <f t="shared" si="1"/>
        <v>33000</v>
      </c>
      <c r="O31" s="77">
        <f t="shared" si="15"/>
        <v>66000</v>
      </c>
      <c r="P31" s="72">
        <v>46994</v>
      </c>
      <c r="Q31" s="24">
        <f t="shared" si="5"/>
        <v>8928.86</v>
      </c>
      <c r="R31" s="24">
        <f t="shared" si="6"/>
        <v>55922.86</v>
      </c>
      <c r="S31" s="25">
        <f t="shared" si="11"/>
        <v>111845.72</v>
      </c>
      <c r="T31" s="24">
        <v>51289</v>
      </c>
      <c r="U31" s="24">
        <f t="shared" si="7"/>
        <v>9744.91</v>
      </c>
      <c r="V31" s="24">
        <f t="shared" si="8"/>
        <v>61033.91</v>
      </c>
      <c r="W31" s="25">
        <f t="shared" si="12"/>
        <v>122067.82</v>
      </c>
      <c r="X31" s="53">
        <v>47353</v>
      </c>
      <c r="Y31" s="53">
        <f t="shared" si="9"/>
        <v>8997.07</v>
      </c>
      <c r="Z31" s="53">
        <f t="shared" si="10"/>
        <v>56350.07</v>
      </c>
      <c r="AA31" s="69">
        <f t="shared" si="13"/>
        <v>112700.14</v>
      </c>
      <c r="AB31" s="109">
        <v>24000</v>
      </c>
      <c r="AC31" s="105" t="s">
        <v>315</v>
      </c>
      <c r="AD31" s="281">
        <f t="shared" si="14"/>
        <v>20168.067226890758</v>
      </c>
      <c r="AE31" s="110" t="s">
        <v>324</v>
      </c>
    </row>
    <row r="32" spans="3:32" s="4" customFormat="1" ht="51">
      <c r="C32" s="2" t="s">
        <v>125</v>
      </c>
      <c r="D32" s="1" t="s">
        <v>157</v>
      </c>
      <c r="E32" s="15" t="s">
        <v>66</v>
      </c>
      <c r="F32" s="1" t="s">
        <v>4</v>
      </c>
      <c r="G32" s="38">
        <v>2</v>
      </c>
      <c r="H32" s="46">
        <v>53834</v>
      </c>
      <c r="I32" s="24">
        <f t="shared" si="2"/>
        <v>10228.460000000001</v>
      </c>
      <c r="J32" s="24">
        <f t="shared" si="3"/>
        <v>64062.46</v>
      </c>
      <c r="K32" s="69">
        <f t="shared" si="4"/>
        <v>128124.92</v>
      </c>
      <c r="L32" s="75">
        <v>34033.613445378149</v>
      </c>
      <c r="M32" s="67">
        <f t="shared" si="0"/>
        <v>6466.3865546218485</v>
      </c>
      <c r="N32" s="67">
        <f t="shared" si="1"/>
        <v>40500</v>
      </c>
      <c r="O32" s="77">
        <f t="shared" si="15"/>
        <v>81000</v>
      </c>
      <c r="P32" s="72">
        <v>54009</v>
      </c>
      <c r="Q32" s="24">
        <f t="shared" si="5"/>
        <v>10261.710000000001</v>
      </c>
      <c r="R32" s="24">
        <f t="shared" si="6"/>
        <v>64270.71</v>
      </c>
      <c r="S32" s="25">
        <f t="shared" si="11"/>
        <v>128541.42</v>
      </c>
      <c r="T32" s="24">
        <v>54067</v>
      </c>
      <c r="U32" s="24">
        <f t="shared" si="7"/>
        <v>10272.73</v>
      </c>
      <c r="V32" s="24">
        <f t="shared" si="8"/>
        <v>64339.729999999996</v>
      </c>
      <c r="W32" s="25">
        <f t="shared" si="12"/>
        <v>128679.45999999999</v>
      </c>
      <c r="X32" s="53">
        <v>55528</v>
      </c>
      <c r="Y32" s="53">
        <f t="shared" si="9"/>
        <v>10550.32</v>
      </c>
      <c r="Z32" s="53">
        <f t="shared" si="10"/>
        <v>66078.320000000007</v>
      </c>
      <c r="AA32" s="69">
        <f t="shared" si="13"/>
        <v>132156.64000000001</v>
      </c>
      <c r="AB32" s="109">
        <v>27000</v>
      </c>
      <c r="AC32" s="105" t="s">
        <v>315</v>
      </c>
      <c r="AD32" s="281">
        <f t="shared" si="14"/>
        <v>22689.0756302521</v>
      </c>
      <c r="AE32" s="110" t="s">
        <v>325</v>
      </c>
    </row>
    <row r="33" spans="3:32" s="4" customFormat="1" ht="76.5">
      <c r="C33" s="2" t="s">
        <v>126</v>
      </c>
      <c r="D33" s="1" t="s">
        <v>158</v>
      </c>
      <c r="E33" s="15" t="s">
        <v>58</v>
      </c>
      <c r="F33" s="1" t="s">
        <v>4</v>
      </c>
      <c r="G33" s="38">
        <v>2</v>
      </c>
      <c r="H33" s="46">
        <v>240343</v>
      </c>
      <c r="I33" s="24">
        <f t="shared" si="2"/>
        <v>45665.17</v>
      </c>
      <c r="J33" s="24">
        <f t="shared" si="3"/>
        <v>286008.17</v>
      </c>
      <c r="K33" s="69">
        <f t="shared" si="4"/>
        <v>572016.34</v>
      </c>
      <c r="L33" s="75">
        <v>106764.70588235295</v>
      </c>
      <c r="M33" s="67">
        <f t="shared" si="0"/>
        <v>20285.294117647059</v>
      </c>
      <c r="N33" s="67">
        <f t="shared" si="1"/>
        <v>127050.00000000001</v>
      </c>
      <c r="O33" s="77">
        <f t="shared" si="15"/>
        <v>254100.00000000003</v>
      </c>
      <c r="P33" s="72">
        <v>231881</v>
      </c>
      <c r="Q33" s="24">
        <f t="shared" si="5"/>
        <v>44057.39</v>
      </c>
      <c r="R33" s="24">
        <f t="shared" si="6"/>
        <v>275938.39</v>
      </c>
      <c r="S33" s="25">
        <f t="shared" si="11"/>
        <v>551876.78</v>
      </c>
      <c r="T33" s="24">
        <v>253976</v>
      </c>
      <c r="U33" s="24">
        <f t="shared" si="7"/>
        <v>48255.44</v>
      </c>
      <c r="V33" s="24">
        <f t="shared" si="8"/>
        <v>302231.44</v>
      </c>
      <c r="W33" s="25">
        <f t="shared" si="12"/>
        <v>604462.88</v>
      </c>
      <c r="X33" s="53">
        <v>248644</v>
      </c>
      <c r="Y33" s="53">
        <f t="shared" si="9"/>
        <v>47242.36</v>
      </c>
      <c r="Z33" s="53">
        <f t="shared" si="10"/>
        <v>295886.36</v>
      </c>
      <c r="AA33" s="69">
        <f t="shared" si="13"/>
        <v>591772.72</v>
      </c>
      <c r="AB33" s="109">
        <v>150000</v>
      </c>
      <c r="AC33" s="105" t="s">
        <v>315</v>
      </c>
      <c r="AD33" s="281">
        <f t="shared" si="14"/>
        <v>126050.42016806723</v>
      </c>
      <c r="AE33" s="110" t="s">
        <v>326</v>
      </c>
    </row>
    <row r="34" spans="3:32" s="4" customFormat="1" ht="63.75">
      <c r="C34" s="2" t="s">
        <v>127</v>
      </c>
      <c r="D34" s="1" t="s">
        <v>159</v>
      </c>
      <c r="E34" s="15" t="s">
        <v>36</v>
      </c>
      <c r="F34" s="1" t="s">
        <v>4</v>
      </c>
      <c r="G34" s="38">
        <v>2</v>
      </c>
      <c r="H34" s="46">
        <v>275344</v>
      </c>
      <c r="I34" s="24">
        <f t="shared" si="2"/>
        <v>52315.360000000001</v>
      </c>
      <c r="J34" s="24">
        <f t="shared" si="3"/>
        <v>327659.36</v>
      </c>
      <c r="K34" s="69">
        <f t="shared" si="4"/>
        <v>655318.72</v>
      </c>
      <c r="L34" s="75">
        <v>180124.78991596639</v>
      </c>
      <c r="M34" s="67">
        <f t="shared" si="0"/>
        <v>34223.710084033613</v>
      </c>
      <c r="N34" s="67">
        <f t="shared" si="1"/>
        <v>214348.5</v>
      </c>
      <c r="O34" s="77">
        <f t="shared" si="15"/>
        <v>428697</v>
      </c>
      <c r="P34" s="72">
        <v>273567</v>
      </c>
      <c r="Q34" s="24">
        <f t="shared" si="5"/>
        <v>51977.73</v>
      </c>
      <c r="R34" s="24">
        <f t="shared" si="6"/>
        <v>325544.73</v>
      </c>
      <c r="S34" s="25">
        <f t="shared" si="11"/>
        <v>651089.46</v>
      </c>
      <c r="T34" s="24">
        <v>284707</v>
      </c>
      <c r="U34" s="24">
        <f t="shared" si="7"/>
        <v>54094.33</v>
      </c>
      <c r="V34" s="24">
        <f t="shared" si="8"/>
        <v>338801.33</v>
      </c>
      <c r="W34" s="25">
        <f t="shared" si="12"/>
        <v>677602.66</v>
      </c>
      <c r="X34" s="53">
        <v>279736</v>
      </c>
      <c r="Y34" s="53">
        <f t="shared" si="9"/>
        <v>53149.840000000004</v>
      </c>
      <c r="Z34" s="53">
        <f t="shared" si="10"/>
        <v>332885.84000000003</v>
      </c>
      <c r="AA34" s="69">
        <f t="shared" si="13"/>
        <v>665771.68000000005</v>
      </c>
      <c r="AB34" s="271">
        <v>390000</v>
      </c>
      <c r="AC34" s="252" t="s">
        <v>364</v>
      </c>
      <c r="AD34" s="281">
        <f t="shared" si="14"/>
        <v>327731.09243697481</v>
      </c>
      <c r="AE34" s="254" t="s">
        <v>360</v>
      </c>
    </row>
    <row r="35" spans="3:32" s="4" customFormat="1" ht="63.75">
      <c r="C35" s="2" t="s">
        <v>128</v>
      </c>
      <c r="D35" s="1" t="s">
        <v>159</v>
      </c>
      <c r="E35" s="15" t="s">
        <v>37</v>
      </c>
      <c r="F35" s="1" t="s">
        <v>4</v>
      </c>
      <c r="G35" s="38">
        <v>2</v>
      </c>
      <c r="H35" s="46">
        <v>929711</v>
      </c>
      <c r="I35" s="24">
        <f t="shared" si="2"/>
        <v>176645.09</v>
      </c>
      <c r="J35" s="24">
        <f t="shared" si="3"/>
        <v>1106356.0900000001</v>
      </c>
      <c r="K35" s="69">
        <f t="shared" si="4"/>
        <v>2212712.1800000002</v>
      </c>
      <c r="L35" s="75">
        <v>756176.4705882353</v>
      </c>
      <c r="M35" s="67">
        <f t="shared" si="0"/>
        <v>143673.5294117647</v>
      </c>
      <c r="N35" s="67">
        <f t="shared" si="1"/>
        <v>899850</v>
      </c>
      <c r="O35" s="77">
        <f t="shared" si="15"/>
        <v>1799700</v>
      </c>
      <c r="P35" s="72">
        <v>894678</v>
      </c>
      <c r="Q35" s="24">
        <f t="shared" si="5"/>
        <v>169988.82</v>
      </c>
      <c r="R35" s="24">
        <f t="shared" si="6"/>
        <v>1064666.82</v>
      </c>
      <c r="S35" s="25">
        <f t="shared" si="11"/>
        <v>2129333.64</v>
      </c>
      <c r="T35" s="24">
        <v>949448</v>
      </c>
      <c r="U35" s="24">
        <f t="shared" si="7"/>
        <v>180395.12</v>
      </c>
      <c r="V35" s="24">
        <f t="shared" si="8"/>
        <v>1129843.1200000001</v>
      </c>
      <c r="W35" s="25">
        <f t="shared" si="12"/>
        <v>2259686.2400000002</v>
      </c>
      <c r="X35" s="53">
        <v>872449</v>
      </c>
      <c r="Y35" s="53">
        <f t="shared" si="9"/>
        <v>165765.31</v>
      </c>
      <c r="Z35" s="53">
        <f t="shared" si="10"/>
        <v>1038214.31</v>
      </c>
      <c r="AA35" s="69">
        <f t="shared" si="13"/>
        <v>2076428.62</v>
      </c>
      <c r="AB35" s="109">
        <v>600000</v>
      </c>
      <c r="AC35" s="105" t="s">
        <v>327</v>
      </c>
      <c r="AD35" s="281">
        <f t="shared" si="14"/>
        <v>504201.68067226891</v>
      </c>
      <c r="AE35" s="110" t="s">
        <v>328</v>
      </c>
    </row>
    <row r="36" spans="3:32" s="4" customFormat="1" ht="76.5">
      <c r="C36" s="2" t="s">
        <v>129</v>
      </c>
      <c r="D36" s="1" t="s">
        <v>160</v>
      </c>
      <c r="E36" s="15" t="s">
        <v>38</v>
      </c>
      <c r="F36" s="1" t="s">
        <v>4</v>
      </c>
      <c r="G36" s="38">
        <v>2</v>
      </c>
      <c r="H36" s="46">
        <v>133036</v>
      </c>
      <c r="I36" s="24">
        <f t="shared" si="2"/>
        <v>25276.84</v>
      </c>
      <c r="J36" s="24">
        <f t="shared" si="3"/>
        <v>158312.84</v>
      </c>
      <c r="K36" s="69">
        <f t="shared" si="4"/>
        <v>316625.68</v>
      </c>
      <c r="L36" s="75">
        <v>88107.983193277323</v>
      </c>
      <c r="M36" s="67">
        <f t="shared" si="0"/>
        <v>16740.516806722691</v>
      </c>
      <c r="N36" s="67">
        <f t="shared" si="1"/>
        <v>104848.50000000001</v>
      </c>
      <c r="O36" s="77">
        <f t="shared" si="15"/>
        <v>209697.00000000003</v>
      </c>
      <c r="P36" s="72">
        <v>132021</v>
      </c>
      <c r="Q36" s="24">
        <f t="shared" si="5"/>
        <v>25083.99</v>
      </c>
      <c r="R36" s="24">
        <f t="shared" si="6"/>
        <v>157104.99</v>
      </c>
      <c r="S36" s="25">
        <f t="shared" si="11"/>
        <v>314209.98</v>
      </c>
      <c r="T36" s="24">
        <v>135509</v>
      </c>
      <c r="U36" s="24">
        <f t="shared" si="7"/>
        <v>25746.71</v>
      </c>
      <c r="V36" s="24">
        <f t="shared" si="8"/>
        <v>161255.71</v>
      </c>
      <c r="W36" s="25">
        <f t="shared" si="12"/>
        <v>322511.42</v>
      </c>
      <c r="X36" s="53">
        <v>136054</v>
      </c>
      <c r="Y36" s="53">
        <f t="shared" si="9"/>
        <v>25850.260000000002</v>
      </c>
      <c r="Z36" s="53">
        <f t="shared" si="10"/>
        <v>161904.26</v>
      </c>
      <c r="AA36" s="69">
        <f t="shared" si="13"/>
        <v>323808.52</v>
      </c>
      <c r="AB36" s="109">
        <v>85918</v>
      </c>
      <c r="AC36" s="105" t="s">
        <v>316</v>
      </c>
      <c r="AD36" s="281">
        <f t="shared" si="14"/>
        <v>72200</v>
      </c>
      <c r="AE36" s="255" t="s">
        <v>365</v>
      </c>
    </row>
    <row r="37" spans="3:32" s="4" customFormat="1" ht="102.75" thickBot="1">
      <c r="C37" s="256" t="s">
        <v>130</v>
      </c>
      <c r="D37" s="257" t="s">
        <v>161</v>
      </c>
      <c r="E37" s="258" t="s">
        <v>39</v>
      </c>
      <c r="F37" s="257" t="s">
        <v>4</v>
      </c>
      <c r="G37" s="259">
        <v>1</v>
      </c>
      <c r="H37" s="260">
        <v>10992317</v>
      </c>
      <c r="I37" s="261">
        <f t="shared" si="2"/>
        <v>2088540.23</v>
      </c>
      <c r="J37" s="261">
        <f t="shared" si="3"/>
        <v>13080857.23</v>
      </c>
      <c r="K37" s="262">
        <f t="shared" si="4"/>
        <v>13080857.23</v>
      </c>
      <c r="L37" s="78">
        <v>8010000</v>
      </c>
      <c r="M37" s="79">
        <f t="shared" si="0"/>
        <v>1521900</v>
      </c>
      <c r="N37" s="79">
        <f t="shared" si="1"/>
        <v>9531900</v>
      </c>
      <c r="O37" s="80">
        <f t="shared" si="15"/>
        <v>9531900</v>
      </c>
      <c r="P37" s="263">
        <v>11702759</v>
      </c>
      <c r="Q37" s="261">
        <f t="shared" si="5"/>
        <v>2223524.21</v>
      </c>
      <c r="R37" s="261">
        <f t="shared" si="6"/>
        <v>13926283.210000001</v>
      </c>
      <c r="S37" s="86">
        <f t="shared" si="11"/>
        <v>13926283.210000001</v>
      </c>
      <c r="T37" s="261">
        <v>11023569</v>
      </c>
      <c r="U37" s="261">
        <f t="shared" si="7"/>
        <v>2094478.11</v>
      </c>
      <c r="V37" s="261">
        <f t="shared" si="8"/>
        <v>13118047.109999999</v>
      </c>
      <c r="W37" s="86">
        <f t="shared" si="12"/>
        <v>13118047.109999999</v>
      </c>
      <c r="X37" s="264">
        <v>10214941</v>
      </c>
      <c r="Y37" s="264">
        <f t="shared" si="9"/>
        <v>1940838.79</v>
      </c>
      <c r="Z37" s="264">
        <f t="shared" si="10"/>
        <v>12155779.789999999</v>
      </c>
      <c r="AA37" s="262">
        <f t="shared" si="13"/>
        <v>12155779.789999999</v>
      </c>
      <c r="AB37" s="111">
        <v>9267670.0199999996</v>
      </c>
      <c r="AC37" s="112"/>
      <c r="AD37" s="282">
        <f>+AB37/1.19</f>
        <v>7787958</v>
      </c>
      <c r="AE37" s="265" t="s">
        <v>366</v>
      </c>
    </row>
    <row r="38" spans="3:32" s="4" customFormat="1" ht="13.15" customHeight="1" thickBot="1">
      <c r="C38" s="440" t="s">
        <v>162</v>
      </c>
      <c r="D38" s="441"/>
      <c r="E38" s="441"/>
      <c r="F38" s="441"/>
      <c r="G38" s="441"/>
      <c r="H38" s="431"/>
      <c r="I38" s="432"/>
      <c r="J38" s="433"/>
      <c r="K38" s="81">
        <f>SUM(K6:K37)</f>
        <v>65361342.61999999</v>
      </c>
      <c r="L38" s="431"/>
      <c r="M38" s="432"/>
      <c r="N38" s="433"/>
      <c r="O38" s="81">
        <f>SUM(O6:O37)</f>
        <v>60680142.315000005</v>
      </c>
      <c r="P38" s="431"/>
      <c r="Q38" s="432"/>
      <c r="R38" s="433"/>
      <c r="S38" s="81">
        <f>SUM(S6:S37)</f>
        <v>65789214.260000005</v>
      </c>
      <c r="T38" s="431"/>
      <c r="U38" s="432"/>
      <c r="V38" s="433"/>
      <c r="W38" s="81">
        <f>SUM(W6:W37)</f>
        <v>65978475.430000007</v>
      </c>
      <c r="X38" s="431"/>
      <c r="Y38" s="432"/>
      <c r="Z38" s="433"/>
      <c r="AA38" s="81">
        <f>SUM(AA6:AA37)</f>
        <v>62172916.120000005</v>
      </c>
      <c r="AB38" s="121">
        <f>SUM(AB6:AB37)</f>
        <v>18679777.219999999</v>
      </c>
    </row>
    <row r="39" spans="3:32" ht="13.5" thickBot="1">
      <c r="C39" s="407" t="s">
        <v>163</v>
      </c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16"/>
    </row>
    <row r="40" spans="3:32" ht="39" thickBot="1">
      <c r="C40" s="59" t="s">
        <v>95</v>
      </c>
      <c r="D40" s="60" t="s">
        <v>96</v>
      </c>
      <c r="E40" s="59" t="s">
        <v>94</v>
      </c>
      <c r="F40" s="61" t="s">
        <v>292</v>
      </c>
      <c r="G40" s="62" t="s">
        <v>0</v>
      </c>
      <c r="H40" s="59" t="s">
        <v>293</v>
      </c>
      <c r="I40" s="61" t="s">
        <v>294</v>
      </c>
      <c r="J40" s="61" t="s">
        <v>295</v>
      </c>
      <c r="K40" s="63" t="s">
        <v>296</v>
      </c>
      <c r="L40" s="59" t="s">
        <v>293</v>
      </c>
      <c r="M40" s="61" t="s">
        <v>294</v>
      </c>
      <c r="N40" s="61" t="s">
        <v>295</v>
      </c>
      <c r="O40" s="63" t="s">
        <v>296</v>
      </c>
      <c r="P40" s="59" t="s">
        <v>293</v>
      </c>
      <c r="Q40" s="61" t="s">
        <v>294</v>
      </c>
      <c r="R40" s="61" t="s">
        <v>295</v>
      </c>
      <c r="S40" s="63" t="s">
        <v>296</v>
      </c>
      <c r="T40" s="59" t="s">
        <v>293</v>
      </c>
      <c r="U40" s="61" t="s">
        <v>294</v>
      </c>
      <c r="V40" s="61" t="s">
        <v>295</v>
      </c>
      <c r="W40" s="63" t="s">
        <v>296</v>
      </c>
      <c r="X40" s="59" t="s">
        <v>293</v>
      </c>
      <c r="Y40" s="61" t="s">
        <v>294</v>
      </c>
      <c r="Z40" s="61" t="s">
        <v>295</v>
      </c>
      <c r="AA40" s="63" t="s">
        <v>296</v>
      </c>
      <c r="AB40" s="6" t="s">
        <v>295</v>
      </c>
      <c r="AC40" s="104" t="s">
        <v>307</v>
      </c>
      <c r="AD40" s="274" t="s">
        <v>384</v>
      </c>
      <c r="AE40" s="253" t="s">
        <v>308</v>
      </c>
    </row>
    <row r="41" spans="3:32" ht="76.5">
      <c r="C41" s="9" t="s">
        <v>164</v>
      </c>
      <c r="D41" s="10" t="s">
        <v>167</v>
      </c>
      <c r="E41" s="13" t="s">
        <v>40</v>
      </c>
      <c r="F41" s="10" t="s">
        <v>4</v>
      </c>
      <c r="G41" s="37">
        <v>1</v>
      </c>
      <c r="H41" s="45">
        <v>3806471</v>
      </c>
      <c r="I41" s="22">
        <f t="shared" ref="I41:I69" si="16">H41*19%</f>
        <v>723229.49</v>
      </c>
      <c r="J41" s="22">
        <f t="shared" ref="J41" si="17">H41+I41</f>
        <v>4529700.49</v>
      </c>
      <c r="K41" s="68">
        <f t="shared" ref="K41" si="18">G41*J41</f>
        <v>4529700.49</v>
      </c>
      <c r="L41" s="82">
        <v>2016806.7226890759</v>
      </c>
      <c r="M41" s="66">
        <f t="shared" ref="M41:M69" si="19">L41*19%</f>
        <v>383193.27731092443</v>
      </c>
      <c r="N41" s="66">
        <f t="shared" ref="N41:N69" si="20">L41+M41</f>
        <v>2400000.0000000005</v>
      </c>
      <c r="O41" s="23">
        <f>+G41*N41</f>
        <v>2400000.0000000005</v>
      </c>
      <c r="P41" s="71">
        <v>3744578</v>
      </c>
      <c r="Q41" s="22">
        <f t="shared" ref="Q41:Q69" si="21">+P41*0.19</f>
        <v>711469.82000000007</v>
      </c>
      <c r="R41" s="22">
        <f t="shared" ref="R41:R69" si="22">+P41+Q41</f>
        <v>4456047.82</v>
      </c>
      <c r="S41" s="23">
        <f>+G41*R41</f>
        <v>4456047.82</v>
      </c>
      <c r="T41" s="22">
        <v>3642494</v>
      </c>
      <c r="U41" s="22">
        <f>T41*19%</f>
        <v>692073.86</v>
      </c>
      <c r="V41" s="22">
        <f>T41+U41</f>
        <v>4334567.8600000003</v>
      </c>
      <c r="W41" s="23">
        <f>+G41*V41</f>
        <v>4334567.8600000003</v>
      </c>
      <c r="X41" s="52">
        <v>3900235</v>
      </c>
      <c r="Y41" s="52">
        <f t="shared" ref="Y41:Y69" si="23">+X41*0.19</f>
        <v>741044.65</v>
      </c>
      <c r="Z41" s="52">
        <f t="shared" ref="Z41:Z69" si="24">+X41+Y41</f>
        <v>4641279.6500000004</v>
      </c>
      <c r="AA41" s="68">
        <f>+G41*Z41</f>
        <v>4641279.6500000004</v>
      </c>
      <c r="AB41" s="268">
        <f>+'[2]ESTUDIO MERCADO'!$J$41</f>
        <v>1299998.8400000001</v>
      </c>
      <c r="AC41" s="266"/>
      <c r="AD41" s="280">
        <f>+AB41/1.19</f>
        <v>1092436.0000000002</v>
      </c>
      <c r="AE41" s="267" t="s">
        <v>396</v>
      </c>
      <c r="AF41" s="338" t="s">
        <v>386</v>
      </c>
    </row>
    <row r="42" spans="3:32" ht="76.5">
      <c r="C42" s="2" t="s">
        <v>197</v>
      </c>
      <c r="D42" s="1" t="s">
        <v>168</v>
      </c>
      <c r="E42" s="15" t="s">
        <v>41</v>
      </c>
      <c r="F42" s="1" t="s">
        <v>4</v>
      </c>
      <c r="G42" s="38">
        <v>1</v>
      </c>
      <c r="H42" s="46">
        <v>618098</v>
      </c>
      <c r="I42" s="24">
        <f t="shared" si="16"/>
        <v>117438.62</v>
      </c>
      <c r="J42" s="24">
        <f t="shared" ref="J42:J69" si="25">H42+I42</f>
        <v>735536.62</v>
      </c>
      <c r="K42" s="69">
        <f t="shared" ref="K42:K69" si="26">G42*J42</f>
        <v>735536.62</v>
      </c>
      <c r="L42" s="75">
        <v>520588.23529411771</v>
      </c>
      <c r="M42" s="67">
        <f t="shared" si="19"/>
        <v>98911.764705882364</v>
      </c>
      <c r="N42" s="67">
        <f t="shared" si="20"/>
        <v>619500.00000000012</v>
      </c>
      <c r="O42" s="25">
        <f>+G42*N42</f>
        <v>619500.00000000012</v>
      </c>
      <c r="P42" s="72">
        <v>587778</v>
      </c>
      <c r="Q42" s="24">
        <f t="shared" si="21"/>
        <v>111677.82</v>
      </c>
      <c r="R42" s="24">
        <f t="shared" si="22"/>
        <v>699455.82000000007</v>
      </c>
      <c r="S42" s="25">
        <f>+G42*R42</f>
        <v>699455.82000000007</v>
      </c>
      <c r="T42" s="24">
        <v>613829</v>
      </c>
      <c r="U42" s="24">
        <f t="shared" ref="U42:U69" si="27">T42*19%</f>
        <v>116627.51</v>
      </c>
      <c r="V42" s="24">
        <f t="shared" ref="V42:V69" si="28">T42+U42</f>
        <v>730456.51</v>
      </c>
      <c r="W42" s="25">
        <f>+G42*V42</f>
        <v>730456.51</v>
      </c>
      <c r="X42" s="53">
        <v>628160</v>
      </c>
      <c r="Y42" s="53">
        <f t="shared" si="23"/>
        <v>119350.39999999999</v>
      </c>
      <c r="Z42" s="53">
        <f t="shared" si="24"/>
        <v>747510.4</v>
      </c>
      <c r="AA42" s="69">
        <f>+G42*Z42</f>
        <v>747510.4</v>
      </c>
      <c r="AB42" s="109">
        <v>1083199.8799999999</v>
      </c>
      <c r="AC42" s="105" t="s">
        <v>316</v>
      </c>
      <c r="AD42" s="283">
        <f>+AB42/1.19</f>
        <v>910252</v>
      </c>
      <c r="AE42" s="255" t="s">
        <v>367</v>
      </c>
    </row>
    <row r="43" spans="3:32" ht="102">
      <c r="C43" s="2" t="s">
        <v>198</v>
      </c>
      <c r="D43" s="1" t="s">
        <v>169</v>
      </c>
      <c r="E43" s="15" t="s">
        <v>297</v>
      </c>
      <c r="F43" s="1" t="s">
        <v>4</v>
      </c>
      <c r="G43" s="38">
        <v>1</v>
      </c>
      <c r="H43" s="46">
        <v>3990000</v>
      </c>
      <c r="I43" s="24">
        <f t="shared" si="16"/>
        <v>758100</v>
      </c>
      <c r="J43" s="24">
        <f t="shared" si="25"/>
        <v>4748100</v>
      </c>
      <c r="K43" s="69">
        <f t="shared" si="26"/>
        <v>4748100</v>
      </c>
      <c r="L43" s="75">
        <v>2431512.6050420171</v>
      </c>
      <c r="M43" s="67">
        <f t="shared" si="19"/>
        <v>461987.39495798323</v>
      </c>
      <c r="N43" s="67">
        <f t="shared" si="20"/>
        <v>2893500.0000000005</v>
      </c>
      <c r="O43" s="25">
        <f t="shared" ref="O43:O69" si="29">+G43*N43</f>
        <v>2893500.0000000005</v>
      </c>
      <c r="P43" s="72">
        <v>4244254</v>
      </c>
      <c r="Q43" s="24">
        <f t="shared" si="21"/>
        <v>806408.26</v>
      </c>
      <c r="R43" s="24">
        <f t="shared" si="22"/>
        <v>5050662.26</v>
      </c>
      <c r="S43" s="25">
        <f t="shared" ref="S43:S69" si="30">+G43*R43</f>
        <v>5050662.26</v>
      </c>
      <c r="T43" s="24">
        <v>4348132</v>
      </c>
      <c r="U43" s="24">
        <f t="shared" si="27"/>
        <v>826145.08</v>
      </c>
      <c r="V43" s="24">
        <f t="shared" si="28"/>
        <v>5174277.08</v>
      </c>
      <c r="W43" s="25">
        <f t="shared" ref="W43:W69" si="31">+G43*V43</f>
        <v>5174277.08</v>
      </c>
      <c r="X43" s="53">
        <v>4084624</v>
      </c>
      <c r="Y43" s="53">
        <f t="shared" si="23"/>
        <v>776078.56</v>
      </c>
      <c r="Z43" s="53">
        <f t="shared" si="24"/>
        <v>4860702.5600000005</v>
      </c>
      <c r="AA43" s="69">
        <f t="shared" ref="AA43:AA69" si="32">+G43*Z43</f>
        <v>4860702.5600000005</v>
      </c>
      <c r="AB43" s="122">
        <v>1929000</v>
      </c>
      <c r="AC43" s="105" t="s">
        <v>329</v>
      </c>
      <c r="AD43" s="283">
        <f t="shared" ref="AD43:AD68" si="33">+AB43/1.19</f>
        <v>1621008.4033613447</v>
      </c>
      <c r="AE43" s="123" t="s">
        <v>330</v>
      </c>
      <c r="AF43" s="338"/>
    </row>
    <row r="44" spans="3:32" ht="76.5">
      <c r="C44" s="2" t="s">
        <v>199</v>
      </c>
      <c r="D44" s="1" t="s">
        <v>170</v>
      </c>
      <c r="E44" s="15" t="s">
        <v>7</v>
      </c>
      <c r="F44" s="1" t="s">
        <v>4</v>
      </c>
      <c r="G44" s="38">
        <v>1</v>
      </c>
      <c r="H44" s="46">
        <v>3220336</v>
      </c>
      <c r="I44" s="24">
        <f t="shared" si="16"/>
        <v>611863.84</v>
      </c>
      <c r="J44" s="24">
        <f t="shared" si="25"/>
        <v>3832199.84</v>
      </c>
      <c r="K44" s="69">
        <f t="shared" si="26"/>
        <v>3832199.84</v>
      </c>
      <c r="L44" s="75">
        <v>2475000</v>
      </c>
      <c r="M44" s="67">
        <f t="shared" si="19"/>
        <v>470250</v>
      </c>
      <c r="N44" s="67">
        <f t="shared" si="20"/>
        <v>2945250</v>
      </c>
      <c r="O44" s="25">
        <f t="shared" si="29"/>
        <v>2945250</v>
      </c>
      <c r="P44" s="72">
        <v>3562886</v>
      </c>
      <c r="Q44" s="24">
        <f t="shared" si="21"/>
        <v>676948.34</v>
      </c>
      <c r="R44" s="24">
        <f t="shared" si="22"/>
        <v>4239834.34</v>
      </c>
      <c r="S44" s="25">
        <f t="shared" si="30"/>
        <v>4239834.34</v>
      </c>
      <c r="T44" s="24">
        <v>3384406</v>
      </c>
      <c r="U44" s="24">
        <f t="shared" si="27"/>
        <v>643037.14</v>
      </c>
      <c r="V44" s="24">
        <f t="shared" si="28"/>
        <v>4027443.14</v>
      </c>
      <c r="W44" s="25">
        <f t="shared" si="31"/>
        <v>4027443.14</v>
      </c>
      <c r="X44" s="53">
        <v>3303044</v>
      </c>
      <c r="Y44" s="53">
        <f t="shared" si="23"/>
        <v>627578.36</v>
      </c>
      <c r="Z44" s="53">
        <f t="shared" si="24"/>
        <v>3930622.36</v>
      </c>
      <c r="AA44" s="69">
        <f t="shared" si="32"/>
        <v>3930622.36</v>
      </c>
      <c r="AB44" s="122">
        <f>+'[1]CASA SOCIALES'!$F$44</f>
        <v>2580000</v>
      </c>
      <c r="AC44" s="105"/>
      <c r="AD44" s="283">
        <f t="shared" si="33"/>
        <v>2168067.2268907563</v>
      </c>
      <c r="AE44" s="255" t="s">
        <v>368</v>
      </c>
      <c r="AF44" s="338" t="s">
        <v>386</v>
      </c>
    </row>
    <row r="45" spans="3:32" ht="127.5">
      <c r="C45" s="2" t="s">
        <v>200</v>
      </c>
      <c r="D45" s="1" t="s">
        <v>171</v>
      </c>
      <c r="E45" s="15" t="s">
        <v>42</v>
      </c>
      <c r="F45" s="1" t="s">
        <v>4</v>
      </c>
      <c r="G45" s="38">
        <v>1</v>
      </c>
      <c r="H45" s="46">
        <v>4063000</v>
      </c>
      <c r="I45" s="24">
        <f t="shared" si="16"/>
        <v>771970</v>
      </c>
      <c r="J45" s="24">
        <f t="shared" si="25"/>
        <v>4834970</v>
      </c>
      <c r="K45" s="69">
        <f t="shared" si="26"/>
        <v>4834970</v>
      </c>
      <c r="L45" s="75">
        <v>2646932.7731092442</v>
      </c>
      <c r="M45" s="67">
        <f t="shared" si="19"/>
        <v>502917.2268907564</v>
      </c>
      <c r="N45" s="67">
        <f t="shared" si="20"/>
        <v>3149850.0000000005</v>
      </c>
      <c r="O45" s="25">
        <f t="shared" si="29"/>
        <v>3149850.0000000005</v>
      </c>
      <c r="P45" s="72">
        <v>3907847</v>
      </c>
      <c r="Q45" s="24">
        <f t="shared" si="21"/>
        <v>742490.93</v>
      </c>
      <c r="R45" s="24">
        <f t="shared" si="22"/>
        <v>4650337.93</v>
      </c>
      <c r="S45" s="25">
        <f t="shared" si="30"/>
        <v>4650337.93</v>
      </c>
      <c r="T45" s="24">
        <v>4049283</v>
      </c>
      <c r="U45" s="24">
        <f t="shared" si="27"/>
        <v>769363.77</v>
      </c>
      <c r="V45" s="24">
        <f t="shared" si="28"/>
        <v>4818646.7699999996</v>
      </c>
      <c r="W45" s="25">
        <f t="shared" si="31"/>
        <v>4818646.7699999996</v>
      </c>
      <c r="X45" s="53">
        <v>3790962</v>
      </c>
      <c r="Y45" s="53">
        <f t="shared" si="23"/>
        <v>720282.78</v>
      </c>
      <c r="Z45" s="53">
        <f t="shared" si="24"/>
        <v>4511244.78</v>
      </c>
      <c r="AA45" s="69">
        <f t="shared" si="32"/>
        <v>4511244.78</v>
      </c>
      <c r="AB45" s="109">
        <v>5519730</v>
      </c>
      <c r="AC45" s="336" t="s">
        <v>309</v>
      </c>
      <c r="AD45" s="283">
        <f t="shared" si="33"/>
        <v>4638428.5714285718</v>
      </c>
      <c r="AE45" s="110" t="s">
        <v>310</v>
      </c>
    </row>
    <row r="46" spans="3:32" ht="114.75">
      <c r="C46" s="2" t="s">
        <v>201</v>
      </c>
      <c r="D46" s="1" t="s">
        <v>172</v>
      </c>
      <c r="E46" s="15" t="s">
        <v>9</v>
      </c>
      <c r="F46" s="1" t="s">
        <v>4</v>
      </c>
      <c r="G46" s="38">
        <v>1</v>
      </c>
      <c r="H46" s="46">
        <v>1474185</v>
      </c>
      <c r="I46" s="24">
        <f t="shared" si="16"/>
        <v>280095.15000000002</v>
      </c>
      <c r="J46" s="24">
        <f t="shared" si="25"/>
        <v>1754280.15</v>
      </c>
      <c r="K46" s="69">
        <f t="shared" si="26"/>
        <v>1754280.15</v>
      </c>
      <c r="L46" s="75">
        <v>2546092.4369747899</v>
      </c>
      <c r="M46" s="67">
        <f t="shared" si="19"/>
        <v>483757.56302521011</v>
      </c>
      <c r="N46" s="67">
        <f t="shared" si="20"/>
        <v>3029850</v>
      </c>
      <c r="O46" s="25">
        <f t="shared" si="29"/>
        <v>3029850</v>
      </c>
      <c r="P46" s="72">
        <v>1686122</v>
      </c>
      <c r="Q46" s="24">
        <f t="shared" si="21"/>
        <v>320363.18</v>
      </c>
      <c r="R46" s="24">
        <f t="shared" si="22"/>
        <v>2006485.18</v>
      </c>
      <c r="S46" s="25">
        <f t="shared" si="30"/>
        <v>2006485.18</v>
      </c>
      <c r="T46" s="24">
        <v>1526486</v>
      </c>
      <c r="U46" s="24">
        <f t="shared" si="27"/>
        <v>290032.34000000003</v>
      </c>
      <c r="V46" s="24">
        <f t="shared" si="28"/>
        <v>1816518.34</v>
      </c>
      <c r="W46" s="25">
        <f t="shared" si="31"/>
        <v>1816518.34</v>
      </c>
      <c r="X46" s="53">
        <v>1498029</v>
      </c>
      <c r="Y46" s="53">
        <f t="shared" si="23"/>
        <v>284625.51</v>
      </c>
      <c r="Z46" s="53">
        <f t="shared" si="24"/>
        <v>1782654.51</v>
      </c>
      <c r="AA46" s="69">
        <f t="shared" si="32"/>
        <v>1782654.51</v>
      </c>
      <c r="AB46" s="269">
        <v>1763580</v>
      </c>
      <c r="AC46" s="11" t="s">
        <v>382</v>
      </c>
      <c r="AD46" s="283">
        <f t="shared" si="33"/>
        <v>1482000</v>
      </c>
      <c r="AE46" s="110" t="s">
        <v>360</v>
      </c>
      <c r="AF46" s="338" t="s">
        <v>386</v>
      </c>
    </row>
    <row r="47" spans="3:32" ht="53.25" customHeight="1">
      <c r="C47" s="2" t="s">
        <v>202</v>
      </c>
      <c r="D47" s="1" t="s">
        <v>173</v>
      </c>
      <c r="E47" s="15" t="s">
        <v>43</v>
      </c>
      <c r="F47" s="1" t="s">
        <v>4</v>
      </c>
      <c r="G47" s="38">
        <v>1</v>
      </c>
      <c r="H47" s="46">
        <v>173466</v>
      </c>
      <c r="I47" s="24">
        <f t="shared" si="16"/>
        <v>32958.54</v>
      </c>
      <c r="J47" s="24">
        <f t="shared" si="25"/>
        <v>206424.54</v>
      </c>
      <c r="K47" s="69">
        <f t="shared" si="26"/>
        <v>206424.54</v>
      </c>
      <c r="L47" s="75">
        <v>180126.05042016809</v>
      </c>
      <c r="M47" s="67">
        <f t="shared" si="19"/>
        <v>34223.94957983194</v>
      </c>
      <c r="N47" s="67">
        <f t="shared" si="20"/>
        <v>214350.00000000003</v>
      </c>
      <c r="O47" s="25">
        <f t="shared" si="29"/>
        <v>214350.00000000003</v>
      </c>
      <c r="P47" s="72">
        <v>162684</v>
      </c>
      <c r="Q47" s="24">
        <f t="shared" si="21"/>
        <v>30909.96</v>
      </c>
      <c r="R47" s="24">
        <f t="shared" si="22"/>
        <v>193593.96</v>
      </c>
      <c r="S47" s="25">
        <f t="shared" si="30"/>
        <v>193593.96</v>
      </c>
      <c r="T47" s="24">
        <v>175898</v>
      </c>
      <c r="U47" s="24">
        <f t="shared" si="27"/>
        <v>33420.620000000003</v>
      </c>
      <c r="V47" s="24">
        <f t="shared" si="28"/>
        <v>209318.62</v>
      </c>
      <c r="W47" s="25">
        <f t="shared" si="31"/>
        <v>209318.62</v>
      </c>
      <c r="X47" s="53">
        <v>168572</v>
      </c>
      <c r="Y47" s="53">
        <f t="shared" si="23"/>
        <v>32028.68</v>
      </c>
      <c r="Z47" s="53">
        <f t="shared" si="24"/>
        <v>200600.68</v>
      </c>
      <c r="AA47" s="69">
        <f t="shared" si="32"/>
        <v>200600.68</v>
      </c>
      <c r="AB47" s="269">
        <v>120000</v>
      </c>
      <c r="AC47" s="11" t="s">
        <v>369</v>
      </c>
      <c r="AD47" s="283">
        <f t="shared" si="33"/>
        <v>100840.33613445378</v>
      </c>
      <c r="AE47" s="254" t="s">
        <v>360</v>
      </c>
      <c r="AF47" s="338" t="s">
        <v>386</v>
      </c>
    </row>
    <row r="48" spans="3:32" ht="51.75" customHeight="1">
      <c r="C48" s="2" t="s">
        <v>203</v>
      </c>
      <c r="D48" s="1" t="s">
        <v>174</v>
      </c>
      <c r="E48" s="15" t="s">
        <v>44</v>
      </c>
      <c r="F48" s="1" t="s">
        <v>4</v>
      </c>
      <c r="G48" s="38">
        <v>1</v>
      </c>
      <c r="H48" s="46">
        <v>551748</v>
      </c>
      <c r="I48" s="24">
        <f t="shared" si="16"/>
        <v>104832.12</v>
      </c>
      <c r="J48" s="24">
        <f t="shared" si="25"/>
        <v>656580.12</v>
      </c>
      <c r="K48" s="69">
        <f t="shared" si="26"/>
        <v>656580.12</v>
      </c>
      <c r="L48" s="75">
        <v>804303</v>
      </c>
      <c r="M48" s="67">
        <f t="shared" si="19"/>
        <v>152817.57</v>
      </c>
      <c r="N48" s="67">
        <f t="shared" si="20"/>
        <v>957120.57000000007</v>
      </c>
      <c r="O48" s="25">
        <f t="shared" si="29"/>
        <v>957120.57000000007</v>
      </c>
      <c r="P48" s="72">
        <v>526151</v>
      </c>
      <c r="Q48" s="24">
        <f t="shared" si="21"/>
        <v>99968.69</v>
      </c>
      <c r="R48" s="24">
        <f t="shared" si="22"/>
        <v>626119.68999999994</v>
      </c>
      <c r="S48" s="25">
        <f t="shared" si="30"/>
        <v>626119.68999999994</v>
      </c>
      <c r="T48" s="24">
        <v>593083</v>
      </c>
      <c r="U48" s="24">
        <f t="shared" si="27"/>
        <v>112685.77</v>
      </c>
      <c r="V48" s="24">
        <f t="shared" si="28"/>
        <v>705768.77</v>
      </c>
      <c r="W48" s="25">
        <f t="shared" si="31"/>
        <v>705768.77</v>
      </c>
      <c r="X48" s="53">
        <v>564590</v>
      </c>
      <c r="Y48" s="53">
        <f t="shared" si="23"/>
        <v>107272.1</v>
      </c>
      <c r="Z48" s="53">
        <f t="shared" si="24"/>
        <v>671862.1</v>
      </c>
      <c r="AA48" s="69">
        <f t="shared" si="32"/>
        <v>671862.1</v>
      </c>
      <c r="AB48" s="269">
        <v>630000</v>
      </c>
      <c r="AC48" s="11" t="s">
        <v>370</v>
      </c>
      <c r="AD48" s="283">
        <f t="shared" si="33"/>
        <v>529411.76470588241</v>
      </c>
      <c r="AE48" s="254" t="s">
        <v>360</v>
      </c>
    </row>
    <row r="49" spans="3:37" ht="140.25">
      <c r="C49" s="2" t="s">
        <v>204</v>
      </c>
      <c r="D49" s="1" t="s">
        <v>175</v>
      </c>
      <c r="E49" s="15" t="s">
        <v>45</v>
      </c>
      <c r="F49" s="1" t="s">
        <v>4</v>
      </c>
      <c r="G49" s="38">
        <v>1</v>
      </c>
      <c r="H49" s="46">
        <v>2567274</v>
      </c>
      <c r="I49" s="24">
        <f t="shared" si="16"/>
        <v>487782.06</v>
      </c>
      <c r="J49" s="24">
        <f t="shared" si="25"/>
        <v>3055056.06</v>
      </c>
      <c r="K49" s="69">
        <f t="shared" si="26"/>
        <v>3055056.06</v>
      </c>
      <c r="L49" s="75">
        <v>1865546.218487395</v>
      </c>
      <c r="M49" s="67">
        <f t="shared" si="19"/>
        <v>354453.78151260503</v>
      </c>
      <c r="N49" s="67">
        <f t="shared" si="20"/>
        <v>2220000</v>
      </c>
      <c r="O49" s="25">
        <f t="shared" si="29"/>
        <v>2220000</v>
      </c>
      <c r="P49" s="72">
        <v>2493789</v>
      </c>
      <c r="Q49" s="24">
        <f t="shared" si="21"/>
        <v>473819.91000000003</v>
      </c>
      <c r="R49" s="24">
        <f t="shared" si="22"/>
        <v>2967608.91</v>
      </c>
      <c r="S49" s="25">
        <f t="shared" si="30"/>
        <v>2967608.91</v>
      </c>
      <c r="T49" s="24">
        <v>2714089</v>
      </c>
      <c r="U49" s="24">
        <f t="shared" si="27"/>
        <v>515676.91000000003</v>
      </c>
      <c r="V49" s="24">
        <f t="shared" si="28"/>
        <v>3229765.91</v>
      </c>
      <c r="W49" s="25">
        <f t="shared" si="31"/>
        <v>3229765.91</v>
      </c>
      <c r="X49" s="53">
        <v>2685297</v>
      </c>
      <c r="Y49" s="53">
        <f t="shared" si="23"/>
        <v>510206.43</v>
      </c>
      <c r="Z49" s="53">
        <f t="shared" si="24"/>
        <v>3195503.43</v>
      </c>
      <c r="AA49" s="69">
        <f t="shared" si="32"/>
        <v>3195503.43</v>
      </c>
      <c r="AB49" s="109">
        <v>1800000</v>
      </c>
      <c r="AC49" s="105" t="s">
        <v>316</v>
      </c>
      <c r="AD49" s="283">
        <f t="shared" si="33"/>
        <v>1512605.0420168068</v>
      </c>
      <c r="AE49" s="110" t="s">
        <v>331</v>
      </c>
    </row>
    <row r="50" spans="3:37" ht="38.25">
      <c r="C50" s="2" t="s">
        <v>205</v>
      </c>
      <c r="D50" s="1" t="s">
        <v>176</v>
      </c>
      <c r="E50" s="15" t="s">
        <v>47</v>
      </c>
      <c r="F50" s="1" t="s">
        <v>4</v>
      </c>
      <c r="G50" s="38">
        <v>1</v>
      </c>
      <c r="H50" s="46">
        <v>706739</v>
      </c>
      <c r="I50" s="24">
        <f t="shared" si="16"/>
        <v>134280.41</v>
      </c>
      <c r="J50" s="24">
        <f t="shared" si="25"/>
        <v>841019.41</v>
      </c>
      <c r="K50" s="69">
        <f t="shared" si="26"/>
        <v>841019.41</v>
      </c>
      <c r="L50" s="75">
        <v>756176.4705882353</v>
      </c>
      <c r="M50" s="67">
        <f t="shared" si="19"/>
        <v>143673.5294117647</v>
      </c>
      <c r="N50" s="67">
        <f t="shared" si="20"/>
        <v>899850</v>
      </c>
      <c r="O50" s="25">
        <f t="shared" si="29"/>
        <v>899850</v>
      </c>
      <c r="P50" s="72">
        <v>670920</v>
      </c>
      <c r="Q50" s="24">
        <f t="shared" si="21"/>
        <v>127474.8</v>
      </c>
      <c r="R50" s="24">
        <f t="shared" si="22"/>
        <v>798394.8</v>
      </c>
      <c r="S50" s="25">
        <f t="shared" si="30"/>
        <v>798394.8</v>
      </c>
      <c r="T50" s="24">
        <v>722567</v>
      </c>
      <c r="U50" s="24">
        <f t="shared" si="27"/>
        <v>137287.73000000001</v>
      </c>
      <c r="V50" s="24">
        <f t="shared" si="28"/>
        <v>859854.73</v>
      </c>
      <c r="W50" s="25">
        <f t="shared" si="31"/>
        <v>859854.73</v>
      </c>
      <c r="X50" s="53">
        <v>722439</v>
      </c>
      <c r="Y50" s="53">
        <f t="shared" si="23"/>
        <v>137263.41</v>
      </c>
      <c r="Z50" s="53">
        <f t="shared" si="24"/>
        <v>859702.41</v>
      </c>
      <c r="AA50" s="69">
        <f t="shared" si="32"/>
        <v>859702.41</v>
      </c>
      <c r="AB50" s="270">
        <v>408870</v>
      </c>
      <c r="AC50" s="11" t="s">
        <v>362</v>
      </c>
      <c r="AD50" s="283">
        <f t="shared" si="33"/>
        <v>343588.23529411765</v>
      </c>
      <c r="AE50" s="254" t="s">
        <v>360</v>
      </c>
    </row>
    <row r="51" spans="3:37" ht="51">
      <c r="C51" s="2" t="s">
        <v>206</v>
      </c>
      <c r="D51" s="1" t="s">
        <v>177</v>
      </c>
      <c r="E51" s="15" t="s">
        <v>46</v>
      </c>
      <c r="F51" s="1" t="s">
        <v>4</v>
      </c>
      <c r="G51" s="38">
        <v>1</v>
      </c>
      <c r="H51" s="46">
        <v>1196320</v>
      </c>
      <c r="I51" s="24">
        <f t="shared" si="16"/>
        <v>227300.8</v>
      </c>
      <c r="J51" s="24">
        <f t="shared" si="25"/>
        <v>1423620.8</v>
      </c>
      <c r="K51" s="69">
        <f t="shared" si="26"/>
        <v>1423620.8</v>
      </c>
      <c r="L51" s="75">
        <v>1121340</v>
      </c>
      <c r="M51" s="67">
        <f t="shared" si="19"/>
        <v>213054.6</v>
      </c>
      <c r="N51" s="67">
        <f t="shared" si="20"/>
        <v>1334394.6000000001</v>
      </c>
      <c r="O51" s="25">
        <f t="shared" si="29"/>
        <v>1334394.6000000001</v>
      </c>
      <c r="P51" s="72">
        <v>1180542</v>
      </c>
      <c r="Q51" s="24">
        <f t="shared" si="21"/>
        <v>224302.98</v>
      </c>
      <c r="R51" s="24">
        <f t="shared" si="22"/>
        <v>1404844.98</v>
      </c>
      <c r="S51" s="25">
        <f t="shared" si="30"/>
        <v>1404844.98</v>
      </c>
      <c r="T51" s="24">
        <v>1242088</v>
      </c>
      <c r="U51" s="24">
        <f t="shared" si="27"/>
        <v>235996.72</v>
      </c>
      <c r="V51" s="24">
        <f t="shared" si="28"/>
        <v>1478084.72</v>
      </c>
      <c r="W51" s="25">
        <f t="shared" si="31"/>
        <v>1478084.72</v>
      </c>
      <c r="X51" s="53">
        <v>1175150</v>
      </c>
      <c r="Y51" s="53">
        <f t="shared" si="23"/>
        <v>223278.5</v>
      </c>
      <c r="Z51" s="53">
        <f t="shared" si="24"/>
        <v>1398428.5</v>
      </c>
      <c r="AA51" s="69">
        <f t="shared" si="32"/>
        <v>1398428.5</v>
      </c>
      <c r="AB51" s="109">
        <v>791999.74</v>
      </c>
      <c r="AC51" s="105" t="s">
        <v>316</v>
      </c>
      <c r="AD51" s="283">
        <f t="shared" si="33"/>
        <v>665546</v>
      </c>
      <c r="AE51" s="255" t="s">
        <v>371</v>
      </c>
    </row>
    <row r="52" spans="3:37" ht="63.75">
      <c r="C52" s="2" t="s">
        <v>207</v>
      </c>
      <c r="D52" s="1" t="s">
        <v>178</v>
      </c>
      <c r="E52" s="15" t="s">
        <v>48</v>
      </c>
      <c r="F52" s="1" t="s">
        <v>4</v>
      </c>
      <c r="G52" s="38">
        <v>1</v>
      </c>
      <c r="H52" s="46">
        <v>1683911</v>
      </c>
      <c r="I52" s="24">
        <f t="shared" si="16"/>
        <v>319943.09000000003</v>
      </c>
      <c r="J52" s="24">
        <f t="shared" si="25"/>
        <v>2003854.09</v>
      </c>
      <c r="K52" s="69">
        <f t="shared" si="26"/>
        <v>2003854.09</v>
      </c>
      <c r="L52" s="75">
        <v>1687815.1260504203</v>
      </c>
      <c r="M52" s="67">
        <f t="shared" si="19"/>
        <v>320684.87394957989</v>
      </c>
      <c r="N52" s="67">
        <f t="shared" si="20"/>
        <v>2008500.0000000002</v>
      </c>
      <c r="O52" s="25">
        <f t="shared" si="29"/>
        <v>2008500.0000000002</v>
      </c>
      <c r="P52" s="72">
        <v>1599863</v>
      </c>
      <c r="Q52" s="24">
        <f t="shared" si="21"/>
        <v>303973.97000000003</v>
      </c>
      <c r="R52" s="24">
        <f t="shared" si="22"/>
        <v>1903836.97</v>
      </c>
      <c r="S52" s="25">
        <f t="shared" si="30"/>
        <v>1903836.97</v>
      </c>
      <c r="T52" s="24">
        <v>1697456</v>
      </c>
      <c r="U52" s="24">
        <f t="shared" si="27"/>
        <v>322516.64</v>
      </c>
      <c r="V52" s="24">
        <f t="shared" si="28"/>
        <v>2019972.6400000001</v>
      </c>
      <c r="W52" s="25">
        <f t="shared" si="31"/>
        <v>2019972.6400000001</v>
      </c>
      <c r="X52" s="53">
        <v>1644037</v>
      </c>
      <c r="Y52" s="53">
        <f t="shared" si="23"/>
        <v>312367.03000000003</v>
      </c>
      <c r="Z52" s="53">
        <f t="shared" si="24"/>
        <v>1956404.03</v>
      </c>
      <c r="AA52" s="69">
        <f t="shared" si="32"/>
        <v>1956404.03</v>
      </c>
      <c r="AB52" s="271">
        <v>2198900</v>
      </c>
      <c r="AC52" s="252" t="s">
        <v>372</v>
      </c>
      <c r="AD52" s="283">
        <f t="shared" si="33"/>
        <v>1847815.1260504203</v>
      </c>
      <c r="AE52" s="254" t="s">
        <v>360</v>
      </c>
    </row>
    <row r="53" spans="3:37" ht="51">
      <c r="C53" s="2" t="s">
        <v>208</v>
      </c>
      <c r="D53" s="1" t="s">
        <v>179</v>
      </c>
      <c r="E53" s="15" t="s">
        <v>49</v>
      </c>
      <c r="F53" s="1" t="s">
        <v>4</v>
      </c>
      <c r="G53" s="38">
        <v>1</v>
      </c>
      <c r="H53" s="46">
        <v>2120748</v>
      </c>
      <c r="I53" s="24">
        <f t="shared" si="16"/>
        <v>402942.12</v>
      </c>
      <c r="J53" s="24">
        <f t="shared" si="25"/>
        <v>2523690.12</v>
      </c>
      <c r="K53" s="69">
        <f t="shared" si="26"/>
        <v>2523690.12</v>
      </c>
      <c r="L53" s="75">
        <v>3767647.0588235296</v>
      </c>
      <c r="M53" s="67">
        <f t="shared" si="19"/>
        <v>715852.9411764706</v>
      </c>
      <c r="N53" s="67">
        <f t="shared" si="20"/>
        <v>4483500</v>
      </c>
      <c r="O53" s="25">
        <f t="shared" si="29"/>
        <v>4483500</v>
      </c>
      <c r="P53" s="72">
        <v>1999606</v>
      </c>
      <c r="Q53" s="24">
        <f t="shared" si="21"/>
        <v>379925.14</v>
      </c>
      <c r="R53" s="24">
        <f t="shared" si="22"/>
        <v>2379531.14</v>
      </c>
      <c r="S53" s="25">
        <f t="shared" si="30"/>
        <v>2379531.14</v>
      </c>
      <c r="T53" s="24">
        <v>2179377</v>
      </c>
      <c r="U53" s="24">
        <f t="shared" si="27"/>
        <v>414081.63</v>
      </c>
      <c r="V53" s="24">
        <f t="shared" si="28"/>
        <v>2593458.63</v>
      </c>
      <c r="W53" s="25">
        <f t="shared" si="31"/>
        <v>2593458.63</v>
      </c>
      <c r="X53" s="53">
        <v>2159806</v>
      </c>
      <c r="Y53" s="53">
        <f t="shared" si="23"/>
        <v>410363.14</v>
      </c>
      <c r="Z53" s="53">
        <f t="shared" si="24"/>
        <v>2570169.14</v>
      </c>
      <c r="AA53" s="69">
        <f t="shared" si="32"/>
        <v>2570169.14</v>
      </c>
      <c r="AB53" s="271">
        <v>1654000</v>
      </c>
      <c r="AC53" s="252" t="s">
        <v>373</v>
      </c>
      <c r="AD53" s="283">
        <f t="shared" si="33"/>
        <v>1389915.9663865548</v>
      </c>
      <c r="AE53" s="254" t="s">
        <v>397</v>
      </c>
      <c r="AF53" s="338" t="s">
        <v>386</v>
      </c>
    </row>
    <row r="54" spans="3:37" ht="51">
      <c r="C54" s="2" t="s">
        <v>209</v>
      </c>
      <c r="D54" s="1" t="s">
        <v>180</v>
      </c>
      <c r="E54" s="15" t="s">
        <v>61</v>
      </c>
      <c r="F54" s="1" t="s">
        <v>4</v>
      </c>
      <c r="G54" s="38">
        <v>20</v>
      </c>
      <c r="H54" s="46">
        <v>169660</v>
      </c>
      <c r="I54" s="24">
        <f t="shared" si="16"/>
        <v>32235.4</v>
      </c>
      <c r="J54" s="24">
        <f t="shared" si="25"/>
        <v>201895.4</v>
      </c>
      <c r="K54" s="69">
        <f t="shared" si="26"/>
        <v>4037908</v>
      </c>
      <c r="L54" s="75">
        <v>107142.85714285716</v>
      </c>
      <c r="M54" s="67">
        <f t="shared" si="19"/>
        <v>20357.142857142862</v>
      </c>
      <c r="N54" s="67">
        <f t="shared" si="20"/>
        <v>127500.00000000003</v>
      </c>
      <c r="O54" s="25">
        <f t="shared" si="29"/>
        <v>2550000.0000000005</v>
      </c>
      <c r="P54" s="72">
        <v>156480</v>
      </c>
      <c r="Q54" s="24">
        <f t="shared" si="21"/>
        <v>29731.200000000001</v>
      </c>
      <c r="R54" s="24">
        <f t="shared" si="22"/>
        <v>186211.20000000001</v>
      </c>
      <c r="S54" s="25">
        <f t="shared" si="30"/>
        <v>3724224</v>
      </c>
      <c r="T54" s="24">
        <v>174047</v>
      </c>
      <c r="U54" s="24">
        <f t="shared" si="27"/>
        <v>33068.93</v>
      </c>
      <c r="V54" s="24">
        <f t="shared" si="28"/>
        <v>207115.93</v>
      </c>
      <c r="W54" s="25">
        <f t="shared" si="31"/>
        <v>4142318.5999999996</v>
      </c>
      <c r="X54" s="53">
        <v>167235</v>
      </c>
      <c r="Y54" s="53">
        <f t="shared" si="23"/>
        <v>31774.65</v>
      </c>
      <c r="Z54" s="53">
        <f t="shared" si="24"/>
        <v>199009.65</v>
      </c>
      <c r="AA54" s="69">
        <f t="shared" si="32"/>
        <v>3980193</v>
      </c>
      <c r="AB54" s="109">
        <v>58310</v>
      </c>
      <c r="AC54" s="105" t="s">
        <v>316</v>
      </c>
      <c r="AD54" s="283">
        <f t="shared" si="33"/>
        <v>49000</v>
      </c>
      <c r="AE54" s="255" t="s">
        <v>374</v>
      </c>
    </row>
    <row r="55" spans="3:37" ht="89.25">
      <c r="C55" s="2" t="s">
        <v>210</v>
      </c>
      <c r="D55" s="1" t="s">
        <v>181</v>
      </c>
      <c r="E55" s="15" t="s">
        <v>50</v>
      </c>
      <c r="F55" s="1" t="s">
        <v>4</v>
      </c>
      <c r="G55" s="38">
        <v>3</v>
      </c>
      <c r="H55" s="46">
        <v>106037</v>
      </c>
      <c r="I55" s="24">
        <f t="shared" si="16"/>
        <v>20147.03</v>
      </c>
      <c r="J55" s="24">
        <f t="shared" si="25"/>
        <v>126184.03</v>
      </c>
      <c r="K55" s="69">
        <f t="shared" si="26"/>
        <v>378552.08999999997</v>
      </c>
      <c r="L55" s="75">
        <v>123529.41176470587</v>
      </c>
      <c r="M55" s="67">
        <f t="shared" si="19"/>
        <v>23470.588235294115</v>
      </c>
      <c r="N55" s="67">
        <f t="shared" si="20"/>
        <v>147000</v>
      </c>
      <c r="O55" s="25">
        <f t="shared" si="29"/>
        <v>441000</v>
      </c>
      <c r="P55" s="72">
        <v>100210</v>
      </c>
      <c r="Q55" s="24">
        <f t="shared" si="21"/>
        <v>19039.900000000001</v>
      </c>
      <c r="R55" s="24">
        <f t="shared" si="22"/>
        <v>119249.9</v>
      </c>
      <c r="S55" s="25">
        <f t="shared" si="30"/>
        <v>357749.69999999995</v>
      </c>
      <c r="T55" s="24">
        <v>111681</v>
      </c>
      <c r="U55" s="24">
        <f t="shared" si="27"/>
        <v>21219.39</v>
      </c>
      <c r="V55" s="24">
        <f t="shared" si="28"/>
        <v>132900.39000000001</v>
      </c>
      <c r="W55" s="25">
        <f t="shared" si="31"/>
        <v>398701.17000000004</v>
      </c>
      <c r="X55" s="53">
        <v>105833</v>
      </c>
      <c r="Y55" s="53">
        <f t="shared" si="23"/>
        <v>20108.27</v>
      </c>
      <c r="Z55" s="53">
        <f t="shared" si="24"/>
        <v>125941.27</v>
      </c>
      <c r="AA55" s="69">
        <f t="shared" si="32"/>
        <v>377823.81</v>
      </c>
      <c r="AB55" s="271">
        <v>322616.40000000002</v>
      </c>
      <c r="AC55" s="252" t="s">
        <v>375</v>
      </c>
      <c r="AD55" s="283">
        <f t="shared" si="33"/>
        <v>271106.21848739497</v>
      </c>
      <c r="AE55" s="254" t="s">
        <v>360</v>
      </c>
      <c r="AH55" s="3">
        <f>+((235124*13.12%)+235124)</f>
        <v>265972.26880000002</v>
      </c>
      <c r="AI55" s="3">
        <f>+((AH55*9.28%)+AH55)</f>
        <v>290654.49534464005</v>
      </c>
      <c r="AJ55" s="3">
        <f>+((AI55*5.2%)+AI55)</f>
        <v>305768.52910256136</v>
      </c>
      <c r="AK55" s="3">
        <f>+((AJ55*5.51%)+AJ55)</f>
        <v>322616.37505611248</v>
      </c>
    </row>
    <row r="56" spans="3:37" ht="102">
      <c r="C56" s="2" t="s">
        <v>211</v>
      </c>
      <c r="D56" s="1" t="s">
        <v>182</v>
      </c>
      <c r="E56" s="15" t="s">
        <v>17</v>
      </c>
      <c r="F56" s="1" t="s">
        <v>4</v>
      </c>
      <c r="G56" s="38">
        <v>6</v>
      </c>
      <c r="H56" s="46">
        <v>348700</v>
      </c>
      <c r="I56" s="24">
        <f t="shared" si="16"/>
        <v>66253</v>
      </c>
      <c r="J56" s="24">
        <f t="shared" si="25"/>
        <v>414953</v>
      </c>
      <c r="K56" s="69">
        <f t="shared" si="26"/>
        <v>2489718</v>
      </c>
      <c r="L56" s="75">
        <v>277184.87394957984</v>
      </c>
      <c r="M56" s="67">
        <f t="shared" si="19"/>
        <v>52665.126050420171</v>
      </c>
      <c r="N56" s="67">
        <f t="shared" si="20"/>
        <v>329850</v>
      </c>
      <c r="O56" s="25">
        <f t="shared" si="29"/>
        <v>1979100</v>
      </c>
      <c r="P56" s="72">
        <v>350928</v>
      </c>
      <c r="Q56" s="24">
        <f t="shared" si="21"/>
        <v>66676.320000000007</v>
      </c>
      <c r="R56" s="24">
        <f t="shared" si="22"/>
        <v>417604.32</v>
      </c>
      <c r="S56" s="25">
        <f t="shared" si="30"/>
        <v>2505625.92</v>
      </c>
      <c r="T56" s="24">
        <v>332517</v>
      </c>
      <c r="U56" s="24">
        <f t="shared" si="27"/>
        <v>63178.23</v>
      </c>
      <c r="V56" s="24">
        <f t="shared" si="28"/>
        <v>395695.23</v>
      </c>
      <c r="W56" s="25">
        <f t="shared" si="31"/>
        <v>2374171.38</v>
      </c>
      <c r="X56" s="53">
        <v>326266</v>
      </c>
      <c r="Y56" s="53">
        <f t="shared" si="23"/>
        <v>61990.54</v>
      </c>
      <c r="Z56" s="53">
        <f t="shared" si="24"/>
        <v>388256.54</v>
      </c>
      <c r="AA56" s="69">
        <f t="shared" si="32"/>
        <v>2329539.2399999998</v>
      </c>
      <c r="AB56" s="109">
        <v>306000</v>
      </c>
      <c r="AC56" s="105" t="s">
        <v>309</v>
      </c>
      <c r="AD56" s="283">
        <f t="shared" si="33"/>
        <v>257142.85714285716</v>
      </c>
      <c r="AE56" s="110" t="s">
        <v>310</v>
      </c>
    </row>
    <row r="57" spans="3:37" ht="51">
      <c r="C57" s="2" t="s">
        <v>212</v>
      </c>
      <c r="D57" s="1" t="s">
        <v>183</v>
      </c>
      <c r="E57" s="15" t="s">
        <v>51</v>
      </c>
      <c r="F57" s="1" t="s">
        <v>4</v>
      </c>
      <c r="G57" s="38">
        <v>5</v>
      </c>
      <c r="H57" s="46">
        <v>170385</v>
      </c>
      <c r="I57" s="24">
        <f t="shared" si="16"/>
        <v>32373.15</v>
      </c>
      <c r="J57" s="24">
        <f t="shared" si="25"/>
        <v>202758.15</v>
      </c>
      <c r="K57" s="69">
        <f t="shared" si="26"/>
        <v>1013790.75</v>
      </c>
      <c r="L57" s="75">
        <v>70588.23529411765</v>
      </c>
      <c r="M57" s="67">
        <f t="shared" si="19"/>
        <v>13411.764705882353</v>
      </c>
      <c r="N57" s="67">
        <f t="shared" si="20"/>
        <v>84000</v>
      </c>
      <c r="O57" s="25">
        <f t="shared" si="29"/>
        <v>420000</v>
      </c>
      <c r="P57" s="72">
        <v>168045</v>
      </c>
      <c r="Q57" s="24">
        <f t="shared" si="21"/>
        <v>31928.55</v>
      </c>
      <c r="R57" s="24">
        <f t="shared" si="22"/>
        <v>199973.55</v>
      </c>
      <c r="S57" s="25">
        <f t="shared" si="30"/>
        <v>999867.75</v>
      </c>
      <c r="T57" s="24">
        <v>175826</v>
      </c>
      <c r="U57" s="24">
        <f t="shared" si="27"/>
        <v>33406.94</v>
      </c>
      <c r="V57" s="24">
        <f t="shared" si="28"/>
        <v>209232.94</v>
      </c>
      <c r="W57" s="25">
        <f t="shared" si="31"/>
        <v>1046164.7</v>
      </c>
      <c r="X57" s="53">
        <v>167626</v>
      </c>
      <c r="Y57" s="53">
        <f t="shared" si="23"/>
        <v>31848.94</v>
      </c>
      <c r="Z57" s="53">
        <f t="shared" si="24"/>
        <v>199474.94</v>
      </c>
      <c r="AA57" s="69">
        <f t="shared" si="32"/>
        <v>997374.7</v>
      </c>
      <c r="AB57" s="109">
        <v>90440</v>
      </c>
      <c r="AC57" s="105" t="s">
        <v>316</v>
      </c>
      <c r="AD57" s="283">
        <f t="shared" si="33"/>
        <v>76000</v>
      </c>
      <c r="AE57" s="255" t="s">
        <v>376</v>
      </c>
    </row>
    <row r="58" spans="3:37" ht="38.25">
      <c r="C58" s="2" t="s">
        <v>213</v>
      </c>
      <c r="D58" s="1" t="s">
        <v>184</v>
      </c>
      <c r="E58" s="15" t="s">
        <v>52</v>
      </c>
      <c r="F58" s="1" t="s">
        <v>4</v>
      </c>
      <c r="G58" s="38">
        <v>10</v>
      </c>
      <c r="H58" s="46">
        <v>59816</v>
      </c>
      <c r="I58" s="24">
        <f t="shared" si="16"/>
        <v>11365.04</v>
      </c>
      <c r="J58" s="24">
        <f t="shared" si="25"/>
        <v>71181.040000000008</v>
      </c>
      <c r="K58" s="69">
        <f t="shared" si="26"/>
        <v>711810.40000000014</v>
      </c>
      <c r="L58" s="75">
        <v>56722.68907563026</v>
      </c>
      <c r="M58" s="67">
        <f t="shared" si="19"/>
        <v>10777.310924369749</v>
      </c>
      <c r="N58" s="67">
        <f t="shared" si="20"/>
        <v>67500.000000000015</v>
      </c>
      <c r="O58" s="25">
        <f t="shared" si="29"/>
        <v>675000.00000000012</v>
      </c>
      <c r="P58" s="72">
        <v>57033</v>
      </c>
      <c r="Q58" s="24">
        <f t="shared" si="21"/>
        <v>10836.27</v>
      </c>
      <c r="R58" s="24">
        <f t="shared" si="22"/>
        <v>67869.27</v>
      </c>
      <c r="S58" s="25">
        <f t="shared" si="30"/>
        <v>678692.70000000007</v>
      </c>
      <c r="T58" s="24">
        <v>62820</v>
      </c>
      <c r="U58" s="24">
        <f t="shared" si="27"/>
        <v>11935.8</v>
      </c>
      <c r="V58" s="24">
        <f t="shared" si="28"/>
        <v>74755.8</v>
      </c>
      <c r="W58" s="25">
        <f t="shared" si="31"/>
        <v>747558</v>
      </c>
      <c r="X58" s="53">
        <v>60980</v>
      </c>
      <c r="Y58" s="53">
        <f t="shared" si="23"/>
        <v>11586.2</v>
      </c>
      <c r="Z58" s="53">
        <f t="shared" si="24"/>
        <v>72566.2</v>
      </c>
      <c r="AA58" s="69">
        <f t="shared" si="32"/>
        <v>725662</v>
      </c>
      <c r="AB58" s="109">
        <v>34548.080000000002</v>
      </c>
      <c r="AC58" s="105"/>
      <c r="AD58" s="283">
        <f t="shared" si="33"/>
        <v>29032.000000000004</v>
      </c>
      <c r="AE58" s="110" t="s">
        <v>332</v>
      </c>
    </row>
    <row r="59" spans="3:37" ht="51">
      <c r="C59" s="2" t="s">
        <v>214</v>
      </c>
      <c r="D59" s="1" t="s">
        <v>185</v>
      </c>
      <c r="E59" s="15" t="s">
        <v>59</v>
      </c>
      <c r="F59" s="1" t="s">
        <v>4</v>
      </c>
      <c r="G59" s="38">
        <v>5</v>
      </c>
      <c r="H59" s="46">
        <v>262827</v>
      </c>
      <c r="I59" s="24">
        <f t="shared" si="16"/>
        <v>49937.13</v>
      </c>
      <c r="J59" s="24">
        <f t="shared" si="25"/>
        <v>312764.13</v>
      </c>
      <c r="K59" s="69">
        <f t="shared" si="26"/>
        <v>1563820.65</v>
      </c>
      <c r="L59" s="75">
        <v>403361.3445378152</v>
      </c>
      <c r="M59" s="67">
        <f t="shared" si="19"/>
        <v>76638.655462184892</v>
      </c>
      <c r="N59" s="67">
        <f t="shared" si="20"/>
        <v>480000.00000000012</v>
      </c>
      <c r="O59" s="25">
        <f t="shared" si="29"/>
        <v>2400000.0000000005</v>
      </c>
      <c r="P59" s="72">
        <v>245769</v>
      </c>
      <c r="Q59" s="24">
        <f t="shared" si="21"/>
        <v>46696.11</v>
      </c>
      <c r="R59" s="24">
        <f t="shared" si="22"/>
        <v>292465.11</v>
      </c>
      <c r="S59" s="25">
        <f t="shared" si="30"/>
        <v>1462325.5499999998</v>
      </c>
      <c r="T59" s="24">
        <v>279594</v>
      </c>
      <c r="U59" s="24">
        <f t="shared" si="27"/>
        <v>53122.86</v>
      </c>
      <c r="V59" s="24">
        <f t="shared" si="28"/>
        <v>332716.86</v>
      </c>
      <c r="W59" s="25">
        <f t="shared" si="31"/>
        <v>1663584.2999999998</v>
      </c>
      <c r="X59" s="53">
        <v>230906</v>
      </c>
      <c r="Y59" s="53">
        <f t="shared" si="23"/>
        <v>43872.14</v>
      </c>
      <c r="Z59" s="53">
        <f t="shared" si="24"/>
        <v>274778.14</v>
      </c>
      <c r="AA59" s="69">
        <f t="shared" si="32"/>
        <v>1373890.7000000002</v>
      </c>
      <c r="AB59" s="109">
        <v>304623</v>
      </c>
      <c r="AC59" s="105" t="s">
        <v>316</v>
      </c>
      <c r="AD59" s="283">
        <f t="shared" si="33"/>
        <v>255985.71428571429</v>
      </c>
      <c r="AE59" s="255" t="s">
        <v>377</v>
      </c>
    </row>
    <row r="60" spans="3:37" ht="127.5">
      <c r="C60" s="2" t="s">
        <v>215</v>
      </c>
      <c r="D60" s="1" t="s">
        <v>186</v>
      </c>
      <c r="E60" s="15" t="s">
        <v>53</v>
      </c>
      <c r="F60" s="1" t="s">
        <v>4</v>
      </c>
      <c r="G60" s="38">
        <v>5</v>
      </c>
      <c r="H60" s="46">
        <v>83380</v>
      </c>
      <c r="I60" s="24">
        <f t="shared" si="16"/>
        <v>15842.2</v>
      </c>
      <c r="J60" s="24">
        <f t="shared" si="25"/>
        <v>99222.2</v>
      </c>
      <c r="K60" s="69">
        <f t="shared" si="26"/>
        <v>496111</v>
      </c>
      <c r="L60" s="75">
        <v>43991.596638655465</v>
      </c>
      <c r="M60" s="67">
        <f t="shared" si="19"/>
        <v>8358.403361344539</v>
      </c>
      <c r="N60" s="67">
        <f t="shared" si="20"/>
        <v>52350</v>
      </c>
      <c r="O60" s="25">
        <f t="shared" si="29"/>
        <v>261750</v>
      </c>
      <c r="P60" s="72">
        <v>80392</v>
      </c>
      <c r="Q60" s="24">
        <f t="shared" si="21"/>
        <v>15274.48</v>
      </c>
      <c r="R60" s="24">
        <f t="shared" si="22"/>
        <v>95666.48</v>
      </c>
      <c r="S60" s="25">
        <f t="shared" si="30"/>
        <v>478332.39999999997</v>
      </c>
      <c r="T60" s="24">
        <v>86394</v>
      </c>
      <c r="U60" s="24">
        <f t="shared" si="27"/>
        <v>16414.86</v>
      </c>
      <c r="V60" s="24">
        <f t="shared" si="28"/>
        <v>102808.86</v>
      </c>
      <c r="W60" s="25">
        <f t="shared" si="31"/>
        <v>514044.3</v>
      </c>
      <c r="X60" s="53">
        <v>85003</v>
      </c>
      <c r="Y60" s="53">
        <f t="shared" si="23"/>
        <v>16150.57</v>
      </c>
      <c r="Z60" s="53">
        <f t="shared" si="24"/>
        <v>101153.57</v>
      </c>
      <c r="AA60" s="69">
        <f t="shared" si="32"/>
        <v>505767.85000000003</v>
      </c>
      <c r="AB60" s="109">
        <v>30000</v>
      </c>
      <c r="AC60" s="105" t="s">
        <v>316</v>
      </c>
      <c r="AD60" s="283">
        <f t="shared" si="33"/>
        <v>25210.084033613446</v>
      </c>
      <c r="AE60" s="110" t="s">
        <v>333</v>
      </c>
    </row>
    <row r="61" spans="3:37" ht="191.25">
      <c r="C61" s="2" t="s">
        <v>216</v>
      </c>
      <c r="D61" s="1" t="s">
        <v>187</v>
      </c>
      <c r="E61" s="15" t="s">
        <v>54</v>
      </c>
      <c r="F61" s="1" t="s">
        <v>4</v>
      </c>
      <c r="G61" s="38">
        <v>5</v>
      </c>
      <c r="H61" s="46">
        <v>191456</v>
      </c>
      <c r="I61" s="24">
        <f t="shared" si="16"/>
        <v>36376.639999999999</v>
      </c>
      <c r="J61" s="24">
        <f t="shared" si="25"/>
        <v>227832.64</v>
      </c>
      <c r="K61" s="69">
        <f t="shared" si="26"/>
        <v>1139163.2000000002</v>
      </c>
      <c r="L61" s="75">
        <v>88865.546218487405</v>
      </c>
      <c r="M61" s="67">
        <f t="shared" si="19"/>
        <v>16884.453781512606</v>
      </c>
      <c r="N61" s="67">
        <f t="shared" si="20"/>
        <v>105750.00000000001</v>
      </c>
      <c r="O61" s="25">
        <f t="shared" si="29"/>
        <v>528750.00000000012</v>
      </c>
      <c r="P61" s="72">
        <v>179264</v>
      </c>
      <c r="Q61" s="24">
        <f t="shared" si="21"/>
        <v>34060.160000000003</v>
      </c>
      <c r="R61" s="24">
        <f t="shared" si="22"/>
        <v>213324.16</v>
      </c>
      <c r="S61" s="25">
        <f t="shared" si="30"/>
        <v>1066620.8</v>
      </c>
      <c r="T61" s="24">
        <v>191331</v>
      </c>
      <c r="U61" s="24">
        <f t="shared" si="27"/>
        <v>36352.89</v>
      </c>
      <c r="V61" s="24">
        <f t="shared" si="28"/>
        <v>227683.89</v>
      </c>
      <c r="W61" s="25">
        <f t="shared" si="31"/>
        <v>1138419.4500000002</v>
      </c>
      <c r="X61" s="53">
        <v>194325</v>
      </c>
      <c r="Y61" s="53">
        <f t="shared" si="23"/>
        <v>36921.75</v>
      </c>
      <c r="Z61" s="53">
        <f t="shared" si="24"/>
        <v>231246.75</v>
      </c>
      <c r="AA61" s="69">
        <f t="shared" si="32"/>
        <v>1156233.75</v>
      </c>
      <c r="AB61" s="109">
        <v>70500</v>
      </c>
      <c r="AC61" s="105" t="s">
        <v>316</v>
      </c>
      <c r="AD61" s="283">
        <f t="shared" si="33"/>
        <v>59243.697478991598</v>
      </c>
      <c r="AE61" s="110" t="s">
        <v>334</v>
      </c>
    </row>
    <row r="62" spans="3:37" ht="76.5">
      <c r="C62" s="2" t="s">
        <v>217</v>
      </c>
      <c r="D62" s="1" t="s">
        <v>188</v>
      </c>
      <c r="E62" s="15" t="s">
        <v>298</v>
      </c>
      <c r="F62" s="1" t="s">
        <v>4</v>
      </c>
      <c r="G62" s="38">
        <v>10</v>
      </c>
      <c r="H62" s="46">
        <v>73637</v>
      </c>
      <c r="I62" s="24">
        <f t="shared" si="16"/>
        <v>13991.03</v>
      </c>
      <c r="J62" s="24">
        <f t="shared" si="25"/>
        <v>87628.03</v>
      </c>
      <c r="K62" s="69">
        <f t="shared" si="26"/>
        <v>876280.3</v>
      </c>
      <c r="L62" s="75">
        <v>72983.193277310929</v>
      </c>
      <c r="M62" s="67">
        <f t="shared" si="19"/>
        <v>13866.806722689076</v>
      </c>
      <c r="N62" s="67">
        <f t="shared" si="20"/>
        <v>86850</v>
      </c>
      <c r="O62" s="25">
        <f t="shared" si="29"/>
        <v>868500</v>
      </c>
      <c r="P62" s="72">
        <v>70936</v>
      </c>
      <c r="Q62" s="24">
        <f t="shared" si="21"/>
        <v>13477.84</v>
      </c>
      <c r="R62" s="24">
        <f t="shared" si="22"/>
        <v>84413.84</v>
      </c>
      <c r="S62" s="25">
        <f t="shared" si="30"/>
        <v>844138.39999999991</v>
      </c>
      <c r="T62" s="24">
        <v>76887</v>
      </c>
      <c r="U62" s="24">
        <f t="shared" si="27"/>
        <v>14608.53</v>
      </c>
      <c r="V62" s="24">
        <f t="shared" si="28"/>
        <v>91495.53</v>
      </c>
      <c r="W62" s="25">
        <f t="shared" si="31"/>
        <v>914955.3</v>
      </c>
      <c r="X62" s="53">
        <v>75878</v>
      </c>
      <c r="Y62" s="53">
        <f t="shared" si="23"/>
        <v>14416.82</v>
      </c>
      <c r="Z62" s="53">
        <f t="shared" si="24"/>
        <v>90294.82</v>
      </c>
      <c r="AA62" s="69">
        <f t="shared" si="32"/>
        <v>902948.20000000007</v>
      </c>
      <c r="AB62" s="109">
        <v>60000</v>
      </c>
      <c r="AC62" s="105" t="s">
        <v>335</v>
      </c>
      <c r="AD62" s="283">
        <f t="shared" si="33"/>
        <v>50420.168067226892</v>
      </c>
      <c r="AE62" s="110" t="s">
        <v>336</v>
      </c>
    </row>
    <row r="63" spans="3:37" ht="114.75">
      <c r="C63" s="2" t="s">
        <v>218</v>
      </c>
      <c r="D63" s="1" t="s">
        <v>189</v>
      </c>
      <c r="E63" s="15" t="s">
        <v>190</v>
      </c>
      <c r="F63" s="1" t="s">
        <v>4</v>
      </c>
      <c r="G63" s="38">
        <v>10</v>
      </c>
      <c r="H63" s="46">
        <v>8157</v>
      </c>
      <c r="I63" s="24">
        <f t="shared" si="16"/>
        <v>1549.83</v>
      </c>
      <c r="J63" s="24">
        <f t="shared" si="25"/>
        <v>9706.83</v>
      </c>
      <c r="K63" s="69">
        <f t="shared" si="26"/>
        <v>97068.3</v>
      </c>
      <c r="L63" s="75">
        <v>18907.563025210085</v>
      </c>
      <c r="M63" s="67">
        <f t="shared" si="19"/>
        <v>3592.4369747899163</v>
      </c>
      <c r="N63" s="67">
        <f t="shared" si="20"/>
        <v>22500</v>
      </c>
      <c r="O63" s="25">
        <f t="shared" si="29"/>
        <v>225000</v>
      </c>
      <c r="P63" s="72">
        <v>8081</v>
      </c>
      <c r="Q63" s="24">
        <f t="shared" si="21"/>
        <v>1535.39</v>
      </c>
      <c r="R63" s="24">
        <f t="shared" si="22"/>
        <v>9616.39</v>
      </c>
      <c r="S63" s="25">
        <f t="shared" si="30"/>
        <v>96163.9</v>
      </c>
      <c r="T63" s="24">
        <v>8460</v>
      </c>
      <c r="U63" s="24">
        <f t="shared" si="27"/>
        <v>1607.4</v>
      </c>
      <c r="V63" s="24">
        <f t="shared" si="28"/>
        <v>10067.4</v>
      </c>
      <c r="W63" s="25">
        <f t="shared" si="31"/>
        <v>100674</v>
      </c>
      <c r="X63" s="53">
        <v>8465</v>
      </c>
      <c r="Y63" s="53">
        <f t="shared" si="23"/>
        <v>1608.35</v>
      </c>
      <c r="Z63" s="53">
        <f t="shared" si="24"/>
        <v>10073.35</v>
      </c>
      <c r="AA63" s="69">
        <f t="shared" si="32"/>
        <v>100733.5</v>
      </c>
      <c r="AB63" s="109">
        <v>11000</v>
      </c>
      <c r="AC63" s="105" t="s">
        <v>316</v>
      </c>
      <c r="AD63" s="283">
        <f t="shared" si="33"/>
        <v>9243.6974789915967</v>
      </c>
      <c r="AE63" s="110" t="s">
        <v>337</v>
      </c>
    </row>
    <row r="64" spans="3:37" ht="63.75">
      <c r="C64" s="2" t="s">
        <v>219</v>
      </c>
      <c r="D64" s="1" t="s">
        <v>191</v>
      </c>
      <c r="E64" s="15" t="s">
        <v>299</v>
      </c>
      <c r="F64" s="1" t="s">
        <v>4</v>
      </c>
      <c r="G64" s="38">
        <v>25</v>
      </c>
      <c r="H64" s="46">
        <v>190324</v>
      </c>
      <c r="I64" s="24">
        <f t="shared" si="16"/>
        <v>36161.56</v>
      </c>
      <c r="J64" s="24">
        <f t="shared" si="25"/>
        <v>226485.56</v>
      </c>
      <c r="K64" s="69">
        <f t="shared" si="26"/>
        <v>5662139</v>
      </c>
      <c r="L64" s="75">
        <v>54201.680672268914</v>
      </c>
      <c r="M64" s="67">
        <f t="shared" si="19"/>
        <v>10298.319327731095</v>
      </c>
      <c r="N64" s="67">
        <f t="shared" si="20"/>
        <v>64500.000000000007</v>
      </c>
      <c r="O64" s="25">
        <f t="shared" si="29"/>
        <v>1612500.0000000002</v>
      </c>
      <c r="P64" s="72">
        <v>177525</v>
      </c>
      <c r="Q64" s="24">
        <f t="shared" si="21"/>
        <v>33729.75</v>
      </c>
      <c r="R64" s="24">
        <f t="shared" si="22"/>
        <v>211254.75</v>
      </c>
      <c r="S64" s="25">
        <f t="shared" si="30"/>
        <v>5281368.75</v>
      </c>
      <c r="T64" s="24">
        <v>199692</v>
      </c>
      <c r="U64" s="24">
        <f t="shared" si="27"/>
        <v>37941.480000000003</v>
      </c>
      <c r="V64" s="24">
        <f t="shared" si="28"/>
        <v>237633.48</v>
      </c>
      <c r="W64" s="25">
        <f t="shared" si="31"/>
        <v>5940837</v>
      </c>
      <c r="X64" s="53">
        <v>188831</v>
      </c>
      <c r="Y64" s="53">
        <f t="shared" si="23"/>
        <v>35877.89</v>
      </c>
      <c r="Z64" s="53">
        <f t="shared" si="24"/>
        <v>224708.89</v>
      </c>
      <c r="AA64" s="69">
        <f t="shared" si="32"/>
        <v>5617722.25</v>
      </c>
      <c r="AB64" s="109">
        <v>94998.89</v>
      </c>
      <c r="AC64" s="105" t="s">
        <v>316</v>
      </c>
      <c r="AD64" s="283">
        <f t="shared" si="33"/>
        <v>79831</v>
      </c>
      <c r="AE64" s="255" t="s">
        <v>378</v>
      </c>
    </row>
    <row r="65" spans="3:32" ht="51">
      <c r="C65" s="2" t="s">
        <v>220</v>
      </c>
      <c r="D65" s="1" t="s">
        <v>192</v>
      </c>
      <c r="E65" s="15" t="s">
        <v>300</v>
      </c>
      <c r="F65" s="1" t="s">
        <v>4</v>
      </c>
      <c r="G65" s="38">
        <v>10</v>
      </c>
      <c r="H65" s="46">
        <v>77761</v>
      </c>
      <c r="I65" s="24">
        <f t="shared" si="16"/>
        <v>14774.59</v>
      </c>
      <c r="J65" s="24">
        <f t="shared" si="25"/>
        <v>92535.59</v>
      </c>
      <c r="K65" s="69">
        <f t="shared" si="26"/>
        <v>925355.89999999991</v>
      </c>
      <c r="L65" s="75">
        <v>352941.17647058825</v>
      </c>
      <c r="M65" s="67">
        <f t="shared" si="19"/>
        <v>67058.823529411762</v>
      </c>
      <c r="N65" s="67">
        <f t="shared" si="20"/>
        <v>420000</v>
      </c>
      <c r="O65" s="25">
        <f t="shared" si="29"/>
        <v>4200000</v>
      </c>
      <c r="P65" s="72">
        <v>74817</v>
      </c>
      <c r="Q65" s="24">
        <f t="shared" si="21"/>
        <v>14215.23</v>
      </c>
      <c r="R65" s="24">
        <f t="shared" si="22"/>
        <v>89032.23</v>
      </c>
      <c r="S65" s="25">
        <f t="shared" si="30"/>
        <v>890322.29999999993</v>
      </c>
      <c r="T65" s="24">
        <v>80081</v>
      </c>
      <c r="U65" s="24">
        <f t="shared" si="27"/>
        <v>15215.39</v>
      </c>
      <c r="V65" s="24">
        <f t="shared" si="28"/>
        <v>95296.39</v>
      </c>
      <c r="W65" s="25">
        <f t="shared" si="31"/>
        <v>952963.9</v>
      </c>
      <c r="X65" s="53">
        <v>77835</v>
      </c>
      <c r="Y65" s="53">
        <f t="shared" si="23"/>
        <v>14788.65</v>
      </c>
      <c r="Z65" s="53">
        <f t="shared" si="24"/>
        <v>92623.65</v>
      </c>
      <c r="AA65" s="69">
        <f t="shared" si="32"/>
        <v>926236.5</v>
      </c>
      <c r="AB65" s="109">
        <v>110000</v>
      </c>
      <c r="AC65" s="105" t="s">
        <v>338</v>
      </c>
      <c r="AD65" s="283">
        <f t="shared" si="33"/>
        <v>92436.97478991597</v>
      </c>
      <c r="AE65" s="110" t="s">
        <v>339</v>
      </c>
    </row>
    <row r="66" spans="3:32" ht="51">
      <c r="C66" s="2" t="s">
        <v>221</v>
      </c>
      <c r="D66" s="1" t="s">
        <v>195</v>
      </c>
      <c r="E66" s="15" t="s">
        <v>55</v>
      </c>
      <c r="F66" s="20" t="s">
        <v>1</v>
      </c>
      <c r="G66" s="38">
        <v>30</v>
      </c>
      <c r="H66" s="46">
        <v>31041</v>
      </c>
      <c r="I66" s="24">
        <f t="shared" si="16"/>
        <v>5897.79</v>
      </c>
      <c r="J66" s="24">
        <f t="shared" si="25"/>
        <v>36938.79</v>
      </c>
      <c r="K66" s="69">
        <f t="shared" si="26"/>
        <v>1108163.7</v>
      </c>
      <c r="L66" s="75">
        <v>41974.789915966387</v>
      </c>
      <c r="M66" s="67">
        <f t="shared" si="19"/>
        <v>7975.2100840336134</v>
      </c>
      <c r="N66" s="67">
        <f t="shared" si="20"/>
        <v>49950</v>
      </c>
      <c r="O66" s="25">
        <f t="shared" si="29"/>
        <v>1498500</v>
      </c>
      <c r="P66" s="72">
        <v>29241</v>
      </c>
      <c r="Q66" s="24">
        <f t="shared" si="21"/>
        <v>5555.79</v>
      </c>
      <c r="R66" s="24">
        <f t="shared" si="22"/>
        <v>34796.79</v>
      </c>
      <c r="S66" s="25">
        <f t="shared" si="30"/>
        <v>1043903.7000000001</v>
      </c>
      <c r="T66" s="24">
        <v>31848</v>
      </c>
      <c r="U66" s="24">
        <f t="shared" si="27"/>
        <v>6051.12</v>
      </c>
      <c r="V66" s="24">
        <f t="shared" si="28"/>
        <v>37899.120000000003</v>
      </c>
      <c r="W66" s="25">
        <f t="shared" si="31"/>
        <v>1136973.6000000001</v>
      </c>
      <c r="X66" s="53">
        <v>31991</v>
      </c>
      <c r="Y66" s="53">
        <f t="shared" si="23"/>
        <v>6078.29</v>
      </c>
      <c r="Z66" s="53">
        <f t="shared" si="24"/>
        <v>38069.29</v>
      </c>
      <c r="AA66" s="69">
        <f t="shared" si="32"/>
        <v>1142078.7</v>
      </c>
      <c r="AB66" s="109">
        <v>33000</v>
      </c>
      <c r="AC66" s="105" t="s">
        <v>316</v>
      </c>
      <c r="AD66" s="283">
        <f t="shared" si="33"/>
        <v>27731.092436974792</v>
      </c>
      <c r="AE66" s="110" t="s">
        <v>340</v>
      </c>
    </row>
    <row r="67" spans="3:32" ht="38.25">
      <c r="C67" s="2" t="s">
        <v>222</v>
      </c>
      <c r="D67" s="1" t="s">
        <v>196</v>
      </c>
      <c r="E67" s="15" t="s">
        <v>56</v>
      </c>
      <c r="F67" s="1" t="s">
        <v>4</v>
      </c>
      <c r="G67" s="38">
        <v>30</v>
      </c>
      <c r="H67" s="46">
        <v>111022</v>
      </c>
      <c r="I67" s="24">
        <f t="shared" si="16"/>
        <v>21094.18</v>
      </c>
      <c r="J67" s="24">
        <f t="shared" si="25"/>
        <v>132116.18</v>
      </c>
      <c r="K67" s="69">
        <f t="shared" si="26"/>
        <v>3963485.4</v>
      </c>
      <c r="L67" s="75">
        <v>24957.983193277309</v>
      </c>
      <c r="M67" s="67">
        <f t="shared" si="19"/>
        <v>4742.0168067226887</v>
      </c>
      <c r="N67" s="67">
        <f t="shared" si="20"/>
        <v>29699.999999999996</v>
      </c>
      <c r="O67" s="25">
        <f t="shared" si="29"/>
        <v>890999.99999999988</v>
      </c>
      <c r="P67" s="72">
        <v>106037</v>
      </c>
      <c r="Q67" s="24">
        <f t="shared" si="21"/>
        <v>20147.03</v>
      </c>
      <c r="R67" s="24">
        <f t="shared" si="22"/>
        <v>126184.03</v>
      </c>
      <c r="S67" s="25">
        <f t="shared" si="30"/>
        <v>3785520.9</v>
      </c>
      <c r="T67" s="24">
        <v>111314</v>
      </c>
      <c r="U67" s="24">
        <f t="shared" si="27"/>
        <v>21149.66</v>
      </c>
      <c r="V67" s="24">
        <f t="shared" si="28"/>
        <v>132463.66</v>
      </c>
      <c r="W67" s="25">
        <f t="shared" si="31"/>
        <v>3973909.8000000003</v>
      </c>
      <c r="X67" s="53">
        <v>116022</v>
      </c>
      <c r="Y67" s="53">
        <f t="shared" si="23"/>
        <v>22044.18</v>
      </c>
      <c r="Z67" s="53">
        <f t="shared" si="24"/>
        <v>138066.18</v>
      </c>
      <c r="AA67" s="69">
        <f t="shared" si="32"/>
        <v>4141985.4</v>
      </c>
      <c r="AB67" s="109">
        <v>31000</v>
      </c>
      <c r="AC67" s="252" t="s">
        <v>379</v>
      </c>
      <c r="AD67" s="283">
        <f t="shared" si="33"/>
        <v>26050.420168067227</v>
      </c>
      <c r="AE67" s="254" t="s">
        <v>360</v>
      </c>
    </row>
    <row r="68" spans="3:32" ht="25.5">
      <c r="C68" s="2" t="s">
        <v>223</v>
      </c>
      <c r="D68" s="1" t="s">
        <v>193</v>
      </c>
      <c r="E68" s="15" t="s">
        <v>57</v>
      </c>
      <c r="F68" s="1" t="s">
        <v>4</v>
      </c>
      <c r="G68" s="38">
        <v>10</v>
      </c>
      <c r="H68" s="46">
        <v>217513</v>
      </c>
      <c r="I68" s="24">
        <f t="shared" si="16"/>
        <v>41327.47</v>
      </c>
      <c r="J68" s="24">
        <f t="shared" si="25"/>
        <v>258840.47</v>
      </c>
      <c r="K68" s="69">
        <f t="shared" si="26"/>
        <v>2588404.7000000002</v>
      </c>
      <c r="L68" s="75">
        <v>15126.050420168069</v>
      </c>
      <c r="M68" s="67">
        <f t="shared" si="19"/>
        <v>2873.9495798319331</v>
      </c>
      <c r="N68" s="67">
        <f t="shared" si="20"/>
        <v>18000</v>
      </c>
      <c r="O68" s="25">
        <f t="shared" si="29"/>
        <v>180000</v>
      </c>
      <c r="P68" s="72">
        <v>215166</v>
      </c>
      <c r="Q68" s="24">
        <f t="shared" si="21"/>
        <v>40881.54</v>
      </c>
      <c r="R68" s="24">
        <f t="shared" si="22"/>
        <v>256047.54</v>
      </c>
      <c r="S68" s="25">
        <f t="shared" si="30"/>
        <v>2560475.4</v>
      </c>
      <c r="T68" s="24">
        <v>223554</v>
      </c>
      <c r="U68" s="24">
        <f t="shared" si="27"/>
        <v>42475.26</v>
      </c>
      <c r="V68" s="24">
        <f t="shared" si="28"/>
        <v>266029.26</v>
      </c>
      <c r="W68" s="25">
        <f t="shared" si="31"/>
        <v>2660292.6</v>
      </c>
      <c r="X68" s="53">
        <v>218622</v>
      </c>
      <c r="Y68" s="53">
        <f t="shared" si="23"/>
        <v>41538.18</v>
      </c>
      <c r="Z68" s="53">
        <f t="shared" si="24"/>
        <v>260160.18</v>
      </c>
      <c r="AA68" s="69">
        <f t="shared" si="32"/>
        <v>2601601.7999999998</v>
      </c>
      <c r="AB68" s="109">
        <v>10000</v>
      </c>
      <c r="AC68" s="105" t="s">
        <v>338</v>
      </c>
      <c r="AD68" s="283">
        <f t="shared" si="33"/>
        <v>8403.361344537816</v>
      </c>
      <c r="AE68" s="110" t="s">
        <v>398</v>
      </c>
      <c r="AF68" s="338" t="s">
        <v>386</v>
      </c>
    </row>
    <row r="69" spans="3:32" ht="204.75" thickBot="1">
      <c r="C69" s="16" t="s">
        <v>224</v>
      </c>
      <c r="D69" s="14" t="s">
        <v>194</v>
      </c>
      <c r="E69" s="17" t="s">
        <v>60</v>
      </c>
      <c r="F69" s="14" t="s">
        <v>4</v>
      </c>
      <c r="G69" s="39">
        <v>30</v>
      </c>
      <c r="H69" s="47">
        <v>31268</v>
      </c>
      <c r="I69" s="26">
        <f t="shared" si="16"/>
        <v>5940.92</v>
      </c>
      <c r="J69" s="26">
        <f t="shared" si="25"/>
        <v>37208.92</v>
      </c>
      <c r="K69" s="70">
        <f t="shared" si="26"/>
        <v>1116267.5999999999</v>
      </c>
      <c r="L69" s="78">
        <v>13500</v>
      </c>
      <c r="M69" s="79">
        <f t="shared" si="19"/>
        <v>2565</v>
      </c>
      <c r="N69" s="79">
        <f t="shared" si="20"/>
        <v>16065</v>
      </c>
      <c r="O69" s="25">
        <f t="shared" si="29"/>
        <v>481950</v>
      </c>
      <c r="P69" s="73">
        <v>30768</v>
      </c>
      <c r="Q69" s="26">
        <f t="shared" si="21"/>
        <v>5845.92</v>
      </c>
      <c r="R69" s="26">
        <f t="shared" si="22"/>
        <v>36613.919999999998</v>
      </c>
      <c r="S69" s="25">
        <f t="shared" si="30"/>
        <v>1098417.5999999999</v>
      </c>
      <c r="T69" s="26">
        <v>32588</v>
      </c>
      <c r="U69" s="26">
        <f t="shared" si="27"/>
        <v>6191.72</v>
      </c>
      <c r="V69" s="26">
        <f t="shared" si="28"/>
        <v>38779.72</v>
      </c>
      <c r="W69" s="25">
        <f t="shared" si="31"/>
        <v>1163391.6000000001</v>
      </c>
      <c r="X69" s="54">
        <v>32076</v>
      </c>
      <c r="Y69" s="54">
        <f t="shared" si="23"/>
        <v>6094.4400000000005</v>
      </c>
      <c r="Z69" s="54">
        <f t="shared" si="24"/>
        <v>38170.44</v>
      </c>
      <c r="AA69" s="69">
        <f t="shared" si="32"/>
        <v>1145113.2000000002</v>
      </c>
      <c r="AB69" s="111">
        <v>32518</v>
      </c>
      <c r="AC69" s="112" t="s">
        <v>316</v>
      </c>
      <c r="AD69" s="284">
        <f>+AB69/1.19</f>
        <v>27326.050420168067</v>
      </c>
      <c r="AE69" s="113" t="s">
        <v>341</v>
      </c>
    </row>
    <row r="70" spans="3:32" ht="13.15" customHeight="1" thickBot="1">
      <c r="C70" s="410" t="s">
        <v>166</v>
      </c>
      <c r="D70" s="411"/>
      <c r="E70" s="411"/>
      <c r="F70" s="411"/>
      <c r="G70" s="411"/>
      <c r="H70" s="434"/>
      <c r="I70" s="435"/>
      <c r="J70" s="436"/>
      <c r="K70" s="58">
        <f>SUM(K41:K69)</f>
        <v>59313071.229999997</v>
      </c>
      <c r="L70" s="445"/>
      <c r="M70" s="446"/>
      <c r="N70" s="447"/>
      <c r="O70" s="85">
        <f>SUM(O41:O69)</f>
        <v>46368715.170000002</v>
      </c>
      <c r="P70" s="435"/>
      <c r="Q70" s="435"/>
      <c r="R70" s="436"/>
      <c r="S70" s="58">
        <f>SUM(S41:S69)</f>
        <v>58250503.57</v>
      </c>
      <c r="T70" s="434"/>
      <c r="U70" s="435"/>
      <c r="V70" s="436"/>
      <c r="W70" s="58">
        <f>SUM(W41:W69)</f>
        <v>60867093.420000002</v>
      </c>
      <c r="X70" s="434"/>
      <c r="Y70" s="435"/>
      <c r="Z70" s="436"/>
      <c r="AA70" s="58">
        <f>SUM(AA41:AA69)</f>
        <v>59351589.150000021</v>
      </c>
      <c r="AB70" s="81">
        <f>SUM(AB41:AB69)</f>
        <v>23378832.829999994</v>
      </c>
    </row>
    <row r="71" spans="3:32" ht="13.5" thickBot="1">
      <c r="C71" s="412" t="s">
        <v>165</v>
      </c>
      <c r="D71" s="413"/>
      <c r="E71" s="413"/>
      <c r="F71" s="413"/>
      <c r="G71" s="413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3"/>
      <c r="S71" s="413"/>
      <c r="T71" s="413"/>
      <c r="U71" s="413"/>
      <c r="V71" s="413"/>
      <c r="W71" s="413"/>
      <c r="X71" s="413"/>
      <c r="Y71" s="413"/>
      <c r="Z71" s="413"/>
      <c r="AA71" s="418"/>
      <c r="AB71" s="124"/>
    </row>
    <row r="72" spans="3:32" ht="39" thickBot="1">
      <c r="C72" s="59" t="s">
        <v>95</v>
      </c>
      <c r="D72" s="60" t="s">
        <v>96</v>
      </c>
      <c r="E72" s="59" t="s">
        <v>94</v>
      </c>
      <c r="F72" s="61" t="s">
        <v>292</v>
      </c>
      <c r="G72" s="62" t="s">
        <v>0</v>
      </c>
      <c r="H72" s="59" t="s">
        <v>293</v>
      </c>
      <c r="I72" s="61" t="s">
        <v>294</v>
      </c>
      <c r="J72" s="61" t="s">
        <v>295</v>
      </c>
      <c r="K72" s="63" t="s">
        <v>296</v>
      </c>
      <c r="L72" s="59" t="s">
        <v>293</v>
      </c>
      <c r="M72" s="61" t="s">
        <v>294</v>
      </c>
      <c r="N72" s="61" t="s">
        <v>295</v>
      </c>
      <c r="O72" s="63" t="s">
        <v>296</v>
      </c>
      <c r="P72" s="59" t="s">
        <v>293</v>
      </c>
      <c r="Q72" s="61" t="s">
        <v>294</v>
      </c>
      <c r="R72" s="61" t="s">
        <v>295</v>
      </c>
      <c r="S72" s="63" t="s">
        <v>296</v>
      </c>
      <c r="T72" s="59" t="s">
        <v>293</v>
      </c>
      <c r="U72" s="61" t="s">
        <v>294</v>
      </c>
      <c r="V72" s="61" t="s">
        <v>295</v>
      </c>
      <c r="W72" s="63" t="s">
        <v>296</v>
      </c>
      <c r="X72" s="59" t="s">
        <v>293</v>
      </c>
      <c r="Y72" s="61" t="s">
        <v>294</v>
      </c>
      <c r="Z72" s="61" t="s">
        <v>295</v>
      </c>
      <c r="AA72" s="115" t="s">
        <v>296</v>
      </c>
      <c r="AB72" s="6" t="s">
        <v>295</v>
      </c>
      <c r="AC72" s="272" t="s">
        <v>307</v>
      </c>
      <c r="AD72" s="277" t="s">
        <v>384</v>
      </c>
      <c r="AE72" s="273" t="s">
        <v>308</v>
      </c>
    </row>
    <row r="73" spans="3:32" ht="76.5">
      <c r="C73" s="9" t="s">
        <v>225</v>
      </c>
      <c r="D73" s="10" t="s">
        <v>236</v>
      </c>
      <c r="E73" s="13" t="s">
        <v>7</v>
      </c>
      <c r="F73" s="10" t="s">
        <v>4</v>
      </c>
      <c r="G73" s="37">
        <v>1</v>
      </c>
      <c r="H73" s="45">
        <v>3220336</v>
      </c>
      <c r="I73" s="22">
        <f t="shared" ref="I73:I82" si="34">H73*19%</f>
        <v>611863.84</v>
      </c>
      <c r="J73" s="22">
        <f t="shared" ref="J73" si="35">H73+I73</f>
        <v>3832199.84</v>
      </c>
      <c r="K73" s="68">
        <f t="shared" ref="K73" si="36">G73*J73</f>
        <v>3832199.84</v>
      </c>
      <c r="L73" s="82">
        <v>3700065.1260504201</v>
      </c>
      <c r="M73" s="66">
        <f t="shared" ref="M73:M82" si="37">L73*19%</f>
        <v>703012.37394957978</v>
      </c>
      <c r="N73" s="66">
        <f t="shared" ref="N73:N82" si="38">L73+M73</f>
        <v>4403077.5</v>
      </c>
      <c r="O73" s="23">
        <f>+G73*N73</f>
        <v>4403077.5</v>
      </c>
      <c r="P73" s="71">
        <v>3562886</v>
      </c>
      <c r="Q73" s="22">
        <f t="shared" ref="Q73:Q82" si="39">+P73*0.19</f>
        <v>676948.34</v>
      </c>
      <c r="R73" s="22">
        <f t="shared" ref="R73:R82" si="40">+P73+Q73</f>
        <v>4239834.34</v>
      </c>
      <c r="S73" s="23">
        <f>+G73*R73</f>
        <v>4239834.34</v>
      </c>
      <c r="T73" s="22">
        <v>3384406</v>
      </c>
      <c r="U73" s="22">
        <f>T73*19%</f>
        <v>643037.14</v>
      </c>
      <c r="V73" s="22">
        <f>T73+U73</f>
        <v>4027443.14</v>
      </c>
      <c r="W73" s="23">
        <f>+G73*V73</f>
        <v>4027443.14</v>
      </c>
      <c r="X73" s="52">
        <v>3303044</v>
      </c>
      <c r="Y73" s="52">
        <f t="shared" ref="Y73:Y82" si="41">+X73*0.19</f>
        <v>627578.36</v>
      </c>
      <c r="Z73" s="52">
        <f t="shared" ref="Z73:Z82" si="42">+X73+Y73</f>
        <v>3930622.36</v>
      </c>
      <c r="AA73" s="68">
        <f>+G73*Z73</f>
        <v>3930622.36</v>
      </c>
      <c r="AB73" s="268">
        <v>3500000</v>
      </c>
      <c r="AC73" s="266" t="s">
        <v>380</v>
      </c>
      <c r="AD73" s="280">
        <f>+AB73/1.19</f>
        <v>2941176.4705882357</v>
      </c>
      <c r="AE73" s="267" t="s">
        <v>360</v>
      </c>
      <c r="AF73" s="338" t="s">
        <v>386</v>
      </c>
    </row>
    <row r="74" spans="3:32" ht="178.5">
      <c r="C74" s="2" t="s">
        <v>228</v>
      </c>
      <c r="D74" s="1" t="s">
        <v>237</v>
      </c>
      <c r="E74" s="15" t="s">
        <v>8</v>
      </c>
      <c r="F74" s="1" t="s">
        <v>4</v>
      </c>
      <c r="G74" s="38">
        <v>2</v>
      </c>
      <c r="H74" s="46">
        <v>3937368</v>
      </c>
      <c r="I74" s="24">
        <f t="shared" si="34"/>
        <v>748099.92</v>
      </c>
      <c r="J74" s="24">
        <f t="shared" ref="J74:J82" si="43">H74+I74</f>
        <v>4685467.92</v>
      </c>
      <c r="K74" s="69">
        <f t="shared" ref="K74:K82" si="44">G74*J74</f>
        <v>9370935.8399999999</v>
      </c>
      <c r="L74" s="75">
        <v>5555400</v>
      </c>
      <c r="M74" s="67">
        <f t="shared" si="37"/>
        <v>1055526</v>
      </c>
      <c r="N74" s="67">
        <f t="shared" si="38"/>
        <v>6610926</v>
      </c>
      <c r="O74" s="25">
        <f>+G74*N74</f>
        <v>13221852</v>
      </c>
      <c r="P74" s="72">
        <v>4348849</v>
      </c>
      <c r="Q74" s="24">
        <f t="shared" si="39"/>
        <v>826281.31</v>
      </c>
      <c r="R74" s="24">
        <f t="shared" si="40"/>
        <v>5175130.3100000005</v>
      </c>
      <c r="S74" s="25">
        <f>+G74*R74</f>
        <v>10350260.620000001</v>
      </c>
      <c r="T74" s="24">
        <v>4048272</v>
      </c>
      <c r="U74" s="24">
        <f t="shared" ref="U74:U82" si="45">T74*19%</f>
        <v>769171.68</v>
      </c>
      <c r="V74" s="24">
        <f t="shared" ref="V74:V82" si="46">T74+U74</f>
        <v>4817443.68</v>
      </c>
      <c r="W74" s="25">
        <f>+G74*V74</f>
        <v>9634887.3599999994</v>
      </c>
      <c r="X74" s="53">
        <v>4087929</v>
      </c>
      <c r="Y74" s="53">
        <f t="shared" si="41"/>
        <v>776706.51</v>
      </c>
      <c r="Z74" s="53">
        <f t="shared" si="42"/>
        <v>4864635.51</v>
      </c>
      <c r="AA74" s="69">
        <f>+G74*Z74</f>
        <v>9729271.0199999996</v>
      </c>
      <c r="AB74" s="269">
        <v>4980000</v>
      </c>
      <c r="AC74" s="11" t="s">
        <v>381</v>
      </c>
      <c r="AD74" s="281">
        <f>+AB74/1.19</f>
        <v>4184873.9495798321</v>
      </c>
      <c r="AE74" s="254" t="s">
        <v>360</v>
      </c>
    </row>
    <row r="75" spans="3:32" ht="114.75">
      <c r="C75" s="2" t="s">
        <v>99</v>
      </c>
      <c r="D75" s="1" t="s">
        <v>172</v>
      </c>
      <c r="E75" s="15" t="s">
        <v>9</v>
      </c>
      <c r="F75" s="1" t="s">
        <v>4</v>
      </c>
      <c r="G75" s="38">
        <v>1</v>
      </c>
      <c r="H75" s="46">
        <v>1474185</v>
      </c>
      <c r="I75" s="24">
        <f t="shared" si="34"/>
        <v>280095.15000000002</v>
      </c>
      <c r="J75" s="24">
        <f t="shared" si="43"/>
        <v>1754280.15</v>
      </c>
      <c r="K75" s="69">
        <f t="shared" si="44"/>
        <v>1754280.15</v>
      </c>
      <c r="L75" s="75">
        <v>1586974.7899159666</v>
      </c>
      <c r="M75" s="67">
        <f t="shared" si="37"/>
        <v>301525.21008403366</v>
      </c>
      <c r="N75" s="67">
        <f t="shared" si="38"/>
        <v>1888500.0000000002</v>
      </c>
      <c r="O75" s="25">
        <f t="shared" ref="O75:O82" si="47">+G75*N75</f>
        <v>1888500.0000000002</v>
      </c>
      <c r="P75" s="72">
        <v>1686122</v>
      </c>
      <c r="Q75" s="24">
        <f t="shared" si="39"/>
        <v>320363.18</v>
      </c>
      <c r="R75" s="24">
        <f t="shared" si="40"/>
        <v>2006485.18</v>
      </c>
      <c r="S75" s="25">
        <f t="shared" ref="S75:S82" si="48">+G75*R75</f>
        <v>2006485.18</v>
      </c>
      <c r="T75" s="24">
        <v>1526486</v>
      </c>
      <c r="U75" s="24">
        <f t="shared" si="45"/>
        <v>290032.34000000003</v>
      </c>
      <c r="V75" s="24">
        <f t="shared" si="46"/>
        <v>1816518.34</v>
      </c>
      <c r="W75" s="25">
        <f t="shared" ref="W75:W82" si="49">+G75*V75</f>
        <v>1816518.34</v>
      </c>
      <c r="X75" s="53">
        <v>1498029</v>
      </c>
      <c r="Y75" s="53">
        <f t="shared" si="41"/>
        <v>284625.51</v>
      </c>
      <c r="Z75" s="53">
        <f t="shared" si="42"/>
        <v>1782654.51</v>
      </c>
      <c r="AA75" s="69">
        <f t="shared" ref="AA75:AA82" si="50">+G75*Z75</f>
        <v>1782654.51</v>
      </c>
      <c r="AB75" s="269">
        <v>1763580</v>
      </c>
      <c r="AC75" s="11" t="s">
        <v>382</v>
      </c>
      <c r="AD75" s="281">
        <f t="shared" ref="AD75:AD81" si="51">+AB75/1.19</f>
        <v>1482000</v>
      </c>
      <c r="AE75" s="254" t="s">
        <v>360</v>
      </c>
      <c r="AF75" s="338" t="s">
        <v>386</v>
      </c>
    </row>
    <row r="76" spans="3:32" ht="102">
      <c r="C76" s="2" t="s">
        <v>229</v>
      </c>
      <c r="D76" s="1" t="s">
        <v>238</v>
      </c>
      <c r="E76" s="15" t="s">
        <v>10</v>
      </c>
      <c r="F76" s="1" t="s">
        <v>4</v>
      </c>
      <c r="G76" s="38">
        <v>40</v>
      </c>
      <c r="H76" s="46">
        <v>75571</v>
      </c>
      <c r="I76" s="24">
        <f t="shared" si="34"/>
        <v>14358.49</v>
      </c>
      <c r="J76" s="24">
        <f t="shared" si="43"/>
        <v>89929.49</v>
      </c>
      <c r="K76" s="69">
        <f t="shared" si="44"/>
        <v>3597179.6</v>
      </c>
      <c r="L76" s="75">
        <v>75504.201680672268</v>
      </c>
      <c r="M76" s="67">
        <f t="shared" si="37"/>
        <v>14345.79831932773</v>
      </c>
      <c r="N76" s="67">
        <f t="shared" si="38"/>
        <v>89850</v>
      </c>
      <c r="O76" s="25">
        <f t="shared" si="47"/>
        <v>3594000</v>
      </c>
      <c r="P76" s="72">
        <v>88777</v>
      </c>
      <c r="Q76" s="24">
        <f t="shared" si="39"/>
        <v>16867.63</v>
      </c>
      <c r="R76" s="24">
        <f t="shared" si="40"/>
        <v>105644.63</v>
      </c>
      <c r="S76" s="25">
        <f t="shared" si="48"/>
        <v>4225785.2</v>
      </c>
      <c r="T76" s="24">
        <v>76923</v>
      </c>
      <c r="U76" s="24">
        <f t="shared" si="45"/>
        <v>14615.37</v>
      </c>
      <c r="V76" s="24">
        <f t="shared" si="46"/>
        <v>91538.37</v>
      </c>
      <c r="W76" s="25">
        <f t="shared" si="49"/>
        <v>3661534.8</v>
      </c>
      <c r="X76" s="53">
        <v>77771</v>
      </c>
      <c r="Y76" s="53">
        <f t="shared" si="41"/>
        <v>14776.49</v>
      </c>
      <c r="Z76" s="53">
        <f t="shared" si="42"/>
        <v>92547.49</v>
      </c>
      <c r="AA76" s="69">
        <f t="shared" si="50"/>
        <v>3701899.6</v>
      </c>
      <c r="AB76" s="109">
        <v>89930</v>
      </c>
      <c r="AC76" s="105" t="s">
        <v>309</v>
      </c>
      <c r="AD76" s="281">
        <f t="shared" si="51"/>
        <v>75571.42857142858</v>
      </c>
      <c r="AE76" s="110" t="s">
        <v>310</v>
      </c>
    </row>
    <row r="77" spans="3:32" ht="38.25">
      <c r="C77" s="2" t="s">
        <v>230</v>
      </c>
      <c r="D77" s="1" t="s">
        <v>239</v>
      </c>
      <c r="E77" s="15" t="s">
        <v>11</v>
      </c>
      <c r="F77" s="1" t="s">
        <v>4</v>
      </c>
      <c r="G77" s="38">
        <v>10</v>
      </c>
      <c r="H77" s="46">
        <v>231765</v>
      </c>
      <c r="I77" s="24">
        <f t="shared" si="34"/>
        <v>44035.35</v>
      </c>
      <c r="J77" s="24">
        <f t="shared" si="43"/>
        <v>275800.34999999998</v>
      </c>
      <c r="K77" s="69">
        <f t="shared" si="44"/>
        <v>2758003.5</v>
      </c>
      <c r="L77" s="75">
        <v>176344.53781512607</v>
      </c>
      <c r="M77" s="67">
        <f t="shared" si="37"/>
        <v>33505.462184873955</v>
      </c>
      <c r="N77" s="67">
        <f t="shared" si="38"/>
        <v>209850.00000000003</v>
      </c>
      <c r="O77" s="25">
        <f t="shared" si="47"/>
        <v>2098500.0000000005</v>
      </c>
      <c r="P77" s="72">
        <v>266769</v>
      </c>
      <c r="Q77" s="24">
        <f t="shared" si="39"/>
        <v>50686.11</v>
      </c>
      <c r="R77" s="24">
        <f t="shared" si="40"/>
        <v>317455.11</v>
      </c>
      <c r="S77" s="25">
        <f t="shared" si="48"/>
        <v>3174551.0999999996</v>
      </c>
      <c r="T77" s="24">
        <v>245747</v>
      </c>
      <c r="U77" s="24">
        <f t="shared" si="45"/>
        <v>46691.93</v>
      </c>
      <c r="V77" s="24">
        <f t="shared" si="46"/>
        <v>292438.93</v>
      </c>
      <c r="W77" s="25">
        <f t="shared" si="49"/>
        <v>2924389.3</v>
      </c>
      <c r="X77" s="53">
        <v>232709</v>
      </c>
      <c r="Y77" s="53">
        <f t="shared" si="41"/>
        <v>44214.71</v>
      </c>
      <c r="Z77" s="53">
        <f t="shared" si="42"/>
        <v>276923.71000000002</v>
      </c>
      <c r="AA77" s="69">
        <f t="shared" si="50"/>
        <v>2769237.1</v>
      </c>
      <c r="AB77" s="269">
        <v>190281</v>
      </c>
      <c r="AC77" s="11" t="s">
        <v>400</v>
      </c>
      <c r="AD77" s="281">
        <f t="shared" si="51"/>
        <v>159900</v>
      </c>
      <c r="AE77" s="254" t="s">
        <v>399</v>
      </c>
      <c r="AF77" s="338" t="s">
        <v>386</v>
      </c>
    </row>
    <row r="78" spans="3:32" ht="102">
      <c r="C78" s="2" t="s">
        <v>231</v>
      </c>
      <c r="D78" s="1" t="s">
        <v>240</v>
      </c>
      <c r="E78" s="15" t="s">
        <v>12</v>
      </c>
      <c r="F78" s="1" t="s">
        <v>4</v>
      </c>
      <c r="G78" s="38">
        <v>2</v>
      </c>
      <c r="H78" s="46">
        <v>1951113</v>
      </c>
      <c r="I78" s="24">
        <f t="shared" si="34"/>
        <v>370711.47000000003</v>
      </c>
      <c r="J78" s="24">
        <f t="shared" si="43"/>
        <v>2321824.4700000002</v>
      </c>
      <c r="K78" s="69">
        <f t="shared" si="44"/>
        <v>4643648.9400000004</v>
      </c>
      <c r="L78" s="75">
        <v>1277521.0084033615</v>
      </c>
      <c r="M78" s="67">
        <f t="shared" si="37"/>
        <v>242728.99159663869</v>
      </c>
      <c r="N78" s="67">
        <f t="shared" si="38"/>
        <v>1520250.0000000002</v>
      </c>
      <c r="O78" s="25">
        <f t="shared" si="47"/>
        <v>3040500.0000000005</v>
      </c>
      <c r="P78" s="72">
        <v>1949551</v>
      </c>
      <c r="Q78" s="24">
        <f t="shared" si="39"/>
        <v>370414.69</v>
      </c>
      <c r="R78" s="24">
        <f t="shared" si="40"/>
        <v>2319965.69</v>
      </c>
      <c r="S78" s="25">
        <f t="shared" si="48"/>
        <v>4639931.38</v>
      </c>
      <c r="T78" s="24">
        <v>1986238</v>
      </c>
      <c r="U78" s="24">
        <f t="shared" si="45"/>
        <v>377385.22000000003</v>
      </c>
      <c r="V78" s="24">
        <f t="shared" si="46"/>
        <v>2363623.2200000002</v>
      </c>
      <c r="W78" s="25">
        <f t="shared" si="49"/>
        <v>4727246.4400000004</v>
      </c>
      <c r="X78" s="53">
        <v>1896105</v>
      </c>
      <c r="Y78" s="53">
        <f t="shared" si="41"/>
        <v>360259.95</v>
      </c>
      <c r="Z78" s="53">
        <f t="shared" si="42"/>
        <v>2256364.9500000002</v>
      </c>
      <c r="AA78" s="69">
        <f t="shared" si="50"/>
        <v>4512729.9000000004</v>
      </c>
      <c r="AB78" s="109">
        <v>1785000</v>
      </c>
      <c r="AC78" s="105" t="s">
        <v>309</v>
      </c>
      <c r="AD78" s="281">
        <f t="shared" si="51"/>
        <v>1500000</v>
      </c>
      <c r="AE78" s="110" t="s">
        <v>310</v>
      </c>
    </row>
    <row r="79" spans="3:32" ht="102">
      <c r="C79" s="2" t="s">
        <v>232</v>
      </c>
      <c r="D79" s="1" t="s">
        <v>241</v>
      </c>
      <c r="E79" s="15" t="s">
        <v>13</v>
      </c>
      <c r="F79" s="1" t="s">
        <v>4</v>
      </c>
      <c r="G79" s="38">
        <v>1</v>
      </c>
      <c r="H79" s="46">
        <v>2880113</v>
      </c>
      <c r="I79" s="24">
        <f t="shared" si="34"/>
        <v>547221.47</v>
      </c>
      <c r="J79" s="24">
        <f t="shared" si="43"/>
        <v>3427334.4699999997</v>
      </c>
      <c r="K79" s="69">
        <f t="shared" si="44"/>
        <v>3427334.4699999997</v>
      </c>
      <c r="L79" s="75">
        <v>4033487.3949579839</v>
      </c>
      <c r="M79" s="67">
        <f t="shared" si="37"/>
        <v>766362.60504201695</v>
      </c>
      <c r="N79" s="67">
        <f t="shared" si="38"/>
        <v>4799850.0000000009</v>
      </c>
      <c r="O79" s="25">
        <f t="shared" si="47"/>
        <v>4799850.0000000009</v>
      </c>
      <c r="P79" s="72">
        <v>2994945</v>
      </c>
      <c r="Q79" s="24">
        <f t="shared" si="39"/>
        <v>569039.55000000005</v>
      </c>
      <c r="R79" s="24">
        <f t="shared" si="40"/>
        <v>3563984.55</v>
      </c>
      <c r="S79" s="25">
        <f t="shared" si="48"/>
        <v>3563984.55</v>
      </c>
      <c r="T79" s="24">
        <v>3139360</v>
      </c>
      <c r="U79" s="24">
        <f t="shared" si="45"/>
        <v>596478.4</v>
      </c>
      <c r="V79" s="24">
        <f t="shared" si="46"/>
        <v>3735838.4</v>
      </c>
      <c r="W79" s="25">
        <f t="shared" si="49"/>
        <v>3735838.4</v>
      </c>
      <c r="X79" s="53">
        <v>2878378</v>
      </c>
      <c r="Y79" s="53">
        <f t="shared" si="41"/>
        <v>546891.81999999995</v>
      </c>
      <c r="Z79" s="53">
        <f t="shared" si="42"/>
        <v>3425269.82</v>
      </c>
      <c r="AA79" s="69">
        <f t="shared" si="50"/>
        <v>3425269.82</v>
      </c>
      <c r="AB79" s="109">
        <v>3145000</v>
      </c>
      <c r="AC79" s="105" t="s">
        <v>309</v>
      </c>
      <c r="AD79" s="281">
        <f t="shared" si="51"/>
        <v>2642857.1428571432</v>
      </c>
      <c r="AE79" s="110" t="s">
        <v>310</v>
      </c>
      <c r="AF79" s="338" t="s">
        <v>386</v>
      </c>
    </row>
    <row r="80" spans="3:32" ht="102">
      <c r="C80" s="2" t="s">
        <v>233</v>
      </c>
      <c r="D80" s="1" t="s">
        <v>169</v>
      </c>
      <c r="E80" s="15" t="s">
        <v>72</v>
      </c>
      <c r="F80" s="1" t="s">
        <v>4</v>
      </c>
      <c r="G80" s="38">
        <v>1</v>
      </c>
      <c r="H80" s="46">
        <v>3990000</v>
      </c>
      <c r="I80" s="24">
        <f t="shared" si="34"/>
        <v>758100</v>
      </c>
      <c r="J80" s="24">
        <f t="shared" si="43"/>
        <v>4748100</v>
      </c>
      <c r="K80" s="69">
        <f t="shared" si="44"/>
        <v>4748100</v>
      </c>
      <c r="L80" s="75">
        <v>5221008.4033613447</v>
      </c>
      <c r="M80" s="67">
        <f t="shared" si="37"/>
        <v>991991.59663865552</v>
      </c>
      <c r="N80" s="67">
        <f t="shared" si="38"/>
        <v>6213000</v>
      </c>
      <c r="O80" s="25">
        <f t="shared" si="47"/>
        <v>6213000</v>
      </c>
      <c r="P80" s="72">
        <v>4244254</v>
      </c>
      <c r="Q80" s="24">
        <f t="shared" si="39"/>
        <v>806408.26</v>
      </c>
      <c r="R80" s="24">
        <f t="shared" si="40"/>
        <v>5050662.26</v>
      </c>
      <c r="S80" s="25">
        <f t="shared" si="48"/>
        <v>5050662.26</v>
      </c>
      <c r="T80" s="24">
        <v>4348132</v>
      </c>
      <c r="U80" s="24">
        <f t="shared" si="45"/>
        <v>826145.08</v>
      </c>
      <c r="V80" s="24">
        <f t="shared" si="46"/>
        <v>5174277.08</v>
      </c>
      <c r="W80" s="25">
        <f t="shared" si="49"/>
        <v>5174277.08</v>
      </c>
      <c r="X80" s="53">
        <v>4084624</v>
      </c>
      <c r="Y80" s="53">
        <f t="shared" si="41"/>
        <v>776078.56</v>
      </c>
      <c r="Z80" s="53">
        <f t="shared" si="42"/>
        <v>4860702.5600000005</v>
      </c>
      <c r="AA80" s="69">
        <f t="shared" si="50"/>
        <v>4860702.5600000005</v>
      </c>
      <c r="AB80" s="122">
        <v>2500000</v>
      </c>
      <c r="AC80" s="105"/>
      <c r="AD80" s="281">
        <f t="shared" si="51"/>
        <v>2100840.3361344538</v>
      </c>
      <c r="AE80" s="110" t="s">
        <v>401</v>
      </c>
      <c r="AF80" s="338" t="s">
        <v>386</v>
      </c>
    </row>
    <row r="81" spans="3:32" ht="76.5">
      <c r="C81" s="2" t="s">
        <v>234</v>
      </c>
      <c r="D81" s="1" t="s">
        <v>242</v>
      </c>
      <c r="E81" s="15" t="s">
        <v>14</v>
      </c>
      <c r="F81" s="1" t="s">
        <v>4</v>
      </c>
      <c r="G81" s="38">
        <v>1</v>
      </c>
      <c r="H81" s="46">
        <v>3581710</v>
      </c>
      <c r="I81" s="24">
        <f t="shared" si="34"/>
        <v>680524.9</v>
      </c>
      <c r="J81" s="24">
        <f t="shared" si="43"/>
        <v>4262234.9000000004</v>
      </c>
      <c r="K81" s="69">
        <f t="shared" si="44"/>
        <v>4262234.9000000004</v>
      </c>
      <c r="L81" s="75">
        <v>2389915.9663865548</v>
      </c>
      <c r="M81" s="67">
        <f t="shared" si="37"/>
        <v>454084.03361344541</v>
      </c>
      <c r="N81" s="67">
        <f t="shared" si="38"/>
        <v>2844000</v>
      </c>
      <c r="O81" s="25">
        <f t="shared" si="47"/>
        <v>2844000</v>
      </c>
      <c r="P81" s="72">
        <v>3653488</v>
      </c>
      <c r="Q81" s="24">
        <f t="shared" si="39"/>
        <v>694162.72</v>
      </c>
      <c r="R81" s="24">
        <f t="shared" si="40"/>
        <v>4347650.72</v>
      </c>
      <c r="S81" s="25">
        <f t="shared" si="48"/>
        <v>4347650.72</v>
      </c>
      <c r="T81" s="24">
        <v>3900735</v>
      </c>
      <c r="U81" s="24">
        <f t="shared" si="45"/>
        <v>741139.65</v>
      </c>
      <c r="V81" s="24">
        <f t="shared" si="46"/>
        <v>4641874.6500000004</v>
      </c>
      <c r="W81" s="25">
        <f t="shared" si="49"/>
        <v>4641874.6500000004</v>
      </c>
      <c r="X81" s="53">
        <v>3438769</v>
      </c>
      <c r="Y81" s="53">
        <f t="shared" si="41"/>
        <v>653366.11</v>
      </c>
      <c r="Z81" s="53">
        <f t="shared" si="42"/>
        <v>4092135.11</v>
      </c>
      <c r="AA81" s="69">
        <f t="shared" si="50"/>
        <v>4092135.11</v>
      </c>
      <c r="AB81" s="269">
        <v>2300270</v>
      </c>
      <c r="AC81" s="11" t="s">
        <v>383</v>
      </c>
      <c r="AD81" s="281">
        <f t="shared" si="51"/>
        <v>1933000</v>
      </c>
      <c r="AE81" s="254" t="s">
        <v>360</v>
      </c>
      <c r="AF81" s="338" t="s">
        <v>386</v>
      </c>
    </row>
    <row r="82" spans="3:32" ht="102.75" thickBot="1">
      <c r="C82" s="16" t="s">
        <v>235</v>
      </c>
      <c r="D82" s="14" t="s">
        <v>243</v>
      </c>
      <c r="E82" s="17" t="s">
        <v>15</v>
      </c>
      <c r="F82" s="14" t="s">
        <v>4</v>
      </c>
      <c r="G82" s="39">
        <v>4</v>
      </c>
      <c r="H82" s="47">
        <v>3338403</v>
      </c>
      <c r="I82" s="26">
        <f t="shared" si="34"/>
        <v>634296.57000000007</v>
      </c>
      <c r="J82" s="26">
        <f t="shared" si="43"/>
        <v>3972699.5700000003</v>
      </c>
      <c r="K82" s="70">
        <f t="shared" si="44"/>
        <v>15890798.280000001</v>
      </c>
      <c r="L82" s="78">
        <v>2235000</v>
      </c>
      <c r="M82" s="79">
        <f t="shared" si="37"/>
        <v>424650</v>
      </c>
      <c r="N82" s="79">
        <f t="shared" si="38"/>
        <v>2659650</v>
      </c>
      <c r="O82" s="86">
        <f t="shared" si="47"/>
        <v>10638600</v>
      </c>
      <c r="P82" s="73">
        <v>3629003</v>
      </c>
      <c r="Q82" s="26">
        <f t="shared" si="39"/>
        <v>689510.57000000007</v>
      </c>
      <c r="R82" s="26">
        <f t="shared" si="40"/>
        <v>4318513.57</v>
      </c>
      <c r="S82" s="25">
        <f t="shared" si="48"/>
        <v>17274054.280000001</v>
      </c>
      <c r="T82" s="26">
        <v>3385825</v>
      </c>
      <c r="U82" s="26">
        <f t="shared" si="45"/>
        <v>643306.75</v>
      </c>
      <c r="V82" s="26">
        <f t="shared" si="46"/>
        <v>4029131.75</v>
      </c>
      <c r="W82" s="25">
        <f t="shared" si="49"/>
        <v>16116527</v>
      </c>
      <c r="X82" s="54">
        <v>3269943</v>
      </c>
      <c r="Y82" s="54">
        <f t="shared" si="41"/>
        <v>621289.17000000004</v>
      </c>
      <c r="Z82" s="54">
        <f t="shared" si="42"/>
        <v>3891232.17</v>
      </c>
      <c r="AA82" s="69">
        <f t="shared" si="50"/>
        <v>15564928.68</v>
      </c>
      <c r="AB82" s="111">
        <v>4503300</v>
      </c>
      <c r="AC82" s="112" t="s">
        <v>309</v>
      </c>
      <c r="AD82" s="282">
        <f>+AB82/1.19</f>
        <v>3784285.7142857146</v>
      </c>
      <c r="AE82" s="113" t="s">
        <v>310</v>
      </c>
      <c r="AF82" s="338" t="s">
        <v>386</v>
      </c>
    </row>
    <row r="83" spans="3:32" ht="13.15" customHeight="1" thickBot="1">
      <c r="C83" s="442" t="s">
        <v>226</v>
      </c>
      <c r="D83" s="443"/>
      <c r="E83" s="444"/>
      <c r="F83" s="64"/>
      <c r="G83" s="65"/>
      <c r="H83" s="434"/>
      <c r="I83" s="435"/>
      <c r="J83" s="436"/>
      <c r="K83" s="58">
        <f>SUM(K73:K82)</f>
        <v>54284715.520000003</v>
      </c>
      <c r="L83" s="431"/>
      <c r="M83" s="432"/>
      <c r="N83" s="433"/>
      <c r="O83" s="81">
        <f>SUM(O73:O82)</f>
        <v>52741879.5</v>
      </c>
      <c r="P83" s="434"/>
      <c r="Q83" s="435"/>
      <c r="R83" s="436"/>
      <c r="S83" s="58">
        <f>SUM(S73:S82)</f>
        <v>58873199.629999995</v>
      </c>
      <c r="T83" s="434"/>
      <c r="U83" s="435"/>
      <c r="V83" s="436"/>
      <c r="W83" s="58">
        <f>SUM(W73:W82)</f>
        <v>56460536.509999998</v>
      </c>
      <c r="X83" s="434"/>
      <c r="Y83" s="435"/>
      <c r="Z83" s="436"/>
      <c r="AA83" s="58">
        <f>SUM(AA73:AA82)</f>
        <v>54369450.660000004</v>
      </c>
      <c r="AB83" s="121">
        <f>SUM(AB73:AB82)</f>
        <v>24757361</v>
      </c>
    </row>
    <row r="84" spans="3:32" ht="13.5" customHeight="1" thickBot="1">
      <c r="C84" s="428" t="s">
        <v>244</v>
      </c>
      <c r="D84" s="429"/>
      <c r="E84" s="429"/>
      <c r="F84" s="429"/>
      <c r="G84" s="429"/>
      <c r="H84" s="429"/>
      <c r="I84" s="429"/>
      <c r="J84" s="429"/>
      <c r="K84" s="429"/>
      <c r="L84" s="429"/>
      <c r="M84" s="429"/>
      <c r="N84" s="429"/>
      <c r="O84" s="429"/>
      <c r="P84" s="429"/>
      <c r="Q84" s="429"/>
      <c r="R84" s="429"/>
      <c r="S84" s="429"/>
      <c r="T84" s="429"/>
      <c r="U84" s="429"/>
      <c r="V84" s="429"/>
      <c r="W84" s="429"/>
      <c r="X84" s="429"/>
      <c r="Y84" s="429"/>
      <c r="Z84" s="429"/>
      <c r="AA84" s="430"/>
      <c r="AB84" s="114"/>
    </row>
    <row r="85" spans="3:32" ht="39" thickBot="1">
      <c r="C85" s="59" t="s">
        <v>95</v>
      </c>
      <c r="D85" s="60" t="s">
        <v>96</v>
      </c>
      <c r="E85" s="59" t="s">
        <v>94</v>
      </c>
      <c r="F85" s="61" t="s">
        <v>292</v>
      </c>
      <c r="G85" s="62" t="s">
        <v>0</v>
      </c>
      <c r="H85" s="59" t="s">
        <v>293</v>
      </c>
      <c r="I85" s="61" t="s">
        <v>294</v>
      </c>
      <c r="J85" s="61" t="s">
        <v>295</v>
      </c>
      <c r="K85" s="63" t="s">
        <v>296</v>
      </c>
      <c r="L85" s="59" t="s">
        <v>293</v>
      </c>
      <c r="M85" s="61" t="s">
        <v>294</v>
      </c>
      <c r="N85" s="61" t="s">
        <v>295</v>
      </c>
      <c r="O85" s="63" t="s">
        <v>296</v>
      </c>
      <c r="P85" s="59" t="s">
        <v>293</v>
      </c>
      <c r="Q85" s="61" t="s">
        <v>294</v>
      </c>
      <c r="R85" s="61" t="s">
        <v>295</v>
      </c>
      <c r="S85" s="63" t="s">
        <v>296</v>
      </c>
      <c r="T85" s="59" t="s">
        <v>293</v>
      </c>
      <c r="U85" s="61" t="s">
        <v>294</v>
      </c>
      <c r="V85" s="61" t="s">
        <v>295</v>
      </c>
      <c r="W85" s="63" t="s">
        <v>296</v>
      </c>
      <c r="X85" s="59" t="s">
        <v>293</v>
      </c>
      <c r="Y85" s="61" t="s">
        <v>294</v>
      </c>
      <c r="Z85" s="61" t="s">
        <v>295</v>
      </c>
      <c r="AA85" s="115" t="s">
        <v>296</v>
      </c>
      <c r="AB85" s="32" t="s">
        <v>295</v>
      </c>
      <c r="AC85" s="119" t="s">
        <v>307</v>
      </c>
      <c r="AD85" s="278"/>
      <c r="AE85" s="120" t="s">
        <v>308</v>
      </c>
    </row>
    <row r="86" spans="3:32" ht="30" customHeight="1">
      <c r="C86" s="9" t="s">
        <v>245</v>
      </c>
      <c r="D86" s="10" t="s">
        <v>268</v>
      </c>
      <c r="E86" s="13" t="s">
        <v>73</v>
      </c>
      <c r="F86" s="10" t="s">
        <v>4</v>
      </c>
      <c r="G86" s="40">
        <v>2</v>
      </c>
      <c r="H86" s="48">
        <v>60726</v>
      </c>
      <c r="I86" s="27">
        <f t="shared" ref="I86:I108" si="52">H86*19%</f>
        <v>11537.94</v>
      </c>
      <c r="J86" s="27">
        <f t="shared" ref="J86" si="53">H86+I86</f>
        <v>72263.94</v>
      </c>
      <c r="K86" s="89">
        <f t="shared" ref="K86" si="54">G86*J86</f>
        <v>144527.88</v>
      </c>
      <c r="L86" s="96">
        <f>+N86-M86</f>
        <v>4844.2758620689638</v>
      </c>
      <c r="M86" s="97">
        <f>+N86/1.16</f>
        <v>30276.724137931036</v>
      </c>
      <c r="N86" s="87">
        <v>35121</v>
      </c>
      <c r="O86" s="98">
        <f>+G86*N86</f>
        <v>70242</v>
      </c>
      <c r="P86" s="93">
        <v>56844</v>
      </c>
      <c r="Q86" s="27">
        <f t="shared" ref="Q86:Q108" si="55">+P86*0.19</f>
        <v>10800.36</v>
      </c>
      <c r="R86" s="27">
        <f t="shared" ref="R86:R108" si="56">+P86+Q86</f>
        <v>67644.36</v>
      </c>
      <c r="S86" s="28">
        <f>+G86*R86</f>
        <v>135288.72</v>
      </c>
      <c r="T86" s="27">
        <v>64891</v>
      </c>
      <c r="U86" s="27">
        <f>T86*19%</f>
        <v>12329.29</v>
      </c>
      <c r="V86" s="27">
        <f>T86+U86</f>
        <v>77220.290000000008</v>
      </c>
      <c r="W86" s="28">
        <f>+G86*V86</f>
        <v>154440.58000000002</v>
      </c>
      <c r="X86" s="55">
        <v>62636</v>
      </c>
      <c r="Y86" s="55">
        <f t="shared" ref="Y86:Y108" si="57">+X86*0.19</f>
        <v>11900.84</v>
      </c>
      <c r="Z86" s="55">
        <f t="shared" ref="Z86:Z108" si="58">+X86+Y86</f>
        <v>74536.84</v>
      </c>
      <c r="AA86" s="89">
        <f>+G86*Z86</f>
        <v>149073.68</v>
      </c>
      <c r="AB86" s="116">
        <v>36703</v>
      </c>
      <c r="AC86" s="117" t="s">
        <v>342</v>
      </c>
      <c r="AD86" s="279"/>
      <c r="AE86" s="118" t="s">
        <v>343</v>
      </c>
    </row>
    <row r="87" spans="3:32" ht="30" customHeight="1">
      <c r="C87" s="2" t="s">
        <v>246</v>
      </c>
      <c r="D87" s="1" t="s">
        <v>270</v>
      </c>
      <c r="E87" s="15" t="s">
        <v>74</v>
      </c>
      <c r="F87" s="1" t="s">
        <v>2</v>
      </c>
      <c r="G87" s="41">
        <v>16</v>
      </c>
      <c r="H87" s="49">
        <v>19234</v>
      </c>
      <c r="I87" s="29">
        <f t="shared" si="52"/>
        <v>3654.46</v>
      </c>
      <c r="J87" s="29">
        <f t="shared" ref="J87:J108" si="59">H87+I87</f>
        <v>22888.46</v>
      </c>
      <c r="K87" s="90">
        <f t="shared" ref="K87:K108" si="60">G87*J87</f>
        <v>366215.36</v>
      </c>
      <c r="L87" s="99">
        <f t="shared" ref="L87:L108" si="61">+N87-M87</f>
        <v>1552.5517241379312</v>
      </c>
      <c r="M87" s="92">
        <f t="shared" ref="M87:M108" si="62">+N87/1.16</f>
        <v>9703.4482758620688</v>
      </c>
      <c r="N87" s="88">
        <v>11256</v>
      </c>
      <c r="O87" s="83">
        <f t="shared" ref="O87:O108" si="63">+G87*N87</f>
        <v>180096</v>
      </c>
      <c r="P87" s="94">
        <v>18274</v>
      </c>
      <c r="Q87" s="29">
        <f t="shared" si="55"/>
        <v>3472.06</v>
      </c>
      <c r="R87" s="29">
        <f t="shared" si="56"/>
        <v>21746.06</v>
      </c>
      <c r="S87" s="30">
        <f>+G87*R87</f>
        <v>347936.96</v>
      </c>
      <c r="T87" s="29">
        <v>19330</v>
      </c>
      <c r="U87" s="29">
        <f t="shared" ref="U87:U108" si="64">T87*19%</f>
        <v>3672.7</v>
      </c>
      <c r="V87" s="29">
        <f t="shared" ref="V87:V108" si="65">T87+U87</f>
        <v>23002.7</v>
      </c>
      <c r="W87" s="30">
        <f>+G87*V87</f>
        <v>368043.2</v>
      </c>
      <c r="X87" s="56">
        <v>19411</v>
      </c>
      <c r="Y87" s="56">
        <f t="shared" si="57"/>
        <v>3688.09</v>
      </c>
      <c r="Z87" s="56">
        <f t="shared" si="58"/>
        <v>23099.09</v>
      </c>
      <c r="AA87" s="90">
        <f>+G87*Z87</f>
        <v>369585.44</v>
      </c>
      <c r="AB87" s="109">
        <v>11624</v>
      </c>
      <c r="AC87" s="105" t="s">
        <v>342</v>
      </c>
      <c r="AD87" s="275"/>
      <c r="AE87" s="110" t="s">
        <v>343</v>
      </c>
    </row>
    <row r="88" spans="3:32" ht="30" customHeight="1">
      <c r="C88" s="2" t="s">
        <v>247</v>
      </c>
      <c r="D88" s="1" t="s">
        <v>271</v>
      </c>
      <c r="E88" s="15" t="s">
        <v>75</v>
      </c>
      <c r="F88" s="1" t="s">
        <v>2</v>
      </c>
      <c r="G88" s="42">
        <v>6.4</v>
      </c>
      <c r="H88" s="49">
        <v>116254</v>
      </c>
      <c r="I88" s="29">
        <f t="shared" si="52"/>
        <v>22088.260000000002</v>
      </c>
      <c r="J88" s="29">
        <f t="shared" si="59"/>
        <v>138342.26</v>
      </c>
      <c r="K88" s="90">
        <f t="shared" si="60"/>
        <v>885390.46400000015</v>
      </c>
      <c r="L88" s="99">
        <f t="shared" si="61"/>
        <v>10006.482758620688</v>
      </c>
      <c r="M88" s="92">
        <f t="shared" si="62"/>
        <v>62540.517241379312</v>
      </c>
      <c r="N88" s="88">
        <v>72547</v>
      </c>
      <c r="O88" s="83">
        <f t="shared" si="63"/>
        <v>464300.80000000005</v>
      </c>
      <c r="P88" s="94">
        <v>111535</v>
      </c>
      <c r="Q88" s="29">
        <f t="shared" si="55"/>
        <v>21191.65</v>
      </c>
      <c r="R88" s="29">
        <f t="shared" si="56"/>
        <v>132726.65</v>
      </c>
      <c r="S88" s="30">
        <f t="shared" ref="S88:S108" si="66">+G88*R88</f>
        <v>849450.56</v>
      </c>
      <c r="T88" s="29">
        <v>117595</v>
      </c>
      <c r="U88" s="29">
        <f t="shared" si="64"/>
        <v>22343.05</v>
      </c>
      <c r="V88" s="29">
        <f t="shared" si="65"/>
        <v>139938.04999999999</v>
      </c>
      <c r="W88" s="30">
        <f t="shared" ref="W88:W108" si="67">+G88*V88</f>
        <v>895603.52</v>
      </c>
      <c r="X88" s="56">
        <v>121116</v>
      </c>
      <c r="Y88" s="56">
        <f t="shared" si="57"/>
        <v>23012.04</v>
      </c>
      <c r="Z88" s="56">
        <f t="shared" si="58"/>
        <v>144128.04</v>
      </c>
      <c r="AA88" s="90">
        <f t="shared" ref="AA88:AA108" si="68">+G88*Z88</f>
        <v>922419.45600000012</v>
      </c>
      <c r="AB88" s="109">
        <v>23842</v>
      </c>
      <c r="AC88" s="105" t="s">
        <v>342</v>
      </c>
      <c r="AD88" s="275"/>
      <c r="AE88" s="110" t="s">
        <v>343</v>
      </c>
    </row>
    <row r="89" spans="3:32" ht="30" customHeight="1">
      <c r="C89" s="2" t="s">
        <v>248</v>
      </c>
      <c r="D89" s="1" t="s">
        <v>269</v>
      </c>
      <c r="E89" s="15" t="s">
        <v>76</v>
      </c>
      <c r="F89" s="1" t="s">
        <v>3</v>
      </c>
      <c r="G89" s="43">
        <v>2.9</v>
      </c>
      <c r="H89" s="49">
        <v>138503</v>
      </c>
      <c r="I89" s="29">
        <f t="shared" si="52"/>
        <v>26315.57</v>
      </c>
      <c r="J89" s="29">
        <f t="shared" si="59"/>
        <v>164818.57</v>
      </c>
      <c r="K89" s="69">
        <f t="shared" si="60"/>
        <v>477973.853</v>
      </c>
      <c r="L89" s="99">
        <f t="shared" si="61"/>
        <v>6510.6206896551666</v>
      </c>
      <c r="M89" s="92">
        <f t="shared" si="62"/>
        <v>40691.379310344833</v>
      </c>
      <c r="N89" s="88">
        <v>47202</v>
      </c>
      <c r="O89" s="83">
        <f t="shared" si="63"/>
        <v>136885.79999999999</v>
      </c>
      <c r="P89" s="94">
        <v>129507</v>
      </c>
      <c r="Q89" s="29">
        <f t="shared" si="55"/>
        <v>24606.33</v>
      </c>
      <c r="R89" s="29">
        <f t="shared" si="56"/>
        <v>154113.33000000002</v>
      </c>
      <c r="S89" s="30">
        <f t="shared" si="66"/>
        <v>446928.65700000001</v>
      </c>
      <c r="T89" s="29">
        <v>143879</v>
      </c>
      <c r="U89" s="29">
        <f t="shared" si="64"/>
        <v>27337.010000000002</v>
      </c>
      <c r="V89" s="29">
        <f t="shared" si="65"/>
        <v>171216.01</v>
      </c>
      <c r="W89" s="30">
        <f t="shared" si="67"/>
        <v>496526.429</v>
      </c>
      <c r="X89" s="56">
        <v>141945</v>
      </c>
      <c r="Y89" s="56">
        <f t="shared" si="57"/>
        <v>26969.55</v>
      </c>
      <c r="Z89" s="56">
        <f t="shared" si="58"/>
        <v>168914.55</v>
      </c>
      <c r="AA89" s="90">
        <f t="shared" si="68"/>
        <v>489852.19499999995</v>
      </c>
      <c r="AB89" s="109">
        <v>83710</v>
      </c>
      <c r="AC89" s="105" t="s">
        <v>342</v>
      </c>
      <c r="AD89" s="275"/>
      <c r="AE89" s="110" t="s">
        <v>343</v>
      </c>
    </row>
    <row r="90" spans="3:32" ht="30" customHeight="1">
      <c r="C90" s="2" t="s">
        <v>249</v>
      </c>
      <c r="D90" s="1" t="s">
        <v>272</v>
      </c>
      <c r="E90" s="15" t="s">
        <v>77</v>
      </c>
      <c r="F90" s="1" t="s">
        <v>3</v>
      </c>
      <c r="G90" s="43">
        <v>3.8</v>
      </c>
      <c r="H90" s="49">
        <v>357211</v>
      </c>
      <c r="I90" s="29">
        <f t="shared" si="52"/>
        <v>67870.09</v>
      </c>
      <c r="J90" s="29">
        <f t="shared" si="59"/>
        <v>425081.08999999997</v>
      </c>
      <c r="K90" s="69">
        <f t="shared" si="60"/>
        <v>1615308.1419999998</v>
      </c>
      <c r="L90" s="99">
        <f t="shared" si="61"/>
        <v>15615.31034482758</v>
      </c>
      <c r="M90" s="92">
        <f t="shared" si="62"/>
        <v>97595.68965517242</v>
      </c>
      <c r="N90" s="88">
        <v>113211</v>
      </c>
      <c r="O90" s="83">
        <f t="shared" si="63"/>
        <v>430201.8</v>
      </c>
      <c r="P90" s="94">
        <v>341911</v>
      </c>
      <c r="Q90" s="29">
        <f t="shared" si="55"/>
        <v>64963.090000000004</v>
      </c>
      <c r="R90" s="29">
        <f t="shared" si="56"/>
        <v>406874.09</v>
      </c>
      <c r="S90" s="30">
        <f t="shared" si="66"/>
        <v>1546121.5420000001</v>
      </c>
      <c r="T90" s="29">
        <v>356323</v>
      </c>
      <c r="U90" s="29">
        <f t="shared" si="64"/>
        <v>67701.37</v>
      </c>
      <c r="V90" s="29">
        <f t="shared" si="65"/>
        <v>424024.37</v>
      </c>
      <c r="W90" s="30">
        <f t="shared" si="67"/>
        <v>1611292.6059999999</v>
      </c>
      <c r="X90" s="56">
        <v>368220</v>
      </c>
      <c r="Y90" s="56">
        <f t="shared" si="57"/>
        <v>69961.8</v>
      </c>
      <c r="Z90" s="56">
        <f t="shared" si="58"/>
        <v>438181.8</v>
      </c>
      <c r="AA90" s="90">
        <f t="shared" si="68"/>
        <v>1665090.8399999999</v>
      </c>
      <c r="AB90" s="109">
        <v>215897</v>
      </c>
      <c r="AC90" s="105" t="s">
        <v>342</v>
      </c>
      <c r="AD90" s="275"/>
      <c r="AE90" s="110" t="s">
        <v>343</v>
      </c>
    </row>
    <row r="91" spans="3:32" ht="30" customHeight="1">
      <c r="C91" s="2" t="s">
        <v>250</v>
      </c>
      <c r="D91" s="1" t="s">
        <v>273</v>
      </c>
      <c r="E91" s="15" t="s">
        <v>89</v>
      </c>
      <c r="F91" s="1" t="s">
        <v>3</v>
      </c>
      <c r="G91" s="43">
        <v>3.37</v>
      </c>
      <c r="H91" s="49">
        <v>2488603</v>
      </c>
      <c r="I91" s="29">
        <f t="shared" si="52"/>
        <v>472834.57</v>
      </c>
      <c r="J91" s="29">
        <f t="shared" si="59"/>
        <v>2961437.57</v>
      </c>
      <c r="K91" s="69">
        <f t="shared" si="60"/>
        <v>9980044.6108999997</v>
      </c>
      <c r="L91" s="99">
        <f t="shared" si="61"/>
        <v>151724.13793103443</v>
      </c>
      <c r="M91" s="92">
        <f t="shared" si="62"/>
        <v>948275.86206896557</v>
      </c>
      <c r="N91" s="88">
        <v>1100000</v>
      </c>
      <c r="O91" s="83">
        <f t="shared" si="63"/>
        <v>3707000</v>
      </c>
      <c r="P91" s="94">
        <v>2496916</v>
      </c>
      <c r="Q91" s="29">
        <f t="shared" si="55"/>
        <v>474414.04</v>
      </c>
      <c r="R91" s="29">
        <f t="shared" si="56"/>
        <v>2971330.04</v>
      </c>
      <c r="S91" s="30">
        <f t="shared" si="66"/>
        <v>10013382.2348</v>
      </c>
      <c r="T91" s="29">
        <v>2542459</v>
      </c>
      <c r="U91" s="29">
        <f t="shared" si="64"/>
        <v>483067.21</v>
      </c>
      <c r="V91" s="29">
        <f t="shared" si="65"/>
        <v>3025526.21</v>
      </c>
      <c r="W91" s="30">
        <f t="shared" si="67"/>
        <v>10196023.3277</v>
      </c>
      <c r="X91" s="56">
        <v>2590931</v>
      </c>
      <c r="Y91" s="56">
        <f t="shared" si="57"/>
        <v>492276.89</v>
      </c>
      <c r="Z91" s="56">
        <f t="shared" si="58"/>
        <v>3083207.89</v>
      </c>
      <c r="AA91" s="90">
        <f t="shared" si="68"/>
        <v>10390410.589300001</v>
      </c>
      <c r="AB91" s="109">
        <v>1336000</v>
      </c>
      <c r="AC91" s="105" t="s">
        <v>342</v>
      </c>
      <c r="AD91" s="275"/>
      <c r="AE91" s="110" t="s">
        <v>343</v>
      </c>
    </row>
    <row r="92" spans="3:32" ht="30" customHeight="1">
      <c r="C92" s="2" t="s">
        <v>251</v>
      </c>
      <c r="D92" s="11" t="s">
        <v>274</v>
      </c>
      <c r="E92" s="15" t="s">
        <v>78</v>
      </c>
      <c r="F92" s="1" t="s">
        <v>4</v>
      </c>
      <c r="G92" s="41">
        <v>2</v>
      </c>
      <c r="H92" s="49">
        <v>774984</v>
      </c>
      <c r="I92" s="29">
        <f t="shared" si="52"/>
        <v>147246.96</v>
      </c>
      <c r="J92" s="29">
        <f t="shared" si="59"/>
        <v>922230.96</v>
      </c>
      <c r="K92" s="90">
        <f t="shared" si="60"/>
        <v>1844461.92</v>
      </c>
      <c r="L92" s="99">
        <f t="shared" si="61"/>
        <v>59686.62068965513</v>
      </c>
      <c r="M92" s="92">
        <f t="shared" si="62"/>
        <v>373041.37931034487</v>
      </c>
      <c r="N92" s="88">
        <v>432728</v>
      </c>
      <c r="O92" s="83">
        <f t="shared" si="63"/>
        <v>865456</v>
      </c>
      <c r="P92" s="94">
        <v>744300</v>
      </c>
      <c r="Q92" s="29">
        <f t="shared" si="55"/>
        <v>141417</v>
      </c>
      <c r="R92" s="29">
        <f t="shared" si="56"/>
        <v>885717</v>
      </c>
      <c r="S92" s="30">
        <f t="shared" si="66"/>
        <v>1771434</v>
      </c>
      <c r="T92" s="29">
        <v>799211</v>
      </c>
      <c r="U92" s="29">
        <f t="shared" si="64"/>
        <v>151850.09</v>
      </c>
      <c r="V92" s="29">
        <f t="shared" si="65"/>
        <v>951061.09</v>
      </c>
      <c r="W92" s="30">
        <f t="shared" si="67"/>
        <v>1902122.18</v>
      </c>
      <c r="X92" s="56">
        <v>783083</v>
      </c>
      <c r="Y92" s="56">
        <f t="shared" si="57"/>
        <v>148785.76999999999</v>
      </c>
      <c r="Z92" s="56">
        <f t="shared" si="58"/>
        <v>931868.77</v>
      </c>
      <c r="AA92" s="90">
        <f t="shared" si="68"/>
        <v>1863737.54</v>
      </c>
      <c r="AB92" s="109">
        <v>458399</v>
      </c>
      <c r="AC92" s="105" t="s">
        <v>342</v>
      </c>
      <c r="AD92" s="275"/>
      <c r="AE92" s="110" t="s">
        <v>343</v>
      </c>
    </row>
    <row r="93" spans="3:32" ht="30" customHeight="1">
      <c r="C93" s="2" t="s">
        <v>252</v>
      </c>
      <c r="D93" s="11" t="s">
        <v>275</v>
      </c>
      <c r="E93" s="15" t="s">
        <v>79</v>
      </c>
      <c r="F93" s="20" t="s">
        <v>1</v>
      </c>
      <c r="G93" s="41">
        <v>35</v>
      </c>
      <c r="H93" s="49">
        <v>22421</v>
      </c>
      <c r="I93" s="29">
        <f t="shared" si="52"/>
        <v>4259.99</v>
      </c>
      <c r="J93" s="29">
        <f t="shared" si="59"/>
        <v>26680.989999999998</v>
      </c>
      <c r="K93" s="90">
        <f t="shared" si="60"/>
        <v>933834.64999999991</v>
      </c>
      <c r="L93" s="99">
        <f t="shared" si="61"/>
        <v>2635.3103448275833</v>
      </c>
      <c r="M93" s="92">
        <f t="shared" si="62"/>
        <v>16470.689655172417</v>
      </c>
      <c r="N93" s="88">
        <v>19106</v>
      </c>
      <c r="O93" s="83">
        <f t="shared" si="63"/>
        <v>668710</v>
      </c>
      <c r="P93" s="94">
        <v>20655</v>
      </c>
      <c r="Q93" s="29">
        <f t="shared" si="55"/>
        <v>3924.4500000000003</v>
      </c>
      <c r="R93" s="29">
        <f t="shared" si="56"/>
        <v>24579.45</v>
      </c>
      <c r="S93" s="30">
        <f t="shared" si="66"/>
        <v>860280.75</v>
      </c>
      <c r="T93" s="29">
        <v>23298</v>
      </c>
      <c r="U93" s="29">
        <f t="shared" si="64"/>
        <v>4426.62</v>
      </c>
      <c r="V93" s="29">
        <f t="shared" si="65"/>
        <v>27724.62</v>
      </c>
      <c r="W93" s="30">
        <f t="shared" si="67"/>
        <v>970361.7</v>
      </c>
      <c r="X93" s="56">
        <v>23713</v>
      </c>
      <c r="Y93" s="56">
        <f t="shared" si="57"/>
        <v>4505.47</v>
      </c>
      <c r="Z93" s="56">
        <f t="shared" si="58"/>
        <v>28218.47</v>
      </c>
      <c r="AA93" s="90">
        <f t="shared" si="68"/>
        <v>987646.45000000007</v>
      </c>
      <c r="AB93" s="109">
        <v>108408</v>
      </c>
      <c r="AC93" s="105" t="s">
        <v>342</v>
      </c>
      <c r="AD93" s="275"/>
      <c r="AE93" s="110" t="s">
        <v>343</v>
      </c>
    </row>
    <row r="94" spans="3:32" ht="30" customHeight="1">
      <c r="C94" s="2" t="s">
        <v>253</v>
      </c>
      <c r="D94" s="11" t="s">
        <v>277</v>
      </c>
      <c r="E94" s="15" t="s">
        <v>68</v>
      </c>
      <c r="F94" s="1" t="s">
        <v>4</v>
      </c>
      <c r="G94" s="41">
        <v>3</v>
      </c>
      <c r="H94" s="49">
        <v>89899</v>
      </c>
      <c r="I94" s="29">
        <f t="shared" si="52"/>
        <v>17080.810000000001</v>
      </c>
      <c r="J94" s="29">
        <f t="shared" si="59"/>
        <v>106979.81</v>
      </c>
      <c r="K94" s="90">
        <f t="shared" si="60"/>
        <v>320939.43</v>
      </c>
      <c r="L94" s="99">
        <f t="shared" si="61"/>
        <v>7747.4482758620652</v>
      </c>
      <c r="M94" s="92">
        <f t="shared" si="62"/>
        <v>48421.551724137935</v>
      </c>
      <c r="N94" s="88">
        <v>56169</v>
      </c>
      <c r="O94" s="83">
        <f t="shared" si="63"/>
        <v>168507</v>
      </c>
      <c r="P94" s="94">
        <v>88112</v>
      </c>
      <c r="Q94" s="29">
        <f t="shared" si="55"/>
        <v>16741.28</v>
      </c>
      <c r="R94" s="29">
        <f t="shared" si="56"/>
        <v>104853.28</v>
      </c>
      <c r="S94" s="30">
        <f t="shared" si="66"/>
        <v>314559.83999999997</v>
      </c>
      <c r="T94" s="29">
        <v>96037</v>
      </c>
      <c r="U94" s="29">
        <f t="shared" si="64"/>
        <v>18247.03</v>
      </c>
      <c r="V94" s="29">
        <f t="shared" si="65"/>
        <v>114284.03</v>
      </c>
      <c r="W94" s="30">
        <f t="shared" si="67"/>
        <v>342852.08999999997</v>
      </c>
      <c r="X94" s="56">
        <v>93916</v>
      </c>
      <c r="Y94" s="56">
        <f t="shared" si="57"/>
        <v>17844.04</v>
      </c>
      <c r="Z94" s="56">
        <f t="shared" si="58"/>
        <v>111760.04000000001</v>
      </c>
      <c r="AA94" s="90">
        <f t="shared" si="68"/>
        <v>335280.12</v>
      </c>
      <c r="AB94" s="109">
        <v>54335</v>
      </c>
      <c r="AC94" s="105" t="s">
        <v>342</v>
      </c>
      <c r="AD94" s="275"/>
      <c r="AE94" s="110" t="s">
        <v>343</v>
      </c>
    </row>
    <row r="95" spans="3:32" ht="30" customHeight="1">
      <c r="C95" s="2" t="s">
        <v>254</v>
      </c>
      <c r="D95" s="11" t="s">
        <v>278</v>
      </c>
      <c r="E95" s="15" t="s">
        <v>80</v>
      </c>
      <c r="F95" s="1" t="s">
        <v>4</v>
      </c>
      <c r="G95" s="41">
        <v>1</v>
      </c>
      <c r="H95" s="49">
        <v>506958</v>
      </c>
      <c r="I95" s="29">
        <f t="shared" si="52"/>
        <v>96322.02</v>
      </c>
      <c r="J95" s="29">
        <f t="shared" si="59"/>
        <v>603280.02</v>
      </c>
      <c r="K95" s="90">
        <f t="shared" si="60"/>
        <v>603280.02</v>
      </c>
      <c r="L95" s="99">
        <f t="shared" si="61"/>
        <v>39711.172413793072</v>
      </c>
      <c r="M95" s="92">
        <f t="shared" si="62"/>
        <v>248194.82758620693</v>
      </c>
      <c r="N95" s="88">
        <v>287906</v>
      </c>
      <c r="O95" s="83">
        <f t="shared" si="63"/>
        <v>287906</v>
      </c>
      <c r="P95" s="94">
        <v>477095</v>
      </c>
      <c r="Q95" s="29">
        <f t="shared" si="55"/>
        <v>90648.05</v>
      </c>
      <c r="R95" s="29">
        <f t="shared" si="56"/>
        <v>567743.05000000005</v>
      </c>
      <c r="S95" s="30">
        <f t="shared" si="66"/>
        <v>567743.05000000005</v>
      </c>
      <c r="T95" s="29">
        <v>522421</v>
      </c>
      <c r="U95" s="29">
        <f t="shared" si="64"/>
        <v>99259.99</v>
      </c>
      <c r="V95" s="29">
        <f t="shared" si="65"/>
        <v>621680.99</v>
      </c>
      <c r="W95" s="30">
        <f t="shared" si="67"/>
        <v>621680.99</v>
      </c>
      <c r="X95" s="56">
        <v>502834</v>
      </c>
      <c r="Y95" s="56">
        <f t="shared" si="57"/>
        <v>95538.46</v>
      </c>
      <c r="Z95" s="56">
        <f t="shared" si="58"/>
        <v>598372.46</v>
      </c>
      <c r="AA95" s="90">
        <f t="shared" si="68"/>
        <v>598372.46</v>
      </c>
      <c r="AB95" s="109">
        <v>163005</v>
      </c>
      <c r="AC95" s="105" t="s">
        <v>342</v>
      </c>
      <c r="AD95" s="275"/>
      <c r="AE95" s="110" t="s">
        <v>343</v>
      </c>
    </row>
    <row r="96" spans="3:32" ht="30" customHeight="1">
      <c r="C96" s="2" t="s">
        <v>255</v>
      </c>
      <c r="D96" s="11" t="s">
        <v>279</v>
      </c>
      <c r="E96" s="15" t="s">
        <v>81</v>
      </c>
      <c r="F96" s="1" t="s">
        <v>2</v>
      </c>
      <c r="G96" s="43">
        <v>48.6</v>
      </c>
      <c r="H96" s="49">
        <v>89959</v>
      </c>
      <c r="I96" s="29">
        <f t="shared" si="52"/>
        <v>17092.21</v>
      </c>
      <c r="J96" s="29">
        <f t="shared" si="59"/>
        <v>107051.20999999999</v>
      </c>
      <c r="K96" s="69">
        <f t="shared" si="60"/>
        <v>5202688.8059999999</v>
      </c>
      <c r="L96" s="99">
        <f t="shared" si="61"/>
        <v>7560.5517241379275</v>
      </c>
      <c r="M96" s="92">
        <f t="shared" si="62"/>
        <v>47253.448275862072</v>
      </c>
      <c r="N96" s="88">
        <v>54814</v>
      </c>
      <c r="O96" s="83">
        <f t="shared" si="63"/>
        <v>2663960.4</v>
      </c>
      <c r="P96" s="94">
        <v>86625</v>
      </c>
      <c r="Q96" s="29">
        <f t="shared" si="55"/>
        <v>16458.75</v>
      </c>
      <c r="R96" s="29">
        <f t="shared" si="56"/>
        <v>103083.75</v>
      </c>
      <c r="S96" s="30">
        <f t="shared" si="66"/>
        <v>5009870.25</v>
      </c>
      <c r="T96" s="29">
        <v>92443</v>
      </c>
      <c r="U96" s="29">
        <f t="shared" si="64"/>
        <v>17564.170000000002</v>
      </c>
      <c r="V96" s="29">
        <f t="shared" si="65"/>
        <v>110007.17</v>
      </c>
      <c r="W96" s="30">
        <f t="shared" si="67"/>
        <v>5346348.4620000003</v>
      </c>
      <c r="X96" s="56">
        <v>92906</v>
      </c>
      <c r="Y96" s="56">
        <f t="shared" si="57"/>
        <v>17652.14</v>
      </c>
      <c r="Z96" s="56">
        <f t="shared" si="58"/>
        <v>110558.14</v>
      </c>
      <c r="AA96" s="90">
        <f t="shared" si="68"/>
        <v>5373125.6040000003</v>
      </c>
      <c r="AB96" s="109">
        <v>87613</v>
      </c>
      <c r="AC96" s="105" t="s">
        <v>342</v>
      </c>
      <c r="AD96" s="275"/>
      <c r="AE96" s="110" t="s">
        <v>343</v>
      </c>
    </row>
    <row r="97" spans="3:31" ht="30" customHeight="1">
      <c r="C97" s="2" t="s">
        <v>256</v>
      </c>
      <c r="D97" s="1" t="s">
        <v>276</v>
      </c>
      <c r="E97" s="15" t="s">
        <v>5</v>
      </c>
      <c r="F97" s="1" t="s">
        <v>2</v>
      </c>
      <c r="G97" s="43">
        <v>48.6</v>
      </c>
      <c r="H97" s="49">
        <v>33121</v>
      </c>
      <c r="I97" s="29">
        <f t="shared" si="52"/>
        <v>6292.99</v>
      </c>
      <c r="J97" s="29">
        <f t="shared" si="59"/>
        <v>39413.99</v>
      </c>
      <c r="K97" s="69">
        <f t="shared" si="60"/>
        <v>1915519.9139999999</v>
      </c>
      <c r="L97" s="99">
        <f t="shared" si="61"/>
        <v>2630.0689655172391</v>
      </c>
      <c r="M97" s="92">
        <f t="shared" si="62"/>
        <v>16437.931034482761</v>
      </c>
      <c r="N97" s="88">
        <v>19068</v>
      </c>
      <c r="O97" s="83">
        <f t="shared" si="63"/>
        <v>926704.8</v>
      </c>
      <c r="P97" s="94">
        <v>32030</v>
      </c>
      <c r="Q97" s="29">
        <f t="shared" si="55"/>
        <v>6085.7</v>
      </c>
      <c r="R97" s="29">
        <f t="shared" si="56"/>
        <v>38115.699999999997</v>
      </c>
      <c r="S97" s="30">
        <f t="shared" si="66"/>
        <v>1852423.02</v>
      </c>
      <c r="T97" s="29">
        <v>35146</v>
      </c>
      <c r="U97" s="29">
        <f t="shared" si="64"/>
        <v>6677.74</v>
      </c>
      <c r="V97" s="29">
        <f t="shared" si="65"/>
        <v>41823.74</v>
      </c>
      <c r="W97" s="30">
        <f t="shared" si="67"/>
        <v>2032633.764</v>
      </c>
      <c r="X97" s="56">
        <v>33866</v>
      </c>
      <c r="Y97" s="56">
        <f t="shared" si="57"/>
        <v>6434.54</v>
      </c>
      <c r="Z97" s="56">
        <f t="shared" si="58"/>
        <v>40300.54</v>
      </c>
      <c r="AA97" s="90">
        <f t="shared" si="68"/>
        <v>1958606.2440000002</v>
      </c>
      <c r="AB97" s="109">
        <v>19420</v>
      </c>
      <c r="AC97" s="105" t="s">
        <v>342</v>
      </c>
      <c r="AD97" s="275"/>
      <c r="AE97" s="110" t="s">
        <v>343</v>
      </c>
    </row>
    <row r="98" spans="3:31" ht="30" customHeight="1">
      <c r="C98" s="2" t="s">
        <v>257</v>
      </c>
      <c r="D98" s="11" t="s">
        <v>280</v>
      </c>
      <c r="E98" s="15" t="s">
        <v>69</v>
      </c>
      <c r="F98" s="20" t="s">
        <v>1</v>
      </c>
      <c r="G98" s="43">
        <v>42.8</v>
      </c>
      <c r="H98" s="49">
        <v>144694</v>
      </c>
      <c r="I98" s="29">
        <f t="shared" si="52"/>
        <v>27491.86</v>
      </c>
      <c r="J98" s="29">
        <f t="shared" si="59"/>
        <v>172185.86</v>
      </c>
      <c r="K98" s="69">
        <f t="shared" si="60"/>
        <v>7369554.8079999993</v>
      </c>
      <c r="L98" s="99">
        <f t="shared" si="61"/>
        <v>7027.5862068965507</v>
      </c>
      <c r="M98" s="92">
        <f t="shared" si="62"/>
        <v>43922.413793103449</v>
      </c>
      <c r="N98" s="88">
        <v>50950</v>
      </c>
      <c r="O98" s="83">
        <f t="shared" si="63"/>
        <v>2180660</v>
      </c>
      <c r="P98" s="94">
        <v>133578</v>
      </c>
      <c r="Q98" s="29">
        <f t="shared" si="55"/>
        <v>25379.82</v>
      </c>
      <c r="R98" s="29">
        <f t="shared" si="56"/>
        <v>158957.82</v>
      </c>
      <c r="S98" s="30">
        <f t="shared" si="66"/>
        <v>6803394.6959999995</v>
      </c>
      <c r="T98" s="29">
        <v>151783</v>
      </c>
      <c r="U98" s="29">
        <f t="shared" si="64"/>
        <v>28838.77</v>
      </c>
      <c r="V98" s="29">
        <f t="shared" si="65"/>
        <v>180621.77</v>
      </c>
      <c r="W98" s="30">
        <f t="shared" si="67"/>
        <v>7730611.7559999991</v>
      </c>
      <c r="X98" s="56">
        <v>148967</v>
      </c>
      <c r="Y98" s="56">
        <f t="shared" si="57"/>
        <v>28303.73</v>
      </c>
      <c r="Z98" s="56">
        <f t="shared" si="58"/>
        <v>177270.73</v>
      </c>
      <c r="AA98" s="90">
        <f t="shared" si="68"/>
        <v>7587187.2439999999</v>
      </c>
      <c r="AB98" s="109">
        <v>50806</v>
      </c>
      <c r="AC98" s="105" t="s">
        <v>342</v>
      </c>
      <c r="AD98" s="275"/>
      <c r="AE98" s="110" t="s">
        <v>343</v>
      </c>
    </row>
    <row r="99" spans="3:31" ht="30" customHeight="1">
      <c r="C99" s="2" t="s">
        <v>258</v>
      </c>
      <c r="D99" s="1" t="s">
        <v>281</v>
      </c>
      <c r="E99" s="15" t="s">
        <v>90</v>
      </c>
      <c r="F99" s="1" t="s">
        <v>2</v>
      </c>
      <c r="G99" s="41">
        <v>28</v>
      </c>
      <c r="H99" s="49">
        <v>239284</v>
      </c>
      <c r="I99" s="29">
        <f t="shared" si="52"/>
        <v>45463.96</v>
      </c>
      <c r="J99" s="29">
        <f t="shared" si="59"/>
        <v>284747.96000000002</v>
      </c>
      <c r="K99" s="90">
        <f t="shared" si="60"/>
        <v>7972942.8800000008</v>
      </c>
      <c r="L99" s="99">
        <f t="shared" si="61"/>
        <v>15172.413793103435</v>
      </c>
      <c r="M99" s="92">
        <f t="shared" si="62"/>
        <v>94827.586206896565</v>
      </c>
      <c r="N99" s="88">
        <v>110000</v>
      </c>
      <c r="O99" s="83">
        <f t="shared" si="63"/>
        <v>3080000</v>
      </c>
      <c r="P99" s="94">
        <v>235390</v>
      </c>
      <c r="Q99" s="29">
        <f t="shared" si="55"/>
        <v>44724.1</v>
      </c>
      <c r="R99" s="29">
        <f t="shared" si="56"/>
        <v>280114.09999999998</v>
      </c>
      <c r="S99" s="30">
        <f t="shared" si="66"/>
        <v>7843194.7999999989</v>
      </c>
      <c r="T99" s="29">
        <v>240915</v>
      </c>
      <c r="U99" s="29">
        <f t="shared" si="64"/>
        <v>45773.85</v>
      </c>
      <c r="V99" s="29">
        <f t="shared" si="65"/>
        <v>286688.84999999998</v>
      </c>
      <c r="W99" s="30">
        <f t="shared" si="67"/>
        <v>8027287.7999999989</v>
      </c>
      <c r="X99" s="56">
        <v>239035</v>
      </c>
      <c r="Y99" s="56">
        <f t="shared" si="57"/>
        <v>45416.65</v>
      </c>
      <c r="Z99" s="56">
        <f t="shared" si="58"/>
        <v>284451.65000000002</v>
      </c>
      <c r="AA99" s="90">
        <f t="shared" si="68"/>
        <v>7964646.2000000011</v>
      </c>
      <c r="AB99" s="109">
        <v>100881</v>
      </c>
      <c r="AC99" s="105" t="s">
        <v>342</v>
      </c>
      <c r="AD99" s="275"/>
      <c r="AE99" s="110" t="s">
        <v>343</v>
      </c>
    </row>
    <row r="100" spans="3:31" ht="30" customHeight="1">
      <c r="C100" s="2" t="s">
        <v>259</v>
      </c>
      <c r="D100" s="11" t="s">
        <v>284</v>
      </c>
      <c r="E100" s="15" t="s">
        <v>82</v>
      </c>
      <c r="F100" s="1" t="s">
        <v>2</v>
      </c>
      <c r="G100" s="41">
        <v>392</v>
      </c>
      <c r="H100" s="49">
        <v>18894</v>
      </c>
      <c r="I100" s="29">
        <f t="shared" si="52"/>
        <v>3589.86</v>
      </c>
      <c r="J100" s="29">
        <f t="shared" si="59"/>
        <v>22483.86</v>
      </c>
      <c r="K100" s="90">
        <f t="shared" si="60"/>
        <v>8813673.120000001</v>
      </c>
      <c r="L100" s="99">
        <f t="shared" si="61"/>
        <v>1611.7241379310344</v>
      </c>
      <c r="M100" s="92">
        <f t="shared" si="62"/>
        <v>10073.275862068966</v>
      </c>
      <c r="N100" s="88">
        <v>11685</v>
      </c>
      <c r="O100" s="83">
        <f t="shared" si="63"/>
        <v>4580520</v>
      </c>
      <c r="P100" s="94">
        <v>17879</v>
      </c>
      <c r="Q100" s="29">
        <f t="shared" si="55"/>
        <v>3397.01</v>
      </c>
      <c r="R100" s="29">
        <f t="shared" si="56"/>
        <v>21276.010000000002</v>
      </c>
      <c r="S100" s="30">
        <f t="shared" si="66"/>
        <v>8340195.9200000009</v>
      </c>
      <c r="T100" s="29">
        <v>19401</v>
      </c>
      <c r="U100" s="29">
        <f t="shared" si="64"/>
        <v>3686.19</v>
      </c>
      <c r="V100" s="29">
        <f t="shared" si="65"/>
        <v>23087.19</v>
      </c>
      <c r="W100" s="30">
        <f t="shared" si="67"/>
        <v>9050178.4799999986</v>
      </c>
      <c r="X100" s="56">
        <v>19860</v>
      </c>
      <c r="Y100" s="56">
        <f t="shared" si="57"/>
        <v>3773.4</v>
      </c>
      <c r="Z100" s="56">
        <f t="shared" si="58"/>
        <v>23633.4</v>
      </c>
      <c r="AA100" s="90">
        <f t="shared" si="68"/>
        <v>9264292.8000000007</v>
      </c>
      <c r="AB100" s="109">
        <v>11420</v>
      </c>
      <c r="AC100" s="105" t="s">
        <v>342</v>
      </c>
      <c r="AD100" s="275"/>
      <c r="AE100" s="110" t="s">
        <v>343</v>
      </c>
    </row>
    <row r="101" spans="3:31" ht="30" customHeight="1">
      <c r="C101" s="2" t="s">
        <v>260</v>
      </c>
      <c r="D101" s="1" t="s">
        <v>282</v>
      </c>
      <c r="E101" s="15" t="s">
        <v>70</v>
      </c>
      <c r="F101" s="1" t="s">
        <v>2</v>
      </c>
      <c r="G101" s="41">
        <v>125</v>
      </c>
      <c r="H101" s="49">
        <v>45372</v>
      </c>
      <c r="I101" s="29">
        <f t="shared" si="52"/>
        <v>8620.68</v>
      </c>
      <c r="J101" s="29">
        <f t="shared" si="59"/>
        <v>53992.68</v>
      </c>
      <c r="K101" s="90">
        <f t="shared" si="60"/>
        <v>6749085</v>
      </c>
      <c r="L101" s="99">
        <f t="shared" si="61"/>
        <v>4481.2413793103442</v>
      </c>
      <c r="M101" s="92">
        <f t="shared" si="62"/>
        <v>28007.758620689656</v>
      </c>
      <c r="N101" s="88">
        <v>32489</v>
      </c>
      <c r="O101" s="83">
        <f t="shared" si="63"/>
        <v>4061125</v>
      </c>
      <c r="P101" s="94">
        <v>43892</v>
      </c>
      <c r="Q101" s="29">
        <f t="shared" si="55"/>
        <v>8339.48</v>
      </c>
      <c r="R101" s="29">
        <f t="shared" si="56"/>
        <v>52231.479999999996</v>
      </c>
      <c r="S101" s="30">
        <f t="shared" si="66"/>
        <v>6528934.9999999991</v>
      </c>
      <c r="T101" s="29">
        <v>46755</v>
      </c>
      <c r="U101" s="29">
        <f t="shared" si="64"/>
        <v>8883.4500000000007</v>
      </c>
      <c r="V101" s="29">
        <f t="shared" si="65"/>
        <v>55638.45</v>
      </c>
      <c r="W101" s="30">
        <f t="shared" si="67"/>
        <v>6954806.25</v>
      </c>
      <c r="X101" s="56">
        <v>45803</v>
      </c>
      <c r="Y101" s="56">
        <f t="shared" si="57"/>
        <v>8702.57</v>
      </c>
      <c r="Z101" s="56">
        <f t="shared" si="58"/>
        <v>54505.57</v>
      </c>
      <c r="AA101" s="90">
        <f t="shared" si="68"/>
        <v>6813196.25</v>
      </c>
      <c r="AB101" s="109">
        <v>26423</v>
      </c>
      <c r="AC101" s="105" t="s">
        <v>342</v>
      </c>
      <c r="AD101" s="275"/>
      <c r="AE101" s="110" t="s">
        <v>343</v>
      </c>
    </row>
    <row r="102" spans="3:31" ht="30" customHeight="1">
      <c r="C102" s="2" t="s">
        <v>261</v>
      </c>
      <c r="D102" s="11" t="s">
        <v>283</v>
      </c>
      <c r="E102" s="15" t="s">
        <v>83</v>
      </c>
      <c r="F102" s="1" t="s">
        <v>2</v>
      </c>
      <c r="G102" s="41">
        <v>137</v>
      </c>
      <c r="H102" s="49">
        <v>10728</v>
      </c>
      <c r="I102" s="29">
        <f t="shared" si="52"/>
        <v>2038.32</v>
      </c>
      <c r="J102" s="29">
        <f t="shared" si="59"/>
        <v>12766.32</v>
      </c>
      <c r="K102" s="90">
        <f t="shared" si="60"/>
        <v>1748985.8399999999</v>
      </c>
      <c r="L102" s="99">
        <f t="shared" si="61"/>
        <v>3159.3103448275833</v>
      </c>
      <c r="M102" s="92">
        <f t="shared" si="62"/>
        <v>19745.689655172417</v>
      </c>
      <c r="N102" s="88">
        <v>22905</v>
      </c>
      <c r="O102" s="83">
        <f t="shared" si="63"/>
        <v>3137985</v>
      </c>
      <c r="P102" s="94">
        <v>10677</v>
      </c>
      <c r="Q102" s="29">
        <f t="shared" si="55"/>
        <v>2028.63</v>
      </c>
      <c r="R102" s="29">
        <f t="shared" si="56"/>
        <v>12705.630000000001</v>
      </c>
      <c r="S102" s="30">
        <f t="shared" si="66"/>
        <v>1740671.31</v>
      </c>
      <c r="T102" s="29">
        <v>11229</v>
      </c>
      <c r="U102" s="29">
        <f t="shared" si="64"/>
        <v>2133.5100000000002</v>
      </c>
      <c r="V102" s="29">
        <f t="shared" si="65"/>
        <v>13362.51</v>
      </c>
      <c r="W102" s="30">
        <f t="shared" si="67"/>
        <v>1830663.87</v>
      </c>
      <c r="X102" s="56">
        <v>10916</v>
      </c>
      <c r="Y102" s="56">
        <f t="shared" si="57"/>
        <v>2074.04</v>
      </c>
      <c r="Z102" s="56">
        <f t="shared" si="58"/>
        <v>12990.04</v>
      </c>
      <c r="AA102" s="90">
        <f t="shared" si="68"/>
        <v>1779635.4800000002</v>
      </c>
      <c r="AB102" s="109">
        <v>28131</v>
      </c>
      <c r="AC102" s="105" t="s">
        <v>342</v>
      </c>
      <c r="AD102" s="275"/>
      <c r="AE102" s="110" t="s">
        <v>343</v>
      </c>
    </row>
    <row r="103" spans="3:31" ht="30" customHeight="1">
      <c r="C103" s="2" t="s">
        <v>262</v>
      </c>
      <c r="D103" s="1" t="s">
        <v>285</v>
      </c>
      <c r="E103" s="15" t="s">
        <v>84</v>
      </c>
      <c r="F103" s="1" t="s">
        <v>2</v>
      </c>
      <c r="G103" s="43">
        <v>38.36</v>
      </c>
      <c r="H103" s="49">
        <v>55744</v>
      </c>
      <c r="I103" s="29">
        <f t="shared" si="52"/>
        <v>10591.36</v>
      </c>
      <c r="J103" s="29">
        <f t="shared" si="59"/>
        <v>66335.360000000001</v>
      </c>
      <c r="K103" s="69">
        <f t="shared" si="60"/>
        <v>2544624.4095999999</v>
      </c>
      <c r="L103" s="99">
        <f t="shared" si="61"/>
        <v>4573.6551724137898</v>
      </c>
      <c r="M103" s="92">
        <f t="shared" si="62"/>
        <v>28585.34482758621</v>
      </c>
      <c r="N103" s="88">
        <v>33159</v>
      </c>
      <c r="O103" s="83">
        <f t="shared" si="63"/>
        <v>1271979.24</v>
      </c>
      <c r="P103" s="94">
        <v>53519</v>
      </c>
      <c r="Q103" s="29">
        <f t="shared" si="55"/>
        <v>10168.61</v>
      </c>
      <c r="R103" s="29">
        <f t="shared" si="56"/>
        <v>63687.61</v>
      </c>
      <c r="S103" s="30">
        <f t="shared" si="66"/>
        <v>2443056.7196</v>
      </c>
      <c r="T103" s="29">
        <v>58979</v>
      </c>
      <c r="U103" s="29">
        <f t="shared" si="64"/>
        <v>11206.01</v>
      </c>
      <c r="V103" s="29">
        <f t="shared" si="65"/>
        <v>70185.009999999995</v>
      </c>
      <c r="W103" s="30">
        <f t="shared" si="67"/>
        <v>2692296.9835999999</v>
      </c>
      <c r="X103" s="56">
        <v>57185</v>
      </c>
      <c r="Y103" s="56">
        <f t="shared" si="57"/>
        <v>10865.15</v>
      </c>
      <c r="Z103" s="56">
        <f t="shared" si="58"/>
        <v>68050.149999999994</v>
      </c>
      <c r="AA103" s="90">
        <f t="shared" si="68"/>
        <v>2610403.7539999997</v>
      </c>
      <c r="AB103" s="109">
        <v>31580</v>
      </c>
      <c r="AC103" s="105" t="s">
        <v>342</v>
      </c>
      <c r="AD103" s="275"/>
      <c r="AE103" s="110" t="s">
        <v>343</v>
      </c>
    </row>
    <row r="104" spans="3:31" ht="30" customHeight="1">
      <c r="C104" s="2" t="s">
        <v>263</v>
      </c>
      <c r="D104" s="11" t="s">
        <v>286</v>
      </c>
      <c r="E104" s="15" t="s">
        <v>71</v>
      </c>
      <c r="F104" s="1" t="s">
        <v>6</v>
      </c>
      <c r="G104" s="41">
        <v>8</v>
      </c>
      <c r="H104" s="49">
        <v>147669</v>
      </c>
      <c r="I104" s="29">
        <f t="shared" si="52"/>
        <v>28057.11</v>
      </c>
      <c r="J104" s="29">
        <f t="shared" si="59"/>
        <v>175726.11</v>
      </c>
      <c r="K104" s="90">
        <f t="shared" si="60"/>
        <v>1405808.88</v>
      </c>
      <c r="L104" s="99">
        <f t="shared" si="61"/>
        <v>11522.068965517232</v>
      </c>
      <c r="M104" s="92">
        <f t="shared" si="62"/>
        <v>72012.931034482768</v>
      </c>
      <c r="N104" s="88">
        <v>83535</v>
      </c>
      <c r="O104" s="83">
        <f t="shared" si="63"/>
        <v>668280</v>
      </c>
      <c r="P104" s="94">
        <v>140599</v>
      </c>
      <c r="Q104" s="29">
        <f t="shared" si="55"/>
        <v>26713.81</v>
      </c>
      <c r="R104" s="29">
        <f t="shared" si="56"/>
        <v>167312.81</v>
      </c>
      <c r="S104" s="30">
        <f t="shared" si="66"/>
        <v>1338502.48</v>
      </c>
      <c r="T104" s="29">
        <v>152597</v>
      </c>
      <c r="U104" s="29">
        <f t="shared" si="64"/>
        <v>28993.43</v>
      </c>
      <c r="V104" s="29">
        <f t="shared" si="65"/>
        <v>181590.43</v>
      </c>
      <c r="W104" s="30">
        <f t="shared" si="67"/>
        <v>1452723.44</v>
      </c>
      <c r="X104" s="56">
        <v>153654</v>
      </c>
      <c r="Y104" s="56">
        <f t="shared" si="57"/>
        <v>29194.260000000002</v>
      </c>
      <c r="Z104" s="56">
        <f t="shared" si="58"/>
        <v>182848.26</v>
      </c>
      <c r="AA104" s="90">
        <f t="shared" si="68"/>
        <v>1462786.08</v>
      </c>
      <c r="AB104" s="109">
        <v>89251</v>
      </c>
      <c r="AC104" s="105" t="s">
        <v>342</v>
      </c>
      <c r="AD104" s="275"/>
      <c r="AE104" s="110" t="s">
        <v>343</v>
      </c>
    </row>
    <row r="105" spans="3:31" ht="30" customHeight="1">
      <c r="C105" s="2" t="s">
        <v>264</v>
      </c>
      <c r="D105" s="11" t="s">
        <v>287</v>
      </c>
      <c r="E105" s="15" t="s">
        <v>85</v>
      </c>
      <c r="F105" s="1" t="s">
        <v>6</v>
      </c>
      <c r="G105" s="41">
        <v>8</v>
      </c>
      <c r="H105" s="49">
        <v>133863</v>
      </c>
      <c r="I105" s="29">
        <f t="shared" si="52"/>
        <v>25433.97</v>
      </c>
      <c r="J105" s="29">
        <f t="shared" si="59"/>
        <v>159296.97</v>
      </c>
      <c r="K105" s="90">
        <f t="shared" si="60"/>
        <v>1274375.76</v>
      </c>
      <c r="L105" s="99">
        <f t="shared" si="61"/>
        <v>11148</v>
      </c>
      <c r="M105" s="92">
        <f t="shared" si="62"/>
        <v>69675</v>
      </c>
      <c r="N105" s="88">
        <v>80823</v>
      </c>
      <c r="O105" s="83">
        <f t="shared" si="63"/>
        <v>646584</v>
      </c>
      <c r="P105" s="94">
        <v>122777</v>
      </c>
      <c r="Q105" s="29">
        <f t="shared" si="55"/>
        <v>23327.63</v>
      </c>
      <c r="R105" s="29">
        <f t="shared" si="56"/>
        <v>146104.63</v>
      </c>
      <c r="S105" s="30">
        <f t="shared" si="66"/>
        <v>1168837.04</v>
      </c>
      <c r="T105" s="29">
        <v>136923</v>
      </c>
      <c r="U105" s="29">
        <f t="shared" si="64"/>
        <v>26015.37</v>
      </c>
      <c r="V105" s="29">
        <f t="shared" si="65"/>
        <v>162938.37</v>
      </c>
      <c r="W105" s="30">
        <f t="shared" si="67"/>
        <v>1303506.96</v>
      </c>
      <c r="X105" s="56">
        <v>136537</v>
      </c>
      <c r="Y105" s="56">
        <f t="shared" si="57"/>
        <v>25942.03</v>
      </c>
      <c r="Z105" s="56">
        <f t="shared" si="58"/>
        <v>162479.03</v>
      </c>
      <c r="AA105" s="90">
        <f t="shared" si="68"/>
        <v>1299832.24</v>
      </c>
      <c r="AB105" s="109">
        <v>79884</v>
      </c>
      <c r="AC105" s="105" t="s">
        <v>342</v>
      </c>
      <c r="AD105" s="275"/>
      <c r="AE105" s="110" t="s">
        <v>343</v>
      </c>
    </row>
    <row r="106" spans="3:31" ht="30" customHeight="1">
      <c r="C106" s="2" t="s">
        <v>265</v>
      </c>
      <c r="D106" s="11" t="s">
        <v>288</v>
      </c>
      <c r="E106" s="15" t="s">
        <v>86</v>
      </c>
      <c r="F106" s="20" t="s">
        <v>1</v>
      </c>
      <c r="G106" s="41">
        <v>45</v>
      </c>
      <c r="H106" s="49">
        <v>53368</v>
      </c>
      <c r="I106" s="29">
        <f t="shared" si="52"/>
        <v>10139.92</v>
      </c>
      <c r="J106" s="29">
        <f t="shared" si="59"/>
        <v>63507.92</v>
      </c>
      <c r="K106" s="90">
        <f t="shared" si="60"/>
        <v>2857856.4</v>
      </c>
      <c r="L106" s="99">
        <f t="shared" si="61"/>
        <v>4329.2413793103442</v>
      </c>
      <c r="M106" s="92">
        <f t="shared" si="62"/>
        <v>27057.758620689656</v>
      </c>
      <c r="N106" s="88">
        <v>31387</v>
      </c>
      <c r="O106" s="83">
        <f t="shared" si="63"/>
        <v>1412415</v>
      </c>
      <c r="P106" s="94">
        <v>51972</v>
      </c>
      <c r="Q106" s="29">
        <f t="shared" si="55"/>
        <v>9874.68</v>
      </c>
      <c r="R106" s="29">
        <f t="shared" si="56"/>
        <v>61846.68</v>
      </c>
      <c r="S106" s="30">
        <f t="shared" si="66"/>
        <v>2783100.6</v>
      </c>
      <c r="T106" s="29">
        <v>57659</v>
      </c>
      <c r="U106" s="29">
        <f t="shared" si="64"/>
        <v>10955.210000000001</v>
      </c>
      <c r="V106" s="29">
        <f t="shared" si="65"/>
        <v>68614.210000000006</v>
      </c>
      <c r="W106" s="30">
        <f t="shared" si="67"/>
        <v>3087639.45</v>
      </c>
      <c r="X106" s="56">
        <v>55569</v>
      </c>
      <c r="Y106" s="56">
        <f t="shared" si="57"/>
        <v>10558.11</v>
      </c>
      <c r="Z106" s="56">
        <f t="shared" si="58"/>
        <v>66127.11</v>
      </c>
      <c r="AA106" s="90">
        <f t="shared" si="68"/>
        <v>2975719.95</v>
      </c>
      <c r="AB106" s="109">
        <v>32256</v>
      </c>
      <c r="AC106" s="105" t="s">
        <v>342</v>
      </c>
      <c r="AD106" s="275"/>
      <c r="AE106" s="110" t="s">
        <v>343</v>
      </c>
    </row>
    <row r="107" spans="3:31" ht="30" customHeight="1">
      <c r="C107" s="2" t="s">
        <v>266</v>
      </c>
      <c r="D107" s="11" t="s">
        <v>289</v>
      </c>
      <c r="E107" s="15" t="s">
        <v>87</v>
      </c>
      <c r="F107" s="20" t="s">
        <v>1</v>
      </c>
      <c r="G107" s="41">
        <v>45</v>
      </c>
      <c r="H107" s="49">
        <v>22032</v>
      </c>
      <c r="I107" s="29">
        <f t="shared" si="52"/>
        <v>4186.08</v>
      </c>
      <c r="J107" s="29">
        <f t="shared" si="59"/>
        <v>26218.080000000002</v>
      </c>
      <c r="K107" s="90">
        <f t="shared" si="60"/>
        <v>1179813.6000000001</v>
      </c>
      <c r="L107" s="99">
        <f t="shared" si="61"/>
        <v>2689.6551724137935</v>
      </c>
      <c r="M107" s="92">
        <f t="shared" si="62"/>
        <v>16810.344827586207</v>
      </c>
      <c r="N107" s="88">
        <v>19500</v>
      </c>
      <c r="O107" s="83">
        <f t="shared" si="63"/>
        <v>877500</v>
      </c>
      <c r="P107" s="94">
        <v>21168</v>
      </c>
      <c r="Q107" s="29">
        <f t="shared" si="55"/>
        <v>4021.92</v>
      </c>
      <c r="R107" s="29">
        <f t="shared" si="56"/>
        <v>25189.919999999998</v>
      </c>
      <c r="S107" s="30">
        <f t="shared" si="66"/>
        <v>1133546.3999999999</v>
      </c>
      <c r="T107" s="29">
        <v>23133</v>
      </c>
      <c r="U107" s="29">
        <f t="shared" si="64"/>
        <v>4395.2700000000004</v>
      </c>
      <c r="V107" s="29">
        <f t="shared" si="65"/>
        <v>27528.27</v>
      </c>
      <c r="W107" s="30">
        <f t="shared" si="67"/>
        <v>1238772.1499999999</v>
      </c>
      <c r="X107" s="56">
        <v>22935</v>
      </c>
      <c r="Y107" s="56">
        <f t="shared" si="57"/>
        <v>4357.6499999999996</v>
      </c>
      <c r="Z107" s="56">
        <f t="shared" si="58"/>
        <v>27292.65</v>
      </c>
      <c r="AA107" s="90">
        <f t="shared" si="68"/>
        <v>1228169.25</v>
      </c>
      <c r="AB107" s="109">
        <v>13315</v>
      </c>
      <c r="AC107" s="105" t="s">
        <v>342</v>
      </c>
      <c r="AD107" s="275"/>
      <c r="AE107" s="110" t="s">
        <v>343</v>
      </c>
    </row>
    <row r="108" spans="3:31" ht="30" customHeight="1" thickBot="1">
      <c r="C108" s="16" t="s">
        <v>267</v>
      </c>
      <c r="D108" s="18" t="s">
        <v>290</v>
      </c>
      <c r="E108" s="17" t="s">
        <v>88</v>
      </c>
      <c r="F108" s="21" t="s">
        <v>1</v>
      </c>
      <c r="G108" s="44">
        <v>80</v>
      </c>
      <c r="H108" s="50">
        <v>12169</v>
      </c>
      <c r="I108" s="31">
        <f t="shared" si="52"/>
        <v>2312.11</v>
      </c>
      <c r="J108" s="31">
        <f t="shared" si="59"/>
        <v>14481.11</v>
      </c>
      <c r="K108" s="91">
        <f t="shared" si="60"/>
        <v>1158488.8</v>
      </c>
      <c r="L108" s="100">
        <f t="shared" si="61"/>
        <v>2386.0689655172409</v>
      </c>
      <c r="M108" s="101">
        <f t="shared" si="62"/>
        <v>14912.931034482759</v>
      </c>
      <c r="N108" s="102">
        <v>17299</v>
      </c>
      <c r="O108" s="84">
        <f t="shared" si="63"/>
        <v>1383920</v>
      </c>
      <c r="P108" s="95">
        <v>12147</v>
      </c>
      <c r="Q108" s="31">
        <f t="shared" si="55"/>
        <v>2307.9299999999998</v>
      </c>
      <c r="R108" s="31">
        <f t="shared" si="56"/>
        <v>14454.93</v>
      </c>
      <c r="S108" s="30">
        <f t="shared" si="66"/>
        <v>1156394.3999999999</v>
      </c>
      <c r="T108" s="31">
        <v>12623</v>
      </c>
      <c r="U108" s="31">
        <f t="shared" si="64"/>
        <v>2398.37</v>
      </c>
      <c r="V108" s="31">
        <f t="shared" si="65"/>
        <v>15021.369999999999</v>
      </c>
      <c r="W108" s="30">
        <f t="shared" si="67"/>
        <v>1201709.5999999999</v>
      </c>
      <c r="X108" s="57">
        <v>12721</v>
      </c>
      <c r="Y108" s="57">
        <f t="shared" si="57"/>
        <v>2416.9900000000002</v>
      </c>
      <c r="Z108" s="57">
        <f t="shared" si="58"/>
        <v>15137.99</v>
      </c>
      <c r="AA108" s="90">
        <f t="shared" si="68"/>
        <v>1211039.2</v>
      </c>
      <c r="AB108" s="111">
        <v>7355</v>
      </c>
      <c r="AC108" s="112" t="s">
        <v>342</v>
      </c>
      <c r="AD108" s="276"/>
      <c r="AE108" s="113" t="s">
        <v>343</v>
      </c>
    </row>
    <row r="109" spans="3:31" ht="13.5" thickBot="1">
      <c r="C109" s="405" t="s">
        <v>227</v>
      </c>
      <c r="D109" s="406"/>
      <c r="E109" s="406"/>
      <c r="F109" s="406"/>
      <c r="G109" s="406"/>
      <c r="H109" s="437"/>
      <c r="I109" s="438"/>
      <c r="J109" s="439"/>
      <c r="K109" s="34">
        <f>SUM(K86:K108)</f>
        <v>67365394.547499999</v>
      </c>
      <c r="L109" s="437"/>
      <c r="M109" s="438"/>
      <c r="N109" s="439"/>
      <c r="O109" s="34">
        <f>SUM(O86:O108)</f>
        <v>33870938.840000004</v>
      </c>
      <c r="P109" s="437"/>
      <c r="Q109" s="438"/>
      <c r="R109" s="439"/>
      <c r="S109" s="34">
        <f>SUM(S86:S108)</f>
        <v>64995248.949399993</v>
      </c>
      <c r="T109" s="437"/>
      <c r="U109" s="438"/>
      <c r="V109" s="439"/>
      <c r="W109" s="34">
        <f>SUM(W86:W108)</f>
        <v>69508125.58829999</v>
      </c>
      <c r="X109" s="437"/>
      <c r="Y109" s="438"/>
      <c r="Z109" s="439"/>
      <c r="AA109" s="34">
        <f>SUM(AA86:AA108)</f>
        <v>69300109.06630002</v>
      </c>
      <c r="AB109" s="34">
        <f>SUM(AB86:AB108)</f>
        <v>3070258</v>
      </c>
    </row>
    <row r="110" spans="3:31" ht="24" customHeight="1" thickBot="1">
      <c r="C110" s="412" t="s">
        <v>291</v>
      </c>
      <c r="D110" s="413"/>
      <c r="E110" s="413"/>
      <c r="F110" s="413"/>
      <c r="G110" s="413"/>
      <c r="H110" s="425"/>
      <c r="I110" s="426"/>
      <c r="J110" s="427"/>
      <c r="K110" s="35">
        <f>SUM(K109,K83,K70,K38)</f>
        <v>246324523.91749996</v>
      </c>
      <c r="L110" s="425"/>
      <c r="M110" s="426"/>
      <c r="N110" s="427"/>
      <c r="O110" s="35">
        <f>SUM(O109,O83,O70,O38)</f>
        <v>193661675.82500002</v>
      </c>
      <c r="P110" s="425"/>
      <c r="Q110" s="426"/>
      <c r="R110" s="427"/>
      <c r="S110" s="35">
        <f>SUM(S109,S83,S70,S38)</f>
        <v>247908166.40939999</v>
      </c>
      <c r="T110" s="425"/>
      <c r="U110" s="426"/>
      <c r="V110" s="427"/>
      <c r="W110" s="35">
        <f>SUM(W109,W83,W70,W38)</f>
        <v>252814230.9483</v>
      </c>
      <c r="X110" s="425"/>
      <c r="Y110" s="426"/>
      <c r="Z110" s="427"/>
      <c r="AA110" s="35">
        <f>SUM(AA109,AA83,AA70,AA38)</f>
        <v>245194064.99630004</v>
      </c>
      <c r="AB110" s="35">
        <f>SUM(AB109,AB83,AB70,AB38)</f>
        <v>69886229.049999997</v>
      </c>
    </row>
  </sheetData>
  <mergeCells count="43">
    <mergeCell ref="T38:V38"/>
    <mergeCell ref="T70:V70"/>
    <mergeCell ref="T83:V83"/>
    <mergeCell ref="T109:V109"/>
    <mergeCell ref="T110:V110"/>
    <mergeCell ref="C1:G1"/>
    <mergeCell ref="C2:G2"/>
    <mergeCell ref="C3:G3"/>
    <mergeCell ref="H110:J110"/>
    <mergeCell ref="P110:R110"/>
    <mergeCell ref="H70:J70"/>
    <mergeCell ref="P70:R70"/>
    <mergeCell ref="H83:J83"/>
    <mergeCell ref="P83:R83"/>
    <mergeCell ref="H109:J109"/>
    <mergeCell ref="P109:R109"/>
    <mergeCell ref="L38:N38"/>
    <mergeCell ref="L70:N70"/>
    <mergeCell ref="L83:N83"/>
    <mergeCell ref="L109:N109"/>
    <mergeCell ref="L110:N110"/>
    <mergeCell ref="P38:R38"/>
    <mergeCell ref="C110:G110"/>
    <mergeCell ref="C38:G38"/>
    <mergeCell ref="C70:G70"/>
    <mergeCell ref="C83:E83"/>
    <mergeCell ref="C109:G109"/>
    <mergeCell ref="AB1:AE3"/>
    <mergeCell ref="X110:Z110"/>
    <mergeCell ref="H1:K3"/>
    <mergeCell ref="L1:O3"/>
    <mergeCell ref="P1:S3"/>
    <mergeCell ref="T1:W3"/>
    <mergeCell ref="X1:AA3"/>
    <mergeCell ref="C4:AA4"/>
    <mergeCell ref="C39:AA39"/>
    <mergeCell ref="C71:AA71"/>
    <mergeCell ref="C84:AA84"/>
    <mergeCell ref="X38:Z38"/>
    <mergeCell ref="X70:Z70"/>
    <mergeCell ref="X83:Z83"/>
    <mergeCell ref="X109:Z109"/>
    <mergeCell ref="H38:J38"/>
  </mergeCells>
  <phoneticPr fontId="5" type="noConversion"/>
  <hyperlinks>
    <hyperlink ref="AE38" r:id="rId1" display="https://www.onelab.com.co/desfibrilador-dea-externo-automatico-modelo-fred-pa-1-schiller?srsltid=AfmBOormZrvjvUTjwop-wtynIEqWk3Z7Ry6cHxgQjEkULO1waXLL2-l8" xr:uid="{23794231-ED5B-43D5-89DF-79598EE95AC1}"/>
    <hyperlink ref="AE8" r:id="rId2" xr:uid="{25680E3C-DA7A-4416-9B51-1ACBD2B4E60F}"/>
    <hyperlink ref="AE9" r:id="rId3" xr:uid="{5C2AF541-13B2-4062-BCA5-6271D06C559D}"/>
    <hyperlink ref="AE12" r:id="rId4" xr:uid="{BD7CF0CC-EBF4-4EC5-8558-C3B602E47552}"/>
    <hyperlink ref="AE14" r:id="rId5" xr:uid="{E32F1028-63CA-4F66-86D7-4BAEF94AFE4C}"/>
    <hyperlink ref="AE19" r:id="rId6" xr:uid="{30CD3132-BE4D-4D4E-B4A3-CE04C9F536BF}"/>
    <hyperlink ref="AE21" r:id="rId7" xr:uid="{D5E83A16-CCC2-41C2-8BB0-9FA1CA452692}"/>
    <hyperlink ref="AE22" r:id="rId8" xr:uid="{EF91DF55-563C-4AF6-8B3E-3861D469F406}"/>
    <hyperlink ref="AE23" r:id="rId9" xr:uid="{11047CD9-82ED-4B76-9C97-32A817523001}"/>
    <hyperlink ref="AE26" r:id="rId10" xr:uid="{155E284C-D95C-4396-881F-15D7111B47E3}"/>
    <hyperlink ref="AE25" r:id="rId11" xr:uid="{8597D627-9921-412A-832A-2C95156BADD9}"/>
    <hyperlink ref="AE24" r:id="rId12" location="polycard_client=search-nordic&amp;searchVariation=179138188145&amp;search_layout=grid&amp;position=5&amp;type=item&amp;tracking_id=d94ce13d-0171-4d33-bdad-ecd826204434" display="https://articulo.mercadolibre.com.co/MCO-1733351036-cuchillo-tramontina-profesional-3-pulgadas-_JM?searchVariation=179138188145#polycard_client=search-nordic&amp;searchVariation=179138188145&amp;search_layout=grid&amp;position=5&amp;type=item&amp;tracking_id=d94ce13d-0171-4d33-bdad-ecd826204434" xr:uid="{6D61B0CA-B2CF-46BA-A858-09501630EC34}"/>
    <hyperlink ref="AE27" r:id="rId13" xr:uid="{8CA5D08E-C366-4526-88AE-CAF3E8316A0A}"/>
    <hyperlink ref="AE28" r:id="rId14" xr:uid="{E17884C8-E55B-4B5E-A932-A2F9B6C6951F}"/>
    <hyperlink ref="AE29" r:id="rId15" xr:uid="{5F9163EB-EAA8-46F7-B769-49C8BD20786F}"/>
    <hyperlink ref="AE30" r:id="rId16" xr:uid="{6549C71A-22C6-4777-ABF8-D482177C6EE5}"/>
    <hyperlink ref="AE31" r:id="rId17" xr:uid="{F8934F74-A8CD-414A-9BA7-F597E7C2F6C8}"/>
    <hyperlink ref="AE32" r:id="rId18" xr:uid="{1A895984-035C-44F0-890C-231A49E4B4E8}"/>
    <hyperlink ref="AE33" r:id="rId19" xr:uid="{69243E1A-B5DE-4157-ADB0-7BE66E20870F}"/>
    <hyperlink ref="AE35" r:id="rId20" xr:uid="{6215D261-A04E-43D1-B9F1-8D432E903964}"/>
    <hyperlink ref="AE46" r:id="rId21" xr:uid="{1FA10BB5-6EF1-49EE-9E73-0389EA861296}"/>
    <hyperlink ref="AE56" r:id="rId22" xr:uid="{C0157CA0-DB65-4FDE-91EB-B8762ED5E327}"/>
    <hyperlink ref="AE45" r:id="rId23" xr:uid="{E4CA83D9-0431-4AE8-83E0-A83744B482A2}"/>
    <hyperlink ref="AE49" r:id="rId24" location="polycard_client=search-nordic&amp;searchVariation=181672543075&amp;search_layout=grid&amp;position=15&amp;type=item&amp;tracking_id=eec4c501-7d3d-48c5-8bc1-06d82a335dfb" display="https://articulo.mercadolibre.com.co/MCO-2200834108-termofijadora-multifuncional-11-en-1-freesub-_JM?searchVariation=181672543075#polycard_client=search-nordic&amp;searchVariation=181672543075&amp;search_layout=grid&amp;position=15&amp;type=item&amp;tracking_id=eec4c501-7d3d-48c5-8bc1-06d82a335dfb" xr:uid="{54409DDB-54DD-4EAD-B994-7E9F37D894DD}"/>
    <hyperlink ref="AE58" r:id="rId25" xr:uid="{1B72829A-3D83-453B-9692-3E0C22B3C33F}"/>
    <hyperlink ref="AE60" r:id="rId26" location="polycard_client=search-nordic&amp;search_layout=grid&amp;position=4&amp;type=product&amp;tracking_id=e27d0bcf-de42-498c-a641-c5d087cb8970&amp;wid=MCO2794956890&amp;sid=search" xr:uid="{0A2F9DFC-87B2-454A-AB9D-2868814D6E4D}"/>
    <hyperlink ref="AE61" r:id="rId27" location="is_advertising=true&amp;searchVariation=179702057883&amp;backend_model=search-backend&amp;position=2&amp;search_layout=grid&amp;type=pad&amp;tracking_id=81bff339-3ff9-4cb1-8280-3a2a06e58759&amp;is_advertising=true&amp;ad_domain=VQCATCORE_LST&amp;ad_position=2&amp;ad_click_id=NmY4ZGVmMzEtZDY2MC00MzJiLTk2NTktMmE2Yzc1OGQwOGVl" display="https://articulo.mercadolibre.com.co/MCO-1333869023-kit-de-mostacilla-15-colores-2-hilos-agujas-_JM?searchVariation=179702057883#is_advertising=true&amp;searchVariation=179702057883&amp;backend_model=search-backend&amp;position=2&amp;search_layout=grid&amp;type=pad&amp;tracking_id=81bff339-3ff9-4cb1-8280-3a2a06e58759&amp;is_advertising=true&amp;ad_domain=VQCATCORE_LST&amp;ad_position=2&amp;ad_click_id=NmY4ZGVmMzEtZDY2MC00MzJiLTk2NTktMmE2Yzc1OGQwOGVl" xr:uid="{BE8BD09F-8CE5-4DA2-849E-808E4E0125DD}"/>
    <hyperlink ref="AE62" r:id="rId28" xr:uid="{BA173F98-03AF-4347-937C-7522546FABDA}"/>
    <hyperlink ref="AE63" r:id="rId29" location="polycard_client=search-nordic&amp;searchVariation=182146355129&amp;search_layout=grid&amp;position=3&amp;type=item&amp;tracking_id=91be8068-a150-4185-9494-161a63f1fe6b" display="https://articulo.mercadolibre.com.co/MCO-2274855184-aguja-mostacilla-100-por-25-unidades-_JM?searchVariation=182146355129#polycard_client=search-nordic&amp;searchVariation=182146355129&amp;search_layout=grid&amp;position=3&amp;type=item&amp;tracking_id=91be8068-a150-4185-9494-161a63f1fe6b" xr:uid="{B69919F0-73C7-47F6-88B3-ACDE0CC5C234}"/>
    <hyperlink ref="AE65" r:id="rId30" xr:uid="{77F9B084-7C95-4F4C-944B-A1429CE9F979}"/>
    <hyperlink ref="AE66" r:id="rId31" xr:uid="{106A646D-36CD-4B4C-8CAC-E786152A74DE}"/>
    <hyperlink ref="AE68" r:id="rId32" xr:uid="{B88832EF-E6EF-499F-9F26-B3B0E2F9F1CD}"/>
    <hyperlink ref="AE69" r:id="rId33" location="is_advertising=true&amp;searchVariation=173649054662&amp;backend_model=search-backend&amp;position=1&amp;search_layout=grid&amp;type=pad&amp;tracking_id=c5aea8d6-082d-49af-b19b-9ac38898986f&amp;is_advertising=true&amp;ad_domain=VQCATCORE_LST&amp;ad_position=1&amp;ad_click_id=YzA2MDU5OGUtYWQ4NS00MDZlLTk5MDYtZmI4ZjYzNDFjNDRl" display="https://articulo.mercadolibre.com.co/MCO-808395190-hilo-macrame-100-acrilico-2mm-grosor-kit-9-ovillos-x100gr-_JM?searchVariation=173649054662#is_advertising=true&amp;searchVariation=173649054662&amp;backend_model=search-backend&amp;position=1&amp;search_layout=grid&amp;type=pad&amp;tracking_id=c5aea8d6-082d-49af-b19b-9ac38898986f&amp;is_advertising=true&amp;ad_domain=VQCATCORE_LST&amp;ad_position=1&amp;ad_click_id=YzA2MDU5OGUtYWQ4NS00MDZlLTk5MDYtZmI4ZjYzNDFjNDRl" xr:uid="{D0BFD5DA-2E2A-4B3D-9C2E-5629ADD4E91E}"/>
    <hyperlink ref="AE76" r:id="rId34" xr:uid="{99112606-FEBC-4DFB-87DB-D5AA3EB1CEC2}"/>
    <hyperlink ref="AE79" r:id="rId35" xr:uid="{F31B5189-BD5C-46E5-89A7-08744C150DDF}"/>
    <hyperlink ref="AE82" r:id="rId36" xr:uid="{88871440-2504-4905-B91D-4638AFAA28B7}"/>
    <hyperlink ref="AE6" r:id="rId37" xr:uid="{897C9F9E-3591-4279-A5E6-4221A89F1495}"/>
    <hyperlink ref="AE11" r:id="rId38" display="https://tienda.pallomaro.com/escabiladeros/escabiladero-en-acero-inox-60x40-?gad_source=1&amp;gad_campaignid=21258695233&amp;gbraid=0AAAAADdXcJTvqGnZ6ahyq55YUuF8ct2sf&amp;gclid=CjwKCAjw2brFBhBOEiwAVJX5GAuXBSpFkxpZQSokDkT26W5-tzeXuRU3jCybe1X-Hwyi7a5qgCFiPhoC9NsQAvD_BwE" xr:uid="{C7BBCD31-66C2-4DAD-BE60-75F7EBE1B027}"/>
    <hyperlink ref="AE18" r:id="rId39" xr:uid="{126841F2-57E5-4885-82AE-18954EA24EC3}"/>
    <hyperlink ref="AE36" r:id="rId40" xr:uid="{39F8936C-7469-4B7F-BA63-3D9441200C26}"/>
    <hyperlink ref="AE37" r:id="rId41" xr:uid="{E18DF8CB-5741-4BC5-8C5A-4C93675BB245}"/>
    <hyperlink ref="AE42" r:id="rId42" xr:uid="{7D3E71C3-E296-4CAD-B337-CEB0BC7F5B5C}"/>
    <hyperlink ref="AE44" r:id="rId43" xr:uid="{9D181145-4AA1-4A4D-BFB3-E7045006F9A4}"/>
    <hyperlink ref="AE51" r:id="rId44" xr:uid="{0AB1D8F7-89FF-4EF6-B1DC-24A08FCD10A3}"/>
    <hyperlink ref="AE54" r:id="rId45" xr:uid="{367E0653-E39D-4D45-9417-C9ABD5A84E2F}"/>
    <hyperlink ref="AE57" r:id="rId46" xr:uid="{D98D7293-AE9F-4E81-AB0A-664E4C98DF6E}"/>
    <hyperlink ref="AE59" r:id="rId47" xr:uid="{6815FAE0-9E5E-406A-93DA-FE9200D9A9F9}"/>
    <hyperlink ref="AE64" r:id="rId48" xr:uid="{BEB2CE8E-77A2-488E-ABAE-1CBBBBF75C44}"/>
    <hyperlink ref="AE80" r:id="rId49" xr:uid="{4AF565D9-666E-40E0-AAB7-8C31CE97E7CF}"/>
    <hyperlink ref="AE13" r:id="rId50" xr:uid="{73A862D0-A705-4111-BF33-5BD5BF49510B}"/>
    <hyperlink ref="AE15" r:id="rId51" xr:uid="{A1C581F1-7305-4D8D-9C0F-FF64C0322F02}"/>
    <hyperlink ref="AE16" r:id="rId52" xr:uid="{031464EB-037F-408E-B392-02B66917E6B1}"/>
    <hyperlink ref="AE17" r:id="rId53" xr:uid="{B37EC3BD-2399-40B4-9830-BDB4AE0299DE}"/>
    <hyperlink ref="AE20" r:id="rId54" xr:uid="{B14955A9-2314-4516-BD12-A76C022258F9}"/>
    <hyperlink ref="AE41" r:id="rId55" xr:uid="{60378BD6-95D4-4452-B733-3CCADF511509}"/>
    <hyperlink ref="AE53" r:id="rId56" xr:uid="{F75B6219-E311-41F4-8EBE-E616FB8E83BD}"/>
    <hyperlink ref="AE75" r:id="rId57" xr:uid="{A3B68216-9505-4C60-B5C9-3E387AC70317}"/>
    <hyperlink ref="AE78" r:id="rId58" xr:uid="{A80851E0-ED4C-44B3-8BD5-24C4D6162806}"/>
    <hyperlink ref="AE77" r:id="rId59" xr:uid="{14D3EC5E-EA1D-463F-81FB-F23D02D5CFD6}"/>
  </hyperlinks>
  <pageMargins left="0.7" right="0.7" top="0.75" bottom="0.75" header="0.3" footer="0.3"/>
  <pageSetup paperSize="9" orientation="portrait" r:id="rId60"/>
  <colBreaks count="1" manualBreakCount="1">
    <brk id="15" max="10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2D1EC-0C19-47C5-8999-8D864754AD76}">
  <dimension ref="A1:R84"/>
  <sheetViews>
    <sheetView showGridLines="0" topLeftCell="F1" zoomScale="80" zoomScaleNormal="80" workbookViewId="0">
      <selection activeCell="T4" sqref="T4"/>
    </sheetView>
  </sheetViews>
  <sheetFormatPr baseColWidth="10" defaultColWidth="8.83203125" defaultRowHeight="12.75"/>
  <cols>
    <col min="1" max="2" width="8.83203125" style="3" customWidth="1"/>
    <col min="3" max="3" width="16" style="3" bestFit="1" customWidth="1"/>
    <col min="4" max="4" width="66.1640625" style="3" bestFit="1" customWidth="1"/>
    <col min="5" max="5" width="67.33203125" style="3" customWidth="1"/>
    <col min="6" max="6" width="14.6640625" style="3" customWidth="1"/>
    <col min="7" max="7" width="14.6640625" style="12" customWidth="1"/>
    <col min="8" max="10" width="14.6640625" style="3" customWidth="1"/>
    <col min="11" max="15" width="14.83203125" style="3" customWidth="1"/>
    <col min="16" max="16" width="13.83203125" style="3" bestFit="1" customWidth="1"/>
    <col min="17" max="17" width="14.6640625" style="3" bestFit="1" customWidth="1"/>
    <col min="18" max="18" width="14.83203125" style="3" customWidth="1"/>
    <col min="19" max="16384" width="8.83203125" style="3"/>
  </cols>
  <sheetData>
    <row r="1" spans="1:18" ht="13.15" customHeight="1">
      <c r="C1" s="403" t="s">
        <v>91</v>
      </c>
      <c r="D1" s="404"/>
      <c r="E1" s="404"/>
      <c r="F1" s="404"/>
      <c r="G1" s="404"/>
      <c r="H1" s="382" t="s">
        <v>301</v>
      </c>
      <c r="I1" s="382" t="s">
        <v>302</v>
      </c>
      <c r="J1" s="382" t="s">
        <v>303</v>
      </c>
      <c r="K1" s="382" t="s">
        <v>304</v>
      </c>
      <c r="L1" s="382" t="s">
        <v>305</v>
      </c>
      <c r="M1" s="382" t="s">
        <v>344</v>
      </c>
      <c r="N1" s="457" t="s">
        <v>347</v>
      </c>
      <c r="O1" s="215"/>
      <c r="P1" s="451" t="s">
        <v>348</v>
      </c>
      <c r="Q1" s="452"/>
      <c r="R1" s="453"/>
    </row>
    <row r="2" spans="1:18" ht="13.15" customHeight="1">
      <c r="C2" s="399" t="s">
        <v>92</v>
      </c>
      <c r="D2" s="400"/>
      <c r="E2" s="400"/>
      <c r="F2" s="400"/>
      <c r="G2" s="400"/>
      <c r="H2" s="385"/>
      <c r="I2" s="385"/>
      <c r="J2" s="385"/>
      <c r="K2" s="385"/>
      <c r="L2" s="385"/>
      <c r="M2" s="385"/>
      <c r="N2" s="458"/>
      <c r="O2" s="215"/>
      <c r="P2" s="451"/>
      <c r="Q2" s="452"/>
      <c r="R2" s="453"/>
    </row>
    <row r="3" spans="1:18" ht="41.25" customHeight="1" thickBot="1">
      <c r="C3" s="401" t="s">
        <v>93</v>
      </c>
      <c r="D3" s="402"/>
      <c r="E3" s="402"/>
      <c r="F3" s="402"/>
      <c r="G3" s="402"/>
      <c r="H3" s="385"/>
      <c r="I3" s="385"/>
      <c r="J3" s="385"/>
      <c r="K3" s="385"/>
      <c r="L3" s="385"/>
      <c r="M3" s="385"/>
      <c r="N3" s="458"/>
      <c r="O3" s="215"/>
      <c r="P3" s="454"/>
      <c r="Q3" s="455"/>
      <c r="R3" s="456"/>
    </row>
    <row r="4" spans="1:18" ht="13.5" thickBot="1">
      <c r="C4" s="388" t="s">
        <v>97</v>
      </c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</row>
    <row r="5" spans="1:18" ht="47.25" customHeight="1" thickBot="1">
      <c r="A5" s="5"/>
      <c r="B5" s="5"/>
      <c r="C5" s="59" t="s">
        <v>95</v>
      </c>
      <c r="D5" s="60" t="s">
        <v>96</v>
      </c>
      <c r="E5" s="59" t="s">
        <v>94</v>
      </c>
      <c r="F5" s="61" t="s">
        <v>292</v>
      </c>
      <c r="G5" s="62" t="s">
        <v>0</v>
      </c>
      <c r="H5" s="59" t="s">
        <v>293</v>
      </c>
      <c r="I5" s="209" t="s">
        <v>293</v>
      </c>
      <c r="J5" s="211" t="s">
        <v>293</v>
      </c>
      <c r="K5" s="211" t="s">
        <v>293</v>
      </c>
      <c r="L5" s="60" t="s">
        <v>293</v>
      </c>
      <c r="M5" s="187" t="s">
        <v>293</v>
      </c>
      <c r="N5" s="216" t="s">
        <v>293</v>
      </c>
      <c r="O5" s="448"/>
      <c r="P5" s="219" t="s">
        <v>348</v>
      </c>
      <c r="Q5" s="219" t="s">
        <v>349</v>
      </c>
      <c r="R5" s="219" t="s">
        <v>350</v>
      </c>
    </row>
    <row r="6" spans="1:18" s="4" customFormat="1" ht="63.75">
      <c r="C6" s="9" t="s">
        <v>98</v>
      </c>
      <c r="D6" s="10" t="s">
        <v>131</v>
      </c>
      <c r="E6" s="13" t="s">
        <v>62</v>
      </c>
      <c r="F6" s="10" t="s">
        <v>4</v>
      </c>
      <c r="G6" s="37">
        <v>1</v>
      </c>
      <c r="H6" s="129">
        <v>7360000</v>
      </c>
      <c r="I6" s="340">
        <v>6806722.6890756302</v>
      </c>
      <c r="J6" s="285">
        <v>7234110</v>
      </c>
      <c r="K6" s="285">
        <v>7604171</v>
      </c>
      <c r="L6" s="286">
        <v>6935933</v>
      </c>
      <c r="M6" s="287">
        <f>+HISTORICOS!AD6</f>
        <v>2605042.0168067226</v>
      </c>
      <c r="N6" s="217">
        <f>+AVERAGE(H6:M6)</f>
        <v>6424329.7843137262</v>
      </c>
      <c r="O6" s="459"/>
      <c r="P6" s="159">
        <f>+STDEVA(H6:M6)</f>
        <v>1893048.825541103</v>
      </c>
      <c r="Q6" s="165">
        <f>+N6-P6</f>
        <v>4531280.958772623</v>
      </c>
      <c r="R6" s="136">
        <f>+N6+P6</f>
        <v>8317378.6098548295</v>
      </c>
    </row>
    <row r="7" spans="1:18" s="4" customFormat="1" ht="76.5">
      <c r="C7" s="2" t="s">
        <v>100</v>
      </c>
      <c r="D7" s="1" t="s">
        <v>134</v>
      </c>
      <c r="E7" s="15" t="s">
        <v>16</v>
      </c>
      <c r="F7" s="1" t="s">
        <v>4</v>
      </c>
      <c r="G7" s="38">
        <v>3</v>
      </c>
      <c r="H7" s="137">
        <v>2510367</v>
      </c>
      <c r="I7" s="288">
        <v>1662605.042016807</v>
      </c>
      <c r="J7" s="289">
        <v>2506736</v>
      </c>
      <c r="K7" s="289">
        <v>2401067</v>
      </c>
      <c r="L7" s="290">
        <v>2384780</v>
      </c>
      <c r="M7" s="291">
        <f>+HISTORICOS!AD7</f>
        <v>885714.2857142858</v>
      </c>
      <c r="N7" s="217">
        <f t="shared" ref="N7:N36" si="0">+AVERAGE(H7:M7)</f>
        <v>2058544.8879551822</v>
      </c>
      <c r="O7" s="459"/>
      <c r="P7" s="152">
        <f t="shared" ref="P7:P37" si="1">+STDEVA(H7:M7)</f>
        <v>657429.7259135145</v>
      </c>
      <c r="Q7" s="153">
        <f>+N7-P7</f>
        <v>1401115.1620416678</v>
      </c>
      <c r="R7" s="141">
        <f t="shared" ref="R7:R37" si="2">+N7+P7</f>
        <v>2715974.6138686966</v>
      </c>
    </row>
    <row r="8" spans="1:18" s="4" customFormat="1" ht="51">
      <c r="C8" s="2" t="s">
        <v>101</v>
      </c>
      <c r="D8" s="1" t="s">
        <v>132</v>
      </c>
      <c r="E8" s="15" t="s">
        <v>17</v>
      </c>
      <c r="F8" s="1" t="s">
        <v>4</v>
      </c>
      <c r="G8" s="38">
        <v>10</v>
      </c>
      <c r="H8" s="137">
        <v>348700</v>
      </c>
      <c r="I8" s="288">
        <v>214159.66386554623</v>
      </c>
      <c r="J8" s="289">
        <v>350928</v>
      </c>
      <c r="K8" s="289">
        <v>332517</v>
      </c>
      <c r="L8" s="290">
        <v>326266</v>
      </c>
      <c r="M8" s="291">
        <f>+HISTORICOS!AD8</f>
        <v>151176.4705882353</v>
      </c>
      <c r="N8" s="217">
        <f t="shared" si="0"/>
        <v>287291.18907563022</v>
      </c>
      <c r="O8" s="459"/>
      <c r="P8" s="152">
        <f t="shared" si="1"/>
        <v>83976.820840732325</v>
      </c>
      <c r="Q8" s="153">
        <f t="shared" ref="Q8:Q37" si="3">+N8-P8</f>
        <v>203314.36823489791</v>
      </c>
      <c r="R8" s="141">
        <f t="shared" si="2"/>
        <v>371268.00991636253</v>
      </c>
    </row>
    <row r="9" spans="1:18" s="4" customFormat="1" ht="38.25">
      <c r="C9" s="2" t="s">
        <v>102</v>
      </c>
      <c r="D9" s="1" t="s">
        <v>133</v>
      </c>
      <c r="E9" s="15" t="s">
        <v>10</v>
      </c>
      <c r="F9" s="1" t="s">
        <v>4</v>
      </c>
      <c r="G9" s="38">
        <v>20</v>
      </c>
      <c r="H9" s="137">
        <v>75571</v>
      </c>
      <c r="I9" s="288">
        <v>75504.201680672268</v>
      </c>
      <c r="J9" s="223">
        <v>88777</v>
      </c>
      <c r="K9" s="289">
        <v>76923</v>
      </c>
      <c r="L9" s="290">
        <v>77771</v>
      </c>
      <c r="M9" s="291">
        <f>+HISTORICOS!AD9</f>
        <v>75571.42857142858</v>
      </c>
      <c r="N9" s="217">
        <f t="shared" si="0"/>
        <v>78352.938375350132</v>
      </c>
      <c r="O9" s="459"/>
      <c r="P9" s="152">
        <f t="shared" si="1"/>
        <v>5189.1370275540767</v>
      </c>
      <c r="Q9" s="153">
        <f t="shared" si="3"/>
        <v>73163.801347796049</v>
      </c>
      <c r="R9" s="141">
        <f t="shared" si="2"/>
        <v>83542.075402904215</v>
      </c>
    </row>
    <row r="10" spans="1:18" s="4" customFormat="1" ht="25.5">
      <c r="C10" s="2" t="s">
        <v>103</v>
      </c>
      <c r="D10" s="1" t="s">
        <v>135</v>
      </c>
      <c r="E10" s="15" t="s">
        <v>63</v>
      </c>
      <c r="F10" s="1" t="s">
        <v>4</v>
      </c>
      <c r="G10" s="38">
        <v>6</v>
      </c>
      <c r="H10" s="137">
        <v>143830</v>
      </c>
      <c r="I10" s="222">
        <v>1008403.3613445379</v>
      </c>
      <c r="J10" s="289">
        <v>154904</v>
      </c>
      <c r="K10" s="289">
        <v>146740</v>
      </c>
      <c r="L10" s="290">
        <v>140861</v>
      </c>
      <c r="M10" s="291">
        <f>+HISTORICOS!AD10</f>
        <v>82000</v>
      </c>
      <c r="N10" s="217">
        <f t="shared" si="0"/>
        <v>279456.39355742297</v>
      </c>
      <c r="O10" s="459"/>
      <c r="P10" s="152">
        <f t="shared" si="1"/>
        <v>358073.41448569874</v>
      </c>
      <c r="Q10" s="153">
        <f>+P10-N10</f>
        <v>78617.020928275771</v>
      </c>
      <c r="R10" s="141">
        <f t="shared" si="2"/>
        <v>637529.80804312171</v>
      </c>
    </row>
    <row r="11" spans="1:18" s="4" customFormat="1" ht="38.25">
      <c r="C11" s="2" t="s">
        <v>104</v>
      </c>
      <c r="D11" s="1" t="s">
        <v>136</v>
      </c>
      <c r="E11" s="15" t="s">
        <v>18</v>
      </c>
      <c r="F11" s="1" t="s">
        <v>4</v>
      </c>
      <c r="G11" s="38">
        <v>1</v>
      </c>
      <c r="H11" s="137">
        <v>2465261</v>
      </c>
      <c r="I11" s="288">
        <v>1890756.3025210085</v>
      </c>
      <c r="J11" s="289">
        <v>2553398</v>
      </c>
      <c r="K11" s="289">
        <v>2550779</v>
      </c>
      <c r="L11" s="290">
        <v>2428755</v>
      </c>
      <c r="M11" s="291">
        <f>+HISTORICOS!AD11</f>
        <v>788450.42016806721</v>
      </c>
      <c r="N11" s="217">
        <f t="shared" si="0"/>
        <v>2112899.9537815126</v>
      </c>
      <c r="O11" s="459"/>
      <c r="P11" s="152">
        <f t="shared" si="1"/>
        <v>694724.93460903119</v>
      </c>
      <c r="Q11" s="153">
        <f t="shared" si="3"/>
        <v>1418175.0191724813</v>
      </c>
      <c r="R11" s="141">
        <f t="shared" si="2"/>
        <v>2807624.8883905439</v>
      </c>
    </row>
    <row r="12" spans="1:18" s="4" customFormat="1" ht="76.5">
      <c r="C12" s="2" t="s">
        <v>105</v>
      </c>
      <c r="D12" s="1" t="s">
        <v>137</v>
      </c>
      <c r="E12" s="15" t="s">
        <v>19</v>
      </c>
      <c r="F12" s="1" t="s">
        <v>4</v>
      </c>
      <c r="G12" s="38">
        <v>3</v>
      </c>
      <c r="H12" s="137">
        <v>405570</v>
      </c>
      <c r="I12" s="222">
        <v>1384903.3613445379</v>
      </c>
      <c r="J12" s="289">
        <v>388583</v>
      </c>
      <c r="K12" s="289">
        <v>429717</v>
      </c>
      <c r="L12" s="290">
        <v>380421</v>
      </c>
      <c r="M12" s="291">
        <f>+HISTORICOS!AD12</f>
        <v>343697.47899159667</v>
      </c>
      <c r="N12" s="217">
        <f t="shared" si="0"/>
        <v>555481.9733893557</v>
      </c>
      <c r="O12" s="459"/>
      <c r="P12" s="152">
        <f t="shared" si="1"/>
        <v>407328.99501125177</v>
      </c>
      <c r="Q12" s="153">
        <f t="shared" si="3"/>
        <v>148152.97837810393</v>
      </c>
      <c r="R12" s="141">
        <f t="shared" si="2"/>
        <v>962810.96840060747</v>
      </c>
    </row>
    <row r="13" spans="1:18" s="4" customFormat="1" ht="38.25">
      <c r="C13" s="2" t="s">
        <v>106</v>
      </c>
      <c r="D13" s="1" t="s">
        <v>138</v>
      </c>
      <c r="E13" s="15" t="s">
        <v>20</v>
      </c>
      <c r="F13" s="1" t="s">
        <v>4</v>
      </c>
      <c r="G13" s="38">
        <v>2</v>
      </c>
      <c r="H13" s="137">
        <v>278942</v>
      </c>
      <c r="I13" s="288">
        <v>176470.58823529413</v>
      </c>
      <c r="J13" s="289">
        <v>274590</v>
      </c>
      <c r="K13" s="289">
        <v>290819</v>
      </c>
      <c r="L13" s="290">
        <v>263944</v>
      </c>
      <c r="M13" s="291">
        <f>+HISTORICOS!AD13</f>
        <v>125210.08403361346</v>
      </c>
      <c r="N13" s="217">
        <f t="shared" si="0"/>
        <v>234995.94537815126</v>
      </c>
      <c r="O13" s="459"/>
      <c r="P13" s="152">
        <f t="shared" si="1"/>
        <v>67721.932860468383</v>
      </c>
      <c r="Q13" s="153">
        <f t="shared" si="3"/>
        <v>167274.01251768286</v>
      </c>
      <c r="R13" s="141">
        <f t="shared" si="2"/>
        <v>302717.87823861965</v>
      </c>
    </row>
    <row r="14" spans="1:18" s="4" customFormat="1" ht="38.25">
      <c r="C14" s="2" t="s">
        <v>107</v>
      </c>
      <c r="D14" s="1" t="s">
        <v>139</v>
      </c>
      <c r="E14" s="15" t="s">
        <v>21</v>
      </c>
      <c r="F14" s="1" t="s">
        <v>4</v>
      </c>
      <c r="G14" s="38">
        <v>10</v>
      </c>
      <c r="H14" s="137">
        <v>279142</v>
      </c>
      <c r="I14" s="288">
        <v>176470.58823529413</v>
      </c>
      <c r="J14" s="289">
        <v>263086</v>
      </c>
      <c r="K14" s="289">
        <v>289321</v>
      </c>
      <c r="L14" s="290">
        <v>270822</v>
      </c>
      <c r="M14" s="291">
        <f>+HISTORICOS!AD14</f>
        <v>117647.05882352941</v>
      </c>
      <c r="N14" s="217">
        <f t="shared" si="0"/>
        <v>232748.10784313723</v>
      </c>
      <c r="O14" s="459"/>
      <c r="P14" s="152">
        <f t="shared" si="1"/>
        <v>69481.371632364666</v>
      </c>
      <c r="Q14" s="153">
        <f t="shared" si="3"/>
        <v>163266.73621077256</v>
      </c>
      <c r="R14" s="141">
        <f t="shared" si="2"/>
        <v>302229.47947550192</v>
      </c>
    </row>
    <row r="15" spans="1:18" s="4" customFormat="1" ht="25.5">
      <c r="C15" s="2" t="s">
        <v>108</v>
      </c>
      <c r="D15" s="1" t="s">
        <v>140</v>
      </c>
      <c r="E15" s="15" t="s">
        <v>22</v>
      </c>
      <c r="F15" s="1" t="s">
        <v>4</v>
      </c>
      <c r="G15" s="38">
        <v>2</v>
      </c>
      <c r="H15" s="137">
        <v>170874</v>
      </c>
      <c r="I15" s="288">
        <v>119117.64705882352</v>
      </c>
      <c r="J15" s="289">
        <v>166442</v>
      </c>
      <c r="K15" s="289">
        <v>176152</v>
      </c>
      <c r="L15" s="290">
        <v>164358</v>
      </c>
      <c r="M15" s="291">
        <f>+HISTORICOS!AD15</f>
        <v>92437</v>
      </c>
      <c r="N15" s="217">
        <f t="shared" si="0"/>
        <v>148230.10784313726</v>
      </c>
      <c r="O15" s="459"/>
      <c r="P15" s="152">
        <f t="shared" si="1"/>
        <v>34189.37288311046</v>
      </c>
      <c r="Q15" s="153">
        <f t="shared" si="3"/>
        <v>114040.73496002681</v>
      </c>
      <c r="R15" s="141">
        <f t="shared" si="2"/>
        <v>182419.48072624771</v>
      </c>
    </row>
    <row r="16" spans="1:18" s="4" customFormat="1" ht="38.25">
      <c r="C16" s="2" t="s">
        <v>109</v>
      </c>
      <c r="D16" s="1" t="s">
        <v>141</v>
      </c>
      <c r="E16" s="15" t="s">
        <v>23</v>
      </c>
      <c r="F16" s="1" t="s">
        <v>4</v>
      </c>
      <c r="G16" s="38">
        <v>2</v>
      </c>
      <c r="H16" s="137">
        <v>74571</v>
      </c>
      <c r="I16" s="288">
        <v>52815.126050420178</v>
      </c>
      <c r="J16" s="289">
        <v>73426</v>
      </c>
      <c r="K16" s="289">
        <v>78699</v>
      </c>
      <c r="L16" s="290">
        <v>78538</v>
      </c>
      <c r="M16" s="291">
        <f>+HISTORICOS!AD16</f>
        <v>37039.000000000007</v>
      </c>
      <c r="N16" s="217">
        <f t="shared" si="0"/>
        <v>65848.021008403361</v>
      </c>
      <c r="O16" s="459"/>
      <c r="P16" s="152">
        <f t="shared" si="1"/>
        <v>17085.171338813034</v>
      </c>
      <c r="Q16" s="153">
        <f t="shared" si="3"/>
        <v>48762.84966959033</v>
      </c>
      <c r="R16" s="141">
        <f t="shared" si="2"/>
        <v>82933.192347216391</v>
      </c>
    </row>
    <row r="17" spans="3:18" s="4" customFormat="1" ht="25.5">
      <c r="C17" s="2" t="s">
        <v>110</v>
      </c>
      <c r="D17" s="1" t="s">
        <v>145</v>
      </c>
      <c r="E17" s="15" t="s">
        <v>24</v>
      </c>
      <c r="F17" s="1" t="s">
        <v>4</v>
      </c>
      <c r="G17" s="38">
        <v>4</v>
      </c>
      <c r="H17" s="137">
        <v>398574</v>
      </c>
      <c r="I17" s="288">
        <v>251974.78991596639</v>
      </c>
      <c r="J17" s="289">
        <v>380486</v>
      </c>
      <c r="K17" s="289">
        <v>405317</v>
      </c>
      <c r="L17" s="290">
        <v>379948</v>
      </c>
      <c r="M17" s="291">
        <f>+HISTORICOS!AD17</f>
        <v>133605.00000000003</v>
      </c>
      <c r="N17" s="217">
        <f t="shared" si="0"/>
        <v>324984.13165266108</v>
      </c>
      <c r="O17" s="459"/>
      <c r="P17" s="152">
        <f t="shared" si="1"/>
        <v>109477.5398764428</v>
      </c>
      <c r="Q17" s="153">
        <f t="shared" si="3"/>
        <v>215506.59177621827</v>
      </c>
      <c r="R17" s="141">
        <f t="shared" si="2"/>
        <v>434461.67152910389</v>
      </c>
    </row>
    <row r="18" spans="3:18" s="4" customFormat="1" ht="51">
      <c r="C18" s="2" t="s">
        <v>111</v>
      </c>
      <c r="D18" s="1" t="s">
        <v>146</v>
      </c>
      <c r="E18" s="15" t="s">
        <v>25</v>
      </c>
      <c r="F18" s="1" t="s">
        <v>4</v>
      </c>
      <c r="G18" s="38">
        <v>3</v>
      </c>
      <c r="H18" s="137">
        <v>88365</v>
      </c>
      <c r="I18" s="222">
        <v>100714.28571428571</v>
      </c>
      <c r="J18" s="289">
        <v>83648</v>
      </c>
      <c r="K18" s="289">
        <v>90057</v>
      </c>
      <c r="L18" s="290">
        <v>92239</v>
      </c>
      <c r="M18" s="291">
        <f>+HISTORICOS!AD18</f>
        <v>63529.411764705888</v>
      </c>
      <c r="N18" s="217">
        <f t="shared" si="0"/>
        <v>86425.449579831926</v>
      </c>
      <c r="O18" s="459"/>
      <c r="P18" s="152">
        <f t="shared" si="1"/>
        <v>12544.807648201655</v>
      </c>
      <c r="Q18" s="153">
        <f t="shared" si="3"/>
        <v>73880.641931630264</v>
      </c>
      <c r="R18" s="141">
        <f t="shared" si="2"/>
        <v>98970.257228033588</v>
      </c>
    </row>
    <row r="19" spans="3:18" s="4" customFormat="1" ht="25.5">
      <c r="C19" s="2" t="s">
        <v>112</v>
      </c>
      <c r="D19" s="1" t="s">
        <v>147</v>
      </c>
      <c r="E19" s="15" t="s">
        <v>26</v>
      </c>
      <c r="F19" s="1" t="s">
        <v>4</v>
      </c>
      <c r="G19" s="38">
        <v>2</v>
      </c>
      <c r="H19" s="137">
        <v>48985</v>
      </c>
      <c r="I19" s="222">
        <v>522983.19327731099</v>
      </c>
      <c r="J19" s="289">
        <v>51426</v>
      </c>
      <c r="K19" s="289">
        <v>52827</v>
      </c>
      <c r="L19" s="290">
        <v>49586</v>
      </c>
      <c r="M19" s="291">
        <f>+HISTORICOS!AD19</f>
        <v>63025.210084033613</v>
      </c>
      <c r="N19" s="217">
        <f t="shared" si="0"/>
        <v>131472.06722689079</v>
      </c>
      <c r="O19" s="459"/>
      <c r="P19" s="152">
        <f t="shared" si="1"/>
        <v>191868.59973283656</v>
      </c>
      <c r="Q19" s="153">
        <f>+P19-N19</f>
        <v>60396.532505945768</v>
      </c>
      <c r="R19" s="141">
        <f t="shared" si="2"/>
        <v>323340.66695972736</v>
      </c>
    </row>
    <row r="20" spans="3:18" s="4" customFormat="1" ht="25.5">
      <c r="C20" s="2" t="s">
        <v>113</v>
      </c>
      <c r="D20" s="1" t="s">
        <v>148</v>
      </c>
      <c r="E20" s="15" t="s">
        <v>64</v>
      </c>
      <c r="F20" s="1" t="s">
        <v>4</v>
      </c>
      <c r="G20" s="38">
        <v>2</v>
      </c>
      <c r="H20" s="137">
        <v>93803</v>
      </c>
      <c r="I20" s="288">
        <v>114240</v>
      </c>
      <c r="J20" s="289">
        <v>97671</v>
      </c>
      <c r="K20" s="289">
        <v>97205</v>
      </c>
      <c r="L20" s="290">
        <v>96238</v>
      </c>
      <c r="M20" s="291">
        <f>+HISTORICOS!AD20</f>
        <v>44800</v>
      </c>
      <c r="N20" s="217">
        <f t="shared" si="0"/>
        <v>90659.5</v>
      </c>
      <c r="O20" s="459"/>
      <c r="P20" s="152">
        <f t="shared" si="1"/>
        <v>23631.079863180184</v>
      </c>
      <c r="Q20" s="153">
        <f t="shared" si="3"/>
        <v>67028.420136819812</v>
      </c>
      <c r="R20" s="141">
        <f t="shared" si="2"/>
        <v>114290.57986318019</v>
      </c>
    </row>
    <row r="21" spans="3:18" s="4" customFormat="1" ht="51">
      <c r="C21" s="2" t="s">
        <v>114</v>
      </c>
      <c r="D21" s="1" t="s">
        <v>142</v>
      </c>
      <c r="E21" s="15" t="s">
        <v>27</v>
      </c>
      <c r="F21" s="1" t="s">
        <v>4</v>
      </c>
      <c r="G21" s="38">
        <v>3</v>
      </c>
      <c r="H21" s="137">
        <v>317761</v>
      </c>
      <c r="I21" s="288">
        <v>222670.58823529416</v>
      </c>
      <c r="J21" s="289">
        <v>307470</v>
      </c>
      <c r="K21" s="289">
        <v>330448</v>
      </c>
      <c r="L21" s="290">
        <v>311964</v>
      </c>
      <c r="M21" s="291">
        <f>+HISTORICOS!AD21</f>
        <v>113273</v>
      </c>
      <c r="N21" s="217">
        <f t="shared" si="0"/>
        <v>267264.43137254904</v>
      </c>
      <c r="O21" s="459"/>
      <c r="P21" s="152">
        <f t="shared" si="1"/>
        <v>84685.982020284893</v>
      </c>
      <c r="Q21" s="153">
        <f t="shared" si="3"/>
        <v>182578.44935226414</v>
      </c>
      <c r="R21" s="141">
        <f t="shared" si="2"/>
        <v>351950.4133928339</v>
      </c>
    </row>
    <row r="22" spans="3:18" s="4" customFormat="1" ht="63.75">
      <c r="C22" s="2" t="s">
        <v>115</v>
      </c>
      <c r="D22" s="1" t="s">
        <v>149</v>
      </c>
      <c r="E22" s="15" t="s">
        <v>28</v>
      </c>
      <c r="F22" s="1" t="s">
        <v>4</v>
      </c>
      <c r="G22" s="38">
        <v>1</v>
      </c>
      <c r="H22" s="137">
        <v>120693</v>
      </c>
      <c r="I22" s="222">
        <v>31512.60504201681</v>
      </c>
      <c r="J22" s="289">
        <v>115021</v>
      </c>
      <c r="K22" s="289">
        <v>128640</v>
      </c>
      <c r="L22" s="290">
        <v>125061</v>
      </c>
      <c r="M22" s="291">
        <f>+HISTORICOS!AD22</f>
        <v>28487.394957983193</v>
      </c>
      <c r="N22" s="217">
        <f t="shared" si="0"/>
        <v>91569.166666666672</v>
      </c>
      <c r="O22" s="459"/>
      <c r="P22" s="152">
        <f t="shared" si="1"/>
        <v>47917.087254672741</v>
      </c>
      <c r="Q22" s="153">
        <f t="shared" si="3"/>
        <v>43652.079411993931</v>
      </c>
      <c r="R22" s="141">
        <f t="shared" si="2"/>
        <v>139486.2539213394</v>
      </c>
    </row>
    <row r="23" spans="3:18" s="4" customFormat="1" ht="63.75">
      <c r="C23" s="2" t="s">
        <v>116</v>
      </c>
      <c r="D23" s="1" t="s">
        <v>143</v>
      </c>
      <c r="E23" s="15" t="s">
        <v>29</v>
      </c>
      <c r="F23" s="1" t="s">
        <v>4</v>
      </c>
      <c r="G23" s="38">
        <v>4</v>
      </c>
      <c r="H23" s="137">
        <v>478809</v>
      </c>
      <c r="I23" s="288">
        <v>352941.17647058825</v>
      </c>
      <c r="J23" s="289">
        <v>439848</v>
      </c>
      <c r="K23" s="223">
        <v>513616</v>
      </c>
      <c r="L23" s="290">
        <v>411985</v>
      </c>
      <c r="M23" s="291">
        <f>+HISTORICOS!AD23</f>
        <v>336134.45378151262</v>
      </c>
      <c r="N23" s="217">
        <f t="shared" si="0"/>
        <v>422222.2717086834</v>
      </c>
      <c r="O23" s="459"/>
      <c r="P23" s="152">
        <f t="shared" si="1"/>
        <v>69543.255564275954</v>
      </c>
      <c r="Q23" s="153">
        <f t="shared" si="3"/>
        <v>352679.01614440745</v>
      </c>
      <c r="R23" s="141">
        <f t="shared" si="2"/>
        <v>491765.52727295936</v>
      </c>
    </row>
    <row r="24" spans="3:18" s="4" customFormat="1" ht="25.5">
      <c r="C24" s="2" t="s">
        <v>117</v>
      </c>
      <c r="D24" s="1" t="s">
        <v>150</v>
      </c>
      <c r="E24" s="15" t="s">
        <v>30</v>
      </c>
      <c r="F24" s="1" t="s">
        <v>4</v>
      </c>
      <c r="G24" s="38">
        <v>10</v>
      </c>
      <c r="H24" s="137">
        <v>57776</v>
      </c>
      <c r="I24" s="222">
        <v>23823.529411764706</v>
      </c>
      <c r="J24" s="289">
        <v>59049</v>
      </c>
      <c r="K24" s="289">
        <v>54705</v>
      </c>
      <c r="L24" s="290">
        <v>59340</v>
      </c>
      <c r="M24" s="291">
        <f>+HISTORICOS!AD24</f>
        <v>21008.403361344539</v>
      </c>
      <c r="N24" s="217">
        <f t="shared" si="0"/>
        <v>45950.322128851541</v>
      </c>
      <c r="O24" s="459"/>
      <c r="P24" s="152">
        <f t="shared" si="1"/>
        <v>18325.087421100223</v>
      </c>
      <c r="Q24" s="153">
        <f t="shared" si="3"/>
        <v>27625.234707751319</v>
      </c>
      <c r="R24" s="141">
        <f t="shared" si="2"/>
        <v>64275.409549951764</v>
      </c>
    </row>
    <row r="25" spans="3:18" s="4" customFormat="1" ht="25.5">
      <c r="C25" s="2" t="s">
        <v>118</v>
      </c>
      <c r="D25" s="1" t="s">
        <v>151</v>
      </c>
      <c r="E25" s="15" t="s">
        <v>31</v>
      </c>
      <c r="F25" s="1" t="s">
        <v>4</v>
      </c>
      <c r="G25" s="38">
        <v>10</v>
      </c>
      <c r="H25" s="137">
        <v>74317</v>
      </c>
      <c r="I25" s="288">
        <v>74243.697478991598</v>
      </c>
      <c r="J25" s="289">
        <v>79790</v>
      </c>
      <c r="K25" s="289">
        <v>69427</v>
      </c>
      <c r="L25" s="290">
        <v>74173</v>
      </c>
      <c r="M25" s="291">
        <f>+HISTORICOS!AD25</f>
        <v>10924.36974789916</v>
      </c>
      <c r="N25" s="217">
        <f t="shared" si="0"/>
        <v>63812.511204481794</v>
      </c>
      <c r="O25" s="459"/>
      <c r="P25" s="152">
        <f t="shared" si="1"/>
        <v>26116.85968644833</v>
      </c>
      <c r="Q25" s="153">
        <f t="shared" si="3"/>
        <v>37695.651518033468</v>
      </c>
      <c r="R25" s="141">
        <f t="shared" si="2"/>
        <v>89929.37089093012</v>
      </c>
    </row>
    <row r="26" spans="3:18" s="4" customFormat="1" ht="25.5">
      <c r="C26" s="2" t="s">
        <v>119</v>
      </c>
      <c r="D26" s="1" t="s">
        <v>152</v>
      </c>
      <c r="E26" s="15" t="s">
        <v>32</v>
      </c>
      <c r="F26" s="1" t="s">
        <v>4</v>
      </c>
      <c r="G26" s="38">
        <v>10</v>
      </c>
      <c r="H26" s="137">
        <v>141837</v>
      </c>
      <c r="I26" s="222">
        <v>190210.08403361347</v>
      </c>
      <c r="J26" s="289">
        <v>141240</v>
      </c>
      <c r="K26" s="289">
        <v>144494</v>
      </c>
      <c r="L26" s="290">
        <v>144649</v>
      </c>
      <c r="M26" s="291">
        <f>+HISTORICOS!AD26</f>
        <v>34663.865546218491</v>
      </c>
      <c r="N26" s="217">
        <f t="shared" si="0"/>
        <v>132848.99159663866</v>
      </c>
      <c r="O26" s="459"/>
      <c r="P26" s="152">
        <f t="shared" si="1"/>
        <v>51684.917798557057</v>
      </c>
      <c r="Q26" s="153">
        <f t="shared" si="3"/>
        <v>81164.073798081605</v>
      </c>
      <c r="R26" s="141">
        <f t="shared" si="2"/>
        <v>184533.90939519572</v>
      </c>
    </row>
    <row r="27" spans="3:18" s="4" customFormat="1" ht="63.75">
      <c r="C27" s="2" t="s">
        <v>120</v>
      </c>
      <c r="D27" s="1" t="s">
        <v>153</v>
      </c>
      <c r="E27" s="15" t="s">
        <v>33</v>
      </c>
      <c r="F27" s="1" t="s">
        <v>4</v>
      </c>
      <c r="G27" s="38">
        <v>3</v>
      </c>
      <c r="H27" s="137">
        <v>236591</v>
      </c>
      <c r="I27" s="288">
        <v>121069.5</v>
      </c>
      <c r="J27" s="289">
        <v>230254</v>
      </c>
      <c r="K27" s="289">
        <v>227774</v>
      </c>
      <c r="L27" s="290">
        <v>238206</v>
      </c>
      <c r="M27" s="291">
        <f>+HISTORICOS!AD27</f>
        <v>58823.529411764706</v>
      </c>
      <c r="N27" s="217">
        <f t="shared" si="0"/>
        <v>185453.00490196081</v>
      </c>
      <c r="O27" s="459"/>
      <c r="P27" s="152">
        <f t="shared" si="1"/>
        <v>76650.412378155597</v>
      </c>
      <c r="Q27" s="153">
        <f t="shared" si="3"/>
        <v>108802.59252380522</v>
      </c>
      <c r="R27" s="141">
        <f t="shared" si="2"/>
        <v>262103.41728011641</v>
      </c>
    </row>
    <row r="28" spans="3:18" s="4" customFormat="1" ht="76.5">
      <c r="C28" s="2" t="s">
        <v>121</v>
      </c>
      <c r="D28" s="1" t="s">
        <v>144</v>
      </c>
      <c r="E28" s="15" t="s">
        <v>34</v>
      </c>
      <c r="F28" s="1" t="s">
        <v>4</v>
      </c>
      <c r="G28" s="38">
        <v>3</v>
      </c>
      <c r="H28" s="137">
        <v>883419</v>
      </c>
      <c r="I28" s="288">
        <v>491470.5882352941</v>
      </c>
      <c r="J28" s="289">
        <v>867319</v>
      </c>
      <c r="K28" s="289">
        <v>919659</v>
      </c>
      <c r="L28" s="290">
        <v>783812</v>
      </c>
      <c r="M28" s="291">
        <f>+HISTORICOS!AD28</f>
        <v>327647.0588235294</v>
      </c>
      <c r="N28" s="217">
        <f t="shared" si="0"/>
        <v>712221.10784313723</v>
      </c>
      <c r="O28" s="459"/>
      <c r="P28" s="152">
        <f t="shared" si="1"/>
        <v>244191.64623681179</v>
      </c>
      <c r="Q28" s="153">
        <f t="shared" si="3"/>
        <v>468029.46160632547</v>
      </c>
      <c r="R28" s="141">
        <f t="shared" si="2"/>
        <v>956412.75407994899</v>
      </c>
    </row>
    <row r="29" spans="3:18" s="4" customFormat="1" ht="63.75">
      <c r="C29" s="2" t="s">
        <v>122</v>
      </c>
      <c r="D29" s="1" t="s">
        <v>154</v>
      </c>
      <c r="E29" s="15" t="s">
        <v>35</v>
      </c>
      <c r="F29" s="1" t="s">
        <v>4</v>
      </c>
      <c r="G29" s="38">
        <v>2</v>
      </c>
      <c r="H29" s="137">
        <v>347279</v>
      </c>
      <c r="I29" s="288">
        <v>197394.95798319328</v>
      </c>
      <c r="J29" s="289">
        <v>328829</v>
      </c>
      <c r="K29" s="289">
        <v>355883</v>
      </c>
      <c r="L29" s="290">
        <v>356295</v>
      </c>
      <c r="M29" s="291">
        <f>+HISTORICOS!AD29</f>
        <v>145126</v>
      </c>
      <c r="N29" s="217">
        <f t="shared" si="0"/>
        <v>288467.8263305322</v>
      </c>
      <c r="O29" s="459"/>
      <c r="P29" s="152">
        <f t="shared" si="1"/>
        <v>92816.22287295913</v>
      </c>
      <c r="Q29" s="153">
        <f t="shared" si="3"/>
        <v>195651.60345757307</v>
      </c>
      <c r="R29" s="141">
        <f t="shared" si="2"/>
        <v>381284.0492034913</v>
      </c>
    </row>
    <row r="30" spans="3:18" s="4" customFormat="1" ht="76.5">
      <c r="C30" s="2" t="s">
        <v>123</v>
      </c>
      <c r="D30" s="1" t="s">
        <v>155</v>
      </c>
      <c r="E30" s="15" t="s">
        <v>67</v>
      </c>
      <c r="F30" s="1" t="s">
        <v>4</v>
      </c>
      <c r="G30" s="38">
        <v>2</v>
      </c>
      <c r="H30" s="137">
        <v>185103</v>
      </c>
      <c r="I30" s="222">
        <v>390630.25210084039</v>
      </c>
      <c r="J30" s="289">
        <v>174719</v>
      </c>
      <c r="K30" s="289">
        <v>190169</v>
      </c>
      <c r="L30" s="290">
        <v>174464</v>
      </c>
      <c r="M30" s="291">
        <f>+HISTORICOS!AD30</f>
        <v>151260.50420168068</v>
      </c>
      <c r="N30" s="217">
        <f t="shared" si="0"/>
        <v>211057.62605042019</v>
      </c>
      <c r="O30" s="459"/>
      <c r="P30" s="152">
        <f t="shared" si="1"/>
        <v>88984.931680008332</v>
      </c>
      <c r="Q30" s="153">
        <f t="shared" si="3"/>
        <v>122072.69437041186</v>
      </c>
      <c r="R30" s="141">
        <f t="shared" si="2"/>
        <v>300042.55773042853</v>
      </c>
    </row>
    <row r="31" spans="3:18" s="4" customFormat="1" ht="38.25">
      <c r="C31" s="2" t="s">
        <v>124</v>
      </c>
      <c r="D31" s="1" t="s">
        <v>156</v>
      </c>
      <c r="E31" s="15" t="s">
        <v>65</v>
      </c>
      <c r="F31" s="1" t="s">
        <v>4</v>
      </c>
      <c r="G31" s="38">
        <v>2</v>
      </c>
      <c r="H31" s="137">
        <v>47853</v>
      </c>
      <c r="I31" s="288">
        <v>27731.092436974788</v>
      </c>
      <c r="J31" s="289">
        <v>46994</v>
      </c>
      <c r="K31" s="289">
        <v>51289</v>
      </c>
      <c r="L31" s="290">
        <v>47353</v>
      </c>
      <c r="M31" s="291">
        <f>+HISTORICOS!AD31</f>
        <v>20168.067226890758</v>
      </c>
      <c r="N31" s="217">
        <f t="shared" si="0"/>
        <v>40231.359943977594</v>
      </c>
      <c r="O31" s="459"/>
      <c r="P31" s="152">
        <f t="shared" si="1"/>
        <v>12927.523047862771</v>
      </c>
      <c r="Q31" s="153">
        <f t="shared" si="3"/>
        <v>27303.836896114823</v>
      </c>
      <c r="R31" s="141">
        <f t="shared" si="2"/>
        <v>53158.882991840364</v>
      </c>
    </row>
    <row r="32" spans="3:18" s="4" customFormat="1" ht="51">
      <c r="C32" s="2" t="s">
        <v>125</v>
      </c>
      <c r="D32" s="1" t="s">
        <v>157</v>
      </c>
      <c r="E32" s="15" t="s">
        <v>66</v>
      </c>
      <c r="F32" s="1" t="s">
        <v>4</v>
      </c>
      <c r="G32" s="38">
        <v>2</v>
      </c>
      <c r="H32" s="137">
        <v>53834</v>
      </c>
      <c r="I32" s="288">
        <v>34033.613445378149</v>
      </c>
      <c r="J32" s="289">
        <v>54009</v>
      </c>
      <c r="K32" s="289">
        <v>54067</v>
      </c>
      <c r="L32" s="290">
        <v>55528</v>
      </c>
      <c r="M32" s="291">
        <f>+HISTORICOS!AD32</f>
        <v>22689.0756302521</v>
      </c>
      <c r="N32" s="217">
        <f t="shared" si="0"/>
        <v>45693.448179271705</v>
      </c>
      <c r="O32" s="459"/>
      <c r="P32" s="152">
        <f t="shared" si="1"/>
        <v>13909.742399009356</v>
      </c>
      <c r="Q32" s="153">
        <f t="shared" si="3"/>
        <v>31783.705780262349</v>
      </c>
      <c r="R32" s="141">
        <f t="shared" si="2"/>
        <v>59603.190578281065</v>
      </c>
    </row>
    <row r="33" spans="3:18" s="4" customFormat="1" ht="76.5">
      <c r="C33" s="2" t="s">
        <v>126</v>
      </c>
      <c r="D33" s="1" t="s">
        <v>158</v>
      </c>
      <c r="E33" s="15" t="s">
        <v>58</v>
      </c>
      <c r="F33" s="1" t="s">
        <v>4</v>
      </c>
      <c r="G33" s="38">
        <v>2</v>
      </c>
      <c r="H33" s="137">
        <v>240343</v>
      </c>
      <c r="I33" s="222">
        <v>106764.70588235295</v>
      </c>
      <c r="J33" s="289">
        <v>231881</v>
      </c>
      <c r="K33" s="289">
        <v>253976</v>
      </c>
      <c r="L33" s="290">
        <v>248644</v>
      </c>
      <c r="M33" s="291">
        <f>+HISTORICOS!AD33</f>
        <v>126050.42016806723</v>
      </c>
      <c r="N33" s="217">
        <f t="shared" si="0"/>
        <v>201276.52100840339</v>
      </c>
      <c r="O33" s="459"/>
      <c r="P33" s="152">
        <f t="shared" si="1"/>
        <v>66445.747062116949</v>
      </c>
      <c r="Q33" s="153">
        <f t="shared" si="3"/>
        <v>134830.77394628644</v>
      </c>
      <c r="R33" s="141">
        <f t="shared" si="2"/>
        <v>267722.26807052037</v>
      </c>
    </row>
    <row r="34" spans="3:18" s="4" customFormat="1" ht="51">
      <c r="C34" s="2" t="s">
        <v>127</v>
      </c>
      <c r="D34" s="1" t="s">
        <v>159</v>
      </c>
      <c r="E34" s="15" t="s">
        <v>36</v>
      </c>
      <c r="F34" s="1" t="s">
        <v>4</v>
      </c>
      <c r="G34" s="38">
        <v>2</v>
      </c>
      <c r="H34" s="137">
        <v>275344</v>
      </c>
      <c r="I34" s="288">
        <v>180124.78991596639</v>
      </c>
      <c r="J34" s="289">
        <v>273567</v>
      </c>
      <c r="K34" s="289">
        <v>284707</v>
      </c>
      <c r="L34" s="290">
        <v>279736</v>
      </c>
      <c r="M34" s="291">
        <f>+HISTORICOS!AD34</f>
        <v>327731.09243697481</v>
      </c>
      <c r="N34" s="217">
        <f t="shared" si="0"/>
        <v>270201.64705882355</v>
      </c>
      <c r="O34" s="459"/>
      <c r="P34" s="152">
        <f t="shared" si="1"/>
        <v>48502.692342585899</v>
      </c>
      <c r="Q34" s="153">
        <f t="shared" si="3"/>
        <v>221698.95471623767</v>
      </c>
      <c r="R34" s="141">
        <f t="shared" si="2"/>
        <v>318704.33940140944</v>
      </c>
    </row>
    <row r="35" spans="3:18" s="4" customFormat="1" ht="63.75">
      <c r="C35" s="2" t="s">
        <v>128</v>
      </c>
      <c r="D35" s="1" t="s">
        <v>159</v>
      </c>
      <c r="E35" s="15" t="s">
        <v>37</v>
      </c>
      <c r="F35" s="1" t="s">
        <v>4</v>
      </c>
      <c r="G35" s="38">
        <v>2</v>
      </c>
      <c r="H35" s="137">
        <v>929711</v>
      </c>
      <c r="I35" s="288">
        <v>756176.4705882353</v>
      </c>
      <c r="J35" s="289">
        <v>894678</v>
      </c>
      <c r="K35" s="289">
        <v>949448</v>
      </c>
      <c r="L35" s="290">
        <v>872449</v>
      </c>
      <c r="M35" s="291">
        <f>+HISTORICOS!AD35</f>
        <v>504201.68067226891</v>
      </c>
      <c r="N35" s="217">
        <f t="shared" si="0"/>
        <v>817777.35854341742</v>
      </c>
      <c r="O35" s="459"/>
      <c r="P35" s="152">
        <f t="shared" si="1"/>
        <v>167865.0470446581</v>
      </c>
      <c r="Q35" s="153">
        <f t="shared" si="3"/>
        <v>649912.31149875931</v>
      </c>
      <c r="R35" s="141">
        <f t="shared" si="2"/>
        <v>985642.40558807552</v>
      </c>
    </row>
    <row r="36" spans="3:18" s="4" customFormat="1" ht="51">
      <c r="C36" s="2" t="s">
        <v>129</v>
      </c>
      <c r="D36" s="1" t="s">
        <v>160</v>
      </c>
      <c r="E36" s="15" t="s">
        <v>38</v>
      </c>
      <c r="F36" s="1" t="s">
        <v>4</v>
      </c>
      <c r="G36" s="38">
        <v>2</v>
      </c>
      <c r="H36" s="137">
        <v>133036</v>
      </c>
      <c r="I36" s="288">
        <v>88107.983193277323</v>
      </c>
      <c r="J36" s="289">
        <v>132021</v>
      </c>
      <c r="K36" s="289">
        <v>135509</v>
      </c>
      <c r="L36" s="290">
        <v>136054</v>
      </c>
      <c r="M36" s="291">
        <f>+HISTORICOS!AD36</f>
        <v>72200</v>
      </c>
      <c r="N36" s="217">
        <f t="shared" si="0"/>
        <v>116154.66386554623</v>
      </c>
      <c r="O36" s="459"/>
      <c r="P36" s="152">
        <f t="shared" si="1"/>
        <v>28375.774209979398</v>
      </c>
      <c r="Q36" s="153">
        <f t="shared" si="3"/>
        <v>87778.889655566833</v>
      </c>
      <c r="R36" s="141">
        <f t="shared" si="2"/>
        <v>144530.43807552563</v>
      </c>
    </row>
    <row r="37" spans="3:18" s="4" customFormat="1" ht="102.75" thickBot="1">
      <c r="C37" s="16" t="s">
        <v>130</v>
      </c>
      <c r="D37" s="14" t="s">
        <v>161</v>
      </c>
      <c r="E37" s="17" t="s">
        <v>39</v>
      </c>
      <c r="F37" s="14" t="s">
        <v>4</v>
      </c>
      <c r="G37" s="39">
        <v>1</v>
      </c>
      <c r="H37" s="142">
        <v>10992317</v>
      </c>
      <c r="I37" s="342">
        <v>8010000</v>
      </c>
      <c r="J37" s="292">
        <v>11702759</v>
      </c>
      <c r="K37" s="292">
        <v>11023569</v>
      </c>
      <c r="L37" s="293">
        <v>10214941</v>
      </c>
      <c r="M37" s="341">
        <f>+HISTORICOS!AD37</f>
        <v>7787958</v>
      </c>
      <c r="N37" s="217">
        <f>+AVERAGE(H37:M37)</f>
        <v>9955257.333333334</v>
      </c>
      <c r="O37" s="460"/>
      <c r="P37" s="155">
        <f t="shared" si="1"/>
        <v>1662479.6386273953</v>
      </c>
      <c r="Q37" s="156">
        <f t="shared" si="3"/>
        <v>8292777.6947059389</v>
      </c>
      <c r="R37" s="164">
        <f t="shared" si="2"/>
        <v>11617736.971960729</v>
      </c>
    </row>
    <row r="38" spans="3:18" s="4" customFormat="1" ht="13.15" customHeight="1" thickBot="1">
      <c r="C38" s="414" t="s">
        <v>162</v>
      </c>
      <c r="D38" s="415"/>
      <c r="E38" s="415"/>
      <c r="F38" s="415"/>
      <c r="G38" s="415"/>
      <c r="H38" s="158">
        <f t="shared" ref="H38:R38" si="4">SUM(H6:H37)</f>
        <v>30258578</v>
      </c>
      <c r="I38" s="158">
        <f t="shared" si="4"/>
        <v>25856746.474789925</v>
      </c>
      <c r="J38" s="158">
        <f t="shared" si="4"/>
        <v>30747659</v>
      </c>
      <c r="K38" s="158">
        <f t="shared" si="4"/>
        <v>30709691</v>
      </c>
      <c r="L38" s="158">
        <f t="shared" si="4"/>
        <v>28605114</v>
      </c>
      <c r="M38" s="158">
        <f t="shared" si="4"/>
        <v>15697291.781512605</v>
      </c>
      <c r="N38" s="158">
        <f t="shared" si="4"/>
        <v>26979180.042717084</v>
      </c>
      <c r="O38" s="193"/>
      <c r="P38" s="158">
        <f t="shared" si="4"/>
        <v>7427194.2969111856</v>
      </c>
      <c r="Q38" s="158">
        <f t="shared" si="4"/>
        <v>19830012.85267435</v>
      </c>
      <c r="R38" s="158">
        <f t="shared" si="4"/>
        <v>34406374.339628272</v>
      </c>
    </row>
    <row r="39" spans="3:18" ht="13.5" thickBot="1">
      <c r="C39" s="407" t="s">
        <v>163</v>
      </c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15"/>
      <c r="O39" s="415"/>
      <c r="P39" s="415"/>
      <c r="Q39" s="415"/>
      <c r="R39" s="415"/>
    </row>
    <row r="40" spans="3:18" ht="39" thickBot="1">
      <c r="C40" s="59" t="s">
        <v>95</v>
      </c>
      <c r="D40" s="60" t="s">
        <v>96</v>
      </c>
      <c r="E40" s="59" t="s">
        <v>94</v>
      </c>
      <c r="F40" s="61" t="s">
        <v>292</v>
      </c>
      <c r="G40" s="62" t="s">
        <v>0</v>
      </c>
      <c r="H40" s="212" t="s">
        <v>293</v>
      </c>
      <c r="I40" s="211" t="s">
        <v>293</v>
      </c>
      <c r="J40" s="211" t="s">
        <v>293</v>
      </c>
      <c r="K40" s="211" t="s">
        <v>293</v>
      </c>
      <c r="L40" s="211" t="s">
        <v>293</v>
      </c>
      <c r="M40" s="60" t="s">
        <v>293</v>
      </c>
      <c r="N40" s="218" t="s">
        <v>293</v>
      </c>
      <c r="O40" s="448"/>
      <c r="P40" s="220" t="s">
        <v>348</v>
      </c>
      <c r="Q40" s="220" t="s">
        <v>349</v>
      </c>
      <c r="R40" s="221" t="s">
        <v>350</v>
      </c>
    </row>
    <row r="41" spans="3:18" ht="76.5">
      <c r="C41" s="9" t="s">
        <v>164</v>
      </c>
      <c r="D41" s="10" t="s">
        <v>167</v>
      </c>
      <c r="E41" s="13" t="s">
        <v>40</v>
      </c>
      <c r="F41" s="10" t="s">
        <v>4</v>
      </c>
      <c r="G41" s="37">
        <v>1</v>
      </c>
      <c r="H41" s="213">
        <v>3806471</v>
      </c>
      <c r="I41" s="285">
        <v>2016806.7226890759</v>
      </c>
      <c r="J41" s="285">
        <v>3744578</v>
      </c>
      <c r="K41" s="285">
        <v>3642494</v>
      </c>
      <c r="L41" s="285">
        <v>3900235</v>
      </c>
      <c r="M41" s="343">
        <f>+HISTORICOS!AD41</f>
        <v>1092436.0000000002</v>
      </c>
      <c r="N41" s="217">
        <f>+AVERAGE(H41:M41)</f>
        <v>3033836.7871148461</v>
      </c>
      <c r="O41" s="449"/>
      <c r="P41" s="159">
        <f t="shared" ref="P41" si="5">+STDEVA(H41:M41)</f>
        <v>1185463.0599776488</v>
      </c>
      <c r="Q41" s="165">
        <f t="shared" ref="Q41" si="6">+N41-P41</f>
        <v>1848373.7271371973</v>
      </c>
      <c r="R41" s="136">
        <f t="shared" ref="R41" si="7">+N41+P41</f>
        <v>4219299.8470924944</v>
      </c>
    </row>
    <row r="42" spans="3:18" ht="63.75">
      <c r="C42" s="2" t="s">
        <v>197</v>
      </c>
      <c r="D42" s="1" t="s">
        <v>168</v>
      </c>
      <c r="E42" s="15" t="s">
        <v>41</v>
      </c>
      <c r="F42" s="1" t="s">
        <v>4</v>
      </c>
      <c r="G42" s="38">
        <v>1</v>
      </c>
      <c r="H42" s="210">
        <v>618098</v>
      </c>
      <c r="I42" s="289">
        <v>520588.23529411771</v>
      </c>
      <c r="J42" s="289">
        <v>587778</v>
      </c>
      <c r="K42" s="289">
        <v>613829</v>
      </c>
      <c r="L42" s="289">
        <v>628160</v>
      </c>
      <c r="M42" s="294">
        <f>+HISTORICOS!AD42</f>
        <v>910252</v>
      </c>
      <c r="N42" s="217">
        <f t="shared" ref="N42:N69" si="8">+AVERAGE(H42:M42)</f>
        <v>646450.87254901964</v>
      </c>
      <c r="O42" s="449"/>
      <c r="P42" s="152">
        <f t="shared" ref="P42:P69" si="9">+STDEVA(H42:M42)</f>
        <v>134964.86375595024</v>
      </c>
      <c r="Q42" s="153">
        <f t="shared" ref="Q42:Q69" si="10">+N42-P42</f>
        <v>511486.0087930694</v>
      </c>
      <c r="R42" s="141">
        <f t="shared" ref="R42:R69" si="11">+N42+P42</f>
        <v>781415.73630496988</v>
      </c>
    </row>
    <row r="43" spans="3:18" ht="102">
      <c r="C43" s="2" t="s">
        <v>198</v>
      </c>
      <c r="D43" s="1" t="s">
        <v>169</v>
      </c>
      <c r="E43" s="15" t="s">
        <v>297</v>
      </c>
      <c r="F43" s="1" t="s">
        <v>4</v>
      </c>
      <c r="G43" s="38">
        <v>1</v>
      </c>
      <c r="H43" s="210">
        <v>3990000</v>
      </c>
      <c r="I43" s="289">
        <v>2431512.6050420171</v>
      </c>
      <c r="J43" s="289">
        <v>4244254</v>
      </c>
      <c r="K43" s="289">
        <v>4348132</v>
      </c>
      <c r="L43" s="289">
        <v>4084624</v>
      </c>
      <c r="M43" s="294">
        <f>+HISTORICOS!AD43</f>
        <v>1621008.4033613447</v>
      </c>
      <c r="N43" s="217">
        <f t="shared" si="8"/>
        <v>3453255.1680672267</v>
      </c>
      <c r="O43" s="449"/>
      <c r="P43" s="152">
        <f t="shared" si="9"/>
        <v>1141428.1742505089</v>
      </c>
      <c r="Q43" s="153">
        <f t="shared" si="10"/>
        <v>2311826.9938167175</v>
      </c>
      <c r="R43" s="141">
        <f t="shared" si="11"/>
        <v>4594683.3423177358</v>
      </c>
    </row>
    <row r="44" spans="3:18" ht="76.5">
      <c r="C44" s="2" t="s">
        <v>199</v>
      </c>
      <c r="D44" s="1" t="s">
        <v>170</v>
      </c>
      <c r="E44" s="15" t="s">
        <v>7</v>
      </c>
      <c r="F44" s="1" t="s">
        <v>4</v>
      </c>
      <c r="G44" s="38">
        <v>1</v>
      </c>
      <c r="H44" s="210">
        <v>3220336</v>
      </c>
      <c r="I44" s="289">
        <v>2475000</v>
      </c>
      <c r="J44" s="289">
        <v>3562886</v>
      </c>
      <c r="K44" s="289">
        <v>3384406</v>
      </c>
      <c r="L44" s="289">
        <v>3303044</v>
      </c>
      <c r="M44" s="294">
        <f>+HISTORICOS!AD44</f>
        <v>2168067.2268907563</v>
      </c>
      <c r="N44" s="217">
        <f t="shared" si="8"/>
        <v>3018956.5378151261</v>
      </c>
      <c r="O44" s="449"/>
      <c r="P44" s="152">
        <f t="shared" si="9"/>
        <v>560459.32549679454</v>
      </c>
      <c r="Q44" s="153">
        <f t="shared" si="10"/>
        <v>2458497.2123183315</v>
      </c>
      <c r="R44" s="141">
        <f t="shared" si="11"/>
        <v>3579415.8633119208</v>
      </c>
    </row>
    <row r="45" spans="3:18" ht="127.5">
      <c r="C45" s="2" t="s">
        <v>200</v>
      </c>
      <c r="D45" s="1" t="s">
        <v>171</v>
      </c>
      <c r="E45" s="15" t="s">
        <v>42</v>
      </c>
      <c r="F45" s="1" t="s">
        <v>4</v>
      </c>
      <c r="G45" s="38">
        <v>1</v>
      </c>
      <c r="H45" s="210">
        <v>4063000</v>
      </c>
      <c r="I45" s="223">
        <v>2646932.7731092442</v>
      </c>
      <c r="J45" s="289">
        <v>3907847</v>
      </c>
      <c r="K45" s="289">
        <v>4049283</v>
      </c>
      <c r="L45" s="289">
        <v>3790962</v>
      </c>
      <c r="M45" s="294">
        <f>+HISTORICOS!AD45</f>
        <v>4638428.5714285718</v>
      </c>
      <c r="N45" s="217">
        <f t="shared" si="8"/>
        <v>3849408.890756302</v>
      </c>
      <c r="O45" s="449"/>
      <c r="P45" s="152">
        <f t="shared" si="9"/>
        <v>657404.40265406168</v>
      </c>
      <c r="Q45" s="153">
        <f t="shared" si="10"/>
        <v>3192004.4881022405</v>
      </c>
      <c r="R45" s="141">
        <f t="shared" si="11"/>
        <v>4506813.2934103636</v>
      </c>
    </row>
    <row r="46" spans="3:18" ht="114.75">
      <c r="C46" s="2" t="s">
        <v>201</v>
      </c>
      <c r="D46" s="1" t="s">
        <v>172</v>
      </c>
      <c r="E46" s="15" t="s">
        <v>9</v>
      </c>
      <c r="F46" s="1" t="s">
        <v>4</v>
      </c>
      <c r="G46" s="38">
        <v>1</v>
      </c>
      <c r="H46" s="210">
        <v>1474185</v>
      </c>
      <c r="I46" s="223">
        <v>2546092.4369747899</v>
      </c>
      <c r="J46" s="289">
        <v>1686122</v>
      </c>
      <c r="K46" s="289">
        <v>1526486</v>
      </c>
      <c r="L46" s="289">
        <v>1498029</v>
      </c>
      <c r="M46" s="294">
        <f>+HISTORICOS!AD46</f>
        <v>1482000</v>
      </c>
      <c r="N46" s="217">
        <f t="shared" si="8"/>
        <v>1702152.406162465</v>
      </c>
      <c r="O46" s="449"/>
      <c r="P46" s="152">
        <f t="shared" si="9"/>
        <v>420821.34473864583</v>
      </c>
      <c r="Q46" s="153">
        <f t="shared" si="10"/>
        <v>1281331.061423819</v>
      </c>
      <c r="R46" s="141">
        <f t="shared" si="11"/>
        <v>2122973.7509011109</v>
      </c>
    </row>
    <row r="47" spans="3:18" ht="53.25" customHeight="1">
      <c r="C47" s="2" t="s">
        <v>202</v>
      </c>
      <c r="D47" s="1" t="s">
        <v>173</v>
      </c>
      <c r="E47" s="15" t="s">
        <v>43</v>
      </c>
      <c r="F47" s="1" t="s">
        <v>4</v>
      </c>
      <c r="G47" s="38">
        <v>1</v>
      </c>
      <c r="H47" s="210">
        <v>173466</v>
      </c>
      <c r="I47" s="289">
        <v>180126.05042016809</v>
      </c>
      <c r="J47" s="289">
        <v>162684</v>
      </c>
      <c r="K47" s="289">
        <v>175898</v>
      </c>
      <c r="L47" s="289">
        <v>168572</v>
      </c>
      <c r="M47" s="294">
        <f>+HISTORICOS!AD47</f>
        <v>100840.33613445378</v>
      </c>
      <c r="N47" s="217">
        <f t="shared" si="8"/>
        <v>160264.39775910365</v>
      </c>
      <c r="O47" s="449"/>
      <c r="P47" s="152">
        <f t="shared" si="9"/>
        <v>29729.671700674546</v>
      </c>
      <c r="Q47" s="153">
        <f t="shared" si="10"/>
        <v>130534.72605842911</v>
      </c>
      <c r="R47" s="141">
        <f t="shared" si="11"/>
        <v>189994.0694597782</v>
      </c>
    </row>
    <row r="48" spans="3:18" ht="51.75" customHeight="1">
      <c r="C48" s="2" t="s">
        <v>203</v>
      </c>
      <c r="D48" s="1" t="s">
        <v>174</v>
      </c>
      <c r="E48" s="15" t="s">
        <v>44</v>
      </c>
      <c r="F48" s="1" t="s">
        <v>4</v>
      </c>
      <c r="G48" s="38">
        <v>1</v>
      </c>
      <c r="H48" s="210">
        <v>551748</v>
      </c>
      <c r="I48" s="223">
        <v>804303</v>
      </c>
      <c r="J48" s="289">
        <v>526151</v>
      </c>
      <c r="K48" s="289">
        <v>593083</v>
      </c>
      <c r="L48" s="289">
        <v>564590</v>
      </c>
      <c r="M48" s="294">
        <f>+HISTORICOS!AD48</f>
        <v>529411.76470588241</v>
      </c>
      <c r="N48" s="217">
        <f t="shared" si="8"/>
        <v>594881.12745098036</v>
      </c>
      <c r="O48" s="449"/>
      <c r="P48" s="152">
        <f t="shared" si="9"/>
        <v>105497.71649462268</v>
      </c>
      <c r="Q48" s="153">
        <f t="shared" si="10"/>
        <v>489383.41095635766</v>
      </c>
      <c r="R48" s="141">
        <f t="shared" si="11"/>
        <v>700378.843945603</v>
      </c>
    </row>
    <row r="49" spans="3:18" ht="140.25">
      <c r="C49" s="2" t="s">
        <v>204</v>
      </c>
      <c r="D49" s="1" t="s">
        <v>175</v>
      </c>
      <c r="E49" s="15" t="s">
        <v>45</v>
      </c>
      <c r="F49" s="1" t="s">
        <v>4</v>
      </c>
      <c r="G49" s="38">
        <v>1</v>
      </c>
      <c r="H49" s="210">
        <v>2567274</v>
      </c>
      <c r="I49" s="289">
        <v>1865546.218487395</v>
      </c>
      <c r="J49" s="289">
        <v>2493789</v>
      </c>
      <c r="K49" s="289">
        <v>2714089</v>
      </c>
      <c r="L49" s="289">
        <v>2685297</v>
      </c>
      <c r="M49" s="294">
        <f>+HISTORICOS!AD49</f>
        <v>1512605.0420168068</v>
      </c>
      <c r="N49" s="217">
        <f t="shared" si="8"/>
        <v>2306433.3767507002</v>
      </c>
      <c r="O49" s="449"/>
      <c r="P49" s="152">
        <f t="shared" si="9"/>
        <v>497474.74786896614</v>
      </c>
      <c r="Q49" s="153">
        <f t="shared" si="10"/>
        <v>1808958.6288817341</v>
      </c>
      <c r="R49" s="141">
        <f t="shared" si="11"/>
        <v>2803908.1246196665</v>
      </c>
    </row>
    <row r="50" spans="3:18" ht="38.25">
      <c r="C50" s="2" t="s">
        <v>205</v>
      </c>
      <c r="D50" s="1" t="s">
        <v>176</v>
      </c>
      <c r="E50" s="15" t="s">
        <v>47</v>
      </c>
      <c r="F50" s="1" t="s">
        <v>4</v>
      </c>
      <c r="G50" s="38">
        <v>1</v>
      </c>
      <c r="H50" s="210">
        <v>706739</v>
      </c>
      <c r="I50" s="289">
        <v>756176.4705882353</v>
      </c>
      <c r="J50" s="289">
        <v>670920</v>
      </c>
      <c r="K50" s="289">
        <v>722567</v>
      </c>
      <c r="L50" s="289">
        <v>722439</v>
      </c>
      <c r="M50" s="294">
        <f>+HISTORICOS!AD50</f>
        <v>343588.23529411765</v>
      </c>
      <c r="N50" s="217">
        <f t="shared" si="8"/>
        <v>653738.28431372542</v>
      </c>
      <c r="O50" s="449"/>
      <c r="P50" s="152">
        <f t="shared" si="9"/>
        <v>154433.22347868411</v>
      </c>
      <c r="Q50" s="153">
        <f t="shared" si="10"/>
        <v>499305.06083504134</v>
      </c>
      <c r="R50" s="141">
        <f t="shared" si="11"/>
        <v>808171.50779240951</v>
      </c>
    </row>
    <row r="51" spans="3:18" ht="38.25">
      <c r="C51" s="2" t="s">
        <v>206</v>
      </c>
      <c r="D51" s="1" t="s">
        <v>177</v>
      </c>
      <c r="E51" s="15" t="s">
        <v>46</v>
      </c>
      <c r="F51" s="1" t="s">
        <v>4</v>
      </c>
      <c r="G51" s="38">
        <v>1</v>
      </c>
      <c r="H51" s="210">
        <v>1196320</v>
      </c>
      <c r="I51" s="289">
        <v>1121340</v>
      </c>
      <c r="J51" s="289">
        <v>1180542</v>
      </c>
      <c r="K51" s="289">
        <v>1242088</v>
      </c>
      <c r="L51" s="289">
        <v>1175150</v>
      </c>
      <c r="M51" s="294">
        <f>+HISTORICOS!AD51</f>
        <v>665546</v>
      </c>
      <c r="N51" s="217">
        <f t="shared" si="8"/>
        <v>1096831</v>
      </c>
      <c r="O51" s="449"/>
      <c r="P51" s="152">
        <f t="shared" si="9"/>
        <v>214823.87984486268</v>
      </c>
      <c r="Q51" s="153">
        <f t="shared" si="10"/>
        <v>882007.12015513727</v>
      </c>
      <c r="R51" s="141">
        <f t="shared" si="11"/>
        <v>1311654.8798448627</v>
      </c>
    </row>
    <row r="52" spans="3:18" ht="63.75">
      <c r="C52" s="2" t="s">
        <v>207</v>
      </c>
      <c r="D52" s="1" t="s">
        <v>178</v>
      </c>
      <c r="E52" s="15" t="s">
        <v>48</v>
      </c>
      <c r="F52" s="1" t="s">
        <v>4</v>
      </c>
      <c r="G52" s="38">
        <v>1</v>
      </c>
      <c r="H52" s="210">
        <v>1683911</v>
      </c>
      <c r="I52" s="289">
        <v>1687815.1260504203</v>
      </c>
      <c r="J52" s="289">
        <v>1599863</v>
      </c>
      <c r="K52" s="289">
        <v>1697456</v>
      </c>
      <c r="L52" s="289">
        <v>1644037</v>
      </c>
      <c r="M52" s="294">
        <f>+HISTORICOS!AD52</f>
        <v>1847815.1260504203</v>
      </c>
      <c r="N52" s="217">
        <f t="shared" si="8"/>
        <v>1693482.87535014</v>
      </c>
      <c r="O52" s="449"/>
      <c r="P52" s="152">
        <f t="shared" si="9"/>
        <v>83866.023102634266</v>
      </c>
      <c r="Q52" s="153">
        <f t="shared" si="10"/>
        <v>1609616.8522475057</v>
      </c>
      <c r="R52" s="141">
        <f t="shared" si="11"/>
        <v>1777348.8984527744</v>
      </c>
    </row>
    <row r="53" spans="3:18" ht="38.25">
      <c r="C53" s="2" t="s">
        <v>208</v>
      </c>
      <c r="D53" s="1" t="s">
        <v>179</v>
      </c>
      <c r="E53" s="15" t="s">
        <v>49</v>
      </c>
      <c r="F53" s="1" t="s">
        <v>4</v>
      </c>
      <c r="G53" s="38">
        <v>1</v>
      </c>
      <c r="H53" s="210">
        <v>2120748</v>
      </c>
      <c r="I53" s="223">
        <v>3767647.0588235296</v>
      </c>
      <c r="J53" s="289">
        <v>1999606</v>
      </c>
      <c r="K53" s="289">
        <v>2179377</v>
      </c>
      <c r="L53" s="289">
        <v>2159806</v>
      </c>
      <c r="M53" s="294">
        <f>+HISTORICOS!AD53</f>
        <v>1389915.9663865548</v>
      </c>
      <c r="N53" s="217">
        <f t="shared" si="8"/>
        <v>2269516.6708683474</v>
      </c>
      <c r="O53" s="449"/>
      <c r="P53" s="152">
        <f t="shared" si="9"/>
        <v>791610.70456213329</v>
      </c>
      <c r="Q53" s="153">
        <f t="shared" si="10"/>
        <v>1477905.9663062142</v>
      </c>
      <c r="R53" s="141">
        <f t="shared" si="11"/>
        <v>3061127.3754304806</v>
      </c>
    </row>
    <row r="54" spans="3:18" ht="51">
      <c r="C54" s="2" t="s">
        <v>209</v>
      </c>
      <c r="D54" s="1" t="s">
        <v>180</v>
      </c>
      <c r="E54" s="15" t="s">
        <v>61</v>
      </c>
      <c r="F54" s="1" t="s">
        <v>4</v>
      </c>
      <c r="G54" s="38">
        <v>20</v>
      </c>
      <c r="H54" s="210">
        <v>169660</v>
      </c>
      <c r="I54" s="289">
        <v>107142.85714285716</v>
      </c>
      <c r="J54" s="289">
        <v>156480</v>
      </c>
      <c r="K54" s="289">
        <v>174047</v>
      </c>
      <c r="L54" s="289">
        <v>167235</v>
      </c>
      <c r="M54" s="294">
        <f>+HISTORICOS!AD54</f>
        <v>49000</v>
      </c>
      <c r="N54" s="217">
        <f t="shared" si="8"/>
        <v>137260.80952380953</v>
      </c>
      <c r="O54" s="449"/>
      <c r="P54" s="152">
        <f t="shared" si="9"/>
        <v>49734.942010513238</v>
      </c>
      <c r="Q54" s="153">
        <f t="shared" si="10"/>
        <v>87525.867513296282</v>
      </c>
      <c r="R54" s="141">
        <f t="shared" si="11"/>
        <v>186995.75153432277</v>
      </c>
    </row>
    <row r="55" spans="3:18" ht="51">
      <c r="C55" s="2" t="s">
        <v>210</v>
      </c>
      <c r="D55" s="1" t="s">
        <v>181</v>
      </c>
      <c r="E55" s="15" t="s">
        <v>50</v>
      </c>
      <c r="F55" s="1" t="s">
        <v>4</v>
      </c>
      <c r="G55" s="38">
        <v>3</v>
      </c>
      <c r="H55" s="210">
        <v>106037</v>
      </c>
      <c r="I55" s="289">
        <v>123529.41176470587</v>
      </c>
      <c r="J55" s="289">
        <v>100210</v>
      </c>
      <c r="K55" s="289">
        <v>111681</v>
      </c>
      <c r="L55" s="289">
        <v>105833</v>
      </c>
      <c r="M55" s="294">
        <f>+HISTORICOS!AD55</f>
        <v>271106.21848739497</v>
      </c>
      <c r="N55" s="217">
        <f t="shared" si="8"/>
        <v>136399.43837535015</v>
      </c>
      <c r="O55" s="449"/>
      <c r="P55" s="152">
        <f t="shared" si="9"/>
        <v>66465.653773665297</v>
      </c>
      <c r="Q55" s="153">
        <f t="shared" si="10"/>
        <v>69933.784601684849</v>
      </c>
      <c r="R55" s="141">
        <f t="shared" si="11"/>
        <v>202865.09214901546</v>
      </c>
    </row>
    <row r="56" spans="3:18" ht="51">
      <c r="C56" s="2" t="s">
        <v>211</v>
      </c>
      <c r="D56" s="1" t="s">
        <v>182</v>
      </c>
      <c r="E56" s="15" t="s">
        <v>17</v>
      </c>
      <c r="F56" s="1" t="s">
        <v>4</v>
      </c>
      <c r="G56" s="38">
        <v>6</v>
      </c>
      <c r="H56" s="210">
        <v>348700</v>
      </c>
      <c r="I56" s="289">
        <v>277184.87394957984</v>
      </c>
      <c r="J56" s="289">
        <v>350928</v>
      </c>
      <c r="K56" s="289">
        <v>332517</v>
      </c>
      <c r="L56" s="289">
        <v>326266</v>
      </c>
      <c r="M56" s="294">
        <f>+HISTORICOS!AD56</f>
        <v>257142.85714285716</v>
      </c>
      <c r="N56" s="217">
        <f t="shared" si="8"/>
        <v>315456.45518207288</v>
      </c>
      <c r="O56" s="449"/>
      <c r="P56" s="152">
        <f t="shared" si="9"/>
        <v>39080.588170603041</v>
      </c>
      <c r="Q56" s="153">
        <f t="shared" si="10"/>
        <v>276375.86701146985</v>
      </c>
      <c r="R56" s="141">
        <f t="shared" si="11"/>
        <v>354537.04335267592</v>
      </c>
    </row>
    <row r="57" spans="3:18" ht="51">
      <c r="C57" s="2" t="s">
        <v>212</v>
      </c>
      <c r="D57" s="1" t="s">
        <v>183</v>
      </c>
      <c r="E57" s="15" t="s">
        <v>51</v>
      </c>
      <c r="F57" s="1" t="s">
        <v>4</v>
      </c>
      <c r="G57" s="38">
        <v>5</v>
      </c>
      <c r="H57" s="210">
        <v>170385</v>
      </c>
      <c r="I57" s="223">
        <v>70588.23529411765</v>
      </c>
      <c r="J57" s="289">
        <v>168045</v>
      </c>
      <c r="K57" s="289">
        <v>175826</v>
      </c>
      <c r="L57" s="289">
        <v>167626</v>
      </c>
      <c r="M57" s="294">
        <f>+HISTORICOS!AD57</f>
        <v>76000</v>
      </c>
      <c r="N57" s="217">
        <f t="shared" si="8"/>
        <v>138078.37254901961</v>
      </c>
      <c r="O57" s="449"/>
      <c r="P57" s="152">
        <f t="shared" si="9"/>
        <v>50295.736537449426</v>
      </c>
      <c r="Q57" s="153">
        <f t="shared" si="10"/>
        <v>87782.636011570183</v>
      </c>
      <c r="R57" s="141">
        <f t="shared" si="11"/>
        <v>188374.10908646905</v>
      </c>
    </row>
    <row r="58" spans="3:18" ht="25.5">
      <c r="C58" s="2" t="s">
        <v>213</v>
      </c>
      <c r="D58" s="1" t="s">
        <v>184</v>
      </c>
      <c r="E58" s="15" t="s">
        <v>52</v>
      </c>
      <c r="F58" s="1" t="s">
        <v>4</v>
      </c>
      <c r="G58" s="38">
        <v>10</v>
      </c>
      <c r="H58" s="210">
        <v>59816</v>
      </c>
      <c r="I58" s="289">
        <v>56722.68907563026</v>
      </c>
      <c r="J58" s="289">
        <v>57033</v>
      </c>
      <c r="K58" s="289">
        <v>62820</v>
      </c>
      <c r="L58" s="289">
        <v>60980</v>
      </c>
      <c r="M58" s="294">
        <f>+HISTORICOS!AD58</f>
        <v>29032.000000000004</v>
      </c>
      <c r="N58" s="217">
        <f t="shared" si="8"/>
        <v>54400.614845938377</v>
      </c>
      <c r="O58" s="449"/>
      <c r="P58" s="152">
        <f t="shared" si="9"/>
        <v>12644.27816266186</v>
      </c>
      <c r="Q58" s="153">
        <f t="shared" si="10"/>
        <v>41756.336683276517</v>
      </c>
      <c r="R58" s="141">
        <f t="shared" si="11"/>
        <v>67044.893008600236</v>
      </c>
    </row>
    <row r="59" spans="3:18" ht="51">
      <c r="C59" s="2" t="s">
        <v>214</v>
      </c>
      <c r="D59" s="1" t="s">
        <v>185</v>
      </c>
      <c r="E59" s="15" t="s">
        <v>59</v>
      </c>
      <c r="F59" s="1" t="s">
        <v>4</v>
      </c>
      <c r="G59" s="38">
        <v>5</v>
      </c>
      <c r="H59" s="210">
        <v>262827</v>
      </c>
      <c r="I59" s="223">
        <v>403361.3445378152</v>
      </c>
      <c r="J59" s="289">
        <v>245769</v>
      </c>
      <c r="K59" s="289">
        <v>279594</v>
      </c>
      <c r="L59" s="289">
        <v>230906</v>
      </c>
      <c r="M59" s="294">
        <f>+HISTORICOS!AD59</f>
        <v>255985.71428571429</v>
      </c>
      <c r="N59" s="217">
        <f t="shared" si="8"/>
        <v>279740.50980392157</v>
      </c>
      <c r="O59" s="449"/>
      <c r="P59" s="152">
        <f t="shared" si="9"/>
        <v>62723.77889696027</v>
      </c>
      <c r="Q59" s="153">
        <f t="shared" si="10"/>
        <v>217016.73090696131</v>
      </c>
      <c r="R59" s="141">
        <f t="shared" si="11"/>
        <v>342464.28870088182</v>
      </c>
    </row>
    <row r="60" spans="3:18" ht="25.5">
      <c r="C60" s="2" t="s">
        <v>215</v>
      </c>
      <c r="D60" s="1" t="s">
        <v>186</v>
      </c>
      <c r="E60" s="15" t="s">
        <v>53</v>
      </c>
      <c r="F60" s="1" t="s">
        <v>4</v>
      </c>
      <c r="G60" s="38">
        <v>5</v>
      </c>
      <c r="H60" s="210">
        <v>83380</v>
      </c>
      <c r="I60" s="289">
        <v>43991.596638655465</v>
      </c>
      <c r="J60" s="289">
        <v>80392</v>
      </c>
      <c r="K60" s="289">
        <v>86394</v>
      </c>
      <c r="L60" s="289">
        <v>85003</v>
      </c>
      <c r="M60" s="294">
        <f>+HISTORICOS!AD60</f>
        <v>25210.084033613446</v>
      </c>
      <c r="N60" s="217">
        <f t="shared" si="8"/>
        <v>67395.113445378156</v>
      </c>
      <c r="O60" s="449"/>
      <c r="P60" s="152">
        <f t="shared" si="9"/>
        <v>26163.838873176333</v>
      </c>
      <c r="Q60" s="153">
        <f t="shared" si="10"/>
        <v>41231.274572201823</v>
      </c>
      <c r="R60" s="141">
        <f t="shared" si="11"/>
        <v>93558.952318554482</v>
      </c>
    </row>
    <row r="61" spans="3:18" ht="76.5">
      <c r="C61" s="2" t="s">
        <v>216</v>
      </c>
      <c r="D61" s="1" t="s">
        <v>187</v>
      </c>
      <c r="E61" s="15" t="s">
        <v>54</v>
      </c>
      <c r="F61" s="1" t="s">
        <v>4</v>
      </c>
      <c r="G61" s="38">
        <v>5</v>
      </c>
      <c r="H61" s="210">
        <v>191456</v>
      </c>
      <c r="I61" s="223">
        <v>88865.546218487405</v>
      </c>
      <c r="J61" s="289">
        <v>179264</v>
      </c>
      <c r="K61" s="289">
        <v>191331</v>
      </c>
      <c r="L61" s="289">
        <v>194325</v>
      </c>
      <c r="M61" s="294">
        <f>+HISTORICOS!AD61</f>
        <v>59243.697478991598</v>
      </c>
      <c r="N61" s="217">
        <f t="shared" si="8"/>
        <v>150747.54061624649</v>
      </c>
      <c r="O61" s="449"/>
      <c r="P61" s="152">
        <f t="shared" si="9"/>
        <v>60363.422372511384</v>
      </c>
      <c r="Q61" s="153">
        <f t="shared" si="10"/>
        <v>90384.118243735109</v>
      </c>
      <c r="R61" s="141">
        <f t="shared" si="11"/>
        <v>211110.96298875788</v>
      </c>
    </row>
    <row r="62" spans="3:18" ht="76.5">
      <c r="C62" s="2" t="s">
        <v>217</v>
      </c>
      <c r="D62" s="1" t="s">
        <v>188</v>
      </c>
      <c r="E62" s="15" t="s">
        <v>298</v>
      </c>
      <c r="F62" s="1" t="s">
        <v>4</v>
      </c>
      <c r="G62" s="38">
        <v>10</v>
      </c>
      <c r="H62" s="210">
        <v>73637</v>
      </c>
      <c r="I62" s="289">
        <v>72983.193277310929</v>
      </c>
      <c r="J62" s="289">
        <v>70936</v>
      </c>
      <c r="K62" s="289">
        <v>76887</v>
      </c>
      <c r="L62" s="289">
        <v>75878</v>
      </c>
      <c r="M62" s="294">
        <f>+HISTORICOS!AD62</f>
        <v>50420.168067226892</v>
      </c>
      <c r="N62" s="217">
        <f t="shared" si="8"/>
        <v>70123.560224089641</v>
      </c>
      <c r="O62" s="449"/>
      <c r="P62" s="152">
        <f t="shared" si="9"/>
        <v>9881.9347890134795</v>
      </c>
      <c r="Q62" s="153">
        <f t="shared" si="10"/>
        <v>60241.625435076159</v>
      </c>
      <c r="R62" s="141">
        <f t="shared" si="11"/>
        <v>80005.495013103122</v>
      </c>
    </row>
    <row r="63" spans="3:18" ht="25.5">
      <c r="C63" s="2" t="s">
        <v>218</v>
      </c>
      <c r="D63" s="1" t="s">
        <v>189</v>
      </c>
      <c r="E63" s="15" t="s">
        <v>190</v>
      </c>
      <c r="F63" s="1" t="s">
        <v>4</v>
      </c>
      <c r="G63" s="38">
        <v>10</v>
      </c>
      <c r="H63" s="210">
        <v>8157</v>
      </c>
      <c r="I63" s="223">
        <v>18907.563025210085</v>
      </c>
      <c r="J63" s="289">
        <v>8081</v>
      </c>
      <c r="K63" s="289">
        <v>8460</v>
      </c>
      <c r="L63" s="289">
        <v>8465</v>
      </c>
      <c r="M63" s="294">
        <f>+HISTORICOS!AD63</f>
        <v>9243.6974789915967</v>
      </c>
      <c r="N63" s="217">
        <f t="shared" si="8"/>
        <v>10219.043417366947</v>
      </c>
      <c r="O63" s="449"/>
      <c r="P63" s="152">
        <f t="shared" si="9"/>
        <v>4276.3495516438534</v>
      </c>
      <c r="Q63" s="153">
        <f t="shared" si="10"/>
        <v>5942.6938657230939</v>
      </c>
      <c r="R63" s="141">
        <f t="shared" si="11"/>
        <v>14495.392969010802</v>
      </c>
    </row>
    <row r="64" spans="3:18" ht="38.25">
      <c r="C64" s="2" t="s">
        <v>219</v>
      </c>
      <c r="D64" s="1" t="s">
        <v>191</v>
      </c>
      <c r="E64" s="15" t="s">
        <v>299</v>
      </c>
      <c r="F64" s="1" t="s">
        <v>4</v>
      </c>
      <c r="G64" s="38">
        <v>25</v>
      </c>
      <c r="H64" s="210">
        <v>190324</v>
      </c>
      <c r="I64" s="223">
        <v>54201.680672268914</v>
      </c>
      <c r="J64" s="289">
        <v>177525</v>
      </c>
      <c r="K64" s="289">
        <v>199692</v>
      </c>
      <c r="L64" s="289">
        <v>188831</v>
      </c>
      <c r="M64" s="294">
        <f>+HISTORICOS!AD64</f>
        <v>79831</v>
      </c>
      <c r="N64" s="217">
        <f t="shared" si="8"/>
        <v>148400.7801120448</v>
      </c>
      <c r="O64" s="449"/>
      <c r="P64" s="152">
        <f t="shared" si="9"/>
        <v>63947.562185774936</v>
      </c>
      <c r="Q64" s="153">
        <f t="shared" si="10"/>
        <v>84453.217926269863</v>
      </c>
      <c r="R64" s="141">
        <f t="shared" si="11"/>
        <v>212348.34229781973</v>
      </c>
    </row>
    <row r="65" spans="3:18" ht="51">
      <c r="C65" s="2" t="s">
        <v>220</v>
      </c>
      <c r="D65" s="1" t="s">
        <v>192</v>
      </c>
      <c r="E65" s="15" t="s">
        <v>300</v>
      </c>
      <c r="F65" s="1" t="s">
        <v>4</v>
      </c>
      <c r="G65" s="38">
        <v>10</v>
      </c>
      <c r="H65" s="210">
        <v>77761</v>
      </c>
      <c r="I65" s="223">
        <v>352941.17647058825</v>
      </c>
      <c r="J65" s="289">
        <v>74817</v>
      </c>
      <c r="K65" s="289">
        <v>80081</v>
      </c>
      <c r="L65" s="289">
        <v>77835</v>
      </c>
      <c r="M65" s="294">
        <f>+HISTORICOS!AD65</f>
        <v>92436.97478991597</v>
      </c>
      <c r="N65" s="217">
        <f t="shared" si="8"/>
        <v>125978.69187675069</v>
      </c>
      <c r="O65" s="449"/>
      <c r="P65" s="152">
        <f t="shared" si="9"/>
        <v>111358.78403690545</v>
      </c>
      <c r="Q65" s="153">
        <f t="shared" si="10"/>
        <v>14619.90783984524</v>
      </c>
      <c r="R65" s="141">
        <f t="shared" si="11"/>
        <v>237337.47591365612</v>
      </c>
    </row>
    <row r="66" spans="3:18">
      <c r="C66" s="2" t="s">
        <v>221</v>
      </c>
      <c r="D66" s="1" t="s">
        <v>195</v>
      </c>
      <c r="E66" s="15" t="s">
        <v>55</v>
      </c>
      <c r="F66" s="20" t="s">
        <v>1</v>
      </c>
      <c r="G66" s="38">
        <v>30</v>
      </c>
      <c r="H66" s="210">
        <v>31041</v>
      </c>
      <c r="I66" s="223">
        <v>41974.789915966387</v>
      </c>
      <c r="J66" s="289">
        <v>29241</v>
      </c>
      <c r="K66" s="289">
        <v>31848</v>
      </c>
      <c r="L66" s="289">
        <v>31991</v>
      </c>
      <c r="M66" s="294">
        <f>+HISTORICOS!AD66</f>
        <v>27731.092436974792</v>
      </c>
      <c r="N66" s="217">
        <f t="shared" si="8"/>
        <v>32304.480392156864</v>
      </c>
      <c r="O66" s="449"/>
      <c r="P66" s="152">
        <f t="shared" si="9"/>
        <v>5014.3534537180603</v>
      </c>
      <c r="Q66" s="153">
        <f t="shared" si="10"/>
        <v>27290.126938438803</v>
      </c>
      <c r="R66" s="141">
        <f t="shared" si="11"/>
        <v>37318.83384587492</v>
      </c>
    </row>
    <row r="67" spans="3:18" ht="25.5">
      <c r="C67" s="2" t="s">
        <v>222</v>
      </c>
      <c r="D67" s="1" t="s">
        <v>196</v>
      </c>
      <c r="E67" s="15" t="s">
        <v>56</v>
      </c>
      <c r="F67" s="1" t="s">
        <v>4</v>
      </c>
      <c r="G67" s="38">
        <v>30</v>
      </c>
      <c r="H67" s="210">
        <v>111022</v>
      </c>
      <c r="I67" s="223">
        <v>24957.983193277309</v>
      </c>
      <c r="J67" s="289">
        <v>106037</v>
      </c>
      <c r="K67" s="289">
        <v>111314</v>
      </c>
      <c r="L67" s="289">
        <v>116022</v>
      </c>
      <c r="M67" s="294">
        <f>+HISTORICOS!AD67</f>
        <v>26050.420168067227</v>
      </c>
      <c r="N67" s="217">
        <f t="shared" si="8"/>
        <v>82567.233893557423</v>
      </c>
      <c r="O67" s="449"/>
      <c r="P67" s="152">
        <f t="shared" si="9"/>
        <v>44314.958133813583</v>
      </c>
      <c r="Q67" s="153">
        <f t="shared" si="10"/>
        <v>38252.275759743839</v>
      </c>
      <c r="R67" s="141">
        <f t="shared" si="11"/>
        <v>126882.192027371</v>
      </c>
    </row>
    <row r="68" spans="3:18" ht="25.5">
      <c r="C68" s="2" t="s">
        <v>223</v>
      </c>
      <c r="D68" s="1" t="s">
        <v>193</v>
      </c>
      <c r="E68" s="15" t="s">
        <v>57</v>
      </c>
      <c r="F68" s="1" t="s">
        <v>4</v>
      </c>
      <c r="G68" s="38">
        <v>10</v>
      </c>
      <c r="H68" s="210">
        <v>217513</v>
      </c>
      <c r="I68" s="223">
        <v>15126.050420168069</v>
      </c>
      <c r="J68" s="289">
        <v>215166</v>
      </c>
      <c r="K68" s="289">
        <v>223554</v>
      </c>
      <c r="L68" s="289">
        <v>218622</v>
      </c>
      <c r="M68" s="294">
        <f>+HISTORICOS!AD68</f>
        <v>8403.361344537816</v>
      </c>
      <c r="N68" s="217">
        <f t="shared" si="8"/>
        <v>149730.73529411765</v>
      </c>
      <c r="O68" s="449"/>
      <c r="P68" s="152">
        <f t="shared" si="9"/>
        <v>106924.2141499273</v>
      </c>
      <c r="Q68" s="153">
        <f t="shared" si="10"/>
        <v>42806.521144190352</v>
      </c>
      <c r="R68" s="141">
        <f t="shared" si="11"/>
        <v>256654.94944404496</v>
      </c>
    </row>
    <row r="69" spans="3:18" ht="39" thickBot="1">
      <c r="C69" s="16" t="s">
        <v>224</v>
      </c>
      <c r="D69" s="14" t="s">
        <v>194</v>
      </c>
      <c r="E69" s="17" t="s">
        <v>60</v>
      </c>
      <c r="F69" s="14" t="s">
        <v>4</v>
      </c>
      <c r="G69" s="39">
        <v>30</v>
      </c>
      <c r="H69" s="214">
        <v>31268</v>
      </c>
      <c r="I69" s="224">
        <v>13500</v>
      </c>
      <c r="J69" s="295">
        <v>30768</v>
      </c>
      <c r="K69" s="295">
        <v>32588</v>
      </c>
      <c r="L69" s="295">
        <v>32076</v>
      </c>
      <c r="M69" s="296">
        <f>+HISTORICOS!AD69</f>
        <v>27326.050420168067</v>
      </c>
      <c r="N69" s="217">
        <f t="shared" si="8"/>
        <v>27921.008403361342</v>
      </c>
      <c r="O69" s="449"/>
      <c r="P69" s="152">
        <f t="shared" si="9"/>
        <v>7303.039613778883</v>
      </c>
      <c r="Q69" s="153">
        <f t="shared" si="10"/>
        <v>20617.968789582461</v>
      </c>
      <c r="R69" s="141">
        <f t="shared" si="11"/>
        <v>35224.048017140223</v>
      </c>
    </row>
    <row r="70" spans="3:18" ht="13.15" customHeight="1" thickBot="1">
      <c r="C70" s="410" t="s">
        <v>166</v>
      </c>
      <c r="D70" s="411"/>
      <c r="E70" s="411"/>
      <c r="F70" s="411"/>
      <c r="G70" s="411"/>
      <c r="H70" s="198">
        <f t="shared" ref="H70:R70" si="12">SUM(H41:H69)</f>
        <v>28305280</v>
      </c>
      <c r="I70" s="198">
        <f t="shared" si="12"/>
        <v>24585865.689075641</v>
      </c>
      <c r="J70" s="198">
        <f t="shared" si="12"/>
        <v>28417712</v>
      </c>
      <c r="K70" s="198">
        <f t="shared" si="12"/>
        <v>29067822</v>
      </c>
      <c r="L70" s="198">
        <f t="shared" si="12"/>
        <v>28412839</v>
      </c>
      <c r="M70" s="198">
        <f t="shared" si="12"/>
        <v>19646078.008403368</v>
      </c>
      <c r="N70" s="198">
        <f t="shared" si="12"/>
        <v>26405932.782913171</v>
      </c>
      <c r="O70" s="450"/>
      <c r="P70" s="198">
        <f t="shared" si="12"/>
        <v>6698470.5726383058</v>
      </c>
      <c r="Q70" s="198">
        <f t="shared" si="12"/>
        <v>19707462.21027486</v>
      </c>
      <c r="R70" s="198">
        <f t="shared" si="12"/>
        <v>33104403.355551466</v>
      </c>
    </row>
    <row r="71" spans="3:18" ht="13.5" thickBot="1">
      <c r="C71" s="412" t="s">
        <v>165</v>
      </c>
      <c r="D71" s="413"/>
      <c r="E71" s="413"/>
      <c r="F71" s="413"/>
      <c r="G71" s="413"/>
      <c r="H71" s="413"/>
      <c r="I71" s="413"/>
      <c r="J71" s="413"/>
      <c r="K71" s="413"/>
      <c r="L71" s="413"/>
      <c r="M71" s="413"/>
      <c r="N71" s="417"/>
      <c r="O71" s="417"/>
      <c r="P71" s="417"/>
      <c r="Q71" s="417"/>
      <c r="R71" s="417"/>
    </row>
    <row r="72" spans="3:18" ht="39" thickBot="1">
      <c r="C72" s="59" t="s">
        <v>95</v>
      </c>
      <c r="D72" s="60" t="s">
        <v>96</v>
      </c>
      <c r="E72" s="59" t="s">
        <v>94</v>
      </c>
      <c r="F72" s="61" t="s">
        <v>292</v>
      </c>
      <c r="G72" s="62" t="s">
        <v>0</v>
      </c>
      <c r="H72" s="59" t="s">
        <v>293</v>
      </c>
      <c r="I72" s="59" t="s">
        <v>293</v>
      </c>
      <c r="J72" s="59" t="s">
        <v>293</v>
      </c>
      <c r="K72" s="59" t="s">
        <v>293</v>
      </c>
      <c r="L72" s="59" t="s">
        <v>293</v>
      </c>
      <c r="M72" s="6" t="s">
        <v>293</v>
      </c>
      <c r="N72" s="218" t="s">
        <v>293</v>
      </c>
      <c r="O72" s="448"/>
      <c r="P72" s="220" t="s">
        <v>348</v>
      </c>
      <c r="Q72" s="220" t="s">
        <v>349</v>
      </c>
      <c r="R72" s="221" t="s">
        <v>350</v>
      </c>
    </row>
    <row r="73" spans="3:18" ht="76.5">
      <c r="C73" s="9" t="s">
        <v>225</v>
      </c>
      <c r="D73" s="10" t="s">
        <v>236</v>
      </c>
      <c r="E73" s="13" t="s">
        <v>7</v>
      </c>
      <c r="F73" s="10" t="s">
        <v>4</v>
      </c>
      <c r="G73" s="37">
        <v>1</v>
      </c>
      <c r="H73" s="129">
        <v>3220336</v>
      </c>
      <c r="I73" s="302">
        <v>3700065.1260504201</v>
      </c>
      <c r="J73" s="286">
        <v>3562886</v>
      </c>
      <c r="K73" s="297">
        <v>3384406</v>
      </c>
      <c r="L73" s="297">
        <v>3303044</v>
      </c>
      <c r="M73" s="298">
        <f>+HISTORICOS!AD73</f>
        <v>2941176.4705882357</v>
      </c>
      <c r="N73" s="217">
        <f>+AVERAGE(H73:M73)</f>
        <v>3351985.599439776</v>
      </c>
      <c r="O73" s="449"/>
      <c r="P73" s="152">
        <f t="shared" ref="P73" si="13">+STDEVA(H73:M73)</f>
        <v>266525.96710661304</v>
      </c>
      <c r="Q73" s="153">
        <f t="shared" ref="Q73" si="14">+N73-P73</f>
        <v>3085459.6323331632</v>
      </c>
      <c r="R73" s="141">
        <f t="shared" ref="R73" si="15">+N73+P73</f>
        <v>3618511.5665463889</v>
      </c>
    </row>
    <row r="74" spans="3:18" ht="178.5">
      <c r="C74" s="2" t="s">
        <v>228</v>
      </c>
      <c r="D74" s="1" t="s">
        <v>237</v>
      </c>
      <c r="E74" s="15" t="s">
        <v>8</v>
      </c>
      <c r="F74" s="1" t="s">
        <v>4</v>
      </c>
      <c r="G74" s="38">
        <v>2</v>
      </c>
      <c r="H74" s="137">
        <v>3937368</v>
      </c>
      <c r="I74" s="226">
        <v>5555400</v>
      </c>
      <c r="J74" s="290">
        <v>4348849</v>
      </c>
      <c r="K74" s="300">
        <v>4048272</v>
      </c>
      <c r="L74" s="300">
        <v>4087929</v>
      </c>
      <c r="M74" s="291">
        <f>+HISTORICOS!AD74</f>
        <v>4184873.9495798321</v>
      </c>
      <c r="N74" s="217">
        <f>+AVERAGE(H74:M74)</f>
        <v>4360448.6582633052</v>
      </c>
      <c r="O74" s="449"/>
      <c r="P74" s="152">
        <f t="shared" ref="P74:P82" si="16">+STDEVA(H74:M74)</f>
        <v>601595.91305466159</v>
      </c>
      <c r="Q74" s="153">
        <f t="shared" ref="Q74:Q82" si="17">+N74-P74</f>
        <v>3758852.7452086434</v>
      </c>
      <c r="R74" s="141">
        <f t="shared" ref="R74:R82" si="18">+N74+P74</f>
        <v>4962044.571317967</v>
      </c>
    </row>
    <row r="75" spans="3:18" ht="114.75">
      <c r="C75" s="2" t="s">
        <v>99</v>
      </c>
      <c r="D75" s="1" t="s">
        <v>172</v>
      </c>
      <c r="E75" s="15" t="s">
        <v>9</v>
      </c>
      <c r="F75" s="1" t="s">
        <v>4</v>
      </c>
      <c r="G75" s="38">
        <v>1</v>
      </c>
      <c r="H75" s="137">
        <v>1474185</v>
      </c>
      <c r="I75" s="299">
        <v>1586974.7899159666</v>
      </c>
      <c r="J75" s="225">
        <v>1686122</v>
      </c>
      <c r="K75" s="300">
        <v>1526486</v>
      </c>
      <c r="L75" s="300">
        <v>1498029</v>
      </c>
      <c r="M75" s="291">
        <f>+HISTORICOS!AD75</f>
        <v>1482000</v>
      </c>
      <c r="N75" s="217">
        <f t="shared" ref="N75:N82" si="19">+AVERAGE(H75:M75)</f>
        <v>1542299.4649859946</v>
      </c>
      <c r="O75" s="449"/>
      <c r="P75" s="152">
        <f t="shared" si="16"/>
        <v>81444.891550444474</v>
      </c>
      <c r="Q75" s="153">
        <f t="shared" si="17"/>
        <v>1460854.5734355501</v>
      </c>
      <c r="R75" s="141">
        <f t="shared" si="18"/>
        <v>1623744.3565364392</v>
      </c>
    </row>
    <row r="76" spans="3:18" ht="38.25">
      <c r="C76" s="2" t="s">
        <v>229</v>
      </c>
      <c r="D76" s="1" t="s">
        <v>238</v>
      </c>
      <c r="E76" s="15" t="s">
        <v>10</v>
      </c>
      <c r="F76" s="1" t="s">
        <v>4</v>
      </c>
      <c r="G76" s="38">
        <v>40</v>
      </c>
      <c r="H76" s="137">
        <v>75571</v>
      </c>
      <c r="I76" s="299">
        <v>75504.201680672268</v>
      </c>
      <c r="J76" s="225">
        <v>88777</v>
      </c>
      <c r="K76" s="300">
        <v>76923</v>
      </c>
      <c r="L76" s="300">
        <v>77771</v>
      </c>
      <c r="M76" s="291">
        <f>+HISTORICOS!AD76</f>
        <v>75571.42857142858</v>
      </c>
      <c r="N76" s="217">
        <f t="shared" si="19"/>
        <v>78352.938375350132</v>
      </c>
      <c r="O76" s="449"/>
      <c r="P76" s="152">
        <f t="shared" si="16"/>
        <v>5189.1370275540767</v>
      </c>
      <c r="Q76" s="153">
        <f t="shared" si="17"/>
        <v>73163.801347796049</v>
      </c>
      <c r="R76" s="141">
        <f t="shared" si="18"/>
        <v>83542.075402904215</v>
      </c>
    </row>
    <row r="77" spans="3:18" ht="25.5">
      <c r="C77" s="2" t="s">
        <v>230</v>
      </c>
      <c r="D77" s="1" t="s">
        <v>239</v>
      </c>
      <c r="E77" s="15" t="s">
        <v>11</v>
      </c>
      <c r="F77" s="1" t="s">
        <v>4</v>
      </c>
      <c r="G77" s="38">
        <v>10</v>
      </c>
      <c r="H77" s="137">
        <v>231765</v>
      </c>
      <c r="I77" s="226">
        <v>176344.53781512607</v>
      </c>
      <c r="J77" s="225">
        <v>266769</v>
      </c>
      <c r="K77" s="300">
        <v>245747</v>
      </c>
      <c r="L77" s="300">
        <v>232709</v>
      </c>
      <c r="M77" s="291">
        <f>+HISTORICOS!AD77</f>
        <v>159900</v>
      </c>
      <c r="N77" s="217">
        <f t="shared" si="19"/>
        <v>218872.4229691877</v>
      </c>
      <c r="O77" s="449"/>
      <c r="P77" s="152">
        <f t="shared" si="16"/>
        <v>41618.174094528556</v>
      </c>
      <c r="Q77" s="153">
        <f t="shared" si="17"/>
        <v>177254.24887465913</v>
      </c>
      <c r="R77" s="141">
        <f t="shared" si="18"/>
        <v>260490.59706371627</v>
      </c>
    </row>
    <row r="78" spans="3:18" ht="63.75">
      <c r="C78" s="2" t="s">
        <v>231</v>
      </c>
      <c r="D78" s="1" t="s">
        <v>240</v>
      </c>
      <c r="E78" s="15" t="s">
        <v>12</v>
      </c>
      <c r="F78" s="1" t="s">
        <v>4</v>
      </c>
      <c r="G78" s="38">
        <v>2</v>
      </c>
      <c r="H78" s="137">
        <v>1951113</v>
      </c>
      <c r="I78" s="226">
        <v>1277521.0084033615</v>
      </c>
      <c r="J78" s="290">
        <v>1949551</v>
      </c>
      <c r="K78" s="300">
        <v>1986238</v>
      </c>
      <c r="L78" s="300">
        <v>1896105</v>
      </c>
      <c r="M78" s="291">
        <f>+HISTORICOS!AD78</f>
        <v>1500000</v>
      </c>
      <c r="N78" s="217">
        <f t="shared" si="19"/>
        <v>1760088.0014005601</v>
      </c>
      <c r="O78" s="449"/>
      <c r="P78" s="152">
        <f t="shared" si="16"/>
        <v>297505.59487365367</v>
      </c>
      <c r="Q78" s="153">
        <f t="shared" si="17"/>
        <v>1462582.4065269064</v>
      </c>
      <c r="R78" s="141">
        <f t="shared" si="18"/>
        <v>2057593.5962742139</v>
      </c>
    </row>
    <row r="79" spans="3:18" ht="89.25">
      <c r="C79" s="2" t="s">
        <v>232</v>
      </c>
      <c r="D79" s="1" t="s">
        <v>241</v>
      </c>
      <c r="E79" s="15" t="s">
        <v>13</v>
      </c>
      <c r="F79" s="1" t="s">
        <v>4</v>
      </c>
      <c r="G79" s="38">
        <v>1</v>
      </c>
      <c r="H79" s="137">
        <v>2880113</v>
      </c>
      <c r="I79" s="226">
        <v>4033487.3949579839</v>
      </c>
      <c r="J79" s="290">
        <v>2994945</v>
      </c>
      <c r="K79" s="300">
        <v>3139360</v>
      </c>
      <c r="L79" s="300">
        <v>2878378</v>
      </c>
      <c r="M79" s="291">
        <f>+HISTORICOS!AD79</f>
        <v>2642857.1428571432</v>
      </c>
      <c r="N79" s="217">
        <f t="shared" si="19"/>
        <v>3094856.7563025211</v>
      </c>
      <c r="O79" s="449"/>
      <c r="P79" s="152">
        <f t="shared" si="16"/>
        <v>487908.17925625906</v>
      </c>
      <c r="Q79" s="153">
        <f t="shared" si="17"/>
        <v>2606948.5770462621</v>
      </c>
      <c r="R79" s="141">
        <f t="shared" si="18"/>
        <v>3582764.9355587801</v>
      </c>
    </row>
    <row r="80" spans="3:18" ht="102">
      <c r="C80" s="2" t="s">
        <v>233</v>
      </c>
      <c r="D80" s="1" t="s">
        <v>169</v>
      </c>
      <c r="E80" s="15" t="s">
        <v>72</v>
      </c>
      <c r="F80" s="1" t="s">
        <v>4</v>
      </c>
      <c r="G80" s="38">
        <v>1</v>
      </c>
      <c r="H80" s="137">
        <v>3990000</v>
      </c>
      <c r="I80" s="226">
        <v>5221008.4033613447</v>
      </c>
      <c r="J80" s="290">
        <v>4244254</v>
      </c>
      <c r="K80" s="300">
        <v>4348132</v>
      </c>
      <c r="L80" s="300">
        <v>4084624</v>
      </c>
      <c r="M80" s="291">
        <f>+HISTORICOS!AD80</f>
        <v>2100840.3361344538</v>
      </c>
      <c r="N80" s="217">
        <f t="shared" si="19"/>
        <v>3998143.1232492994</v>
      </c>
      <c r="O80" s="449"/>
      <c r="P80" s="152">
        <f t="shared" si="16"/>
        <v>1028179.4969071655</v>
      </c>
      <c r="Q80" s="153">
        <f t="shared" si="17"/>
        <v>2969963.6263421336</v>
      </c>
      <c r="R80" s="141">
        <f t="shared" si="18"/>
        <v>5026322.6201564651</v>
      </c>
    </row>
    <row r="81" spans="3:18" ht="51">
      <c r="C81" s="2" t="s">
        <v>234</v>
      </c>
      <c r="D81" s="1" t="s">
        <v>242</v>
      </c>
      <c r="E81" s="15" t="s">
        <v>14</v>
      </c>
      <c r="F81" s="1" t="s">
        <v>4</v>
      </c>
      <c r="G81" s="38">
        <v>1</v>
      </c>
      <c r="H81" s="137">
        <v>3581710</v>
      </c>
      <c r="I81" s="299">
        <v>2389915.9663865548</v>
      </c>
      <c r="J81" s="290">
        <v>3653488</v>
      </c>
      <c r="K81" s="300">
        <v>3900735</v>
      </c>
      <c r="L81" s="300">
        <v>3438769</v>
      </c>
      <c r="M81" s="291">
        <f>+HISTORICOS!AD81</f>
        <v>1933000</v>
      </c>
      <c r="N81" s="217">
        <f t="shared" si="19"/>
        <v>3149602.9943977594</v>
      </c>
      <c r="O81" s="449"/>
      <c r="P81" s="152">
        <f t="shared" si="16"/>
        <v>793180.94509429252</v>
      </c>
      <c r="Q81" s="153">
        <f t="shared" si="17"/>
        <v>2356422.0493034669</v>
      </c>
      <c r="R81" s="141">
        <f t="shared" si="18"/>
        <v>3942783.939492052</v>
      </c>
    </row>
    <row r="82" spans="3:18" ht="51.75" thickBot="1">
      <c r="C82" s="16" t="s">
        <v>235</v>
      </c>
      <c r="D82" s="14" t="s">
        <v>243</v>
      </c>
      <c r="E82" s="17" t="s">
        <v>15</v>
      </c>
      <c r="F82" s="14" t="s">
        <v>4</v>
      </c>
      <c r="G82" s="39">
        <v>4</v>
      </c>
      <c r="H82" s="142">
        <v>3338403</v>
      </c>
      <c r="I82" s="227">
        <v>2235000</v>
      </c>
      <c r="J82" s="293">
        <v>3629003</v>
      </c>
      <c r="K82" s="301">
        <v>3385825</v>
      </c>
      <c r="L82" s="301">
        <v>3269943</v>
      </c>
      <c r="M82" s="291">
        <f>+HISTORICOS!AD82</f>
        <v>3784285.7142857146</v>
      </c>
      <c r="N82" s="217">
        <f t="shared" si="19"/>
        <v>3273743.2857142859</v>
      </c>
      <c r="O82" s="449"/>
      <c r="P82" s="152">
        <f t="shared" si="16"/>
        <v>544538.02090996713</v>
      </c>
      <c r="Q82" s="153">
        <f t="shared" si="17"/>
        <v>2729205.2648043185</v>
      </c>
      <c r="R82" s="141">
        <f t="shared" si="18"/>
        <v>3818281.3066242533</v>
      </c>
    </row>
    <row r="83" spans="3:18" ht="13.15" customHeight="1" thickBot="1">
      <c r="C83" s="407" t="s">
        <v>226</v>
      </c>
      <c r="D83" s="408"/>
      <c r="E83" s="408"/>
      <c r="F83" s="408"/>
      <c r="G83" s="409"/>
      <c r="H83" s="158">
        <f>SUM(H73:H82)</f>
        <v>24680564</v>
      </c>
      <c r="I83" s="158">
        <f t="shared" ref="I83:N83" si="20">SUM(I73:I82)</f>
        <v>26251221.428571425</v>
      </c>
      <c r="J83" s="158">
        <f t="shared" si="20"/>
        <v>26424644</v>
      </c>
      <c r="K83" s="158">
        <f t="shared" si="20"/>
        <v>26042124</v>
      </c>
      <c r="L83" s="158">
        <f t="shared" si="20"/>
        <v>24767301</v>
      </c>
      <c r="M83" s="158">
        <f t="shared" si="20"/>
        <v>20804505.042016812</v>
      </c>
      <c r="N83" s="158">
        <f t="shared" si="20"/>
        <v>24828393.24509804</v>
      </c>
      <c r="O83" s="450"/>
      <c r="P83" s="208">
        <v>20267000.000000004</v>
      </c>
      <c r="Q83" s="158">
        <f t="shared" ref="Q83" si="21">SUM(Q73:Q82)</f>
        <v>20680706.9252229</v>
      </c>
      <c r="R83" s="158">
        <f t="shared" ref="R83" si="22">SUM(R73:R82)</f>
        <v>28976079.564973176</v>
      </c>
    </row>
    <row r="84" spans="3:18" ht="24" customHeight="1" thickBot="1">
      <c r="C84" s="407" t="s">
        <v>411</v>
      </c>
      <c r="D84" s="408"/>
      <c r="E84" s="408"/>
      <c r="F84" s="408"/>
      <c r="G84" s="408"/>
      <c r="H84" s="35">
        <f>+H38+H70+H83</f>
        <v>83244422</v>
      </c>
      <c r="I84" s="35">
        <f t="shared" ref="I84:N84" si="23">+I38+I70+I83</f>
        <v>76693833.592436999</v>
      </c>
      <c r="J84" s="35">
        <f t="shared" si="23"/>
        <v>85590015</v>
      </c>
      <c r="K84" s="35">
        <f t="shared" si="23"/>
        <v>85819637</v>
      </c>
      <c r="L84" s="35">
        <f t="shared" si="23"/>
        <v>81785254</v>
      </c>
      <c r="M84" s="35">
        <f t="shared" si="23"/>
        <v>56147874.831932783</v>
      </c>
      <c r="N84" s="35">
        <f t="shared" si="23"/>
        <v>78213506.070728302</v>
      </c>
      <c r="O84" s="339"/>
      <c r="P84" s="35">
        <f t="shared" ref="P84" si="24">+P38+P70+P83</f>
        <v>34392664.869549498</v>
      </c>
      <c r="Q84" s="35">
        <f t="shared" ref="Q84" si="25">+Q38+Q70+Q83</f>
        <v>60218181.988172114</v>
      </c>
      <c r="R84" s="35">
        <f t="shared" ref="R84" si="26">+R38+R70+R83</f>
        <v>96486857.260152906</v>
      </c>
    </row>
  </sheetData>
  <mergeCells count="21">
    <mergeCell ref="P1:R3"/>
    <mergeCell ref="M1:M3"/>
    <mergeCell ref="C4:R4"/>
    <mergeCell ref="C84:G84"/>
    <mergeCell ref="C71:R71"/>
    <mergeCell ref="C70:G70"/>
    <mergeCell ref="C39:R39"/>
    <mergeCell ref="C2:G2"/>
    <mergeCell ref="C3:G3"/>
    <mergeCell ref="C38:G38"/>
    <mergeCell ref="C1:G1"/>
    <mergeCell ref="H1:H3"/>
    <mergeCell ref="I1:I3"/>
    <mergeCell ref="C83:G83"/>
    <mergeCell ref="N1:N3"/>
    <mergeCell ref="O5:O37"/>
    <mergeCell ref="O40:O70"/>
    <mergeCell ref="O72:O83"/>
    <mergeCell ref="J1:J3"/>
    <mergeCell ref="K1:K3"/>
    <mergeCell ref="L1:L3"/>
  </mergeCells>
  <pageMargins left="0.7" right="0.7" top="0.75" bottom="0.75" header="0.3" footer="0.3"/>
  <pageSetup paperSize="9" orientation="portrait" r:id="rId1"/>
  <colBreaks count="1" manualBreakCount="1">
    <brk id="9" max="10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EB4E1-76D6-4CD1-9FE3-101E11E75815}">
  <dimension ref="A1:AA84"/>
  <sheetViews>
    <sheetView showGridLines="0" topLeftCell="E1" zoomScale="80" zoomScaleNormal="80" workbookViewId="0">
      <selection activeCell="AF6" sqref="AF6"/>
    </sheetView>
  </sheetViews>
  <sheetFormatPr baseColWidth="10" defaultColWidth="8.83203125" defaultRowHeight="12.75"/>
  <cols>
    <col min="1" max="2" width="8.83203125" style="3" customWidth="1"/>
    <col min="3" max="3" width="16" style="3" bestFit="1" customWidth="1"/>
    <col min="4" max="4" width="66.1640625" style="3" bestFit="1" customWidth="1"/>
    <col min="5" max="5" width="67.33203125" style="3" customWidth="1"/>
    <col min="6" max="6" width="14.6640625" style="3" customWidth="1"/>
    <col min="7" max="7" width="14.6640625" style="12" customWidth="1"/>
    <col min="8" max="10" width="14.6640625" style="3" hidden="1" customWidth="1"/>
    <col min="11" max="18" width="14.83203125" style="3" hidden="1" customWidth="1"/>
    <col min="19" max="19" width="20.5" style="3" hidden="1" customWidth="1"/>
    <col min="20" max="27" width="17.1640625" style="3" customWidth="1"/>
    <col min="28" max="16384" width="8.83203125" style="3"/>
  </cols>
  <sheetData>
    <row r="1" spans="1:27" ht="13.15" customHeight="1">
      <c r="C1" s="403" t="s">
        <v>91</v>
      </c>
      <c r="D1" s="404"/>
      <c r="E1" s="404"/>
      <c r="F1" s="404"/>
      <c r="G1" s="404"/>
      <c r="H1" s="382" t="s">
        <v>301</v>
      </c>
      <c r="I1" s="382" t="s">
        <v>302</v>
      </c>
      <c r="J1" s="382" t="s">
        <v>303</v>
      </c>
      <c r="K1" s="382" t="s">
        <v>304</v>
      </c>
      <c r="L1" s="382" t="s">
        <v>305</v>
      </c>
      <c r="M1" s="382" t="s">
        <v>344</v>
      </c>
      <c r="N1" s="457" t="s">
        <v>347</v>
      </c>
      <c r="O1" s="215"/>
      <c r="P1" s="451" t="s">
        <v>348</v>
      </c>
      <c r="Q1" s="452"/>
      <c r="R1" s="453"/>
      <c r="S1" s="461" t="s">
        <v>351</v>
      </c>
      <c r="T1" s="382" t="s">
        <v>301</v>
      </c>
      <c r="U1" s="382" t="s">
        <v>302</v>
      </c>
      <c r="V1" s="382" t="s">
        <v>303</v>
      </c>
      <c r="W1" s="382" t="s">
        <v>304</v>
      </c>
      <c r="X1" s="382" t="s">
        <v>305</v>
      </c>
      <c r="Y1" s="466" t="s">
        <v>344</v>
      </c>
      <c r="Z1" s="461" t="s">
        <v>351</v>
      </c>
      <c r="AA1" s="463" t="s">
        <v>353</v>
      </c>
    </row>
    <row r="2" spans="1:27" ht="13.15" customHeight="1">
      <c r="C2" s="399" t="s">
        <v>92</v>
      </c>
      <c r="D2" s="400"/>
      <c r="E2" s="400"/>
      <c r="F2" s="400"/>
      <c r="G2" s="400"/>
      <c r="H2" s="385"/>
      <c r="I2" s="385"/>
      <c r="J2" s="385"/>
      <c r="K2" s="385"/>
      <c r="L2" s="385"/>
      <c r="M2" s="385"/>
      <c r="N2" s="458"/>
      <c r="O2" s="215"/>
      <c r="P2" s="451"/>
      <c r="Q2" s="452"/>
      <c r="R2" s="453"/>
      <c r="S2" s="462"/>
      <c r="T2" s="385"/>
      <c r="U2" s="385"/>
      <c r="V2" s="385"/>
      <c r="W2" s="385"/>
      <c r="X2" s="385"/>
      <c r="Y2" s="467"/>
      <c r="Z2" s="462"/>
      <c r="AA2" s="464"/>
    </row>
    <row r="3" spans="1:27" ht="80.45" customHeight="1" thickBot="1">
      <c r="C3" s="401" t="s">
        <v>93</v>
      </c>
      <c r="D3" s="402"/>
      <c r="E3" s="402"/>
      <c r="F3" s="402"/>
      <c r="G3" s="402"/>
      <c r="H3" s="385"/>
      <c r="I3" s="385"/>
      <c r="J3" s="385"/>
      <c r="K3" s="385"/>
      <c r="L3" s="385"/>
      <c r="M3" s="385"/>
      <c r="N3" s="458"/>
      <c r="O3" s="215"/>
      <c r="P3" s="454"/>
      <c r="Q3" s="455"/>
      <c r="R3" s="456"/>
      <c r="S3" s="462"/>
      <c r="T3" s="385"/>
      <c r="U3" s="385"/>
      <c r="V3" s="385"/>
      <c r="W3" s="385"/>
      <c r="X3" s="385"/>
      <c r="Y3" s="467"/>
      <c r="Z3" s="462"/>
      <c r="AA3" s="465"/>
    </row>
    <row r="4" spans="1:27" ht="13.5" thickBot="1">
      <c r="C4" s="388" t="s">
        <v>97</v>
      </c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</row>
    <row r="5" spans="1:27" ht="47.25" customHeight="1" thickBot="1">
      <c r="A5" s="5"/>
      <c r="B5" s="5"/>
      <c r="C5" s="59" t="s">
        <v>95</v>
      </c>
      <c r="D5" s="60" t="s">
        <v>96</v>
      </c>
      <c r="E5" s="59" t="s">
        <v>94</v>
      </c>
      <c r="F5" s="61" t="s">
        <v>292</v>
      </c>
      <c r="G5" s="62" t="s">
        <v>0</v>
      </c>
      <c r="H5" s="59" t="s">
        <v>293</v>
      </c>
      <c r="I5" s="209" t="s">
        <v>293</v>
      </c>
      <c r="J5" s="211" t="s">
        <v>293</v>
      </c>
      <c r="K5" s="211" t="s">
        <v>293</v>
      </c>
      <c r="L5" s="60" t="s">
        <v>293</v>
      </c>
      <c r="M5" s="187" t="s">
        <v>293</v>
      </c>
      <c r="N5" s="216" t="s">
        <v>293</v>
      </c>
      <c r="O5" s="448"/>
      <c r="P5" s="219" t="s">
        <v>348</v>
      </c>
      <c r="Q5" s="219" t="s">
        <v>349</v>
      </c>
      <c r="R5" s="350" t="s">
        <v>350</v>
      </c>
      <c r="S5" s="348" t="s">
        <v>293</v>
      </c>
      <c r="T5" s="349" t="s">
        <v>352</v>
      </c>
      <c r="U5" s="349" t="s">
        <v>352</v>
      </c>
      <c r="V5" s="349" t="s">
        <v>352</v>
      </c>
      <c r="W5" s="349" t="s">
        <v>352</v>
      </c>
      <c r="X5" s="349" t="s">
        <v>352</v>
      </c>
      <c r="Y5" s="354" t="s">
        <v>352</v>
      </c>
      <c r="Z5" s="356" t="s">
        <v>352</v>
      </c>
      <c r="AA5" s="231" t="s">
        <v>293</v>
      </c>
    </row>
    <row r="6" spans="1:27" s="4" customFormat="1" ht="63.75">
      <c r="C6" s="9" t="s">
        <v>98</v>
      </c>
      <c r="D6" s="10" t="s">
        <v>131</v>
      </c>
      <c r="E6" s="13" t="s">
        <v>62</v>
      </c>
      <c r="F6" s="10" t="s">
        <v>4</v>
      </c>
      <c r="G6" s="37">
        <v>1</v>
      </c>
      <c r="H6" s="129">
        <v>7360000</v>
      </c>
      <c r="I6" s="340">
        <v>6806722.6890756302</v>
      </c>
      <c r="J6" s="285">
        <v>7234110</v>
      </c>
      <c r="K6" s="285">
        <v>7604171</v>
      </c>
      <c r="L6" s="286">
        <v>6935933</v>
      </c>
      <c r="M6" s="287">
        <f>+HISTORICOS!AD6</f>
        <v>2605042.0168067226</v>
      </c>
      <c r="N6" s="217">
        <f>+AVERAGE(H6:M6)</f>
        <v>6424329.7843137262</v>
      </c>
      <c r="O6" s="459"/>
      <c r="P6" s="159">
        <f>+STDEVA(H6:M6)</f>
        <v>1893048.825541103</v>
      </c>
      <c r="Q6" s="165">
        <f>+N6-P6</f>
        <v>4531280.958772623</v>
      </c>
      <c r="R6" s="131">
        <f>+N6+P6</f>
        <v>8317378.6098548295</v>
      </c>
      <c r="S6" s="324">
        <f>+AVERAGE(H6:M6)</f>
        <v>6424329.7843137262</v>
      </c>
      <c r="T6" s="305">
        <f>+H6/S6</f>
        <v>1.1456447983057934</v>
      </c>
      <c r="U6" s="305">
        <f>+I6/S6</f>
        <v>1.0595226144360759</v>
      </c>
      <c r="V6" s="305">
        <f>+J6/S6</f>
        <v>1.1260489798739026</v>
      </c>
      <c r="W6" s="305">
        <f>+K6/S6</f>
        <v>1.1836520314643699</v>
      </c>
      <c r="X6" s="305">
        <f>+L6/S6</f>
        <v>1.0796352666912359</v>
      </c>
      <c r="Y6" s="309">
        <f>+M6/S6</f>
        <v>0.40549630922862162</v>
      </c>
      <c r="Z6" s="357">
        <f>+AVERAGE(T6:Y6)</f>
        <v>1</v>
      </c>
      <c r="AA6" s="344">
        <f>+HARMEAN(H6:M6)</f>
        <v>5552616.7675003204</v>
      </c>
    </row>
    <row r="7" spans="1:27" s="4" customFormat="1" ht="76.5">
      <c r="C7" s="2" t="s">
        <v>100</v>
      </c>
      <c r="D7" s="1" t="s">
        <v>134</v>
      </c>
      <c r="E7" s="15" t="s">
        <v>16</v>
      </c>
      <c r="F7" s="1" t="s">
        <v>4</v>
      </c>
      <c r="G7" s="38">
        <v>3</v>
      </c>
      <c r="H7" s="137">
        <v>2510367</v>
      </c>
      <c r="I7" s="288">
        <v>1662605.042016807</v>
      </c>
      <c r="J7" s="289">
        <v>2506736</v>
      </c>
      <c r="K7" s="289">
        <v>2401067</v>
      </c>
      <c r="L7" s="290">
        <v>2384780</v>
      </c>
      <c r="M7" s="291">
        <f>+HISTORICOS!AD7</f>
        <v>885714.2857142858</v>
      </c>
      <c r="N7" s="217">
        <f t="shared" ref="N7:N36" si="0">+AVERAGE(H7:M7)</f>
        <v>2058544.8879551822</v>
      </c>
      <c r="O7" s="459"/>
      <c r="P7" s="152">
        <f t="shared" ref="P7:P37" si="1">+STDEVA(H7:M7)</f>
        <v>657429.7259135145</v>
      </c>
      <c r="Q7" s="153">
        <f t="shared" ref="Q7:Q37" si="2">+N7-P7</f>
        <v>1401115.1620416678</v>
      </c>
      <c r="R7" s="139">
        <f t="shared" ref="R7:R37" si="3">+N7+P7</f>
        <v>2715974.6138686966</v>
      </c>
      <c r="S7" s="324">
        <f t="shared" ref="S7:S8" si="4">+AVERAGE(H7:M7)</f>
        <v>2058544.8879551822</v>
      </c>
      <c r="T7" s="305">
        <f t="shared" ref="T7:T37" si="5">+H7/S7</f>
        <v>1.2194861597084856</v>
      </c>
      <c r="U7" s="305">
        <f t="shared" ref="U7:U37" si="6">+I7/S7</f>
        <v>0.80766032926701214</v>
      </c>
      <c r="V7" s="305">
        <f t="shared" ref="V7:V37" si="7">+J7/S7</f>
        <v>1.2177222924150175</v>
      </c>
      <c r="W7" s="305">
        <f t="shared" ref="W7:W37" si="8">+K7/S7</f>
        <v>1.1663904022928817</v>
      </c>
      <c r="X7" s="305">
        <f t="shared" ref="X7:X37" si="9">+L7/S7</f>
        <v>1.158478502923916</v>
      </c>
      <c r="Y7" s="309">
        <f t="shared" ref="Y7:Y37" si="10">+M7/S7</f>
        <v>0.43026231339268672</v>
      </c>
      <c r="Z7" s="357">
        <f t="shared" ref="Z7:Z8" si="11">+AVERAGE(T7:Y7)</f>
        <v>1</v>
      </c>
      <c r="AA7" s="344">
        <f t="shared" ref="AA7" si="12">+HARMEAN(H7:M7)</f>
        <v>1783814.3754614801</v>
      </c>
    </row>
    <row r="8" spans="1:27" s="4" customFormat="1" ht="51">
      <c r="C8" s="2" t="s">
        <v>101</v>
      </c>
      <c r="D8" s="1" t="s">
        <v>132</v>
      </c>
      <c r="E8" s="15" t="s">
        <v>17</v>
      </c>
      <c r="F8" s="1" t="s">
        <v>4</v>
      </c>
      <c r="G8" s="38">
        <v>10</v>
      </c>
      <c r="H8" s="137">
        <v>348700</v>
      </c>
      <c r="I8" s="288">
        <v>214159.66386554623</v>
      </c>
      <c r="J8" s="289">
        <v>350928</v>
      </c>
      <c r="K8" s="289">
        <v>332517</v>
      </c>
      <c r="L8" s="290">
        <v>326266</v>
      </c>
      <c r="M8" s="291">
        <f>+HISTORICOS!AD8</f>
        <v>151176.4705882353</v>
      </c>
      <c r="N8" s="217">
        <f t="shared" si="0"/>
        <v>287291.18907563022</v>
      </c>
      <c r="O8" s="459"/>
      <c r="P8" s="152">
        <f t="shared" si="1"/>
        <v>83976.820840732325</v>
      </c>
      <c r="Q8" s="153">
        <f t="shared" si="2"/>
        <v>203314.36823489791</v>
      </c>
      <c r="R8" s="139">
        <f t="shared" si="3"/>
        <v>371268.00991636253</v>
      </c>
      <c r="S8" s="324">
        <f t="shared" si="4"/>
        <v>287291.18907563022</v>
      </c>
      <c r="T8" s="305">
        <f t="shared" si="5"/>
        <v>1.2137511112747832</v>
      </c>
      <c r="U8" s="305">
        <f t="shared" si="6"/>
        <v>0.74544459422724618</v>
      </c>
      <c r="V8" s="305">
        <f t="shared" si="7"/>
        <v>1.2215063090835592</v>
      </c>
      <c r="W8" s="305">
        <f t="shared" si="8"/>
        <v>1.1574215034922772</v>
      </c>
      <c r="X8" s="305">
        <f t="shared" si="9"/>
        <v>1.1356630916867749</v>
      </c>
      <c r="Y8" s="309">
        <f t="shared" si="10"/>
        <v>0.5262133902353604</v>
      </c>
      <c r="Z8" s="357">
        <f t="shared" si="11"/>
        <v>1.0000000000000002</v>
      </c>
      <c r="AA8" s="344">
        <f>+HARMEAN(H8:M8)</f>
        <v>260033.72365272278</v>
      </c>
    </row>
    <row r="9" spans="1:27" s="4" customFormat="1" ht="38.25">
      <c r="C9" s="2" t="s">
        <v>102</v>
      </c>
      <c r="D9" s="1" t="s">
        <v>133</v>
      </c>
      <c r="E9" s="15" t="s">
        <v>10</v>
      </c>
      <c r="F9" s="1" t="s">
        <v>4</v>
      </c>
      <c r="G9" s="38">
        <v>20</v>
      </c>
      <c r="H9" s="137">
        <v>75571</v>
      </c>
      <c r="I9" s="288">
        <v>75504.201680672268</v>
      </c>
      <c r="J9" s="223">
        <v>88777</v>
      </c>
      <c r="K9" s="289">
        <v>76923</v>
      </c>
      <c r="L9" s="290">
        <v>77771</v>
      </c>
      <c r="M9" s="291">
        <f>+HISTORICOS!AD9</f>
        <v>75571.42857142858</v>
      </c>
      <c r="N9" s="217">
        <f t="shared" si="0"/>
        <v>78352.938375350132</v>
      </c>
      <c r="O9" s="459"/>
      <c r="P9" s="152">
        <f t="shared" si="1"/>
        <v>5189.1370275540767</v>
      </c>
      <c r="Q9" s="153">
        <f t="shared" si="2"/>
        <v>73163.801347796049</v>
      </c>
      <c r="R9" s="139">
        <f t="shared" si="3"/>
        <v>83542.075402904215</v>
      </c>
      <c r="S9" s="324">
        <f>+AVERAGE(H9:I9,K9:M9)</f>
        <v>76268.126050420164</v>
      </c>
      <c r="T9" s="305">
        <f t="shared" si="5"/>
        <v>0.9908595361323117</v>
      </c>
      <c r="U9" s="305">
        <f t="shared" si="6"/>
        <v>0.98998370080257547</v>
      </c>
      <c r="V9" s="312">
        <f t="shared" si="7"/>
        <v>1.1640118172211329</v>
      </c>
      <c r="W9" s="305">
        <f t="shared" si="8"/>
        <v>1.0085864696498104</v>
      </c>
      <c r="X9" s="305">
        <f t="shared" si="9"/>
        <v>1.019705138009898</v>
      </c>
      <c r="Y9" s="309">
        <f t="shared" si="10"/>
        <v>0.99086515540540487</v>
      </c>
      <c r="Z9" s="357">
        <f>+AVERAGE(T9:U9,W9:Y9)</f>
        <v>1</v>
      </c>
      <c r="AA9" s="344">
        <f>+HARMEAN(H9:I9,K9:M9)</f>
        <v>76257.087630517388</v>
      </c>
    </row>
    <row r="10" spans="1:27" s="4" customFormat="1" ht="25.5">
      <c r="C10" s="2" t="s">
        <v>103</v>
      </c>
      <c r="D10" s="1" t="s">
        <v>135</v>
      </c>
      <c r="E10" s="15" t="s">
        <v>63</v>
      </c>
      <c r="F10" s="1" t="s">
        <v>4</v>
      </c>
      <c r="G10" s="38">
        <v>6</v>
      </c>
      <c r="H10" s="137">
        <v>143830</v>
      </c>
      <c r="I10" s="222">
        <v>1008403.3613445379</v>
      </c>
      <c r="J10" s="289">
        <v>154904</v>
      </c>
      <c r="K10" s="289">
        <v>146740</v>
      </c>
      <c r="L10" s="290">
        <v>140861</v>
      </c>
      <c r="M10" s="291">
        <f>+HISTORICOS!AD10</f>
        <v>82000</v>
      </c>
      <c r="N10" s="217">
        <f t="shared" si="0"/>
        <v>279456.39355742297</v>
      </c>
      <c r="O10" s="459"/>
      <c r="P10" s="152">
        <f t="shared" si="1"/>
        <v>358073.41448569874</v>
      </c>
      <c r="Q10" s="153">
        <f>+P10-N10</f>
        <v>78617.020928275771</v>
      </c>
      <c r="R10" s="139">
        <f t="shared" si="3"/>
        <v>637529.80804312171</v>
      </c>
      <c r="S10" s="324">
        <f>+AVERAGE(H10,J10:M10)</f>
        <v>133667</v>
      </c>
      <c r="T10" s="305">
        <f t="shared" si="5"/>
        <v>1.0760322293460616</v>
      </c>
      <c r="U10" s="312">
        <f t="shared" si="6"/>
        <v>7.5441459847571792</v>
      </c>
      <c r="V10" s="305">
        <f t="shared" si="7"/>
        <v>1.1588799030426358</v>
      </c>
      <c r="W10" s="305">
        <f t="shared" si="8"/>
        <v>1.0978027486215745</v>
      </c>
      <c r="X10" s="305">
        <f t="shared" si="9"/>
        <v>1.0538203146625569</v>
      </c>
      <c r="Y10" s="309">
        <f t="shared" si="10"/>
        <v>0.61346480432717121</v>
      </c>
      <c r="Z10" s="358">
        <f>+AVERAGE(T10,V10:Y10)</f>
        <v>1.0000000000000002</v>
      </c>
      <c r="AA10" s="344">
        <f>+HARMEAN(H10,J10:M10)</f>
        <v>126526.68004023588</v>
      </c>
    </row>
    <row r="11" spans="1:27" s="4" customFormat="1" ht="38.25">
      <c r="C11" s="2" t="s">
        <v>104</v>
      </c>
      <c r="D11" s="1" t="s">
        <v>136</v>
      </c>
      <c r="E11" s="15" t="s">
        <v>18</v>
      </c>
      <c r="F11" s="1" t="s">
        <v>4</v>
      </c>
      <c r="G11" s="38">
        <v>1</v>
      </c>
      <c r="H11" s="137">
        <v>2465261</v>
      </c>
      <c r="I11" s="288">
        <v>1890756.3025210085</v>
      </c>
      <c r="J11" s="289">
        <v>2553398</v>
      </c>
      <c r="K11" s="289">
        <v>2550779</v>
      </c>
      <c r="L11" s="290">
        <v>2428755</v>
      </c>
      <c r="M11" s="291">
        <f>+HISTORICOS!AD11</f>
        <v>788450.42016806721</v>
      </c>
      <c r="N11" s="217">
        <f t="shared" si="0"/>
        <v>2112899.9537815126</v>
      </c>
      <c r="O11" s="459"/>
      <c r="P11" s="152">
        <f t="shared" si="1"/>
        <v>694724.93460903119</v>
      </c>
      <c r="Q11" s="153">
        <f t="shared" si="2"/>
        <v>1418175.0191724813</v>
      </c>
      <c r="R11" s="139">
        <f t="shared" si="3"/>
        <v>2807624.8883905439</v>
      </c>
      <c r="S11" s="324">
        <f>+AVERAGE(H11:M11)</f>
        <v>2112899.9537815126</v>
      </c>
      <c r="T11" s="305">
        <f t="shared" si="5"/>
        <v>1.1667665549369044</v>
      </c>
      <c r="U11" s="305">
        <f t="shared" si="6"/>
        <v>0.89486314727636407</v>
      </c>
      <c r="V11" s="305">
        <f t="shared" si="7"/>
        <v>1.208480314190985</v>
      </c>
      <c r="W11" s="305">
        <f t="shared" si="8"/>
        <v>1.2072407855539036</v>
      </c>
      <c r="X11" s="305">
        <f t="shared" si="9"/>
        <v>1.1494888793258731</v>
      </c>
      <c r="Y11" s="309">
        <f t="shared" si="10"/>
        <v>0.37316031871596989</v>
      </c>
      <c r="Z11" s="358">
        <f>+AVERAGE(T11:Y11)</f>
        <v>1</v>
      </c>
      <c r="AA11" s="344">
        <f>+HARMEAN(H11:M11)</f>
        <v>1765618.9707202148</v>
      </c>
    </row>
    <row r="12" spans="1:27" s="4" customFormat="1" ht="76.5">
      <c r="C12" s="2" t="s">
        <v>105</v>
      </c>
      <c r="D12" s="1" t="s">
        <v>137</v>
      </c>
      <c r="E12" s="15" t="s">
        <v>19</v>
      </c>
      <c r="F12" s="1" t="s">
        <v>4</v>
      </c>
      <c r="G12" s="38">
        <v>3</v>
      </c>
      <c r="H12" s="137">
        <v>405570</v>
      </c>
      <c r="I12" s="222">
        <v>1384903.3613445379</v>
      </c>
      <c r="J12" s="289">
        <v>388583</v>
      </c>
      <c r="K12" s="289">
        <v>429717</v>
      </c>
      <c r="L12" s="290">
        <v>380421</v>
      </c>
      <c r="M12" s="291">
        <f>+HISTORICOS!AD12</f>
        <v>343697.47899159667</v>
      </c>
      <c r="N12" s="217">
        <f t="shared" si="0"/>
        <v>555481.9733893557</v>
      </c>
      <c r="O12" s="459"/>
      <c r="P12" s="152">
        <f t="shared" si="1"/>
        <v>407328.99501125177</v>
      </c>
      <c r="Q12" s="153">
        <f t="shared" si="2"/>
        <v>148152.97837810393</v>
      </c>
      <c r="R12" s="139">
        <f t="shared" si="3"/>
        <v>962810.96840060747</v>
      </c>
      <c r="S12" s="324">
        <f>+AVERAGE(H12,J12:M12)</f>
        <v>389597.69579831936</v>
      </c>
      <c r="T12" s="305">
        <f t="shared" si="5"/>
        <v>1.0409969164960076</v>
      </c>
      <c r="U12" s="312">
        <f t="shared" si="6"/>
        <v>3.5547011090677816</v>
      </c>
      <c r="V12" s="305">
        <f t="shared" si="7"/>
        <v>0.99739552926194763</v>
      </c>
      <c r="W12" s="305">
        <f t="shared" si="8"/>
        <v>1.1029762358308426</v>
      </c>
      <c r="X12" s="305">
        <f t="shared" si="9"/>
        <v>0.97644571336718122</v>
      </c>
      <c r="Y12" s="309">
        <f t="shared" si="10"/>
        <v>0.88218560504402066</v>
      </c>
      <c r="Z12" s="357">
        <f>+AVERAGE(T12,V12:Y12)</f>
        <v>1</v>
      </c>
      <c r="AA12" s="344">
        <f>+HARMEAN(H12,J12:M12)</f>
        <v>387463.73615629727</v>
      </c>
    </row>
    <row r="13" spans="1:27" s="4" customFormat="1" ht="38.25">
      <c r="C13" s="2" t="s">
        <v>106</v>
      </c>
      <c r="D13" s="1" t="s">
        <v>138</v>
      </c>
      <c r="E13" s="15" t="s">
        <v>20</v>
      </c>
      <c r="F13" s="1" t="s">
        <v>4</v>
      </c>
      <c r="G13" s="38">
        <v>2</v>
      </c>
      <c r="H13" s="137">
        <v>278942</v>
      </c>
      <c r="I13" s="288">
        <v>176470.58823529413</v>
      </c>
      <c r="J13" s="289">
        <v>274590</v>
      </c>
      <c r="K13" s="289">
        <v>290819</v>
      </c>
      <c r="L13" s="290">
        <v>263944</v>
      </c>
      <c r="M13" s="291">
        <f>+HISTORICOS!AD13</f>
        <v>125210.08403361346</v>
      </c>
      <c r="N13" s="217">
        <f t="shared" si="0"/>
        <v>234995.94537815126</v>
      </c>
      <c r="O13" s="459"/>
      <c r="P13" s="152">
        <f t="shared" si="1"/>
        <v>67721.932860468383</v>
      </c>
      <c r="Q13" s="153">
        <f t="shared" si="2"/>
        <v>167274.01251768286</v>
      </c>
      <c r="R13" s="139">
        <f t="shared" si="3"/>
        <v>302717.87823861965</v>
      </c>
      <c r="S13" s="324">
        <f>+AVERAGE(H13:M13)</f>
        <v>234995.94537815126</v>
      </c>
      <c r="T13" s="305">
        <f t="shared" si="5"/>
        <v>1.1870077143294175</v>
      </c>
      <c r="U13" s="305">
        <f t="shared" si="6"/>
        <v>0.75095163004332188</v>
      </c>
      <c r="V13" s="305">
        <f t="shared" si="7"/>
        <v>1.1684882458637094</v>
      </c>
      <c r="W13" s="305">
        <f t="shared" si="8"/>
        <v>1.2375490118862233</v>
      </c>
      <c r="X13" s="305">
        <f t="shared" si="9"/>
        <v>1.1231853365608757</v>
      </c>
      <c r="Y13" s="309">
        <f t="shared" si="10"/>
        <v>0.53281806131645226</v>
      </c>
      <c r="Z13" s="357">
        <f t="shared" ref="Z13:Z17" si="13">+AVERAGE(T13:Y13)</f>
        <v>1</v>
      </c>
      <c r="AA13" s="344">
        <f>+HARMEAN(H13:M13)</f>
        <v>213467.9866665937</v>
      </c>
    </row>
    <row r="14" spans="1:27" s="4" customFormat="1" ht="38.25">
      <c r="C14" s="2" t="s">
        <v>107</v>
      </c>
      <c r="D14" s="1" t="s">
        <v>139</v>
      </c>
      <c r="E14" s="15" t="s">
        <v>21</v>
      </c>
      <c r="F14" s="1" t="s">
        <v>4</v>
      </c>
      <c r="G14" s="38">
        <v>10</v>
      </c>
      <c r="H14" s="137">
        <v>279142</v>
      </c>
      <c r="I14" s="288">
        <v>176470.58823529413</v>
      </c>
      <c r="J14" s="289">
        <v>263086</v>
      </c>
      <c r="K14" s="289">
        <v>289321</v>
      </c>
      <c r="L14" s="290">
        <v>270822</v>
      </c>
      <c r="M14" s="291">
        <f>+HISTORICOS!AD14</f>
        <v>117647.05882352941</v>
      </c>
      <c r="N14" s="217">
        <f t="shared" si="0"/>
        <v>232748.10784313723</v>
      </c>
      <c r="O14" s="459"/>
      <c r="P14" s="152">
        <f t="shared" si="1"/>
        <v>69481.371632364666</v>
      </c>
      <c r="Q14" s="153">
        <f t="shared" si="2"/>
        <v>163266.73621077256</v>
      </c>
      <c r="R14" s="139">
        <f t="shared" si="3"/>
        <v>302229.47947550192</v>
      </c>
      <c r="S14" s="324">
        <f t="shared" ref="S14:S17" si="14">+AVERAGE(H14:M14)</f>
        <v>232748.10784313723</v>
      </c>
      <c r="T14" s="305">
        <f t="shared" si="5"/>
        <v>1.1993309100846927</v>
      </c>
      <c r="U14" s="305">
        <f t="shared" si="6"/>
        <v>0.75820417992067257</v>
      </c>
      <c r="V14" s="305">
        <f t="shared" si="7"/>
        <v>1.1303464609787903</v>
      </c>
      <c r="W14" s="305">
        <f t="shared" si="8"/>
        <v>1.243064885386697</v>
      </c>
      <c r="X14" s="305">
        <f t="shared" si="9"/>
        <v>1.1635841103486995</v>
      </c>
      <c r="Y14" s="309">
        <f t="shared" si="10"/>
        <v>0.50546945328044834</v>
      </c>
      <c r="Z14" s="357">
        <f t="shared" si="13"/>
        <v>1</v>
      </c>
      <c r="AA14" s="344">
        <f t="shared" ref="AA14:AA17" si="15">+HARMEAN(H14:M14)</f>
        <v>209066.94097483341</v>
      </c>
    </row>
    <row r="15" spans="1:27" s="4" customFormat="1" ht="25.5">
      <c r="C15" s="2" t="s">
        <v>108</v>
      </c>
      <c r="D15" s="1" t="s">
        <v>140</v>
      </c>
      <c r="E15" s="15" t="s">
        <v>22</v>
      </c>
      <c r="F15" s="1" t="s">
        <v>4</v>
      </c>
      <c r="G15" s="38">
        <v>2</v>
      </c>
      <c r="H15" s="137">
        <v>170874</v>
      </c>
      <c r="I15" s="288">
        <v>119117.64705882352</v>
      </c>
      <c r="J15" s="289">
        <v>166442</v>
      </c>
      <c r="K15" s="289">
        <v>176152</v>
      </c>
      <c r="L15" s="290">
        <v>164358</v>
      </c>
      <c r="M15" s="291">
        <f>+HISTORICOS!AD15</f>
        <v>92437</v>
      </c>
      <c r="N15" s="217">
        <f t="shared" si="0"/>
        <v>148230.10784313726</v>
      </c>
      <c r="O15" s="459"/>
      <c r="P15" s="152">
        <f t="shared" si="1"/>
        <v>34189.37288311046</v>
      </c>
      <c r="Q15" s="153">
        <f t="shared" si="2"/>
        <v>114040.73496002681</v>
      </c>
      <c r="R15" s="139">
        <f t="shared" si="3"/>
        <v>182419.48072624771</v>
      </c>
      <c r="S15" s="324">
        <f t="shared" si="14"/>
        <v>148230.10784313726</v>
      </c>
      <c r="T15" s="305">
        <f t="shared" si="5"/>
        <v>1.1527617599848565</v>
      </c>
      <c r="U15" s="305">
        <f t="shared" si="6"/>
        <v>0.80359954392584232</v>
      </c>
      <c r="V15" s="305">
        <f t="shared" si="7"/>
        <v>1.122862301200882</v>
      </c>
      <c r="W15" s="305">
        <f t="shared" si="8"/>
        <v>1.188368561307469</v>
      </c>
      <c r="X15" s="305">
        <f t="shared" si="9"/>
        <v>1.1088030791553487</v>
      </c>
      <c r="Y15" s="309">
        <f t="shared" si="10"/>
        <v>0.62360475442560126</v>
      </c>
      <c r="Z15" s="357">
        <f t="shared" si="13"/>
        <v>1</v>
      </c>
      <c r="AA15" s="344">
        <f t="shared" si="15"/>
        <v>140073.02553647838</v>
      </c>
    </row>
    <row r="16" spans="1:27" s="4" customFormat="1" ht="38.25">
      <c r="C16" s="2" t="s">
        <v>109</v>
      </c>
      <c r="D16" s="1" t="s">
        <v>141</v>
      </c>
      <c r="E16" s="15" t="s">
        <v>23</v>
      </c>
      <c r="F16" s="1" t="s">
        <v>4</v>
      </c>
      <c r="G16" s="38">
        <v>2</v>
      </c>
      <c r="H16" s="137">
        <v>74571</v>
      </c>
      <c r="I16" s="288">
        <v>52815.126050420178</v>
      </c>
      <c r="J16" s="289">
        <v>73426</v>
      </c>
      <c r="K16" s="289">
        <v>78699</v>
      </c>
      <c r="L16" s="290">
        <v>78538</v>
      </c>
      <c r="M16" s="291">
        <f>+HISTORICOS!AD16</f>
        <v>37039.000000000007</v>
      </c>
      <c r="N16" s="217">
        <f t="shared" si="0"/>
        <v>65848.021008403361</v>
      </c>
      <c r="O16" s="459"/>
      <c r="P16" s="152">
        <f t="shared" si="1"/>
        <v>17085.171338813034</v>
      </c>
      <c r="Q16" s="153">
        <f t="shared" si="2"/>
        <v>48762.84966959033</v>
      </c>
      <c r="R16" s="139">
        <f t="shared" si="3"/>
        <v>82933.192347216391</v>
      </c>
      <c r="S16" s="324">
        <f t="shared" si="14"/>
        <v>65848.021008403361</v>
      </c>
      <c r="T16" s="305">
        <f t="shared" si="5"/>
        <v>1.1324713918203166</v>
      </c>
      <c r="U16" s="305">
        <f t="shared" si="6"/>
        <v>0.8020761329133953</v>
      </c>
      <c r="V16" s="305">
        <f t="shared" si="7"/>
        <v>1.115082866205342</v>
      </c>
      <c r="W16" s="305">
        <f t="shared" si="8"/>
        <v>1.1951612029457443</v>
      </c>
      <c r="X16" s="305">
        <f t="shared" si="9"/>
        <v>1.1927161788199705</v>
      </c>
      <c r="Y16" s="309">
        <f t="shared" si="10"/>
        <v>0.56249222729523163</v>
      </c>
      <c r="Z16" s="357">
        <f t="shared" si="13"/>
        <v>1</v>
      </c>
      <c r="AA16" s="344">
        <f t="shared" si="15"/>
        <v>60974.950899434894</v>
      </c>
    </row>
    <row r="17" spans="3:27" s="4" customFormat="1" ht="25.5">
      <c r="C17" s="2" t="s">
        <v>110</v>
      </c>
      <c r="D17" s="1" t="s">
        <v>145</v>
      </c>
      <c r="E17" s="15" t="s">
        <v>24</v>
      </c>
      <c r="F17" s="1" t="s">
        <v>4</v>
      </c>
      <c r="G17" s="38">
        <v>4</v>
      </c>
      <c r="H17" s="137">
        <v>398574</v>
      </c>
      <c r="I17" s="288">
        <v>251974.78991596639</v>
      </c>
      <c r="J17" s="289">
        <v>380486</v>
      </c>
      <c r="K17" s="289">
        <v>405317</v>
      </c>
      <c r="L17" s="290">
        <v>379948</v>
      </c>
      <c r="M17" s="291">
        <f>+HISTORICOS!AD17</f>
        <v>133605.00000000003</v>
      </c>
      <c r="N17" s="217">
        <f t="shared" si="0"/>
        <v>324984.13165266108</v>
      </c>
      <c r="O17" s="459"/>
      <c r="P17" s="152">
        <f t="shared" si="1"/>
        <v>109477.5398764428</v>
      </c>
      <c r="Q17" s="153">
        <f t="shared" si="2"/>
        <v>215506.59177621827</v>
      </c>
      <c r="R17" s="139">
        <f t="shared" si="3"/>
        <v>434461.67152910389</v>
      </c>
      <c r="S17" s="324">
        <f t="shared" si="14"/>
        <v>324984.13165266108</v>
      </c>
      <c r="T17" s="305">
        <f t="shared" si="5"/>
        <v>1.2264414203029175</v>
      </c>
      <c r="U17" s="305">
        <f t="shared" si="6"/>
        <v>0.77534490264058142</v>
      </c>
      <c r="V17" s="305">
        <f t="shared" si="7"/>
        <v>1.1707833181426182</v>
      </c>
      <c r="W17" s="305">
        <f t="shared" si="8"/>
        <v>1.2471901256803446</v>
      </c>
      <c r="X17" s="305">
        <f t="shared" si="9"/>
        <v>1.1691278526980007</v>
      </c>
      <c r="Y17" s="309">
        <f t="shared" si="10"/>
        <v>0.41111238053553756</v>
      </c>
      <c r="Z17" s="357">
        <f t="shared" si="13"/>
        <v>0.99999999999999989</v>
      </c>
      <c r="AA17" s="344">
        <f t="shared" si="15"/>
        <v>276628.91502371879</v>
      </c>
    </row>
    <row r="18" spans="3:27" s="4" customFormat="1" ht="51">
      <c r="C18" s="2" t="s">
        <v>111</v>
      </c>
      <c r="D18" s="1" t="s">
        <v>146</v>
      </c>
      <c r="E18" s="15" t="s">
        <v>25</v>
      </c>
      <c r="F18" s="1" t="s">
        <v>4</v>
      </c>
      <c r="G18" s="38">
        <v>3</v>
      </c>
      <c r="H18" s="137">
        <v>88365</v>
      </c>
      <c r="I18" s="222">
        <v>100714.28571428571</v>
      </c>
      <c r="J18" s="289">
        <v>83648</v>
      </c>
      <c r="K18" s="289">
        <v>90057</v>
      </c>
      <c r="L18" s="290">
        <v>92239</v>
      </c>
      <c r="M18" s="291">
        <f>+HISTORICOS!AD18</f>
        <v>63529.411764705888</v>
      </c>
      <c r="N18" s="217">
        <f t="shared" si="0"/>
        <v>86425.449579831926</v>
      </c>
      <c r="O18" s="459"/>
      <c r="P18" s="152">
        <f t="shared" si="1"/>
        <v>12544.807648201655</v>
      </c>
      <c r="Q18" s="153">
        <f t="shared" si="2"/>
        <v>73880.641931630264</v>
      </c>
      <c r="R18" s="139">
        <f t="shared" si="3"/>
        <v>98970.257228033588</v>
      </c>
      <c r="S18" s="324">
        <f>+AVERAGE(H18,J18:M18)</f>
        <v>83567.682352941178</v>
      </c>
      <c r="T18" s="305">
        <f t="shared" si="5"/>
        <v>1.0574063742344528</v>
      </c>
      <c r="U18" s="312">
        <f t="shared" si="6"/>
        <v>1.2051822292848482</v>
      </c>
      <c r="V18" s="305">
        <f t="shared" si="7"/>
        <v>1.0009611089454367</v>
      </c>
      <c r="W18" s="305">
        <f t="shared" si="8"/>
        <v>1.0776534356864382</v>
      </c>
      <c r="X18" s="305">
        <f t="shared" si="9"/>
        <v>1.1037640078426039</v>
      </c>
      <c r="Y18" s="309">
        <f t="shared" si="10"/>
        <v>0.7602150732910683</v>
      </c>
      <c r="Z18" s="357">
        <f>+AVERAGE(T18,V18:Y18)</f>
        <v>1</v>
      </c>
      <c r="AA18" s="344">
        <f>+HARMEAN(H18,J18:M18)</f>
        <v>82023.98897221782</v>
      </c>
    </row>
    <row r="19" spans="3:27" s="4" customFormat="1" ht="25.5">
      <c r="C19" s="2" t="s">
        <v>112</v>
      </c>
      <c r="D19" s="1" t="s">
        <v>147</v>
      </c>
      <c r="E19" s="15" t="s">
        <v>26</v>
      </c>
      <c r="F19" s="1" t="s">
        <v>4</v>
      </c>
      <c r="G19" s="38">
        <v>2</v>
      </c>
      <c r="H19" s="137">
        <v>48985</v>
      </c>
      <c r="I19" s="222">
        <v>522983.19327731099</v>
      </c>
      <c r="J19" s="289">
        <v>51426</v>
      </c>
      <c r="K19" s="289">
        <v>52827</v>
      </c>
      <c r="L19" s="290">
        <v>49586</v>
      </c>
      <c r="M19" s="291">
        <f>+HISTORICOS!AD19</f>
        <v>63025.210084033613</v>
      </c>
      <c r="N19" s="217">
        <f t="shared" si="0"/>
        <v>131472.06722689079</v>
      </c>
      <c r="O19" s="459"/>
      <c r="P19" s="152">
        <f t="shared" si="1"/>
        <v>191868.59973283656</v>
      </c>
      <c r="Q19" s="153">
        <f>+P19-N19</f>
        <v>60396.532505945768</v>
      </c>
      <c r="R19" s="139">
        <f t="shared" si="3"/>
        <v>323340.66695972736</v>
      </c>
      <c r="S19" s="324">
        <f>+AVERAGE(H19,J19:M19)</f>
        <v>53169.842016806724</v>
      </c>
      <c r="T19" s="305">
        <f t="shared" si="5"/>
        <v>0.92129293866466788</v>
      </c>
      <c r="U19" s="312">
        <f t="shared" si="6"/>
        <v>9.836087026777296</v>
      </c>
      <c r="V19" s="305">
        <f t="shared" si="7"/>
        <v>0.96720242245114241</v>
      </c>
      <c r="W19" s="305">
        <f t="shared" si="8"/>
        <v>0.99355194591892237</v>
      </c>
      <c r="X19" s="305">
        <f t="shared" si="9"/>
        <v>0.93259633881037507</v>
      </c>
      <c r="Y19" s="309">
        <f t="shared" si="10"/>
        <v>1.1853563541548922</v>
      </c>
      <c r="Z19" s="357">
        <f t="shared" ref="Z19" si="16">+AVERAGE(T19,V19:Y19)</f>
        <v>1</v>
      </c>
      <c r="AA19" s="344">
        <f>+HARMEAN(H19,J19:M19)</f>
        <v>52729.715861559162</v>
      </c>
    </row>
    <row r="20" spans="3:27" s="4" customFormat="1" ht="25.5">
      <c r="C20" s="2" t="s">
        <v>113</v>
      </c>
      <c r="D20" s="1" t="s">
        <v>148</v>
      </c>
      <c r="E20" s="15" t="s">
        <v>64</v>
      </c>
      <c r="F20" s="1" t="s">
        <v>4</v>
      </c>
      <c r="G20" s="38">
        <v>2</v>
      </c>
      <c r="H20" s="137">
        <v>93803</v>
      </c>
      <c r="I20" s="288">
        <v>114240</v>
      </c>
      <c r="J20" s="289">
        <v>97671</v>
      </c>
      <c r="K20" s="289">
        <v>97205</v>
      </c>
      <c r="L20" s="290">
        <v>96238</v>
      </c>
      <c r="M20" s="291">
        <f>+HISTORICOS!AD20</f>
        <v>44800</v>
      </c>
      <c r="N20" s="217">
        <f t="shared" si="0"/>
        <v>90659.5</v>
      </c>
      <c r="O20" s="459"/>
      <c r="P20" s="152">
        <f t="shared" si="1"/>
        <v>23631.079863180184</v>
      </c>
      <c r="Q20" s="153">
        <f t="shared" si="2"/>
        <v>67028.420136819812</v>
      </c>
      <c r="R20" s="139">
        <f t="shared" si="3"/>
        <v>114290.57986318019</v>
      </c>
      <c r="S20" s="324">
        <f>+AVERAGE(H20:M20)</f>
        <v>90659.5</v>
      </c>
      <c r="T20" s="305">
        <f t="shared" si="5"/>
        <v>1.034673696634109</v>
      </c>
      <c r="U20" s="305">
        <f t="shared" si="6"/>
        <v>1.260099603461303</v>
      </c>
      <c r="V20" s="305">
        <f t="shared" si="7"/>
        <v>1.0773388337681102</v>
      </c>
      <c r="W20" s="305">
        <f t="shared" si="8"/>
        <v>1.0721987215901256</v>
      </c>
      <c r="X20" s="305">
        <f t="shared" si="9"/>
        <v>1.0615324373066253</v>
      </c>
      <c r="Y20" s="309">
        <f t="shared" si="10"/>
        <v>0.49415670723972666</v>
      </c>
      <c r="Z20" s="357">
        <f>+AVERAGE(T20:Y20)</f>
        <v>0.99999999999999989</v>
      </c>
      <c r="AA20" s="344">
        <f t="shared" ref="AA20:AA21" si="17">+HARMEAN(H20:M20)</f>
        <v>82584.946328982609</v>
      </c>
    </row>
    <row r="21" spans="3:27" s="4" customFormat="1" ht="51">
      <c r="C21" s="2" t="s">
        <v>114</v>
      </c>
      <c r="D21" s="1" t="s">
        <v>142</v>
      </c>
      <c r="E21" s="15" t="s">
        <v>27</v>
      </c>
      <c r="F21" s="1" t="s">
        <v>4</v>
      </c>
      <c r="G21" s="38">
        <v>3</v>
      </c>
      <c r="H21" s="137">
        <v>317761</v>
      </c>
      <c r="I21" s="288">
        <v>222670.58823529416</v>
      </c>
      <c r="J21" s="289">
        <v>307470</v>
      </c>
      <c r="K21" s="289">
        <v>330448</v>
      </c>
      <c r="L21" s="290">
        <v>311964</v>
      </c>
      <c r="M21" s="291">
        <f>+HISTORICOS!AD21</f>
        <v>113273</v>
      </c>
      <c r="N21" s="217">
        <f t="shared" si="0"/>
        <v>267264.43137254904</v>
      </c>
      <c r="O21" s="459"/>
      <c r="P21" s="152">
        <f t="shared" si="1"/>
        <v>84685.982020284893</v>
      </c>
      <c r="Q21" s="153">
        <f t="shared" si="2"/>
        <v>182578.44935226414</v>
      </c>
      <c r="R21" s="139">
        <f t="shared" si="3"/>
        <v>351950.4133928339</v>
      </c>
      <c r="S21" s="324">
        <f t="shared" ref="S21:S23" si="18">+AVERAGE(H21:M21)</f>
        <v>267264.43137254904</v>
      </c>
      <c r="T21" s="305">
        <f t="shared" si="5"/>
        <v>1.1889386042434582</v>
      </c>
      <c r="U21" s="305">
        <f t="shared" si="6"/>
        <v>0.833147108621072</v>
      </c>
      <c r="V21" s="305">
        <f t="shared" si="7"/>
        <v>1.1504336675889619</v>
      </c>
      <c r="W21" s="305">
        <f t="shared" si="8"/>
        <v>1.2364084450106914</v>
      </c>
      <c r="X21" s="305">
        <f t="shared" si="9"/>
        <v>1.1672484752194454</v>
      </c>
      <c r="Y21" s="309">
        <f t="shared" si="10"/>
        <v>0.42382369931637065</v>
      </c>
      <c r="Z21" s="357">
        <f t="shared" ref="Z21" si="19">+AVERAGE(T21:Y21)</f>
        <v>1</v>
      </c>
      <c r="AA21" s="344">
        <f t="shared" si="17"/>
        <v>231211.82398997343</v>
      </c>
    </row>
    <row r="22" spans="3:27" s="4" customFormat="1" ht="63.75">
      <c r="C22" s="2" t="s">
        <v>115</v>
      </c>
      <c r="D22" s="1" t="s">
        <v>149</v>
      </c>
      <c r="E22" s="15" t="s">
        <v>28</v>
      </c>
      <c r="F22" s="1" t="s">
        <v>4</v>
      </c>
      <c r="G22" s="38">
        <v>1</v>
      </c>
      <c r="H22" s="137">
        <v>120693</v>
      </c>
      <c r="I22" s="222">
        <v>31512.60504201681</v>
      </c>
      <c r="J22" s="289">
        <v>115021</v>
      </c>
      <c r="K22" s="289">
        <v>128640</v>
      </c>
      <c r="L22" s="290">
        <v>125061</v>
      </c>
      <c r="M22" s="291">
        <f>+HISTORICOS!AD22</f>
        <v>28487.394957983193</v>
      </c>
      <c r="N22" s="217">
        <f t="shared" si="0"/>
        <v>91569.166666666672</v>
      </c>
      <c r="O22" s="459"/>
      <c r="P22" s="152">
        <f t="shared" si="1"/>
        <v>47917.087254672741</v>
      </c>
      <c r="Q22" s="153">
        <f t="shared" si="2"/>
        <v>43652.079411993931</v>
      </c>
      <c r="R22" s="139">
        <f t="shared" si="3"/>
        <v>139486.2539213394</v>
      </c>
      <c r="S22" s="324">
        <f t="shared" si="18"/>
        <v>91569.166666666672</v>
      </c>
      <c r="T22" s="305">
        <f t="shared" si="5"/>
        <v>1.3180528380186198</v>
      </c>
      <c r="U22" s="312">
        <f t="shared" si="6"/>
        <v>0.34413991291118889</v>
      </c>
      <c r="V22" s="305">
        <f t="shared" si="7"/>
        <v>1.2561105903551959</v>
      </c>
      <c r="W22" s="305">
        <f t="shared" si="8"/>
        <v>1.4048396931281453</v>
      </c>
      <c r="X22" s="305">
        <f t="shared" si="9"/>
        <v>1.365754484315135</v>
      </c>
      <c r="Y22" s="309">
        <f t="shared" si="10"/>
        <v>0.31110248127171475</v>
      </c>
      <c r="Z22" s="357">
        <f>+AVERAGE(T22,V22:Y22)</f>
        <v>1.1311720174177622</v>
      </c>
      <c r="AA22" s="344">
        <f>+HARMEAN(H22,J22:M22)</f>
        <v>73689.226570541505</v>
      </c>
    </row>
    <row r="23" spans="3:27" s="4" customFormat="1" ht="63.75">
      <c r="C23" s="2" t="s">
        <v>116</v>
      </c>
      <c r="D23" s="1" t="s">
        <v>143</v>
      </c>
      <c r="E23" s="15" t="s">
        <v>29</v>
      </c>
      <c r="F23" s="1" t="s">
        <v>4</v>
      </c>
      <c r="G23" s="38">
        <v>4</v>
      </c>
      <c r="H23" s="137">
        <v>478809</v>
      </c>
      <c r="I23" s="288">
        <v>352941.17647058825</v>
      </c>
      <c r="J23" s="289">
        <v>439848</v>
      </c>
      <c r="K23" s="223">
        <v>513616</v>
      </c>
      <c r="L23" s="290">
        <v>411985</v>
      </c>
      <c r="M23" s="291">
        <f>+HISTORICOS!AD23</f>
        <v>336134.45378151262</v>
      </c>
      <c r="N23" s="217">
        <f t="shared" si="0"/>
        <v>422222.2717086834</v>
      </c>
      <c r="O23" s="459"/>
      <c r="P23" s="152">
        <f t="shared" si="1"/>
        <v>69543.255564275954</v>
      </c>
      <c r="Q23" s="153">
        <f t="shared" si="2"/>
        <v>352679.01614440745</v>
      </c>
      <c r="R23" s="139">
        <f t="shared" si="3"/>
        <v>491765.52727295936</v>
      </c>
      <c r="S23" s="324">
        <f t="shared" si="18"/>
        <v>422222.2717086834</v>
      </c>
      <c r="T23" s="305">
        <f t="shared" si="5"/>
        <v>1.1340211828767743</v>
      </c>
      <c r="U23" s="305">
        <f t="shared" si="6"/>
        <v>0.83591321472047697</v>
      </c>
      <c r="V23" s="305">
        <f t="shared" si="7"/>
        <v>1.0417451410603884</v>
      </c>
      <c r="W23" s="312">
        <f t="shared" si="8"/>
        <v>1.2164588047936387</v>
      </c>
      <c r="X23" s="305">
        <f t="shared" si="9"/>
        <v>0.97575383300541119</v>
      </c>
      <c r="Y23" s="309">
        <f t="shared" si="10"/>
        <v>0.79610782354331144</v>
      </c>
      <c r="Z23" s="357">
        <f>+AVERAGE(T23:V23,X23:Y23)</f>
        <v>0.95670823904127256</v>
      </c>
      <c r="AA23" s="344">
        <f>+HARMEAN(H23:J23,L23:M23)</f>
        <v>396899.91631957167</v>
      </c>
    </row>
    <row r="24" spans="3:27" s="4" customFormat="1" ht="25.5">
      <c r="C24" s="2" t="s">
        <v>117</v>
      </c>
      <c r="D24" s="1" t="s">
        <v>150</v>
      </c>
      <c r="E24" s="15" t="s">
        <v>30</v>
      </c>
      <c r="F24" s="1" t="s">
        <v>4</v>
      </c>
      <c r="G24" s="38">
        <v>10</v>
      </c>
      <c r="H24" s="137">
        <v>57776</v>
      </c>
      <c r="I24" s="222">
        <v>23823.529411764706</v>
      </c>
      <c r="J24" s="289">
        <v>59049</v>
      </c>
      <c r="K24" s="289">
        <v>54705</v>
      </c>
      <c r="L24" s="290">
        <v>59340</v>
      </c>
      <c r="M24" s="291">
        <f>+HISTORICOS!AD24</f>
        <v>21008.403361344539</v>
      </c>
      <c r="N24" s="217">
        <f t="shared" si="0"/>
        <v>45950.322128851541</v>
      </c>
      <c r="O24" s="459"/>
      <c r="P24" s="152">
        <f t="shared" si="1"/>
        <v>18325.087421100223</v>
      </c>
      <c r="Q24" s="153">
        <f t="shared" si="2"/>
        <v>27625.234707751319</v>
      </c>
      <c r="R24" s="139">
        <f t="shared" si="3"/>
        <v>64275.409549951764</v>
      </c>
      <c r="S24" s="351">
        <f>+AVERAGE(H24,J24:M24)</f>
        <v>50375.680672268907</v>
      </c>
      <c r="T24" s="305">
        <f t="shared" si="5"/>
        <v>1.1469026170757999</v>
      </c>
      <c r="U24" s="312">
        <f t="shared" si="6"/>
        <v>0.47291727067182276</v>
      </c>
      <c r="V24" s="305">
        <f t="shared" si="7"/>
        <v>1.1721727470871799</v>
      </c>
      <c r="W24" s="305">
        <f t="shared" si="8"/>
        <v>1.0859406616437903</v>
      </c>
      <c r="X24" s="305">
        <f t="shared" si="9"/>
        <v>1.1779493439711639</v>
      </c>
      <c r="Y24" s="309">
        <f t="shared" si="10"/>
        <v>0.41703463022206594</v>
      </c>
      <c r="Z24" s="357">
        <f>+AVERAGE(T24,V24:Y24)</f>
        <v>1</v>
      </c>
      <c r="AA24" s="344">
        <f>+HARMEAN(H24,J24:M24)</f>
        <v>42744.096993298001</v>
      </c>
    </row>
    <row r="25" spans="3:27" s="4" customFormat="1" ht="25.5">
      <c r="C25" s="2" t="s">
        <v>118</v>
      </c>
      <c r="D25" s="1" t="s">
        <v>151</v>
      </c>
      <c r="E25" s="15" t="s">
        <v>31</v>
      </c>
      <c r="F25" s="1" t="s">
        <v>4</v>
      </c>
      <c r="G25" s="38">
        <v>10</v>
      </c>
      <c r="H25" s="137">
        <v>74317</v>
      </c>
      <c r="I25" s="288">
        <v>74243.697478991598</v>
      </c>
      <c r="J25" s="289">
        <v>79790</v>
      </c>
      <c r="K25" s="289">
        <v>69427</v>
      </c>
      <c r="L25" s="290">
        <v>74173</v>
      </c>
      <c r="M25" s="291">
        <f>+HISTORICOS!AD25</f>
        <v>10924.36974789916</v>
      </c>
      <c r="N25" s="217">
        <f t="shared" si="0"/>
        <v>63812.511204481794</v>
      </c>
      <c r="O25" s="459"/>
      <c r="P25" s="152">
        <f t="shared" si="1"/>
        <v>26116.85968644833</v>
      </c>
      <c r="Q25" s="153">
        <f t="shared" si="2"/>
        <v>37695.651518033468</v>
      </c>
      <c r="R25" s="139">
        <f t="shared" si="3"/>
        <v>89929.37089093012</v>
      </c>
      <c r="S25" s="351">
        <f>+AVERAGE(H25:M25)</f>
        <v>63812.511204481794</v>
      </c>
      <c r="T25" s="305">
        <f t="shared" si="5"/>
        <v>1.1646148787634678</v>
      </c>
      <c r="U25" s="305">
        <f t="shared" si="6"/>
        <v>1.1634661616917716</v>
      </c>
      <c r="V25" s="305">
        <f t="shared" si="7"/>
        <v>1.2503817589049222</v>
      </c>
      <c r="W25" s="305">
        <f t="shared" si="8"/>
        <v>1.0879841380560475</v>
      </c>
      <c r="X25" s="305">
        <f t="shared" si="9"/>
        <v>1.1623582679941695</v>
      </c>
      <c r="Y25" s="309">
        <f t="shared" si="10"/>
        <v>0.17119479458962117</v>
      </c>
      <c r="Z25" s="357">
        <f>+AVERAGE(T25:Y25)</f>
        <v>1</v>
      </c>
      <c r="AA25" s="344">
        <f>+HARMEAN(H25:M25)</f>
        <v>37763.874693192971</v>
      </c>
    </row>
    <row r="26" spans="3:27" s="4" customFormat="1" ht="25.5">
      <c r="C26" s="2" t="s">
        <v>119</v>
      </c>
      <c r="D26" s="1" t="s">
        <v>152</v>
      </c>
      <c r="E26" s="15" t="s">
        <v>32</v>
      </c>
      <c r="F26" s="1" t="s">
        <v>4</v>
      </c>
      <c r="G26" s="38">
        <v>10</v>
      </c>
      <c r="H26" s="137">
        <v>141837</v>
      </c>
      <c r="I26" s="222">
        <v>190210.08403361347</v>
      </c>
      <c r="J26" s="289">
        <v>141240</v>
      </c>
      <c r="K26" s="289">
        <v>144494</v>
      </c>
      <c r="L26" s="290">
        <v>144649</v>
      </c>
      <c r="M26" s="291">
        <f>+HISTORICOS!AD26</f>
        <v>34663.865546218491</v>
      </c>
      <c r="N26" s="217">
        <f t="shared" si="0"/>
        <v>132848.99159663866</v>
      </c>
      <c r="O26" s="459"/>
      <c r="P26" s="152">
        <f t="shared" si="1"/>
        <v>51684.917798557057</v>
      </c>
      <c r="Q26" s="153">
        <f t="shared" si="2"/>
        <v>81164.073798081605</v>
      </c>
      <c r="R26" s="139">
        <f t="shared" si="3"/>
        <v>184533.90939519572</v>
      </c>
      <c r="S26" s="351">
        <f>+AVERAGE(H26,J26:M26)</f>
        <v>121376.77310924369</v>
      </c>
      <c r="T26" s="305">
        <f t="shared" si="5"/>
        <v>1.1685678929060122</v>
      </c>
      <c r="U26" s="312">
        <f t="shared" si="6"/>
        <v>1.5671044728007162</v>
      </c>
      <c r="V26" s="305">
        <f t="shared" si="7"/>
        <v>1.1636493241823018</v>
      </c>
      <c r="W26" s="305">
        <f t="shared" si="8"/>
        <v>1.1904584073095263</v>
      </c>
      <c r="X26" s="305">
        <f t="shared" si="9"/>
        <v>1.1917354226398029</v>
      </c>
      <c r="Y26" s="309">
        <f t="shared" si="10"/>
        <v>0.28558895296235715</v>
      </c>
      <c r="Z26" s="357">
        <f>+AVERAGE(T26,V26:Y26)</f>
        <v>1</v>
      </c>
      <c r="AA26" s="344">
        <f>+HARMEAN(H26,J26:M26)</f>
        <v>88008.07609566988</v>
      </c>
    </row>
    <row r="27" spans="3:27" s="4" customFormat="1" ht="63.75">
      <c r="C27" s="2" t="s">
        <v>120</v>
      </c>
      <c r="D27" s="1" t="s">
        <v>153</v>
      </c>
      <c r="E27" s="15" t="s">
        <v>33</v>
      </c>
      <c r="F27" s="1" t="s">
        <v>4</v>
      </c>
      <c r="G27" s="38">
        <v>3</v>
      </c>
      <c r="H27" s="137">
        <v>236591</v>
      </c>
      <c r="I27" s="288">
        <v>121069.5</v>
      </c>
      <c r="J27" s="289">
        <v>230254</v>
      </c>
      <c r="K27" s="289">
        <v>227774</v>
      </c>
      <c r="L27" s="290">
        <v>238206</v>
      </c>
      <c r="M27" s="291">
        <f>+HISTORICOS!AD27</f>
        <v>58823.529411764706</v>
      </c>
      <c r="N27" s="217">
        <f t="shared" si="0"/>
        <v>185453.00490196081</v>
      </c>
      <c r="O27" s="459"/>
      <c r="P27" s="152">
        <f t="shared" si="1"/>
        <v>76650.412378155597</v>
      </c>
      <c r="Q27" s="153">
        <f t="shared" si="2"/>
        <v>108802.59252380522</v>
      </c>
      <c r="R27" s="139">
        <f t="shared" si="3"/>
        <v>262103.41728011641</v>
      </c>
      <c r="S27" s="351">
        <f>+AVERAGE(H27:M27)</f>
        <v>185453.00490196081</v>
      </c>
      <c r="T27" s="305">
        <f t="shared" si="5"/>
        <v>1.2757463818128649</v>
      </c>
      <c r="U27" s="305">
        <f t="shared" si="6"/>
        <v>0.6528311582980445</v>
      </c>
      <c r="V27" s="305">
        <f t="shared" si="7"/>
        <v>1.2415759999236631</v>
      </c>
      <c r="W27" s="305">
        <f t="shared" si="8"/>
        <v>1.2282033398186891</v>
      </c>
      <c r="X27" s="305">
        <f t="shared" si="9"/>
        <v>1.2844547874860637</v>
      </c>
      <c r="Y27" s="309">
        <f t="shared" si="10"/>
        <v>0.31718833266067376</v>
      </c>
      <c r="Z27" s="357">
        <f>+AVERAGE(T27:Y27)</f>
        <v>1</v>
      </c>
      <c r="AA27" s="344">
        <f t="shared" ref="AA27:AA36" si="20">+HARMEAN(H27:M27)</f>
        <v>141449.99922181494</v>
      </c>
    </row>
    <row r="28" spans="3:27" s="4" customFormat="1" ht="76.5">
      <c r="C28" s="2" t="s">
        <v>121</v>
      </c>
      <c r="D28" s="1" t="s">
        <v>144</v>
      </c>
      <c r="E28" s="15" t="s">
        <v>34</v>
      </c>
      <c r="F28" s="1" t="s">
        <v>4</v>
      </c>
      <c r="G28" s="38">
        <v>3</v>
      </c>
      <c r="H28" s="137">
        <v>883419</v>
      </c>
      <c r="I28" s="288">
        <v>491470.5882352941</v>
      </c>
      <c r="J28" s="289">
        <v>867319</v>
      </c>
      <c r="K28" s="289">
        <v>919659</v>
      </c>
      <c r="L28" s="290">
        <v>783812</v>
      </c>
      <c r="M28" s="291">
        <f>+HISTORICOS!AD28</f>
        <v>327647.0588235294</v>
      </c>
      <c r="N28" s="217">
        <f t="shared" si="0"/>
        <v>712221.10784313723</v>
      </c>
      <c r="O28" s="459"/>
      <c r="P28" s="152">
        <f t="shared" si="1"/>
        <v>244191.64623681179</v>
      </c>
      <c r="Q28" s="153">
        <f t="shared" si="2"/>
        <v>468029.46160632547</v>
      </c>
      <c r="R28" s="139">
        <f t="shared" si="3"/>
        <v>956412.75407994899</v>
      </c>
      <c r="S28" s="351">
        <f>+AVERAGE(H28:M28)</f>
        <v>712221.10784313723</v>
      </c>
      <c r="T28" s="305">
        <f t="shared" si="5"/>
        <v>1.2403718315444368</v>
      </c>
      <c r="U28" s="305">
        <f t="shared" si="6"/>
        <v>0.69005338766727164</v>
      </c>
      <c r="V28" s="305">
        <f t="shared" si="7"/>
        <v>1.2177664919628053</v>
      </c>
      <c r="W28" s="305">
        <f t="shared" si="8"/>
        <v>1.2912549064784946</v>
      </c>
      <c r="X28" s="305">
        <f t="shared" si="9"/>
        <v>1.1005177905688106</v>
      </c>
      <c r="Y28" s="309">
        <f t="shared" si="10"/>
        <v>0.46003559177818115</v>
      </c>
      <c r="Z28" s="357">
        <f t="shared" ref="Z28:Z29" si="21">+AVERAGE(T28:Y28)</f>
        <v>1</v>
      </c>
      <c r="AA28" s="344">
        <f t="shared" si="20"/>
        <v>616339.52516609745</v>
      </c>
    </row>
    <row r="29" spans="3:27" s="4" customFormat="1" ht="63.75">
      <c r="C29" s="2" t="s">
        <v>122</v>
      </c>
      <c r="D29" s="1" t="s">
        <v>154</v>
      </c>
      <c r="E29" s="15" t="s">
        <v>35</v>
      </c>
      <c r="F29" s="1" t="s">
        <v>4</v>
      </c>
      <c r="G29" s="38">
        <v>2</v>
      </c>
      <c r="H29" s="137">
        <v>347279</v>
      </c>
      <c r="I29" s="288">
        <v>197394.95798319328</v>
      </c>
      <c r="J29" s="289">
        <v>328829</v>
      </c>
      <c r="K29" s="289">
        <v>355883</v>
      </c>
      <c r="L29" s="290">
        <v>356295</v>
      </c>
      <c r="M29" s="291">
        <f>+HISTORICOS!AD29</f>
        <v>145126</v>
      </c>
      <c r="N29" s="217">
        <f t="shared" si="0"/>
        <v>288467.8263305322</v>
      </c>
      <c r="O29" s="459"/>
      <c r="P29" s="152">
        <f t="shared" si="1"/>
        <v>92816.22287295913</v>
      </c>
      <c r="Q29" s="153">
        <f t="shared" si="2"/>
        <v>195651.60345757307</v>
      </c>
      <c r="R29" s="139">
        <f t="shared" si="3"/>
        <v>381284.0492034913</v>
      </c>
      <c r="S29" s="351">
        <f>+AVERAGE(H29:M29)</f>
        <v>288467.8263305322</v>
      </c>
      <c r="T29" s="305">
        <f t="shared" si="5"/>
        <v>1.2038742913467264</v>
      </c>
      <c r="U29" s="305">
        <f t="shared" si="6"/>
        <v>0.68428760494424845</v>
      </c>
      <c r="V29" s="305">
        <f t="shared" si="7"/>
        <v>1.1399156855129526</v>
      </c>
      <c r="W29" s="305">
        <f t="shared" si="8"/>
        <v>1.2337008411892081</v>
      </c>
      <c r="X29" s="305">
        <f t="shared" si="9"/>
        <v>1.2351290767232741</v>
      </c>
      <c r="Y29" s="309">
        <f t="shared" si="10"/>
        <v>0.50309250028359043</v>
      </c>
      <c r="Z29" s="357">
        <f t="shared" si="21"/>
        <v>0.99999999999999989</v>
      </c>
      <c r="AA29" s="344">
        <f t="shared" si="20"/>
        <v>255387.08952506352</v>
      </c>
    </row>
    <row r="30" spans="3:27" s="4" customFormat="1" ht="76.5">
      <c r="C30" s="2" t="s">
        <v>123</v>
      </c>
      <c r="D30" s="1" t="s">
        <v>155</v>
      </c>
      <c r="E30" s="15" t="s">
        <v>67</v>
      </c>
      <c r="F30" s="1" t="s">
        <v>4</v>
      </c>
      <c r="G30" s="38">
        <v>2</v>
      </c>
      <c r="H30" s="137">
        <v>185103</v>
      </c>
      <c r="I30" s="222">
        <v>390630.25210084039</v>
      </c>
      <c r="J30" s="289">
        <v>174719</v>
      </c>
      <c r="K30" s="289">
        <v>190169</v>
      </c>
      <c r="L30" s="290">
        <v>174464</v>
      </c>
      <c r="M30" s="291">
        <f>+HISTORICOS!AD30</f>
        <v>151260.50420168068</v>
      </c>
      <c r="N30" s="217">
        <f t="shared" si="0"/>
        <v>211057.62605042019</v>
      </c>
      <c r="O30" s="459"/>
      <c r="P30" s="152">
        <f t="shared" si="1"/>
        <v>88984.931680008332</v>
      </c>
      <c r="Q30" s="153">
        <f t="shared" si="2"/>
        <v>122072.69437041186</v>
      </c>
      <c r="R30" s="139">
        <f t="shared" si="3"/>
        <v>300042.55773042853</v>
      </c>
      <c r="S30" s="351" cm="1">
        <f t="array" ref="S30">+AVERAGE(H308/12/2025+J30:M30)</f>
        <v>172653.12605042016</v>
      </c>
      <c r="T30" s="305">
        <f t="shared" si="5"/>
        <v>1.0721091719239655</v>
      </c>
      <c r="U30" s="312">
        <f t="shared" si="6"/>
        <v>2.2625147950507656</v>
      </c>
      <c r="V30" s="305">
        <f t="shared" si="7"/>
        <v>1.0119654592814991</v>
      </c>
      <c r="W30" s="305">
        <f t="shared" si="8"/>
        <v>1.1014512412851687</v>
      </c>
      <c r="X30" s="305">
        <f t="shared" si="9"/>
        <v>1.0104885094814386</v>
      </c>
      <c r="Y30" s="309">
        <f t="shared" si="10"/>
        <v>0.87609478995189372</v>
      </c>
      <c r="Z30" s="357">
        <f>+AVERAGE(T30,V30:Y30)</f>
        <v>1.0144218343847931</v>
      </c>
      <c r="AA30" s="344">
        <f>+HARMEAN(H30,J30:M30)</f>
        <v>174050.42636986298</v>
      </c>
    </row>
    <row r="31" spans="3:27" s="4" customFormat="1" ht="38.25">
      <c r="C31" s="2" t="s">
        <v>124</v>
      </c>
      <c r="D31" s="1" t="s">
        <v>156</v>
      </c>
      <c r="E31" s="15" t="s">
        <v>65</v>
      </c>
      <c r="F31" s="1" t="s">
        <v>4</v>
      </c>
      <c r="G31" s="38">
        <v>2</v>
      </c>
      <c r="H31" s="137">
        <v>47853</v>
      </c>
      <c r="I31" s="288">
        <v>27731.092436974788</v>
      </c>
      <c r="J31" s="289">
        <v>46994</v>
      </c>
      <c r="K31" s="289">
        <v>51289</v>
      </c>
      <c r="L31" s="290">
        <v>47353</v>
      </c>
      <c r="M31" s="291">
        <f>+HISTORICOS!AD31</f>
        <v>20168.067226890758</v>
      </c>
      <c r="N31" s="217">
        <f t="shared" si="0"/>
        <v>40231.359943977594</v>
      </c>
      <c r="O31" s="459"/>
      <c r="P31" s="152">
        <f t="shared" si="1"/>
        <v>12927.523047862771</v>
      </c>
      <c r="Q31" s="153">
        <f t="shared" si="2"/>
        <v>27303.836896114823</v>
      </c>
      <c r="R31" s="139">
        <f t="shared" si="3"/>
        <v>53158.882991840364</v>
      </c>
      <c r="S31" s="324">
        <f>+AVERAGE(H31:M31)</f>
        <v>40231.359943977594</v>
      </c>
      <c r="T31" s="305">
        <f t="shared" si="5"/>
        <v>1.1894452503379349</v>
      </c>
      <c r="U31" s="305">
        <f t="shared" si="6"/>
        <v>0.68929045589287807</v>
      </c>
      <c r="V31" s="305">
        <f t="shared" si="7"/>
        <v>1.168093747401018</v>
      </c>
      <c r="W31" s="305">
        <f t="shared" si="8"/>
        <v>1.2748512620856027</v>
      </c>
      <c r="X31" s="305">
        <f t="shared" si="9"/>
        <v>1.1770171345422906</v>
      </c>
      <c r="Y31" s="309">
        <f t="shared" si="10"/>
        <v>0.50130214974027498</v>
      </c>
      <c r="Z31" s="357">
        <f>+AVERAGE(T31:Y31)</f>
        <v>0.99999999999999989</v>
      </c>
      <c r="AA31" s="344">
        <f t="shared" si="20"/>
        <v>35621.853925404983</v>
      </c>
    </row>
    <row r="32" spans="3:27" s="4" customFormat="1" ht="51">
      <c r="C32" s="2" t="s">
        <v>125</v>
      </c>
      <c r="D32" s="1" t="s">
        <v>157</v>
      </c>
      <c r="E32" s="15" t="s">
        <v>66</v>
      </c>
      <c r="F32" s="1" t="s">
        <v>4</v>
      </c>
      <c r="G32" s="38">
        <v>2</v>
      </c>
      <c r="H32" s="137">
        <v>53834</v>
      </c>
      <c r="I32" s="288">
        <v>34033.613445378149</v>
      </c>
      <c r="J32" s="289">
        <v>54009</v>
      </c>
      <c r="K32" s="289">
        <v>54067</v>
      </c>
      <c r="L32" s="290">
        <v>55528</v>
      </c>
      <c r="M32" s="291">
        <f>+HISTORICOS!AD32</f>
        <v>22689.0756302521</v>
      </c>
      <c r="N32" s="217">
        <f t="shared" si="0"/>
        <v>45693.448179271705</v>
      </c>
      <c r="O32" s="459"/>
      <c r="P32" s="152">
        <f t="shared" si="1"/>
        <v>13909.742399009356</v>
      </c>
      <c r="Q32" s="153">
        <f t="shared" si="2"/>
        <v>31783.705780262349</v>
      </c>
      <c r="R32" s="139">
        <f t="shared" si="3"/>
        <v>59603.190578281065</v>
      </c>
      <c r="S32" s="324">
        <f t="shared" ref="S32" si="22">+AVERAGE(H32:M32)</f>
        <v>45693.448179271705</v>
      </c>
      <c r="T32" s="305">
        <f t="shared" si="5"/>
        <v>1.1781557782373964</v>
      </c>
      <c r="U32" s="305">
        <f t="shared" si="6"/>
        <v>0.74482480096166381</v>
      </c>
      <c r="V32" s="305">
        <f t="shared" si="7"/>
        <v>1.1819856489732055</v>
      </c>
      <c r="W32" s="305">
        <f t="shared" si="8"/>
        <v>1.1832549775599308</v>
      </c>
      <c r="X32" s="305">
        <f t="shared" si="9"/>
        <v>1.215228926960028</v>
      </c>
      <c r="Y32" s="309">
        <f t="shared" si="10"/>
        <v>0.49654986730777589</v>
      </c>
      <c r="Z32" s="357">
        <f t="shared" ref="Z32" si="23">+AVERAGE(T32:Y32)</f>
        <v>1</v>
      </c>
      <c r="AA32" s="344">
        <f t="shared" si="20"/>
        <v>40801.796973940975</v>
      </c>
    </row>
    <row r="33" spans="3:27" s="4" customFormat="1" ht="76.5">
      <c r="C33" s="2" t="s">
        <v>126</v>
      </c>
      <c r="D33" s="1" t="s">
        <v>158</v>
      </c>
      <c r="E33" s="15" t="s">
        <v>58</v>
      </c>
      <c r="F33" s="1" t="s">
        <v>4</v>
      </c>
      <c r="G33" s="38">
        <v>2</v>
      </c>
      <c r="H33" s="137">
        <v>240343</v>
      </c>
      <c r="I33" s="222">
        <v>106764.70588235295</v>
      </c>
      <c r="J33" s="289">
        <v>231881</v>
      </c>
      <c r="K33" s="289">
        <v>253976</v>
      </c>
      <c r="L33" s="290">
        <v>248644</v>
      </c>
      <c r="M33" s="291">
        <f>+HISTORICOS!AD33</f>
        <v>126050.42016806723</v>
      </c>
      <c r="N33" s="217">
        <f t="shared" si="0"/>
        <v>201276.52100840339</v>
      </c>
      <c r="O33" s="459"/>
      <c r="P33" s="152">
        <f t="shared" si="1"/>
        <v>66445.747062116949</v>
      </c>
      <c r="Q33" s="153">
        <f t="shared" si="2"/>
        <v>134830.77394628644</v>
      </c>
      <c r="R33" s="139">
        <f t="shared" si="3"/>
        <v>267722.26807052037</v>
      </c>
      <c r="S33" s="324">
        <f>+AVERAGE(H33,J33:M33)</f>
        <v>220178.88403361346</v>
      </c>
      <c r="T33" s="305">
        <f t="shared" si="5"/>
        <v>1.0915806075359533</v>
      </c>
      <c r="U33" s="312">
        <f t="shared" si="6"/>
        <v>0.48489984110398976</v>
      </c>
      <c r="V33" s="305">
        <f t="shared" si="7"/>
        <v>1.0531482209011471</v>
      </c>
      <c r="W33" s="305">
        <f t="shared" si="8"/>
        <v>1.1534984433894528</v>
      </c>
      <c r="X33" s="305">
        <f t="shared" si="9"/>
        <v>1.1292817705536238</v>
      </c>
      <c r="Y33" s="309">
        <f t="shared" si="10"/>
        <v>0.57249095761982249</v>
      </c>
      <c r="Z33" s="357">
        <f>+AVERAGE(T33,V33:Y33)</f>
        <v>0.99999999999999978</v>
      </c>
      <c r="AA33" s="344">
        <f>+HARMEAN(H33,J33:M33)</f>
        <v>205205.61719102267</v>
      </c>
    </row>
    <row r="34" spans="3:27" s="4" customFormat="1" ht="51">
      <c r="C34" s="2" t="s">
        <v>127</v>
      </c>
      <c r="D34" s="1" t="s">
        <v>159</v>
      </c>
      <c r="E34" s="15" t="s">
        <v>36</v>
      </c>
      <c r="F34" s="1" t="s">
        <v>4</v>
      </c>
      <c r="G34" s="38">
        <v>2</v>
      </c>
      <c r="H34" s="137">
        <v>275344</v>
      </c>
      <c r="I34" s="288">
        <v>180124.78991596639</v>
      </c>
      <c r="J34" s="289">
        <v>273567</v>
      </c>
      <c r="K34" s="289">
        <v>284707</v>
      </c>
      <c r="L34" s="290">
        <v>279736</v>
      </c>
      <c r="M34" s="291">
        <f>+HISTORICOS!AD34</f>
        <v>327731.09243697481</v>
      </c>
      <c r="N34" s="217">
        <f t="shared" si="0"/>
        <v>270201.64705882355</v>
      </c>
      <c r="O34" s="459"/>
      <c r="P34" s="152">
        <f t="shared" si="1"/>
        <v>48502.692342585899</v>
      </c>
      <c r="Q34" s="153">
        <f t="shared" si="2"/>
        <v>221698.95471623767</v>
      </c>
      <c r="R34" s="139">
        <f t="shared" si="3"/>
        <v>318704.33940140944</v>
      </c>
      <c r="S34" s="324">
        <f>+AVERAGE(H34:M34)</f>
        <v>270201.64705882355</v>
      </c>
      <c r="T34" s="305">
        <f t="shared" si="5"/>
        <v>1.0190315381018271</v>
      </c>
      <c r="U34" s="305">
        <f t="shared" si="6"/>
        <v>0.66663098421732714</v>
      </c>
      <c r="V34" s="305">
        <f t="shared" si="7"/>
        <v>1.0124549682720616</v>
      </c>
      <c r="W34" s="305">
        <f t="shared" si="8"/>
        <v>1.0536834364226455</v>
      </c>
      <c r="X34" s="305">
        <f t="shared" si="9"/>
        <v>1.0352860652218778</v>
      </c>
      <c r="Y34" s="309">
        <f t="shared" si="10"/>
        <v>1.2129130077642605</v>
      </c>
      <c r="Z34" s="357">
        <f>+AVERAGE(T34:Y34)</f>
        <v>1</v>
      </c>
      <c r="AA34" s="344">
        <f t="shared" si="20"/>
        <v>261126.11651815247</v>
      </c>
    </row>
    <row r="35" spans="3:27" s="4" customFormat="1" ht="63.75">
      <c r="C35" s="2" t="s">
        <v>128</v>
      </c>
      <c r="D35" s="1" t="s">
        <v>159</v>
      </c>
      <c r="E35" s="15" t="s">
        <v>37</v>
      </c>
      <c r="F35" s="1" t="s">
        <v>4</v>
      </c>
      <c r="G35" s="38">
        <v>2</v>
      </c>
      <c r="H35" s="137">
        <v>929711</v>
      </c>
      <c r="I35" s="288">
        <v>756176.4705882353</v>
      </c>
      <c r="J35" s="289">
        <v>894678</v>
      </c>
      <c r="K35" s="289">
        <v>949448</v>
      </c>
      <c r="L35" s="290">
        <v>872449</v>
      </c>
      <c r="M35" s="291">
        <f>+HISTORICOS!AD35</f>
        <v>504201.68067226891</v>
      </c>
      <c r="N35" s="217">
        <f t="shared" si="0"/>
        <v>817777.35854341742</v>
      </c>
      <c r="O35" s="459"/>
      <c r="P35" s="152">
        <f t="shared" si="1"/>
        <v>167865.0470446581</v>
      </c>
      <c r="Q35" s="153">
        <f t="shared" si="2"/>
        <v>649912.31149875931</v>
      </c>
      <c r="R35" s="139">
        <f t="shared" si="3"/>
        <v>985642.40558807552</v>
      </c>
      <c r="S35" s="324">
        <f t="shared" ref="S35:S36" si="24">+AVERAGE(H35:M35)</f>
        <v>817777.35854341742</v>
      </c>
      <c r="T35" s="305">
        <f t="shared" si="5"/>
        <v>1.1368754469504425</v>
      </c>
      <c r="U35" s="305">
        <f t="shared" si="6"/>
        <v>0.92467278861216895</v>
      </c>
      <c r="V35" s="305">
        <f t="shared" si="7"/>
        <v>1.0940361586845031</v>
      </c>
      <c r="W35" s="305">
        <f t="shared" si="8"/>
        <v>1.1610103778014929</v>
      </c>
      <c r="X35" s="305">
        <f t="shared" si="9"/>
        <v>1.0668539436625646</v>
      </c>
      <c r="Y35" s="309">
        <f t="shared" si="10"/>
        <v>0.61655128428882744</v>
      </c>
      <c r="Z35" s="357">
        <f t="shared" ref="Z35:Z36" si="25">+AVERAGE(T35:Y35)</f>
        <v>0.99999999999999989</v>
      </c>
      <c r="AA35" s="344">
        <f t="shared" si="20"/>
        <v>779368.35673981649</v>
      </c>
    </row>
    <row r="36" spans="3:27" s="4" customFormat="1" ht="51">
      <c r="C36" s="2" t="s">
        <v>129</v>
      </c>
      <c r="D36" s="1" t="s">
        <v>160</v>
      </c>
      <c r="E36" s="15" t="s">
        <v>38</v>
      </c>
      <c r="F36" s="1" t="s">
        <v>4</v>
      </c>
      <c r="G36" s="38">
        <v>2</v>
      </c>
      <c r="H36" s="137">
        <v>133036</v>
      </c>
      <c r="I36" s="288">
        <v>88107.983193277323</v>
      </c>
      <c r="J36" s="289">
        <v>132021</v>
      </c>
      <c r="K36" s="289">
        <v>135509</v>
      </c>
      <c r="L36" s="290">
        <v>136054</v>
      </c>
      <c r="M36" s="291">
        <f>+HISTORICOS!AD36</f>
        <v>72200</v>
      </c>
      <c r="N36" s="217">
        <f t="shared" si="0"/>
        <v>116154.66386554623</v>
      </c>
      <c r="O36" s="459"/>
      <c r="P36" s="152">
        <f t="shared" si="1"/>
        <v>28375.774209979398</v>
      </c>
      <c r="Q36" s="153">
        <f t="shared" si="2"/>
        <v>87778.889655566833</v>
      </c>
      <c r="R36" s="139">
        <f t="shared" si="3"/>
        <v>144530.43807552563</v>
      </c>
      <c r="S36" s="324">
        <f t="shared" si="24"/>
        <v>116154.66386554623</v>
      </c>
      <c r="T36" s="305">
        <f t="shared" si="5"/>
        <v>1.1453349833115147</v>
      </c>
      <c r="U36" s="305">
        <f t="shared" si="6"/>
        <v>0.75854021062181298</v>
      </c>
      <c r="V36" s="305">
        <f t="shared" si="7"/>
        <v>1.1365966342326099</v>
      </c>
      <c r="W36" s="305">
        <f t="shared" si="8"/>
        <v>1.1666255619047481</v>
      </c>
      <c r="X36" s="305">
        <f t="shared" si="9"/>
        <v>1.1713175818535195</v>
      </c>
      <c r="Y36" s="309">
        <f t="shared" si="10"/>
        <v>0.6215850280757943</v>
      </c>
      <c r="Z36" s="357">
        <f t="shared" si="25"/>
        <v>1</v>
      </c>
      <c r="AA36" s="344">
        <f t="shared" si="20"/>
        <v>109049.18053496916</v>
      </c>
    </row>
    <row r="37" spans="3:27" s="4" customFormat="1" ht="102.75" thickBot="1">
      <c r="C37" s="16" t="s">
        <v>130</v>
      </c>
      <c r="D37" s="14" t="s">
        <v>161</v>
      </c>
      <c r="E37" s="17" t="s">
        <v>39</v>
      </c>
      <c r="F37" s="14" t="s">
        <v>4</v>
      </c>
      <c r="G37" s="39">
        <v>1</v>
      </c>
      <c r="H37" s="142">
        <v>10992317</v>
      </c>
      <c r="I37" s="342">
        <v>8010000</v>
      </c>
      <c r="J37" s="292">
        <v>11702759</v>
      </c>
      <c r="K37" s="292">
        <v>11023569</v>
      </c>
      <c r="L37" s="293">
        <v>10214941</v>
      </c>
      <c r="M37" s="341">
        <f>+HISTORICOS!AD37</f>
        <v>7787958</v>
      </c>
      <c r="N37" s="217">
        <f>+AVERAGE(H37:M37)</f>
        <v>9955257.333333334</v>
      </c>
      <c r="O37" s="460"/>
      <c r="P37" s="155">
        <f t="shared" si="1"/>
        <v>1662479.6386273953</v>
      </c>
      <c r="Q37" s="156">
        <f t="shared" si="2"/>
        <v>8292777.6947059389</v>
      </c>
      <c r="R37" s="303">
        <f t="shared" si="3"/>
        <v>11617736.971960729</v>
      </c>
      <c r="S37" s="352">
        <f>+AVERAGE(H37,J37:M37)</f>
        <v>10344308.800000001</v>
      </c>
      <c r="T37" s="307">
        <f t="shared" si="5"/>
        <v>1.062643934218205</v>
      </c>
      <c r="U37" s="313">
        <f t="shared" si="6"/>
        <v>0.77433883257622771</v>
      </c>
      <c r="V37" s="307">
        <f t="shared" si="7"/>
        <v>1.1313234384495559</v>
      </c>
      <c r="W37" s="307">
        <f t="shared" si="8"/>
        <v>1.0656651123949432</v>
      </c>
      <c r="X37" s="307">
        <f t="shared" si="9"/>
        <v>0.98749381882335141</v>
      </c>
      <c r="Y37" s="310">
        <f t="shared" si="10"/>
        <v>0.75287369611394428</v>
      </c>
      <c r="Z37" s="359">
        <f>+AVERAGE(T37,V37:Y37)</f>
        <v>1</v>
      </c>
      <c r="AA37" s="344">
        <f>+HARMEAN(H37,J37:M37)</f>
        <v>10133016.728533791</v>
      </c>
    </row>
    <row r="38" spans="3:27" s="4" customFormat="1" ht="13.15" customHeight="1" thickBot="1">
      <c r="C38" s="414" t="s">
        <v>162</v>
      </c>
      <c r="D38" s="415"/>
      <c r="E38" s="415"/>
      <c r="F38" s="415"/>
      <c r="G38" s="415"/>
      <c r="H38" s="158">
        <f t="shared" ref="H38:N38" si="26">SUM(H6:H37)</f>
        <v>30258578</v>
      </c>
      <c r="I38" s="158">
        <f t="shared" si="26"/>
        <v>25856746.474789925</v>
      </c>
      <c r="J38" s="158">
        <f t="shared" si="26"/>
        <v>30747659</v>
      </c>
      <c r="K38" s="158">
        <f t="shared" si="26"/>
        <v>30709691</v>
      </c>
      <c r="L38" s="158">
        <f t="shared" si="26"/>
        <v>28605114</v>
      </c>
      <c r="M38" s="158">
        <f t="shared" si="26"/>
        <v>15697291.781512605</v>
      </c>
      <c r="N38" s="158">
        <f t="shared" si="26"/>
        <v>26979180.042717084</v>
      </c>
      <c r="O38" s="193"/>
      <c r="P38" s="193"/>
      <c r="Q38" s="193">
        <f>+SUM(Q6:Q37)</f>
        <v>19830012.85267435</v>
      </c>
      <c r="R38" s="193">
        <f>+SUM(R6:R37)</f>
        <v>34406374.339628272</v>
      </c>
      <c r="S38" s="193">
        <f>+SUM(S6:S37)</f>
        <v>26946764.03655462</v>
      </c>
      <c r="Z38" s="360"/>
    </row>
    <row r="39" spans="3:27" ht="13.5" thickBot="1">
      <c r="C39" s="407" t="s">
        <v>163</v>
      </c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15"/>
      <c r="O39" s="415"/>
      <c r="P39" s="415"/>
      <c r="Q39" s="415"/>
      <c r="R39" s="415"/>
      <c r="Z39" s="361"/>
    </row>
    <row r="40" spans="3:27" ht="39" thickBot="1">
      <c r="C40" s="59" t="s">
        <v>95</v>
      </c>
      <c r="D40" s="60" t="s">
        <v>96</v>
      </c>
      <c r="E40" s="59" t="s">
        <v>94</v>
      </c>
      <c r="F40" s="61" t="s">
        <v>292</v>
      </c>
      <c r="G40" s="62" t="s">
        <v>0</v>
      </c>
      <c r="H40" s="212" t="s">
        <v>293</v>
      </c>
      <c r="I40" s="211" t="s">
        <v>293</v>
      </c>
      <c r="J40" s="211" t="s">
        <v>293</v>
      </c>
      <c r="K40" s="211" t="s">
        <v>293</v>
      </c>
      <c r="L40" s="211" t="s">
        <v>293</v>
      </c>
      <c r="M40" s="60" t="s">
        <v>293</v>
      </c>
      <c r="N40" s="218" t="s">
        <v>293</v>
      </c>
      <c r="O40" s="448"/>
      <c r="P40" s="220" t="s">
        <v>348</v>
      </c>
      <c r="Q40" s="220" t="s">
        <v>349</v>
      </c>
      <c r="R40" s="304" t="s">
        <v>350</v>
      </c>
      <c r="S40" s="348" t="s">
        <v>293</v>
      </c>
      <c r="T40" s="349" t="s">
        <v>352</v>
      </c>
      <c r="U40" s="349" t="s">
        <v>352</v>
      </c>
      <c r="V40" s="349" t="s">
        <v>352</v>
      </c>
      <c r="W40" s="349" t="s">
        <v>352</v>
      </c>
      <c r="X40" s="349" t="s">
        <v>352</v>
      </c>
      <c r="Y40" s="354" t="s">
        <v>352</v>
      </c>
      <c r="Z40" s="356" t="s">
        <v>352</v>
      </c>
    </row>
    <row r="41" spans="3:27" ht="76.5">
      <c r="C41" s="9" t="s">
        <v>164</v>
      </c>
      <c r="D41" s="10" t="s">
        <v>167</v>
      </c>
      <c r="E41" s="13" t="s">
        <v>40</v>
      </c>
      <c r="F41" s="10" t="s">
        <v>4</v>
      </c>
      <c r="G41" s="37">
        <v>1</v>
      </c>
      <c r="H41" s="213">
        <v>3806471</v>
      </c>
      <c r="I41" s="285">
        <v>2016806.7226890759</v>
      </c>
      <c r="J41" s="285">
        <v>3744578</v>
      </c>
      <c r="K41" s="285">
        <v>3642494</v>
      </c>
      <c r="L41" s="285">
        <v>3900235</v>
      </c>
      <c r="M41" s="343">
        <f>+HISTORICOS!AD41</f>
        <v>1092436.0000000002</v>
      </c>
      <c r="N41" s="217">
        <f>+AVERAGE(H41:M41)</f>
        <v>3033836.7871148461</v>
      </c>
      <c r="O41" s="449"/>
      <c r="P41" s="159">
        <f t="shared" ref="P41:P69" si="27">+STDEVA(H41:M41)</f>
        <v>1185463.0599776488</v>
      </c>
      <c r="Q41" s="165">
        <f t="shared" ref="Q41:Q69" si="28">+N41-P41</f>
        <v>1848373.7271371973</v>
      </c>
      <c r="R41" s="131">
        <f t="shared" ref="R41:R69" si="29">+N41+P41</f>
        <v>4219299.8470924944</v>
      </c>
      <c r="S41" s="234">
        <f>+AVERAGE(H41:M41)</f>
        <v>3033836.7871148461</v>
      </c>
      <c r="T41" s="305">
        <f t="shared" ref="T41" si="30">+H41/S41</f>
        <v>1.2546723067525076</v>
      </c>
      <c r="U41" s="305">
        <f t="shared" ref="U41" si="31">+I41/S41</f>
        <v>0.66477100259801469</v>
      </c>
      <c r="V41" s="305">
        <f t="shared" ref="V41" si="32">+J41/S41</f>
        <v>1.2342714070525405</v>
      </c>
      <c r="W41" s="305">
        <f t="shared" ref="W41" si="33">+K41/S41</f>
        <v>1.2006229258838879</v>
      </c>
      <c r="X41" s="305">
        <f t="shared" ref="X41" si="34">+L41/S41</f>
        <v>1.2855783859451093</v>
      </c>
      <c r="Y41" s="309">
        <f t="shared" ref="Y41" si="35">+M41/S41</f>
        <v>0.36008397176794005</v>
      </c>
      <c r="Z41" s="362">
        <f>+AVERAGE(T41:Y41)</f>
        <v>1</v>
      </c>
      <c r="AA41" s="344">
        <f t="shared" ref="AA41:AA44" si="36">+HARMEAN(H41:M41)</f>
        <v>2427268.8511505369</v>
      </c>
    </row>
    <row r="42" spans="3:27" ht="63.75">
      <c r="C42" s="2" t="s">
        <v>197</v>
      </c>
      <c r="D42" s="1" t="s">
        <v>168</v>
      </c>
      <c r="E42" s="15" t="s">
        <v>41</v>
      </c>
      <c r="F42" s="1" t="s">
        <v>4</v>
      </c>
      <c r="G42" s="38">
        <v>1</v>
      </c>
      <c r="H42" s="210">
        <v>618098</v>
      </c>
      <c r="I42" s="289">
        <v>520588.23529411771</v>
      </c>
      <c r="J42" s="289">
        <v>587778</v>
      </c>
      <c r="K42" s="289">
        <v>613829</v>
      </c>
      <c r="L42" s="289">
        <v>628160</v>
      </c>
      <c r="M42" s="294">
        <f>+HISTORICOS!AD42</f>
        <v>910252</v>
      </c>
      <c r="N42" s="217">
        <f t="shared" ref="N42:N69" si="37">+AVERAGE(H42:M42)</f>
        <v>646450.87254901964</v>
      </c>
      <c r="O42" s="449"/>
      <c r="P42" s="152">
        <f t="shared" si="27"/>
        <v>134964.86375595024</v>
      </c>
      <c r="Q42" s="153">
        <f t="shared" si="28"/>
        <v>511486.0087930694</v>
      </c>
      <c r="R42" s="139">
        <f t="shared" si="29"/>
        <v>781415.73630496988</v>
      </c>
      <c r="S42" s="234">
        <f t="shared" ref="S42:S44" si="38">+AVERAGE(H42:M42)</f>
        <v>646450.87254901964</v>
      </c>
      <c r="T42" s="305">
        <f t="shared" ref="T42:T44" si="39">+H42/S42</f>
        <v>0.9561407157867674</v>
      </c>
      <c r="U42" s="305">
        <f t="shared" ref="U42:U44" si="40">+I42/S42</f>
        <v>0.80530208466017983</v>
      </c>
      <c r="V42" s="305">
        <f t="shared" ref="V42:V44" si="41">+J42/S42</f>
        <v>0.90923846646278517</v>
      </c>
      <c r="W42" s="305">
        <f t="shared" ref="W42:W44" si="42">+K42/S42</f>
        <v>0.94953696570879642</v>
      </c>
      <c r="X42" s="305">
        <f t="shared" ref="X42:X44" si="43">+L42/S42</f>
        <v>0.97170570367258235</v>
      </c>
      <c r="Y42" s="309">
        <f t="shared" ref="Y42:Y44" si="44">+M42/S42</f>
        <v>1.4080760637088885</v>
      </c>
      <c r="Z42" s="362">
        <f t="shared" ref="Z42:Z44" si="45">+AVERAGE(T42:Y42)</f>
        <v>0.99999999999999989</v>
      </c>
      <c r="AA42" s="344">
        <f t="shared" si="36"/>
        <v>627630.8743326189</v>
      </c>
    </row>
    <row r="43" spans="3:27" ht="102">
      <c r="C43" s="2" t="s">
        <v>198</v>
      </c>
      <c r="D43" s="1" t="s">
        <v>169</v>
      </c>
      <c r="E43" s="15" t="s">
        <v>297</v>
      </c>
      <c r="F43" s="1" t="s">
        <v>4</v>
      </c>
      <c r="G43" s="38">
        <v>1</v>
      </c>
      <c r="H43" s="210">
        <v>3990000</v>
      </c>
      <c r="I43" s="289">
        <v>2431512.6050420171</v>
      </c>
      <c r="J43" s="289">
        <v>4244254</v>
      </c>
      <c r="K43" s="289">
        <v>4348132</v>
      </c>
      <c r="L43" s="289">
        <v>4084624</v>
      </c>
      <c r="M43" s="294">
        <f>+HISTORICOS!AD43</f>
        <v>1621008.4033613447</v>
      </c>
      <c r="N43" s="217">
        <f t="shared" si="37"/>
        <v>3453255.1680672267</v>
      </c>
      <c r="O43" s="449"/>
      <c r="P43" s="152">
        <f t="shared" si="27"/>
        <v>1141428.1742505089</v>
      </c>
      <c r="Q43" s="153">
        <f t="shared" si="28"/>
        <v>2311826.9938167175</v>
      </c>
      <c r="R43" s="139">
        <f t="shared" si="29"/>
        <v>4594683.3423177358</v>
      </c>
      <c r="S43" s="234">
        <f t="shared" si="38"/>
        <v>3453255.1680672267</v>
      </c>
      <c r="T43" s="305">
        <f t="shared" si="39"/>
        <v>1.1554315582862611</v>
      </c>
      <c r="U43" s="305">
        <f t="shared" si="40"/>
        <v>0.70412190431989574</v>
      </c>
      <c r="V43" s="305">
        <f t="shared" si="41"/>
        <v>1.2290589004969164</v>
      </c>
      <c r="W43" s="305">
        <f t="shared" si="42"/>
        <v>1.2591400833068565</v>
      </c>
      <c r="X43" s="305">
        <f t="shared" si="43"/>
        <v>1.1828329507101405</v>
      </c>
      <c r="Y43" s="309">
        <f t="shared" si="44"/>
        <v>0.46941460287993048</v>
      </c>
      <c r="Z43" s="362">
        <f t="shared" si="45"/>
        <v>1</v>
      </c>
      <c r="AA43" s="344">
        <f t="shared" si="36"/>
        <v>3016272.4780028043</v>
      </c>
    </row>
    <row r="44" spans="3:27" ht="76.5">
      <c r="C44" s="2" t="s">
        <v>199</v>
      </c>
      <c r="D44" s="1" t="s">
        <v>170</v>
      </c>
      <c r="E44" s="15" t="s">
        <v>7</v>
      </c>
      <c r="F44" s="1" t="s">
        <v>4</v>
      </c>
      <c r="G44" s="38">
        <v>1</v>
      </c>
      <c r="H44" s="210">
        <v>3220336</v>
      </c>
      <c r="I44" s="289">
        <v>2475000</v>
      </c>
      <c r="J44" s="289">
        <v>3562886</v>
      </c>
      <c r="K44" s="289">
        <v>3384406</v>
      </c>
      <c r="L44" s="289">
        <v>3303044</v>
      </c>
      <c r="M44" s="294">
        <f>+HISTORICOS!AD44</f>
        <v>2168067.2268907563</v>
      </c>
      <c r="N44" s="217">
        <f t="shared" si="37"/>
        <v>3018956.5378151261</v>
      </c>
      <c r="O44" s="449"/>
      <c r="P44" s="152">
        <f t="shared" si="27"/>
        <v>560459.32549679454</v>
      </c>
      <c r="Q44" s="153">
        <f t="shared" si="28"/>
        <v>2458497.2123183315</v>
      </c>
      <c r="R44" s="139">
        <f t="shared" si="29"/>
        <v>3579415.8633119208</v>
      </c>
      <c r="S44" s="234">
        <f t="shared" si="38"/>
        <v>3018956.5378151261</v>
      </c>
      <c r="T44" s="305">
        <f t="shared" si="39"/>
        <v>1.0667049888471121</v>
      </c>
      <c r="U44" s="305">
        <f t="shared" si="40"/>
        <v>0.81981968570875907</v>
      </c>
      <c r="V44" s="305">
        <f t="shared" si="41"/>
        <v>1.1801713457519749</v>
      </c>
      <c r="W44" s="305">
        <f t="shared" si="42"/>
        <v>1.121051581103369</v>
      </c>
      <c r="X44" s="305">
        <f t="shared" si="43"/>
        <v>1.094101209681698</v>
      </c>
      <c r="Y44" s="309">
        <f t="shared" si="44"/>
        <v>0.71815118890708707</v>
      </c>
      <c r="Z44" s="362">
        <f t="shared" si="45"/>
        <v>1.0000000000000002</v>
      </c>
      <c r="AA44" s="344">
        <f t="shared" si="36"/>
        <v>2920130.7397007477</v>
      </c>
    </row>
    <row r="45" spans="3:27" ht="127.5">
      <c r="C45" s="2" t="s">
        <v>200</v>
      </c>
      <c r="D45" s="1" t="s">
        <v>171</v>
      </c>
      <c r="E45" s="15" t="s">
        <v>42</v>
      </c>
      <c r="F45" s="1" t="s">
        <v>4</v>
      </c>
      <c r="G45" s="38">
        <v>1</v>
      </c>
      <c r="H45" s="210">
        <v>4063000</v>
      </c>
      <c r="I45" s="223">
        <v>2646932.7731092442</v>
      </c>
      <c r="J45" s="289">
        <v>3907847</v>
      </c>
      <c r="K45" s="289">
        <v>4049283</v>
      </c>
      <c r="L45" s="289">
        <v>3790962</v>
      </c>
      <c r="M45" s="294">
        <f>+HISTORICOS!AD45</f>
        <v>4638428.5714285718</v>
      </c>
      <c r="N45" s="217">
        <f t="shared" si="37"/>
        <v>3849408.890756302</v>
      </c>
      <c r="O45" s="449"/>
      <c r="P45" s="152">
        <f t="shared" si="27"/>
        <v>657404.40265406168</v>
      </c>
      <c r="Q45" s="153">
        <f t="shared" si="28"/>
        <v>3192004.4881022405</v>
      </c>
      <c r="R45" s="139">
        <f t="shared" si="29"/>
        <v>4506813.2934103636</v>
      </c>
      <c r="S45" s="234">
        <f>+AVERAGE(H45,J45:M45)</f>
        <v>4089904.114285714</v>
      </c>
      <c r="T45" s="305">
        <f t="shared" ref="T45:T69" si="46">+H45/S45</f>
        <v>0.99342182272886548</v>
      </c>
      <c r="U45" s="312">
        <f t="shared" ref="U45:U69" si="47">+I45/S45</f>
        <v>0.64718699977921634</v>
      </c>
      <c r="V45" s="305">
        <f t="shared" ref="V45:V69" si="48">+J45/S45</f>
        <v>0.95548621454234028</v>
      </c>
      <c r="W45" s="305">
        <f t="shared" ref="W45:W69" si="49">+K45/S45</f>
        <v>0.99006795436992578</v>
      </c>
      <c r="X45" s="305">
        <f t="shared" ref="X45:X69" si="50">+L45/S45</f>
        <v>0.92690730493129836</v>
      </c>
      <c r="Y45" s="309">
        <f t="shared" ref="Y45:Y69" si="51">+M45/S45</f>
        <v>1.1341167034275705</v>
      </c>
      <c r="Z45" s="362">
        <f>+AVERAGE(T45,V45:Y45)</f>
        <v>1</v>
      </c>
      <c r="AA45" s="365">
        <f>+HARMEAN(H45,J45:M45)</f>
        <v>4070495.1828623139</v>
      </c>
    </row>
    <row r="46" spans="3:27" ht="114.75">
      <c r="C46" s="2" t="s">
        <v>201</v>
      </c>
      <c r="D46" s="1" t="s">
        <v>172</v>
      </c>
      <c r="E46" s="15" t="s">
        <v>9</v>
      </c>
      <c r="F46" s="1" t="s">
        <v>4</v>
      </c>
      <c r="G46" s="38">
        <v>1</v>
      </c>
      <c r="H46" s="210">
        <v>1474185</v>
      </c>
      <c r="I46" s="223">
        <v>2546092.4369747899</v>
      </c>
      <c r="J46" s="289">
        <v>1686122</v>
      </c>
      <c r="K46" s="289">
        <v>1526486</v>
      </c>
      <c r="L46" s="289">
        <v>1498029</v>
      </c>
      <c r="M46" s="294">
        <f>+HISTORICOS!AD46</f>
        <v>1482000</v>
      </c>
      <c r="N46" s="217">
        <f t="shared" si="37"/>
        <v>1702152.406162465</v>
      </c>
      <c r="O46" s="449"/>
      <c r="P46" s="152">
        <f t="shared" si="27"/>
        <v>420821.34473864583</v>
      </c>
      <c r="Q46" s="153">
        <f t="shared" si="28"/>
        <v>1281331.061423819</v>
      </c>
      <c r="R46" s="139">
        <f t="shared" si="29"/>
        <v>2122973.7509011109</v>
      </c>
      <c r="S46" s="234">
        <f>+AVERAGE(H46,J46:M46)</f>
        <v>1533364.4</v>
      </c>
      <c r="T46" s="305">
        <f t="shared" si="46"/>
        <v>0.96140552108813804</v>
      </c>
      <c r="U46" s="312">
        <f t="shared" si="47"/>
        <v>1.6604614251999004</v>
      </c>
      <c r="V46" s="305">
        <f t="shared" si="48"/>
        <v>1.0996225033005853</v>
      </c>
      <c r="W46" s="305">
        <f t="shared" si="49"/>
        <v>0.99551417784317942</v>
      </c>
      <c r="X46" s="305">
        <f t="shared" si="50"/>
        <v>0.97695564081179931</v>
      </c>
      <c r="Y46" s="309">
        <f t="shared" si="51"/>
        <v>0.96650215695629826</v>
      </c>
      <c r="Z46" s="362">
        <f t="shared" ref="Z46" si="52">+AVERAGE(T46,V46:Y46)</f>
        <v>1</v>
      </c>
      <c r="AA46" s="365">
        <f t="shared" ref="AA46:AA48" si="53">+HARMEAN(H46,J46:M46)</f>
        <v>1529601.6997647297</v>
      </c>
    </row>
    <row r="47" spans="3:27" ht="53.25" customHeight="1">
      <c r="C47" s="2" t="s">
        <v>202</v>
      </c>
      <c r="D47" s="1" t="s">
        <v>173</v>
      </c>
      <c r="E47" s="15" t="s">
        <v>43</v>
      </c>
      <c r="F47" s="1" t="s">
        <v>4</v>
      </c>
      <c r="G47" s="38">
        <v>1</v>
      </c>
      <c r="H47" s="210">
        <v>173466</v>
      </c>
      <c r="I47" s="289">
        <v>180126.05042016809</v>
      </c>
      <c r="J47" s="289">
        <v>162684</v>
      </c>
      <c r="K47" s="289">
        <v>175898</v>
      </c>
      <c r="L47" s="289">
        <v>168572</v>
      </c>
      <c r="M47" s="294">
        <f>+HISTORICOS!AD47</f>
        <v>100840.33613445378</v>
      </c>
      <c r="N47" s="217">
        <f t="shared" si="37"/>
        <v>160264.39775910365</v>
      </c>
      <c r="O47" s="449"/>
      <c r="P47" s="152">
        <f t="shared" si="27"/>
        <v>29729.671700674546</v>
      </c>
      <c r="Q47" s="153">
        <f t="shared" si="28"/>
        <v>130534.72605842911</v>
      </c>
      <c r="R47" s="139">
        <f t="shared" si="29"/>
        <v>189994.0694597782</v>
      </c>
      <c r="S47" s="234">
        <f>+AVERAGE(H47:M47)</f>
        <v>160264.39775910365</v>
      </c>
      <c r="T47" s="305">
        <f t="shared" si="46"/>
        <v>1.0823738923022685</v>
      </c>
      <c r="U47" s="305">
        <f t="shared" si="47"/>
        <v>1.1239305356572009</v>
      </c>
      <c r="V47" s="305">
        <f t="shared" si="48"/>
        <v>1.0150975654900802</v>
      </c>
      <c r="W47" s="305">
        <f t="shared" si="49"/>
        <v>1.097548815953469</v>
      </c>
      <c r="X47" s="305">
        <f t="shared" si="50"/>
        <v>1.0518368543298284</v>
      </c>
      <c r="Y47" s="309">
        <f t="shared" si="51"/>
        <v>0.62921233626715234</v>
      </c>
      <c r="Z47" s="362">
        <f>+AVERAGE(T47:Y47)</f>
        <v>0.99999999999999989</v>
      </c>
      <c r="AA47" s="344">
        <f t="shared" ref="AA47:AA62" si="54">+HARMEAN(H47:M47)</f>
        <v>153856.66660784741</v>
      </c>
    </row>
    <row r="48" spans="3:27" ht="51.75" customHeight="1">
      <c r="C48" s="2" t="s">
        <v>203</v>
      </c>
      <c r="D48" s="1" t="s">
        <v>174</v>
      </c>
      <c r="E48" s="15" t="s">
        <v>44</v>
      </c>
      <c r="F48" s="1" t="s">
        <v>4</v>
      </c>
      <c r="G48" s="38">
        <v>1</v>
      </c>
      <c r="H48" s="210">
        <v>551748</v>
      </c>
      <c r="I48" s="223">
        <v>804303</v>
      </c>
      <c r="J48" s="289">
        <v>526151</v>
      </c>
      <c r="K48" s="289">
        <v>593083</v>
      </c>
      <c r="L48" s="289">
        <v>564590</v>
      </c>
      <c r="M48" s="294">
        <f>+HISTORICOS!AD48</f>
        <v>529411.76470588241</v>
      </c>
      <c r="N48" s="217">
        <f t="shared" si="37"/>
        <v>594881.12745098036</v>
      </c>
      <c r="O48" s="449"/>
      <c r="P48" s="152">
        <f t="shared" si="27"/>
        <v>105497.71649462268</v>
      </c>
      <c r="Q48" s="153">
        <f t="shared" si="28"/>
        <v>489383.41095635766</v>
      </c>
      <c r="R48" s="139">
        <f t="shared" si="29"/>
        <v>700378.843945603</v>
      </c>
      <c r="S48" s="234">
        <f t="shared" ref="S48:S52" si="55">+AVERAGE(H48:M48)</f>
        <v>594881.12745098036</v>
      </c>
      <c r="T48" s="305">
        <f t="shared" si="46"/>
        <v>0.92749286292573696</v>
      </c>
      <c r="U48" s="312">
        <f t="shared" si="47"/>
        <v>1.3520398662609725</v>
      </c>
      <c r="V48" s="305">
        <f t="shared" si="48"/>
        <v>0.88446409832249406</v>
      </c>
      <c r="W48" s="305">
        <f t="shared" si="49"/>
        <v>0.99697733317127546</v>
      </c>
      <c r="X48" s="305">
        <f t="shared" si="50"/>
        <v>0.94908036908016313</v>
      </c>
      <c r="Y48" s="309">
        <f t="shared" si="51"/>
        <v>0.88994547023935844</v>
      </c>
      <c r="Z48" s="362">
        <f t="shared" ref="Z48:Z52" si="56">+AVERAGE(T48:Y48)</f>
        <v>1.0000000000000002</v>
      </c>
      <c r="AA48" s="365">
        <f t="shared" si="53"/>
        <v>551924.68719312444</v>
      </c>
    </row>
    <row r="49" spans="3:27" ht="140.25">
      <c r="C49" s="2" t="s">
        <v>204</v>
      </c>
      <c r="D49" s="1" t="s">
        <v>175</v>
      </c>
      <c r="E49" s="15" t="s">
        <v>45</v>
      </c>
      <c r="F49" s="1" t="s">
        <v>4</v>
      </c>
      <c r="G49" s="38">
        <v>1</v>
      </c>
      <c r="H49" s="210">
        <v>2567274</v>
      </c>
      <c r="I49" s="289">
        <v>1865546.218487395</v>
      </c>
      <c r="J49" s="289">
        <v>2493789</v>
      </c>
      <c r="K49" s="289">
        <v>2714089</v>
      </c>
      <c r="L49" s="289">
        <v>2685297</v>
      </c>
      <c r="M49" s="294">
        <f>+HISTORICOS!AD49</f>
        <v>1512605.0420168068</v>
      </c>
      <c r="N49" s="217">
        <f t="shared" si="37"/>
        <v>2306433.3767507002</v>
      </c>
      <c r="O49" s="449"/>
      <c r="P49" s="152">
        <f t="shared" si="27"/>
        <v>497474.74786896614</v>
      </c>
      <c r="Q49" s="153">
        <f t="shared" si="28"/>
        <v>1808958.6288817341</v>
      </c>
      <c r="R49" s="139">
        <f t="shared" si="29"/>
        <v>2803908.1246196665</v>
      </c>
      <c r="S49" s="234">
        <f t="shared" si="55"/>
        <v>2306433.3767507002</v>
      </c>
      <c r="T49" s="305">
        <f t="shared" si="46"/>
        <v>1.1130926329278028</v>
      </c>
      <c r="U49" s="305">
        <f t="shared" si="47"/>
        <v>0.80884461580051081</v>
      </c>
      <c r="V49" s="305">
        <f t="shared" si="48"/>
        <v>1.0812317516464518</v>
      </c>
      <c r="W49" s="305">
        <f t="shared" si="49"/>
        <v>1.1767471921619537</v>
      </c>
      <c r="X49" s="305">
        <f t="shared" si="50"/>
        <v>1.1642638487061101</v>
      </c>
      <c r="Y49" s="309">
        <f t="shared" si="51"/>
        <v>0.65581995875717103</v>
      </c>
      <c r="Z49" s="362">
        <f t="shared" si="56"/>
        <v>1</v>
      </c>
      <c r="AA49" s="344">
        <f t="shared" si="54"/>
        <v>2199004.2846943592</v>
      </c>
    </row>
    <row r="50" spans="3:27" ht="38.25">
      <c r="C50" s="2" t="s">
        <v>205</v>
      </c>
      <c r="D50" s="1" t="s">
        <v>176</v>
      </c>
      <c r="E50" s="15" t="s">
        <v>47</v>
      </c>
      <c r="F50" s="1" t="s">
        <v>4</v>
      </c>
      <c r="G50" s="38">
        <v>1</v>
      </c>
      <c r="H50" s="210">
        <v>706739</v>
      </c>
      <c r="I50" s="289">
        <v>756176.4705882353</v>
      </c>
      <c r="J50" s="289">
        <v>670920</v>
      </c>
      <c r="K50" s="289">
        <v>722567</v>
      </c>
      <c r="L50" s="289">
        <v>722439</v>
      </c>
      <c r="M50" s="294">
        <f>+HISTORICOS!AD50</f>
        <v>343588.23529411765</v>
      </c>
      <c r="N50" s="217">
        <f t="shared" si="37"/>
        <v>653738.28431372542</v>
      </c>
      <c r="O50" s="449"/>
      <c r="P50" s="152">
        <f t="shared" si="27"/>
        <v>154433.22347868411</v>
      </c>
      <c r="Q50" s="153">
        <f t="shared" si="28"/>
        <v>499305.06083504134</v>
      </c>
      <c r="R50" s="139">
        <f t="shared" si="29"/>
        <v>808171.50779240951</v>
      </c>
      <c r="S50" s="234">
        <f t="shared" si="55"/>
        <v>653738.28431372542</v>
      </c>
      <c r="T50" s="305">
        <f t="shared" si="46"/>
        <v>1.0810732933316167</v>
      </c>
      <c r="U50" s="305">
        <f t="shared" si="47"/>
        <v>1.1566960184717443</v>
      </c>
      <c r="V50" s="305">
        <f t="shared" si="48"/>
        <v>1.0262822540740617</v>
      </c>
      <c r="W50" s="305">
        <f t="shared" si="49"/>
        <v>1.1052848170862883</v>
      </c>
      <c r="X50" s="305">
        <f t="shared" si="50"/>
        <v>1.1050890200784165</v>
      </c>
      <c r="Y50" s="309">
        <f t="shared" si="51"/>
        <v>0.52557459695787301</v>
      </c>
      <c r="Z50" s="362">
        <f t="shared" si="56"/>
        <v>1.0000000000000002</v>
      </c>
      <c r="AA50" s="344">
        <f t="shared" si="54"/>
        <v>605663.07319393824</v>
      </c>
    </row>
    <row r="51" spans="3:27" ht="38.25">
      <c r="C51" s="2" t="s">
        <v>206</v>
      </c>
      <c r="D51" s="1" t="s">
        <v>177</v>
      </c>
      <c r="E51" s="15" t="s">
        <v>46</v>
      </c>
      <c r="F51" s="1" t="s">
        <v>4</v>
      </c>
      <c r="G51" s="38">
        <v>1</v>
      </c>
      <c r="H51" s="210">
        <v>1196320</v>
      </c>
      <c r="I51" s="289">
        <v>1121340</v>
      </c>
      <c r="J51" s="289">
        <v>1180542</v>
      </c>
      <c r="K51" s="289">
        <v>1242088</v>
      </c>
      <c r="L51" s="289">
        <v>1175150</v>
      </c>
      <c r="M51" s="294">
        <f>+HISTORICOS!AD51</f>
        <v>665546</v>
      </c>
      <c r="N51" s="217">
        <f t="shared" si="37"/>
        <v>1096831</v>
      </c>
      <c r="O51" s="449"/>
      <c r="P51" s="152">
        <f t="shared" si="27"/>
        <v>214823.87984486268</v>
      </c>
      <c r="Q51" s="153">
        <f t="shared" si="28"/>
        <v>882007.12015513727</v>
      </c>
      <c r="R51" s="139">
        <f t="shared" si="29"/>
        <v>1311654.8798448627</v>
      </c>
      <c r="S51" s="234">
        <f t="shared" si="55"/>
        <v>1096831</v>
      </c>
      <c r="T51" s="305">
        <f t="shared" si="46"/>
        <v>1.0907058607935043</v>
      </c>
      <c r="U51" s="305">
        <f t="shared" si="47"/>
        <v>1.0223452838222113</v>
      </c>
      <c r="V51" s="305">
        <f t="shared" si="48"/>
        <v>1.0763207823265388</v>
      </c>
      <c r="W51" s="305">
        <f t="shared" si="49"/>
        <v>1.132433346614018</v>
      </c>
      <c r="X51" s="305">
        <f t="shared" si="50"/>
        <v>1.0714048016513027</v>
      </c>
      <c r="Y51" s="309">
        <f t="shared" si="51"/>
        <v>0.60678992479242477</v>
      </c>
      <c r="Z51" s="362">
        <f t="shared" si="56"/>
        <v>1</v>
      </c>
      <c r="AA51" s="344">
        <f t="shared" si="54"/>
        <v>1046511.8059852088</v>
      </c>
    </row>
    <row r="52" spans="3:27" ht="63.75">
      <c r="C52" s="2" t="s">
        <v>207</v>
      </c>
      <c r="D52" s="1" t="s">
        <v>178</v>
      </c>
      <c r="E52" s="15" t="s">
        <v>48</v>
      </c>
      <c r="F52" s="1" t="s">
        <v>4</v>
      </c>
      <c r="G52" s="38">
        <v>1</v>
      </c>
      <c r="H52" s="210">
        <v>1683911</v>
      </c>
      <c r="I52" s="289">
        <v>1687815.1260504203</v>
      </c>
      <c r="J52" s="289">
        <v>1599863</v>
      </c>
      <c r="K52" s="289">
        <v>1697456</v>
      </c>
      <c r="L52" s="289">
        <v>1644037</v>
      </c>
      <c r="M52" s="294">
        <f>+HISTORICOS!AD52</f>
        <v>1847815.1260504203</v>
      </c>
      <c r="N52" s="217">
        <f t="shared" si="37"/>
        <v>1693482.87535014</v>
      </c>
      <c r="O52" s="449"/>
      <c r="P52" s="152">
        <f t="shared" si="27"/>
        <v>83866.023102634266</v>
      </c>
      <c r="Q52" s="153">
        <f t="shared" si="28"/>
        <v>1609616.8522475057</v>
      </c>
      <c r="R52" s="139">
        <f t="shared" si="29"/>
        <v>1777348.8984527744</v>
      </c>
      <c r="S52" s="234">
        <f t="shared" si="55"/>
        <v>1693482.87535014</v>
      </c>
      <c r="T52" s="305">
        <f t="shared" si="46"/>
        <v>0.99434781686342066</v>
      </c>
      <c r="U52" s="305">
        <f t="shared" si="47"/>
        <v>0.9966531995202208</v>
      </c>
      <c r="V52" s="305">
        <f t="shared" si="48"/>
        <v>0.94471755415254288</v>
      </c>
      <c r="W52" s="305">
        <f t="shared" si="49"/>
        <v>1.0023461262630355</v>
      </c>
      <c r="X52" s="305">
        <f t="shared" si="50"/>
        <v>0.97080225842855561</v>
      </c>
      <c r="Y52" s="309">
        <f t="shared" si="51"/>
        <v>1.0911330447722247</v>
      </c>
      <c r="Z52" s="362">
        <f t="shared" si="56"/>
        <v>1</v>
      </c>
      <c r="AA52" s="344">
        <f t="shared" si="54"/>
        <v>1690166.3294706957</v>
      </c>
    </row>
    <row r="53" spans="3:27" ht="38.25">
      <c r="C53" s="2" t="s">
        <v>208</v>
      </c>
      <c r="D53" s="1" t="s">
        <v>179</v>
      </c>
      <c r="E53" s="15" t="s">
        <v>49</v>
      </c>
      <c r="F53" s="1" t="s">
        <v>4</v>
      </c>
      <c r="G53" s="38">
        <v>1</v>
      </c>
      <c r="H53" s="210">
        <v>2120748</v>
      </c>
      <c r="I53" s="223">
        <v>3767647.0588235296</v>
      </c>
      <c r="J53" s="289">
        <v>1999606</v>
      </c>
      <c r="K53" s="289">
        <v>2179377</v>
      </c>
      <c r="L53" s="289">
        <v>2159806</v>
      </c>
      <c r="M53" s="294">
        <f>+HISTORICOS!AD53</f>
        <v>1389915.9663865548</v>
      </c>
      <c r="N53" s="217">
        <f t="shared" si="37"/>
        <v>2269516.6708683474</v>
      </c>
      <c r="O53" s="449"/>
      <c r="P53" s="152">
        <f t="shared" si="27"/>
        <v>791610.70456213329</v>
      </c>
      <c r="Q53" s="153">
        <f t="shared" si="28"/>
        <v>1477905.9663062142</v>
      </c>
      <c r="R53" s="139">
        <f t="shared" si="29"/>
        <v>3061127.3754304806</v>
      </c>
      <c r="S53" s="234">
        <f>+AVERAGE(H53,J53:M53)</f>
        <v>1969890.593277311</v>
      </c>
      <c r="T53" s="305">
        <f t="shared" si="46"/>
        <v>1.076581616886503</v>
      </c>
      <c r="U53" s="312">
        <f t="shared" si="47"/>
        <v>1.9126174172725439</v>
      </c>
      <c r="V53" s="305">
        <f t="shared" si="48"/>
        <v>1.0150848005590256</v>
      </c>
      <c r="W53" s="305">
        <f t="shared" si="49"/>
        <v>1.1063441834981129</v>
      </c>
      <c r="X53" s="305">
        <f t="shared" si="50"/>
        <v>1.0964091139735463</v>
      </c>
      <c r="Y53" s="309">
        <f t="shared" si="51"/>
        <v>0.70558028508281201</v>
      </c>
      <c r="Z53" s="362">
        <f>+AVERAGE(T53,V53:Y53)</f>
        <v>1</v>
      </c>
      <c r="AA53" s="366">
        <f t="shared" ref="AA53" si="57">+HARMEAN(H53,J53:M53)</f>
        <v>1913546.3644354711</v>
      </c>
    </row>
    <row r="54" spans="3:27" ht="51">
      <c r="C54" s="2" t="s">
        <v>209</v>
      </c>
      <c r="D54" s="1" t="s">
        <v>180</v>
      </c>
      <c r="E54" s="15" t="s">
        <v>61</v>
      </c>
      <c r="F54" s="1" t="s">
        <v>4</v>
      </c>
      <c r="G54" s="38">
        <v>20</v>
      </c>
      <c r="H54" s="210">
        <v>169660</v>
      </c>
      <c r="I54" s="289">
        <v>107142.85714285716</v>
      </c>
      <c r="J54" s="289">
        <v>156480</v>
      </c>
      <c r="K54" s="289">
        <v>174047</v>
      </c>
      <c r="L54" s="289">
        <v>167235</v>
      </c>
      <c r="M54" s="294">
        <f>+HISTORICOS!AD54</f>
        <v>49000</v>
      </c>
      <c r="N54" s="217">
        <f t="shared" si="37"/>
        <v>137260.80952380953</v>
      </c>
      <c r="O54" s="449"/>
      <c r="P54" s="152">
        <f t="shared" si="27"/>
        <v>49734.942010513238</v>
      </c>
      <c r="Q54" s="153">
        <f t="shared" si="28"/>
        <v>87525.867513296282</v>
      </c>
      <c r="R54" s="139">
        <f t="shared" si="29"/>
        <v>186995.75153432277</v>
      </c>
      <c r="S54" s="234">
        <f>+AVERAGE(H54:M54)</f>
        <v>137260.80952380953</v>
      </c>
      <c r="T54" s="305">
        <f t="shared" si="46"/>
        <v>1.2360410854969528</v>
      </c>
      <c r="U54" s="305">
        <f t="shared" si="47"/>
        <v>0.78057864815573563</v>
      </c>
      <c r="V54" s="305">
        <f t="shared" si="48"/>
        <v>1.1400195040584886</v>
      </c>
      <c r="W54" s="305">
        <f t="shared" si="49"/>
        <v>1.268002138438572</v>
      </c>
      <c r="X54" s="305">
        <f t="shared" si="50"/>
        <v>1.2183739887603613</v>
      </c>
      <c r="Y54" s="309">
        <f t="shared" si="51"/>
        <v>0.3569846350898897</v>
      </c>
      <c r="Z54" s="362">
        <f>+AVERAGE(T54:Y54)</f>
        <v>1</v>
      </c>
      <c r="AA54" s="344">
        <f t="shared" si="54"/>
        <v>111624.96865024681</v>
      </c>
    </row>
    <row r="55" spans="3:27" ht="51">
      <c r="C55" s="2" t="s">
        <v>210</v>
      </c>
      <c r="D55" s="1" t="s">
        <v>181</v>
      </c>
      <c r="E55" s="15" t="s">
        <v>50</v>
      </c>
      <c r="F55" s="1" t="s">
        <v>4</v>
      </c>
      <c r="G55" s="38">
        <v>3</v>
      </c>
      <c r="H55" s="210">
        <v>106037</v>
      </c>
      <c r="I55" s="289">
        <v>123529.41176470587</v>
      </c>
      <c r="J55" s="289">
        <v>100210</v>
      </c>
      <c r="K55" s="289">
        <v>111681</v>
      </c>
      <c r="L55" s="289">
        <v>105833</v>
      </c>
      <c r="M55" s="294">
        <f>+HISTORICOS!AD55</f>
        <v>271106.21848739497</v>
      </c>
      <c r="N55" s="217">
        <f t="shared" si="37"/>
        <v>136399.43837535015</v>
      </c>
      <c r="O55" s="449"/>
      <c r="P55" s="152">
        <f t="shared" si="27"/>
        <v>66465.653773665297</v>
      </c>
      <c r="Q55" s="153">
        <f t="shared" si="28"/>
        <v>69933.784601684849</v>
      </c>
      <c r="R55" s="139">
        <f t="shared" si="29"/>
        <v>202865.09214901546</v>
      </c>
      <c r="S55" s="234">
        <f>+AVERAGE(H55:M55)</f>
        <v>136399.43837535015</v>
      </c>
      <c r="T55" s="305">
        <f t="shared" si="46"/>
        <v>0.77740056163723037</v>
      </c>
      <c r="U55" s="305">
        <f t="shared" si="47"/>
        <v>0.90564457769079698</v>
      </c>
      <c r="V55" s="305">
        <f t="shared" si="48"/>
        <v>0.73468044438891011</v>
      </c>
      <c r="W55" s="305">
        <f t="shared" si="49"/>
        <v>0.8187790311326002</v>
      </c>
      <c r="X55" s="305">
        <f t="shared" si="50"/>
        <v>0.77590495430607243</v>
      </c>
      <c r="Y55" s="309">
        <f t="shared" si="51"/>
        <v>1.9875904308443897</v>
      </c>
      <c r="Z55" s="362">
        <f t="shared" ref="Z55:Z56" si="58">+AVERAGE(T55:Y55)</f>
        <v>0.99999999999999989</v>
      </c>
      <c r="AA55" s="344">
        <f t="shared" si="54"/>
        <v>120976.35931776746</v>
      </c>
    </row>
    <row r="56" spans="3:27" ht="51">
      <c r="C56" s="2" t="s">
        <v>211</v>
      </c>
      <c r="D56" s="1" t="s">
        <v>182</v>
      </c>
      <c r="E56" s="15" t="s">
        <v>17</v>
      </c>
      <c r="F56" s="1" t="s">
        <v>4</v>
      </c>
      <c r="G56" s="38">
        <v>6</v>
      </c>
      <c r="H56" s="210">
        <v>348700</v>
      </c>
      <c r="I56" s="289">
        <v>277184.87394957984</v>
      </c>
      <c r="J56" s="289">
        <v>350928</v>
      </c>
      <c r="K56" s="289">
        <v>332517</v>
      </c>
      <c r="L56" s="289">
        <v>326266</v>
      </c>
      <c r="M56" s="294">
        <f>+HISTORICOS!AD56</f>
        <v>257142.85714285716</v>
      </c>
      <c r="N56" s="217">
        <f t="shared" si="37"/>
        <v>315456.45518207288</v>
      </c>
      <c r="O56" s="449"/>
      <c r="P56" s="152">
        <f t="shared" si="27"/>
        <v>39080.588170603041</v>
      </c>
      <c r="Q56" s="153">
        <f t="shared" si="28"/>
        <v>276375.86701146985</v>
      </c>
      <c r="R56" s="139">
        <f t="shared" si="29"/>
        <v>354537.04335267592</v>
      </c>
      <c r="S56" s="234">
        <f>+AVERAGE(H56,J56:M56)</f>
        <v>323110.77142857143</v>
      </c>
      <c r="T56" s="305">
        <f t="shared" si="46"/>
        <v>1.0791964577915207</v>
      </c>
      <c r="U56" s="353">
        <f t="shared" si="47"/>
        <v>0.85786330404294731</v>
      </c>
      <c r="V56" s="305">
        <f t="shared" si="48"/>
        <v>1.0860919258384365</v>
      </c>
      <c r="W56" s="305">
        <f t="shared" si="49"/>
        <v>1.0291114670360284</v>
      </c>
      <c r="X56" s="305">
        <f t="shared" si="50"/>
        <v>1.009765160590216</v>
      </c>
      <c r="Y56" s="309">
        <f t="shared" si="51"/>
        <v>0.79583498874379843</v>
      </c>
      <c r="Z56" s="362">
        <f t="shared" si="58"/>
        <v>0.97631055067382466</v>
      </c>
      <c r="AA56" s="344">
        <f t="shared" si="54"/>
        <v>311101.3365522626</v>
      </c>
    </row>
    <row r="57" spans="3:27" ht="51">
      <c r="C57" s="2" t="s">
        <v>212</v>
      </c>
      <c r="D57" s="1" t="s">
        <v>183</v>
      </c>
      <c r="E57" s="15" t="s">
        <v>51</v>
      </c>
      <c r="F57" s="1" t="s">
        <v>4</v>
      </c>
      <c r="G57" s="38">
        <v>5</v>
      </c>
      <c r="H57" s="210">
        <v>170385</v>
      </c>
      <c r="I57" s="223">
        <v>70588.23529411765</v>
      </c>
      <c r="J57" s="289">
        <v>168045</v>
      </c>
      <c r="K57" s="289">
        <v>175826</v>
      </c>
      <c r="L57" s="289">
        <v>167626</v>
      </c>
      <c r="M57" s="294">
        <f>+HISTORICOS!AD57</f>
        <v>76000</v>
      </c>
      <c r="N57" s="217">
        <f t="shared" si="37"/>
        <v>138078.37254901961</v>
      </c>
      <c r="O57" s="449"/>
      <c r="P57" s="152">
        <f t="shared" si="27"/>
        <v>50295.736537449426</v>
      </c>
      <c r="Q57" s="153">
        <f t="shared" si="28"/>
        <v>87782.636011570183</v>
      </c>
      <c r="R57" s="139">
        <f t="shared" si="29"/>
        <v>188374.10908646905</v>
      </c>
      <c r="S57" s="234">
        <f t="shared" ref="S57:S69" si="59">+AVERAGE(H57,J57:M57)</f>
        <v>151576.4</v>
      </c>
      <c r="T57" s="305">
        <f t="shared" si="46"/>
        <v>1.1240865992331261</v>
      </c>
      <c r="U57" s="312">
        <f t="shared" si="47"/>
        <v>0.46569410075788614</v>
      </c>
      <c r="V57" s="305">
        <f t="shared" si="48"/>
        <v>1.1086488397930021</v>
      </c>
      <c r="W57" s="305">
        <f t="shared" si="49"/>
        <v>1.1599826885979612</v>
      </c>
      <c r="X57" s="305">
        <f t="shared" si="50"/>
        <v>1.1058845572265867</v>
      </c>
      <c r="Y57" s="309">
        <f t="shared" si="51"/>
        <v>0.50139731514932406</v>
      </c>
      <c r="Z57" s="362">
        <f t="shared" ref="Z57" si="60">+AVERAGE(T57,V57:Y57)</f>
        <v>1</v>
      </c>
      <c r="AA57" s="366">
        <f t="shared" ref="AA57:AA69" si="61">+HARMEAN(H57,J57:M57)</f>
        <v>136496.98541930958</v>
      </c>
    </row>
    <row r="58" spans="3:27" ht="25.5">
      <c r="C58" s="2" t="s">
        <v>213</v>
      </c>
      <c r="D58" s="1" t="s">
        <v>184</v>
      </c>
      <c r="E58" s="15" t="s">
        <v>52</v>
      </c>
      <c r="F58" s="1" t="s">
        <v>4</v>
      </c>
      <c r="G58" s="38">
        <v>10</v>
      </c>
      <c r="H58" s="210">
        <v>59816</v>
      </c>
      <c r="I58" s="289">
        <v>56722.68907563026</v>
      </c>
      <c r="J58" s="289">
        <v>57033</v>
      </c>
      <c r="K58" s="289">
        <v>62820</v>
      </c>
      <c r="L58" s="289">
        <v>60980</v>
      </c>
      <c r="M58" s="294">
        <f>+HISTORICOS!AD58</f>
        <v>29032.000000000004</v>
      </c>
      <c r="N58" s="217">
        <f t="shared" si="37"/>
        <v>54400.614845938377</v>
      </c>
      <c r="O58" s="449"/>
      <c r="P58" s="152">
        <f t="shared" si="27"/>
        <v>12644.27816266186</v>
      </c>
      <c r="Q58" s="153">
        <f t="shared" si="28"/>
        <v>41756.336683276517</v>
      </c>
      <c r="R58" s="139">
        <f t="shared" si="29"/>
        <v>67044.893008600236</v>
      </c>
      <c r="S58" s="234">
        <f>+AVERAGE(H58:M58)</f>
        <v>54400.614845938377</v>
      </c>
      <c r="T58" s="305">
        <f t="shared" si="46"/>
        <v>1.0995463961096379</v>
      </c>
      <c r="U58" s="305">
        <f t="shared" si="47"/>
        <v>1.0426847056098163</v>
      </c>
      <c r="V58" s="305">
        <f t="shared" si="48"/>
        <v>1.0483888860726389</v>
      </c>
      <c r="W58" s="305">
        <f t="shared" si="49"/>
        <v>1.1547663602315006</v>
      </c>
      <c r="X58" s="305">
        <f t="shared" si="50"/>
        <v>1.1209432130996007</v>
      </c>
      <c r="Y58" s="309">
        <f t="shared" si="51"/>
        <v>0.53367043887680565</v>
      </c>
      <c r="Z58" s="362">
        <f>+AVERAGE(T58:Y58)</f>
        <v>1</v>
      </c>
      <c r="AA58" s="344">
        <f t="shared" si="54"/>
        <v>50571.738629299951</v>
      </c>
    </row>
    <row r="59" spans="3:27" ht="51">
      <c r="C59" s="2" t="s">
        <v>214</v>
      </c>
      <c r="D59" s="1" t="s">
        <v>185</v>
      </c>
      <c r="E59" s="15" t="s">
        <v>59</v>
      </c>
      <c r="F59" s="1" t="s">
        <v>4</v>
      </c>
      <c r="G59" s="38">
        <v>5</v>
      </c>
      <c r="H59" s="210">
        <v>262827</v>
      </c>
      <c r="I59" s="223">
        <v>403361.3445378152</v>
      </c>
      <c r="J59" s="289">
        <v>245769</v>
      </c>
      <c r="K59" s="289">
        <v>279594</v>
      </c>
      <c r="L59" s="289">
        <v>230906</v>
      </c>
      <c r="M59" s="294">
        <f>+HISTORICOS!AD59</f>
        <v>255985.71428571429</v>
      </c>
      <c r="N59" s="217">
        <f t="shared" si="37"/>
        <v>279740.50980392157</v>
      </c>
      <c r="O59" s="449"/>
      <c r="P59" s="152">
        <f t="shared" si="27"/>
        <v>62723.77889696027</v>
      </c>
      <c r="Q59" s="153">
        <f t="shared" si="28"/>
        <v>217016.73090696131</v>
      </c>
      <c r="R59" s="139">
        <f t="shared" si="29"/>
        <v>342464.28870088182</v>
      </c>
      <c r="S59" s="234">
        <f t="shared" si="59"/>
        <v>255016.34285714285</v>
      </c>
      <c r="T59" s="305">
        <f t="shared" si="46"/>
        <v>1.0306280650696673</v>
      </c>
      <c r="U59" s="312">
        <f t="shared" si="47"/>
        <v>1.5817078231875259</v>
      </c>
      <c r="V59" s="305">
        <f t="shared" si="48"/>
        <v>0.9637382343675005</v>
      </c>
      <c r="W59" s="305">
        <f t="shared" si="49"/>
        <v>1.0963767924341432</v>
      </c>
      <c r="X59" s="305">
        <f t="shared" si="50"/>
        <v>0.90545569516441082</v>
      </c>
      <c r="Y59" s="309">
        <f t="shared" si="51"/>
        <v>1.0038012129642784</v>
      </c>
      <c r="Z59" s="362">
        <f>+AVERAGE(T59,V59:Y59)</f>
        <v>1</v>
      </c>
      <c r="AA59" s="366">
        <f t="shared" si="61"/>
        <v>253968.32058441121</v>
      </c>
    </row>
    <row r="60" spans="3:27" ht="25.5">
      <c r="C60" s="2" t="s">
        <v>215</v>
      </c>
      <c r="D60" s="1" t="s">
        <v>186</v>
      </c>
      <c r="E60" s="15" t="s">
        <v>53</v>
      </c>
      <c r="F60" s="1" t="s">
        <v>4</v>
      </c>
      <c r="G60" s="38">
        <v>5</v>
      </c>
      <c r="H60" s="210">
        <v>83380</v>
      </c>
      <c r="I60" s="289">
        <v>43991.596638655465</v>
      </c>
      <c r="J60" s="289">
        <v>80392</v>
      </c>
      <c r="K60" s="289">
        <v>86394</v>
      </c>
      <c r="L60" s="289">
        <v>85003</v>
      </c>
      <c r="M60" s="294">
        <f>+HISTORICOS!AD60</f>
        <v>25210.084033613446</v>
      </c>
      <c r="N60" s="217">
        <f t="shared" si="37"/>
        <v>67395.113445378156</v>
      </c>
      <c r="O60" s="449"/>
      <c r="P60" s="152">
        <f t="shared" si="27"/>
        <v>26163.838873176333</v>
      </c>
      <c r="Q60" s="153">
        <f t="shared" si="28"/>
        <v>41231.274572201823</v>
      </c>
      <c r="R60" s="139">
        <f t="shared" si="29"/>
        <v>93558.952318554482</v>
      </c>
      <c r="S60" s="234">
        <f>+AVERAGE(H60:M60)</f>
        <v>67395.113445378156</v>
      </c>
      <c r="T60" s="305">
        <f t="shared" si="46"/>
        <v>1.2371816848053405</v>
      </c>
      <c r="U60" s="305">
        <f t="shared" si="47"/>
        <v>0.65274163644385608</v>
      </c>
      <c r="V60" s="305">
        <f t="shared" si="48"/>
        <v>1.1928461262277636</v>
      </c>
      <c r="W60" s="305">
        <f t="shared" si="49"/>
        <v>1.2819030280291746</v>
      </c>
      <c r="X60" s="305">
        <f t="shared" si="50"/>
        <v>1.2612635494544058</v>
      </c>
      <c r="Y60" s="309">
        <f t="shared" si="51"/>
        <v>0.37406397503945904</v>
      </c>
      <c r="Z60" s="362">
        <f>+AVERAGE(T60:Y60)</f>
        <v>1</v>
      </c>
      <c r="AA60" s="344">
        <f t="shared" si="54"/>
        <v>54461.394975515235</v>
      </c>
    </row>
    <row r="61" spans="3:27" ht="76.5">
      <c r="C61" s="2" t="s">
        <v>216</v>
      </c>
      <c r="D61" s="1" t="s">
        <v>187</v>
      </c>
      <c r="E61" s="15" t="s">
        <v>54</v>
      </c>
      <c r="F61" s="1" t="s">
        <v>4</v>
      </c>
      <c r="G61" s="38">
        <v>5</v>
      </c>
      <c r="H61" s="210">
        <v>191456</v>
      </c>
      <c r="I61" s="223">
        <v>88865.546218487405</v>
      </c>
      <c r="J61" s="289">
        <v>179264</v>
      </c>
      <c r="K61" s="289">
        <v>191331</v>
      </c>
      <c r="L61" s="289">
        <v>194325</v>
      </c>
      <c r="M61" s="294">
        <f>+HISTORICOS!AD61</f>
        <v>59243.697478991598</v>
      </c>
      <c r="N61" s="217">
        <f t="shared" si="37"/>
        <v>150747.54061624649</v>
      </c>
      <c r="O61" s="449"/>
      <c r="P61" s="152">
        <f t="shared" si="27"/>
        <v>60363.422372511384</v>
      </c>
      <c r="Q61" s="153">
        <f t="shared" si="28"/>
        <v>90384.118243735109</v>
      </c>
      <c r="R61" s="139">
        <f t="shared" si="29"/>
        <v>211110.96298875788</v>
      </c>
      <c r="S61" s="234">
        <f t="shared" si="59"/>
        <v>163123.93949579832</v>
      </c>
      <c r="T61" s="305">
        <f t="shared" si="46"/>
        <v>1.1736842586794654</v>
      </c>
      <c r="U61" s="312">
        <f t="shared" si="47"/>
        <v>0.54477317365656419</v>
      </c>
      <c r="V61" s="305">
        <f t="shared" si="48"/>
        <v>1.0989435428919212</v>
      </c>
      <c r="W61" s="305">
        <f t="shared" si="49"/>
        <v>1.1729179701727852</v>
      </c>
      <c r="X61" s="305">
        <f t="shared" si="50"/>
        <v>1.1912721124847856</v>
      </c>
      <c r="Y61" s="309">
        <f t="shared" si="51"/>
        <v>0.36318211577104276</v>
      </c>
      <c r="Z61" s="362">
        <f>+AVERAGE(T61,V61:Y61)</f>
        <v>1</v>
      </c>
      <c r="AA61" s="366">
        <f t="shared" si="61"/>
        <v>131393.98424809228</v>
      </c>
    </row>
    <row r="62" spans="3:27" ht="76.5">
      <c r="C62" s="2" t="s">
        <v>217</v>
      </c>
      <c r="D62" s="1" t="s">
        <v>188</v>
      </c>
      <c r="E62" s="15" t="s">
        <v>298</v>
      </c>
      <c r="F62" s="1" t="s">
        <v>4</v>
      </c>
      <c r="G62" s="38">
        <v>10</v>
      </c>
      <c r="H62" s="210">
        <v>73637</v>
      </c>
      <c r="I62" s="289">
        <v>72983.193277310929</v>
      </c>
      <c r="J62" s="289">
        <v>70936</v>
      </c>
      <c r="K62" s="289">
        <v>76887</v>
      </c>
      <c r="L62" s="289">
        <v>75878</v>
      </c>
      <c r="M62" s="294">
        <f>+HISTORICOS!AD62</f>
        <v>50420.168067226892</v>
      </c>
      <c r="N62" s="217">
        <f t="shared" si="37"/>
        <v>70123.560224089641</v>
      </c>
      <c r="O62" s="449"/>
      <c r="P62" s="152">
        <f t="shared" si="27"/>
        <v>9881.9347890134795</v>
      </c>
      <c r="Q62" s="153">
        <f t="shared" si="28"/>
        <v>60241.625435076159</v>
      </c>
      <c r="R62" s="139">
        <f t="shared" si="29"/>
        <v>80005.495013103122</v>
      </c>
      <c r="S62" s="234">
        <f>+AVERAGE(H62:M62)</f>
        <v>70123.560224089641</v>
      </c>
      <c r="T62" s="305">
        <f t="shared" si="46"/>
        <v>1.0501035567030919</v>
      </c>
      <c r="U62" s="305">
        <f t="shared" si="47"/>
        <v>1.0407799182483453</v>
      </c>
      <c r="V62" s="305">
        <f t="shared" si="48"/>
        <v>1.011585831827621</v>
      </c>
      <c r="W62" s="305">
        <f t="shared" si="49"/>
        <v>1.0964503193262984</v>
      </c>
      <c r="X62" s="305">
        <f t="shared" si="50"/>
        <v>1.0820614320995861</v>
      </c>
      <c r="Y62" s="309">
        <f t="shared" si="51"/>
        <v>0.7190189417950571</v>
      </c>
      <c r="Z62" s="362">
        <f>+AVERAGE(T62:Y62)</f>
        <v>1</v>
      </c>
      <c r="AA62" s="344">
        <f t="shared" si="54"/>
        <v>68651.761012584888</v>
      </c>
    </row>
    <row r="63" spans="3:27" ht="25.5">
      <c r="C63" s="2" t="s">
        <v>218</v>
      </c>
      <c r="D63" s="1" t="s">
        <v>189</v>
      </c>
      <c r="E63" s="15" t="s">
        <v>190</v>
      </c>
      <c r="F63" s="1" t="s">
        <v>4</v>
      </c>
      <c r="G63" s="38">
        <v>10</v>
      </c>
      <c r="H63" s="210">
        <v>8157</v>
      </c>
      <c r="I63" s="223">
        <v>18907.563025210085</v>
      </c>
      <c r="J63" s="289">
        <v>8081</v>
      </c>
      <c r="K63" s="289">
        <v>8460</v>
      </c>
      <c r="L63" s="289">
        <v>8465</v>
      </c>
      <c r="M63" s="294">
        <f>+HISTORICOS!AD63</f>
        <v>9243.6974789915967</v>
      </c>
      <c r="N63" s="217">
        <f t="shared" si="37"/>
        <v>10219.043417366947</v>
      </c>
      <c r="O63" s="449"/>
      <c r="P63" s="152">
        <f t="shared" si="27"/>
        <v>4276.3495516438534</v>
      </c>
      <c r="Q63" s="153">
        <f t="shared" si="28"/>
        <v>5942.6938657230939</v>
      </c>
      <c r="R63" s="139">
        <f t="shared" si="29"/>
        <v>14495.392969010802</v>
      </c>
      <c r="S63" s="234">
        <f t="shared" si="59"/>
        <v>8481.3394957983201</v>
      </c>
      <c r="T63" s="305">
        <f t="shared" si="46"/>
        <v>0.96175845855964159</v>
      </c>
      <c r="U63" s="312">
        <f t="shared" si="47"/>
        <v>2.2293133100705314</v>
      </c>
      <c r="V63" s="305">
        <f t="shared" si="48"/>
        <v>0.95279760985907358</v>
      </c>
      <c r="W63" s="305">
        <f t="shared" si="49"/>
        <v>0.99748394745795854</v>
      </c>
      <c r="X63" s="305">
        <f t="shared" si="50"/>
        <v>0.99807347697773274</v>
      </c>
      <c r="Y63" s="309">
        <f t="shared" si="51"/>
        <v>1.089886507145593</v>
      </c>
      <c r="Z63" s="362">
        <f>+AVERAGE(T63,V63:Y63)</f>
        <v>1</v>
      </c>
      <c r="AA63" s="366">
        <f t="shared" si="61"/>
        <v>8462.2447626623543</v>
      </c>
    </row>
    <row r="64" spans="3:27" ht="38.25">
      <c r="C64" s="2" t="s">
        <v>219</v>
      </c>
      <c r="D64" s="1" t="s">
        <v>191</v>
      </c>
      <c r="E64" s="15" t="s">
        <v>299</v>
      </c>
      <c r="F64" s="1" t="s">
        <v>4</v>
      </c>
      <c r="G64" s="38">
        <v>25</v>
      </c>
      <c r="H64" s="210">
        <v>190324</v>
      </c>
      <c r="I64" s="223">
        <v>54201.680672268914</v>
      </c>
      <c r="J64" s="289">
        <v>177525</v>
      </c>
      <c r="K64" s="289">
        <v>199692</v>
      </c>
      <c r="L64" s="289">
        <v>188831</v>
      </c>
      <c r="M64" s="294">
        <f>+HISTORICOS!AD64</f>
        <v>79831</v>
      </c>
      <c r="N64" s="217">
        <f t="shared" si="37"/>
        <v>148400.7801120448</v>
      </c>
      <c r="O64" s="449"/>
      <c r="P64" s="152">
        <f t="shared" si="27"/>
        <v>63947.562185774936</v>
      </c>
      <c r="Q64" s="153">
        <f t="shared" si="28"/>
        <v>84453.217926269863</v>
      </c>
      <c r="R64" s="139">
        <f t="shared" si="29"/>
        <v>212348.34229781973</v>
      </c>
      <c r="S64" s="234">
        <f t="shared" si="59"/>
        <v>167240.6</v>
      </c>
      <c r="T64" s="305">
        <f t="shared" si="46"/>
        <v>1.1380250967767396</v>
      </c>
      <c r="U64" s="312">
        <f t="shared" si="47"/>
        <v>0.32409403381875523</v>
      </c>
      <c r="V64" s="305">
        <f t="shared" si="48"/>
        <v>1.0614946370677933</v>
      </c>
      <c r="W64" s="305">
        <f t="shared" si="49"/>
        <v>1.1940402031564106</v>
      </c>
      <c r="X64" s="305">
        <f t="shared" si="50"/>
        <v>1.1290978386827122</v>
      </c>
      <c r="Y64" s="309">
        <f t="shared" si="51"/>
        <v>0.47734222431634421</v>
      </c>
      <c r="Z64" s="362">
        <f t="shared" ref="Z64:Z69" si="62">+AVERAGE(T64,V64:Y64)</f>
        <v>1</v>
      </c>
      <c r="AA64" s="366">
        <f t="shared" si="61"/>
        <v>148292.60842314825</v>
      </c>
    </row>
    <row r="65" spans="3:27" ht="51">
      <c r="C65" s="2" t="s">
        <v>220</v>
      </c>
      <c r="D65" s="1" t="s">
        <v>192</v>
      </c>
      <c r="E65" s="15" t="s">
        <v>300</v>
      </c>
      <c r="F65" s="1" t="s">
        <v>4</v>
      </c>
      <c r="G65" s="38">
        <v>10</v>
      </c>
      <c r="H65" s="210">
        <v>77761</v>
      </c>
      <c r="I65" s="223">
        <v>352941.17647058825</v>
      </c>
      <c r="J65" s="289">
        <v>74817</v>
      </c>
      <c r="K65" s="289">
        <v>80081</v>
      </c>
      <c r="L65" s="289">
        <v>77835</v>
      </c>
      <c r="M65" s="294">
        <f>+HISTORICOS!AD65</f>
        <v>92436.97478991597</v>
      </c>
      <c r="N65" s="217">
        <f t="shared" si="37"/>
        <v>125978.69187675069</v>
      </c>
      <c r="O65" s="449"/>
      <c r="P65" s="152">
        <f t="shared" si="27"/>
        <v>111358.78403690545</v>
      </c>
      <c r="Q65" s="153">
        <f t="shared" si="28"/>
        <v>14619.90783984524</v>
      </c>
      <c r="R65" s="139">
        <f t="shared" si="29"/>
        <v>237337.47591365612</v>
      </c>
      <c r="S65" s="234">
        <f t="shared" si="59"/>
        <v>80586.194957983185</v>
      </c>
      <c r="T65" s="305">
        <f t="shared" si="46"/>
        <v>0.96494194868666761</v>
      </c>
      <c r="U65" s="312">
        <f t="shared" si="47"/>
        <v>4.3796729285283682</v>
      </c>
      <c r="V65" s="305">
        <f t="shared" si="48"/>
        <v>0.92840963689883627</v>
      </c>
      <c r="W65" s="305">
        <f t="shared" si="49"/>
        <v>0.99373099873686066</v>
      </c>
      <c r="X65" s="305">
        <f t="shared" si="50"/>
        <v>0.9658602201106824</v>
      </c>
      <c r="Y65" s="309">
        <f t="shared" si="51"/>
        <v>1.1470571955669535</v>
      </c>
      <c r="Z65" s="362">
        <f t="shared" si="62"/>
        <v>1</v>
      </c>
      <c r="AA65" s="366">
        <f t="shared" si="61"/>
        <v>80155.06200096324</v>
      </c>
    </row>
    <row r="66" spans="3:27">
      <c r="C66" s="2" t="s">
        <v>221</v>
      </c>
      <c r="D66" s="1" t="s">
        <v>195</v>
      </c>
      <c r="E66" s="15" t="s">
        <v>55</v>
      </c>
      <c r="F66" s="20" t="s">
        <v>1</v>
      </c>
      <c r="G66" s="38">
        <v>30</v>
      </c>
      <c r="H66" s="210">
        <v>31041</v>
      </c>
      <c r="I66" s="223">
        <v>41974.789915966387</v>
      </c>
      <c r="J66" s="289">
        <v>29241</v>
      </c>
      <c r="K66" s="289">
        <v>31848</v>
      </c>
      <c r="L66" s="289">
        <v>31991</v>
      </c>
      <c r="M66" s="294">
        <f>+HISTORICOS!AD66</f>
        <v>27731.092436974792</v>
      </c>
      <c r="N66" s="217">
        <f t="shared" si="37"/>
        <v>32304.480392156864</v>
      </c>
      <c r="O66" s="449"/>
      <c r="P66" s="152">
        <f t="shared" si="27"/>
        <v>5014.3534537180603</v>
      </c>
      <c r="Q66" s="153">
        <f t="shared" si="28"/>
        <v>27290.126938438803</v>
      </c>
      <c r="R66" s="139">
        <f t="shared" si="29"/>
        <v>37318.83384587492</v>
      </c>
      <c r="S66" s="234">
        <f t="shared" si="59"/>
        <v>30370.418487394956</v>
      </c>
      <c r="T66" s="305">
        <f t="shared" si="46"/>
        <v>1.0220800879936298</v>
      </c>
      <c r="U66" s="312">
        <f t="shared" si="47"/>
        <v>1.382094551426341</v>
      </c>
      <c r="V66" s="305">
        <f t="shared" si="48"/>
        <v>0.96281188921174354</v>
      </c>
      <c r="W66" s="305">
        <f t="shared" si="49"/>
        <v>1.0486519971141757</v>
      </c>
      <c r="X66" s="305">
        <f t="shared" si="50"/>
        <v>1.0533605262396255</v>
      </c>
      <c r="Y66" s="309">
        <f t="shared" si="51"/>
        <v>0.91309549944082602</v>
      </c>
      <c r="Z66" s="362">
        <f t="shared" si="62"/>
        <v>1</v>
      </c>
      <c r="AA66" s="366">
        <f t="shared" si="61"/>
        <v>30278.705063731755</v>
      </c>
    </row>
    <row r="67" spans="3:27" ht="25.5">
      <c r="C67" s="2" t="s">
        <v>222</v>
      </c>
      <c r="D67" s="1" t="s">
        <v>196</v>
      </c>
      <c r="E67" s="15" t="s">
        <v>56</v>
      </c>
      <c r="F67" s="1" t="s">
        <v>4</v>
      </c>
      <c r="G67" s="38">
        <v>30</v>
      </c>
      <c r="H67" s="210">
        <v>111022</v>
      </c>
      <c r="I67" s="223">
        <v>24957.983193277309</v>
      </c>
      <c r="J67" s="289">
        <v>106037</v>
      </c>
      <c r="K67" s="289">
        <v>111314</v>
      </c>
      <c r="L67" s="289">
        <v>116022</v>
      </c>
      <c r="M67" s="294">
        <f>+HISTORICOS!AD67</f>
        <v>26050.420168067227</v>
      </c>
      <c r="N67" s="217">
        <f t="shared" si="37"/>
        <v>82567.233893557423</v>
      </c>
      <c r="O67" s="449"/>
      <c r="P67" s="152">
        <f t="shared" si="27"/>
        <v>44314.958133813583</v>
      </c>
      <c r="Q67" s="153">
        <f t="shared" si="28"/>
        <v>38252.275759743839</v>
      </c>
      <c r="R67" s="139">
        <f t="shared" si="29"/>
        <v>126882.192027371</v>
      </c>
      <c r="S67" s="234">
        <f t="shared" si="59"/>
        <v>94089.084033613442</v>
      </c>
      <c r="T67" s="305">
        <f t="shared" si="46"/>
        <v>1.1799668488677948</v>
      </c>
      <c r="U67" s="312">
        <f t="shared" si="47"/>
        <v>0.26525907282040323</v>
      </c>
      <c r="V67" s="305">
        <f t="shared" si="48"/>
        <v>1.1269851448667323</v>
      </c>
      <c r="W67" s="305">
        <f t="shared" si="49"/>
        <v>1.1830702907069743</v>
      </c>
      <c r="X67" s="305">
        <f t="shared" si="50"/>
        <v>1.2331079762510069</v>
      </c>
      <c r="Y67" s="309">
        <f t="shared" si="51"/>
        <v>0.27686973930749165</v>
      </c>
      <c r="Z67" s="362">
        <f t="shared" si="62"/>
        <v>1</v>
      </c>
      <c r="AA67" s="366">
        <f t="shared" si="61"/>
        <v>67179.341823668961</v>
      </c>
    </row>
    <row r="68" spans="3:27" ht="25.5">
      <c r="C68" s="2" t="s">
        <v>223</v>
      </c>
      <c r="D68" s="1" t="s">
        <v>193</v>
      </c>
      <c r="E68" s="15" t="s">
        <v>57</v>
      </c>
      <c r="F68" s="1" t="s">
        <v>4</v>
      </c>
      <c r="G68" s="38">
        <v>10</v>
      </c>
      <c r="H68" s="210">
        <v>217513</v>
      </c>
      <c r="I68" s="223">
        <v>15126.050420168069</v>
      </c>
      <c r="J68" s="289">
        <v>215166</v>
      </c>
      <c r="K68" s="289">
        <v>223554</v>
      </c>
      <c r="L68" s="289">
        <v>218622</v>
      </c>
      <c r="M68" s="294">
        <f>+HISTORICOS!AD68</f>
        <v>8403.361344537816</v>
      </c>
      <c r="N68" s="217">
        <f t="shared" si="37"/>
        <v>149730.73529411765</v>
      </c>
      <c r="O68" s="449"/>
      <c r="P68" s="152">
        <f t="shared" si="27"/>
        <v>106924.2141499273</v>
      </c>
      <c r="Q68" s="153">
        <f t="shared" si="28"/>
        <v>42806.521144190352</v>
      </c>
      <c r="R68" s="139">
        <f t="shared" si="29"/>
        <v>256654.94944404496</v>
      </c>
      <c r="S68" s="234">
        <f t="shared" si="59"/>
        <v>176651.67226890757</v>
      </c>
      <c r="T68" s="305">
        <f t="shared" si="46"/>
        <v>1.23131016653435</v>
      </c>
      <c r="U68" s="312">
        <f t="shared" si="47"/>
        <v>8.562642077422554E-2</v>
      </c>
      <c r="V68" s="305">
        <f t="shared" si="48"/>
        <v>1.2180241332358523</v>
      </c>
      <c r="W68" s="305">
        <f t="shared" si="49"/>
        <v>1.2655074086119913</v>
      </c>
      <c r="X68" s="305">
        <f t="shared" si="50"/>
        <v>1.2375880578543474</v>
      </c>
      <c r="Y68" s="309">
        <f t="shared" si="51"/>
        <v>4.7570233763458633E-2</v>
      </c>
      <c r="Z68" s="362">
        <f t="shared" si="62"/>
        <v>1</v>
      </c>
      <c r="AA68" s="366">
        <f t="shared" si="61"/>
        <v>36418.64891068868</v>
      </c>
    </row>
    <row r="69" spans="3:27" ht="39" thickBot="1">
      <c r="C69" s="16" t="s">
        <v>224</v>
      </c>
      <c r="D69" s="14" t="s">
        <v>194</v>
      </c>
      <c r="E69" s="17" t="s">
        <v>60</v>
      </c>
      <c r="F69" s="14" t="s">
        <v>4</v>
      </c>
      <c r="G69" s="39">
        <v>30</v>
      </c>
      <c r="H69" s="214">
        <v>31268</v>
      </c>
      <c r="I69" s="224">
        <v>13500</v>
      </c>
      <c r="J69" s="295">
        <v>30768</v>
      </c>
      <c r="K69" s="295">
        <v>32588</v>
      </c>
      <c r="L69" s="295">
        <v>32076</v>
      </c>
      <c r="M69" s="296">
        <f>+HISTORICOS!AD69</f>
        <v>27326.050420168067</v>
      </c>
      <c r="N69" s="217">
        <f t="shared" si="37"/>
        <v>27921.008403361342</v>
      </c>
      <c r="O69" s="449"/>
      <c r="P69" s="152">
        <f t="shared" si="27"/>
        <v>7303.039613778883</v>
      </c>
      <c r="Q69" s="153">
        <f t="shared" si="28"/>
        <v>20617.968789582461</v>
      </c>
      <c r="R69" s="139">
        <f t="shared" si="29"/>
        <v>35224.048017140223</v>
      </c>
      <c r="S69" s="235">
        <f t="shared" si="59"/>
        <v>30805.210084033613</v>
      </c>
      <c r="T69" s="307">
        <f t="shared" si="46"/>
        <v>1.0150231053352319</v>
      </c>
      <c r="U69" s="313">
        <f t="shared" si="47"/>
        <v>0.43823755667217701</v>
      </c>
      <c r="V69" s="307">
        <f t="shared" si="48"/>
        <v>0.99879208471774394</v>
      </c>
      <c r="W69" s="307">
        <f t="shared" si="49"/>
        <v>1.0578729997654004</v>
      </c>
      <c r="X69" s="307">
        <f t="shared" si="50"/>
        <v>1.0412524346530927</v>
      </c>
      <c r="Y69" s="310">
        <f t="shared" si="51"/>
        <v>0.88705937552853109</v>
      </c>
      <c r="Z69" s="363">
        <f t="shared" si="62"/>
        <v>0.99999999999999978</v>
      </c>
      <c r="AA69" s="366">
        <f t="shared" si="61"/>
        <v>30686.124349966725</v>
      </c>
    </row>
    <row r="70" spans="3:27" ht="13.15" customHeight="1" thickBot="1">
      <c r="C70" s="410" t="s">
        <v>166</v>
      </c>
      <c r="D70" s="411"/>
      <c r="E70" s="411"/>
      <c r="F70" s="411"/>
      <c r="G70" s="411"/>
      <c r="H70" s="198">
        <f t="shared" ref="H70:N70" si="63">SUM(H41:H69)</f>
        <v>28305280</v>
      </c>
      <c r="I70" s="198">
        <f t="shared" si="63"/>
        <v>24585865.689075641</v>
      </c>
      <c r="J70" s="198">
        <f t="shared" si="63"/>
        <v>28417712</v>
      </c>
      <c r="K70" s="198">
        <f t="shared" si="63"/>
        <v>29067822</v>
      </c>
      <c r="L70" s="198">
        <f t="shared" si="63"/>
        <v>28412839</v>
      </c>
      <c r="M70" s="198">
        <f t="shared" si="63"/>
        <v>19646078.008403368</v>
      </c>
      <c r="N70" s="198">
        <f t="shared" si="63"/>
        <v>26405932.782913171</v>
      </c>
      <c r="O70" s="450"/>
      <c r="P70" s="208">
        <v>17942462.18487395</v>
      </c>
      <c r="Q70" s="198">
        <f t="shared" ref="Q70:S70" si="64">SUM(Q41:Q69)</f>
        <v>19707462.21027486</v>
      </c>
      <c r="R70" s="198">
        <f t="shared" si="64"/>
        <v>33104403.355551466</v>
      </c>
      <c r="S70" s="320">
        <f t="shared" si="64"/>
        <v>26197921.044257704</v>
      </c>
      <c r="Z70" s="361"/>
    </row>
    <row r="71" spans="3:27" ht="13.5" thickBot="1">
      <c r="C71" s="412" t="s">
        <v>165</v>
      </c>
      <c r="D71" s="413"/>
      <c r="E71" s="413"/>
      <c r="F71" s="413"/>
      <c r="G71" s="413"/>
      <c r="H71" s="413"/>
      <c r="I71" s="413"/>
      <c r="J71" s="413"/>
      <c r="K71" s="413"/>
      <c r="L71" s="413"/>
      <c r="M71" s="413"/>
      <c r="N71" s="417"/>
      <c r="O71" s="417"/>
      <c r="P71" s="417"/>
      <c r="Q71" s="417"/>
      <c r="R71" s="417"/>
      <c r="Z71" s="361"/>
    </row>
    <row r="72" spans="3:27" ht="39" thickBot="1">
      <c r="C72" s="59" t="s">
        <v>95</v>
      </c>
      <c r="D72" s="60" t="s">
        <v>96</v>
      </c>
      <c r="E72" s="59" t="s">
        <v>94</v>
      </c>
      <c r="F72" s="61" t="s">
        <v>292</v>
      </c>
      <c r="G72" s="62" t="s">
        <v>0</v>
      </c>
      <c r="H72" s="59" t="s">
        <v>293</v>
      </c>
      <c r="I72" s="59" t="s">
        <v>293</v>
      </c>
      <c r="J72" s="59" t="s">
        <v>293</v>
      </c>
      <c r="K72" s="59" t="s">
        <v>293</v>
      </c>
      <c r="L72" s="59" t="s">
        <v>293</v>
      </c>
      <c r="M72" s="6" t="s">
        <v>293</v>
      </c>
      <c r="N72" s="218" t="s">
        <v>293</v>
      </c>
      <c r="O72" s="448"/>
      <c r="P72" s="220" t="s">
        <v>348</v>
      </c>
      <c r="Q72" s="220" t="s">
        <v>349</v>
      </c>
      <c r="R72" s="304" t="s">
        <v>350</v>
      </c>
      <c r="S72" s="345" t="s">
        <v>293</v>
      </c>
      <c r="T72" s="346" t="s">
        <v>352</v>
      </c>
      <c r="U72" s="346" t="s">
        <v>352</v>
      </c>
      <c r="V72" s="346" t="s">
        <v>352</v>
      </c>
      <c r="W72" s="346" t="s">
        <v>352</v>
      </c>
      <c r="X72" s="346" t="s">
        <v>352</v>
      </c>
      <c r="Y72" s="355" t="s">
        <v>352</v>
      </c>
      <c r="Z72" s="347" t="s">
        <v>352</v>
      </c>
    </row>
    <row r="73" spans="3:27" ht="76.5">
      <c r="C73" s="9" t="s">
        <v>225</v>
      </c>
      <c r="D73" s="10" t="s">
        <v>236</v>
      </c>
      <c r="E73" s="13" t="s">
        <v>7</v>
      </c>
      <c r="F73" s="10" t="s">
        <v>4</v>
      </c>
      <c r="G73" s="37">
        <v>1</v>
      </c>
      <c r="H73" s="129">
        <v>3220336</v>
      </c>
      <c r="I73" s="302">
        <v>3700065.1260504201</v>
      </c>
      <c r="J73" s="286">
        <v>3562886</v>
      </c>
      <c r="K73" s="297">
        <v>3384406</v>
      </c>
      <c r="L73" s="297">
        <v>3303044</v>
      </c>
      <c r="M73" s="298">
        <f>+HISTORICOS!AD73</f>
        <v>2941176.4705882357</v>
      </c>
      <c r="N73" s="217">
        <f>+AVERAGE(H73:M73)</f>
        <v>3351985.599439776</v>
      </c>
      <c r="O73" s="449"/>
      <c r="P73" s="152">
        <f t="shared" ref="P73:P82" si="65">+STDEVA(H73:M73)</f>
        <v>266525.96710661304</v>
      </c>
      <c r="Q73" s="153">
        <f t="shared" ref="Q73:Q82" si="66">+N73-P73</f>
        <v>3085459.6323331632</v>
      </c>
      <c r="R73" s="139">
        <f t="shared" ref="R73:R82" si="67">+N73+P73</f>
        <v>3618511.5665463889</v>
      </c>
      <c r="S73" s="233">
        <f>+AVERAGE(H73,J73:M73)</f>
        <v>3282369.6941176471</v>
      </c>
      <c r="T73" s="306">
        <f t="shared" ref="T73" si="68">+H73/S73</f>
        <v>0.98110094233784262</v>
      </c>
      <c r="U73" s="311">
        <f t="shared" ref="U73" si="69">+I73/S73</f>
        <v>1.1272542311980662</v>
      </c>
      <c r="V73" s="306">
        <f t="shared" ref="V73" si="70">+J73/S73</f>
        <v>1.0854615207985461</v>
      </c>
      <c r="W73" s="306">
        <f t="shared" ref="W73" si="71">+K73/S73</f>
        <v>1.0310861710870693</v>
      </c>
      <c r="X73" s="306">
        <f t="shared" ref="X73" si="72">+L73/S73</f>
        <v>1.0062985915082641</v>
      </c>
      <c r="Y73" s="308">
        <f t="shared" ref="Y73" si="73">+M73/S73</f>
        <v>0.89605277426827767</v>
      </c>
      <c r="Z73" s="364">
        <f>+AVERAGE(T73,V73:Y73)</f>
        <v>1</v>
      </c>
      <c r="AA73" s="366">
        <f t="shared" ref="AA73:AA74" si="74">+HARMEAN(H73,J73:M73)</f>
        <v>3269209.2979966211</v>
      </c>
    </row>
    <row r="74" spans="3:27" ht="178.5">
      <c r="C74" s="2" t="s">
        <v>228</v>
      </c>
      <c r="D74" s="1" t="s">
        <v>237</v>
      </c>
      <c r="E74" s="15" t="s">
        <v>8</v>
      </c>
      <c r="F74" s="1" t="s">
        <v>4</v>
      </c>
      <c r="G74" s="38">
        <v>2</v>
      </c>
      <c r="H74" s="137">
        <v>3937368</v>
      </c>
      <c r="I74" s="226">
        <v>5555400</v>
      </c>
      <c r="J74" s="290">
        <v>4348849</v>
      </c>
      <c r="K74" s="300">
        <v>4048272</v>
      </c>
      <c r="L74" s="300">
        <v>4087929</v>
      </c>
      <c r="M74" s="291">
        <f>+HISTORICOS!AD74</f>
        <v>4184873.9495798321</v>
      </c>
      <c r="N74" s="217">
        <f>+AVERAGE(H74:M74)</f>
        <v>4360448.6582633052</v>
      </c>
      <c r="O74" s="449"/>
      <c r="P74" s="152">
        <f t="shared" si="65"/>
        <v>601595.91305466159</v>
      </c>
      <c r="Q74" s="153">
        <f t="shared" si="66"/>
        <v>3758852.7452086434</v>
      </c>
      <c r="R74" s="139">
        <f t="shared" si="67"/>
        <v>4962044.571317967</v>
      </c>
      <c r="S74" s="234">
        <f>+AVERAGE(H74,J74:M74)</f>
        <v>4121458.3899159664</v>
      </c>
      <c r="T74" s="305">
        <f t="shared" ref="T74:T82" si="75">+H74/S74</f>
        <v>0.95533367742681008</v>
      </c>
      <c r="U74" s="312">
        <f t="shared" ref="U74:U82" si="76">+I74/S74</f>
        <v>1.3479209237177985</v>
      </c>
      <c r="V74" s="305">
        <f t="shared" ref="V74:V82" si="77">+J74/S74</f>
        <v>1.0551723658403038</v>
      </c>
      <c r="W74" s="305">
        <f t="shared" ref="W74:W82" si="78">+K74/S74</f>
        <v>0.98224259885892995</v>
      </c>
      <c r="X74" s="305">
        <f t="shared" ref="X74:X82" si="79">+L74/S74</f>
        <v>0.99186467829009184</v>
      </c>
      <c r="Y74" s="309">
        <f t="shared" ref="Y74:Y82" si="80">+M74/S74</f>
        <v>1.0153866795838642</v>
      </c>
      <c r="Z74" s="362">
        <f t="shared" ref="Z74" si="81">+AVERAGE(T74,V74:Y74)</f>
        <v>1</v>
      </c>
      <c r="AA74" s="366">
        <f t="shared" si="74"/>
        <v>4116852.3719710298</v>
      </c>
    </row>
    <row r="75" spans="3:27" ht="114.75">
      <c r="C75" s="2" t="s">
        <v>99</v>
      </c>
      <c r="D75" s="1" t="s">
        <v>172</v>
      </c>
      <c r="E75" s="15" t="s">
        <v>9</v>
      </c>
      <c r="F75" s="1" t="s">
        <v>4</v>
      </c>
      <c r="G75" s="38">
        <v>1</v>
      </c>
      <c r="H75" s="137">
        <v>1474185</v>
      </c>
      <c r="I75" s="299">
        <v>1586974.7899159666</v>
      </c>
      <c r="J75" s="225">
        <v>1686122</v>
      </c>
      <c r="K75" s="300">
        <v>1526486</v>
      </c>
      <c r="L75" s="300">
        <v>1498029</v>
      </c>
      <c r="M75" s="291">
        <f>+HISTORICOS!AD75</f>
        <v>1482000</v>
      </c>
      <c r="N75" s="217">
        <f t="shared" ref="N75:N82" si="82">+AVERAGE(H75:M75)</f>
        <v>1542299.4649859946</v>
      </c>
      <c r="O75" s="449"/>
      <c r="P75" s="152">
        <f t="shared" si="65"/>
        <v>81444.891550444474</v>
      </c>
      <c r="Q75" s="153">
        <f t="shared" si="66"/>
        <v>1460854.5734355501</v>
      </c>
      <c r="R75" s="139">
        <f t="shared" si="67"/>
        <v>1623744.3565364392</v>
      </c>
      <c r="S75" s="234">
        <f>+AVERAGE(H75:I75,K75:M75)</f>
        <v>1513534.9579831935</v>
      </c>
      <c r="T75" s="305">
        <f t="shared" si="75"/>
        <v>0.97400128898533811</v>
      </c>
      <c r="U75" s="305">
        <f t="shared" si="76"/>
        <v>1.0485220586055262</v>
      </c>
      <c r="V75" s="312">
        <f t="shared" si="77"/>
        <v>1.1140291085491552</v>
      </c>
      <c r="W75" s="305">
        <f t="shared" si="78"/>
        <v>1.0085568172366921</v>
      </c>
      <c r="X75" s="305">
        <f t="shared" si="79"/>
        <v>0.98975513720287278</v>
      </c>
      <c r="Y75" s="309">
        <f t="shared" si="80"/>
        <v>0.9791646979695704</v>
      </c>
      <c r="Z75" s="362">
        <f>+AVERAGE(T75:U75,W75:Y75)</f>
        <v>0.99999999999999978</v>
      </c>
      <c r="AA75" s="366">
        <f>+HARMEAN(H75:I75,K75:M75)</f>
        <v>1512457.6643353356</v>
      </c>
    </row>
    <row r="76" spans="3:27" ht="38.25">
      <c r="C76" s="2" t="s">
        <v>229</v>
      </c>
      <c r="D76" s="1" t="s">
        <v>238</v>
      </c>
      <c r="E76" s="15" t="s">
        <v>10</v>
      </c>
      <c r="F76" s="1" t="s">
        <v>4</v>
      </c>
      <c r="G76" s="38">
        <v>40</v>
      </c>
      <c r="H76" s="137">
        <v>75571</v>
      </c>
      <c r="I76" s="299">
        <v>75504.201680672268</v>
      </c>
      <c r="J76" s="225">
        <v>88777</v>
      </c>
      <c r="K76" s="300">
        <v>76923</v>
      </c>
      <c r="L76" s="300">
        <v>77771</v>
      </c>
      <c r="M76" s="291">
        <f>+HISTORICOS!AD76</f>
        <v>75571.42857142858</v>
      </c>
      <c r="N76" s="217">
        <f t="shared" si="82"/>
        <v>78352.938375350132</v>
      </c>
      <c r="O76" s="449"/>
      <c r="P76" s="152">
        <f t="shared" si="65"/>
        <v>5189.1370275540767</v>
      </c>
      <c r="Q76" s="153">
        <f t="shared" si="66"/>
        <v>73163.801347796049</v>
      </c>
      <c r="R76" s="139">
        <f t="shared" si="67"/>
        <v>83542.075402904215</v>
      </c>
      <c r="S76" s="234">
        <f>+AVERAGE(H76:I76,K76:M76)</f>
        <v>76268.126050420164</v>
      </c>
      <c r="T76" s="305">
        <f t="shared" si="75"/>
        <v>0.9908595361323117</v>
      </c>
      <c r="U76" s="305">
        <f t="shared" si="76"/>
        <v>0.98998370080257547</v>
      </c>
      <c r="V76" s="312">
        <f t="shared" si="77"/>
        <v>1.1640118172211329</v>
      </c>
      <c r="W76" s="305">
        <f t="shared" si="78"/>
        <v>1.0085864696498104</v>
      </c>
      <c r="X76" s="305">
        <f t="shared" si="79"/>
        <v>1.019705138009898</v>
      </c>
      <c r="Y76" s="309">
        <f t="shared" si="80"/>
        <v>0.99086515540540487</v>
      </c>
      <c r="Z76" s="362">
        <f t="shared" ref="Z76:Z77" si="83">+AVERAGE(T76:U76,W76:Y76)</f>
        <v>1</v>
      </c>
      <c r="AA76" s="366">
        <f t="shared" ref="AA76:AA77" si="84">+HARMEAN(H76:I76,K76:M76)</f>
        <v>76257.087630517388</v>
      </c>
    </row>
    <row r="77" spans="3:27" ht="25.5">
      <c r="C77" s="2" t="s">
        <v>230</v>
      </c>
      <c r="D77" s="1" t="s">
        <v>239</v>
      </c>
      <c r="E77" s="15" t="s">
        <v>11</v>
      </c>
      <c r="F77" s="1" t="s">
        <v>4</v>
      </c>
      <c r="G77" s="38">
        <v>10</v>
      </c>
      <c r="H77" s="137">
        <v>231765</v>
      </c>
      <c r="I77" s="226">
        <v>176344.53781512607</v>
      </c>
      <c r="J77" s="225">
        <v>266769</v>
      </c>
      <c r="K77" s="300">
        <v>245747</v>
      </c>
      <c r="L77" s="300">
        <v>232709</v>
      </c>
      <c r="M77" s="291">
        <f>+HISTORICOS!AD77</f>
        <v>159900</v>
      </c>
      <c r="N77" s="217">
        <f t="shared" si="82"/>
        <v>218872.4229691877</v>
      </c>
      <c r="O77" s="449"/>
      <c r="P77" s="152">
        <f t="shared" si="65"/>
        <v>41618.174094528556</v>
      </c>
      <c r="Q77" s="153">
        <f t="shared" si="66"/>
        <v>177254.24887465913</v>
      </c>
      <c r="R77" s="139">
        <f t="shared" si="67"/>
        <v>260490.59706371627</v>
      </c>
      <c r="S77" s="234">
        <f>+AVERAGE(H77:I77,K77:M77)</f>
        <v>209293.10756302523</v>
      </c>
      <c r="T77" s="305">
        <f t="shared" si="75"/>
        <v>1.107370437080484</v>
      </c>
      <c r="U77" s="305">
        <f t="shared" si="76"/>
        <v>0.84257212226648581</v>
      </c>
      <c r="V77" s="312">
        <f t="shared" si="77"/>
        <v>1.2746191363213757</v>
      </c>
      <c r="W77" s="305">
        <f t="shared" si="78"/>
        <v>1.1741762682079593</v>
      </c>
      <c r="X77" s="305">
        <f t="shared" si="79"/>
        <v>1.1118808579490533</v>
      </c>
      <c r="Y77" s="309">
        <f t="shared" si="80"/>
        <v>0.76400031449601702</v>
      </c>
      <c r="Z77" s="362">
        <f t="shared" si="83"/>
        <v>0.99999999999999978</v>
      </c>
      <c r="AA77" s="366">
        <f t="shared" si="84"/>
        <v>203204.29376953072</v>
      </c>
    </row>
    <row r="78" spans="3:27" ht="63.75">
      <c r="C78" s="2" t="s">
        <v>231</v>
      </c>
      <c r="D78" s="1" t="s">
        <v>240</v>
      </c>
      <c r="E78" s="15" t="s">
        <v>12</v>
      </c>
      <c r="F78" s="1" t="s">
        <v>4</v>
      </c>
      <c r="G78" s="38">
        <v>2</v>
      </c>
      <c r="H78" s="137">
        <v>1951113</v>
      </c>
      <c r="I78" s="226">
        <v>1277521.0084033615</v>
      </c>
      <c r="J78" s="290">
        <v>1949551</v>
      </c>
      <c r="K78" s="300">
        <v>1986238</v>
      </c>
      <c r="L78" s="300">
        <v>1896105</v>
      </c>
      <c r="M78" s="291">
        <f>+HISTORICOS!AD78</f>
        <v>1500000</v>
      </c>
      <c r="N78" s="217">
        <f t="shared" si="82"/>
        <v>1760088.0014005601</v>
      </c>
      <c r="O78" s="449"/>
      <c r="P78" s="152">
        <f t="shared" si="65"/>
        <v>297505.59487365367</v>
      </c>
      <c r="Q78" s="153">
        <f t="shared" si="66"/>
        <v>1462582.4065269064</v>
      </c>
      <c r="R78" s="139">
        <f t="shared" si="67"/>
        <v>2057593.5962742139</v>
      </c>
      <c r="S78" s="234">
        <f>+AVERAGE(H78,J78:M78)</f>
        <v>1856601.4</v>
      </c>
      <c r="T78" s="305">
        <f t="shared" si="75"/>
        <v>1.0509057032920475</v>
      </c>
      <c r="U78" s="312">
        <f t="shared" si="76"/>
        <v>0.68809654479597049</v>
      </c>
      <c r="V78" s="305">
        <f t="shared" si="77"/>
        <v>1.0500643810782433</v>
      </c>
      <c r="W78" s="305">
        <f t="shared" si="78"/>
        <v>1.0698246807311467</v>
      </c>
      <c r="X78" s="305">
        <f t="shared" si="79"/>
        <v>1.021277372730625</v>
      </c>
      <c r="Y78" s="309">
        <f t="shared" si="80"/>
        <v>0.80792786216793766</v>
      </c>
      <c r="Z78" s="362">
        <f t="shared" ref="Z78:Z82" si="85">+AVERAGE(T78,V78:Y78)</f>
        <v>0.99999999999999978</v>
      </c>
      <c r="AA78" s="366">
        <f t="shared" ref="AA78:AA82" si="86">+HARMEAN(H78,J78:M78)</f>
        <v>1836213.733609827</v>
      </c>
    </row>
    <row r="79" spans="3:27" ht="89.25">
      <c r="C79" s="2" t="s">
        <v>232</v>
      </c>
      <c r="D79" s="1" t="s">
        <v>241</v>
      </c>
      <c r="E79" s="15" t="s">
        <v>13</v>
      </c>
      <c r="F79" s="1" t="s">
        <v>4</v>
      </c>
      <c r="G79" s="38">
        <v>1</v>
      </c>
      <c r="H79" s="137">
        <v>2880113</v>
      </c>
      <c r="I79" s="226">
        <v>4033487.3949579839</v>
      </c>
      <c r="J79" s="290">
        <v>2994945</v>
      </c>
      <c r="K79" s="300">
        <v>3139360</v>
      </c>
      <c r="L79" s="300">
        <v>2878378</v>
      </c>
      <c r="M79" s="291">
        <f>+HISTORICOS!AD79</f>
        <v>2642857.1428571432</v>
      </c>
      <c r="N79" s="217">
        <f t="shared" si="82"/>
        <v>3094856.7563025211</v>
      </c>
      <c r="O79" s="449"/>
      <c r="P79" s="152">
        <f t="shared" si="65"/>
        <v>487908.17925625906</v>
      </c>
      <c r="Q79" s="153">
        <f t="shared" si="66"/>
        <v>2606948.5770462621</v>
      </c>
      <c r="R79" s="139">
        <f t="shared" si="67"/>
        <v>3582764.9355587801</v>
      </c>
      <c r="S79" s="234">
        <f t="shared" ref="S79:S80" si="87">+AVERAGE(H79,J79:M79)</f>
        <v>2907130.6285714288</v>
      </c>
      <c r="T79" s="305">
        <f t="shared" si="75"/>
        <v>0.99070642773809403</v>
      </c>
      <c r="U79" s="312">
        <f t="shared" si="76"/>
        <v>1.3874462176954359</v>
      </c>
      <c r="V79" s="305">
        <f t="shared" si="77"/>
        <v>1.0302065447508713</v>
      </c>
      <c r="W79" s="305">
        <f t="shared" si="78"/>
        <v>1.0798826750838812</v>
      </c>
      <c r="X79" s="305">
        <f t="shared" si="79"/>
        <v>0.99010961933088026</v>
      </c>
      <c r="Y79" s="309">
        <f t="shared" si="80"/>
        <v>0.90909473309627287</v>
      </c>
      <c r="Z79" s="362">
        <f t="shared" si="85"/>
        <v>1</v>
      </c>
      <c r="AA79" s="366">
        <f t="shared" si="86"/>
        <v>2897816.4873113744</v>
      </c>
    </row>
    <row r="80" spans="3:27" ht="102">
      <c r="C80" s="2" t="s">
        <v>233</v>
      </c>
      <c r="D80" s="1" t="s">
        <v>169</v>
      </c>
      <c r="E80" s="15" t="s">
        <v>72</v>
      </c>
      <c r="F80" s="1" t="s">
        <v>4</v>
      </c>
      <c r="G80" s="38">
        <v>1</v>
      </c>
      <c r="H80" s="137">
        <v>3990000</v>
      </c>
      <c r="I80" s="226">
        <v>5221008.4033613447</v>
      </c>
      <c r="J80" s="290">
        <v>4244254</v>
      </c>
      <c r="K80" s="300">
        <v>4348132</v>
      </c>
      <c r="L80" s="300">
        <v>4084624</v>
      </c>
      <c r="M80" s="291">
        <f>+HISTORICOS!AD80</f>
        <v>2100840.3361344538</v>
      </c>
      <c r="N80" s="217">
        <f t="shared" si="82"/>
        <v>3998143.1232492994</v>
      </c>
      <c r="O80" s="449"/>
      <c r="P80" s="152">
        <f t="shared" si="65"/>
        <v>1028179.4969071655</v>
      </c>
      <c r="Q80" s="153">
        <f t="shared" si="66"/>
        <v>2969963.6263421336</v>
      </c>
      <c r="R80" s="139">
        <f t="shared" si="67"/>
        <v>5026322.6201564651</v>
      </c>
      <c r="S80" s="234">
        <f t="shared" si="87"/>
        <v>3753570.0672268905</v>
      </c>
      <c r="T80" s="305">
        <f t="shared" si="75"/>
        <v>1.0629880163520651</v>
      </c>
      <c r="U80" s="312">
        <f t="shared" si="76"/>
        <v>1.3909447032698092</v>
      </c>
      <c r="V80" s="305">
        <f t="shared" si="77"/>
        <v>1.1307245965800294</v>
      </c>
      <c r="W80" s="305">
        <f t="shared" si="78"/>
        <v>1.1583990500042449</v>
      </c>
      <c r="X80" s="305">
        <f t="shared" si="79"/>
        <v>1.0881970835348465</v>
      </c>
      <c r="Y80" s="309">
        <f t="shared" si="80"/>
        <v>0.55969125352881421</v>
      </c>
      <c r="Z80" s="362">
        <f t="shared" si="85"/>
        <v>1</v>
      </c>
      <c r="AA80" s="366">
        <f t="shared" si="86"/>
        <v>3479365.4885426168</v>
      </c>
    </row>
    <row r="81" spans="3:27" ht="51">
      <c r="C81" s="2" t="s">
        <v>234</v>
      </c>
      <c r="D81" s="1" t="s">
        <v>242</v>
      </c>
      <c r="E81" s="15" t="s">
        <v>14</v>
      </c>
      <c r="F81" s="1" t="s">
        <v>4</v>
      </c>
      <c r="G81" s="38">
        <v>1</v>
      </c>
      <c r="H81" s="137">
        <v>3581710</v>
      </c>
      <c r="I81" s="299">
        <v>2389915.9663865548</v>
      </c>
      <c r="J81" s="290">
        <v>3653488</v>
      </c>
      <c r="K81" s="300">
        <v>3900735</v>
      </c>
      <c r="L81" s="300">
        <v>3438769</v>
      </c>
      <c r="M81" s="291">
        <f>+HISTORICOS!AD81</f>
        <v>1933000</v>
      </c>
      <c r="N81" s="217">
        <f t="shared" si="82"/>
        <v>3149602.9943977594</v>
      </c>
      <c r="O81" s="449"/>
      <c r="P81" s="152">
        <f t="shared" si="65"/>
        <v>793180.94509429252</v>
      </c>
      <c r="Q81" s="153">
        <f t="shared" si="66"/>
        <v>2356422.0493034669</v>
      </c>
      <c r="R81" s="139">
        <f t="shared" si="67"/>
        <v>3942783.939492052</v>
      </c>
      <c r="S81" s="234">
        <f>+AVERAGE(H81:M81)</f>
        <v>3149602.9943977594</v>
      </c>
      <c r="T81" s="305">
        <f t="shared" si="75"/>
        <v>1.137194118233579</v>
      </c>
      <c r="U81" s="305">
        <f t="shared" si="76"/>
        <v>0.75879911551948931</v>
      </c>
      <c r="V81" s="305">
        <f t="shared" si="77"/>
        <v>1.159983657146157</v>
      </c>
      <c r="W81" s="305">
        <f t="shared" si="78"/>
        <v>1.2384846620155903</v>
      </c>
      <c r="X81" s="305">
        <f t="shared" si="79"/>
        <v>1.091810303113308</v>
      </c>
      <c r="Y81" s="309">
        <f t="shared" si="80"/>
        <v>0.61372814397187603</v>
      </c>
      <c r="Z81" s="362">
        <f>+AVERAGE(T81:Y81)</f>
        <v>1</v>
      </c>
      <c r="AA81" s="344">
        <f t="shared" ref="AA81" si="88">+HARMEAN(H81:M81)</f>
        <v>2947206.2560305283</v>
      </c>
    </row>
    <row r="82" spans="3:27" ht="51.75" thickBot="1">
      <c r="C82" s="16" t="s">
        <v>235</v>
      </c>
      <c r="D82" s="14" t="s">
        <v>243</v>
      </c>
      <c r="E82" s="17" t="s">
        <v>15</v>
      </c>
      <c r="F82" s="14" t="s">
        <v>4</v>
      </c>
      <c r="G82" s="39">
        <v>4</v>
      </c>
      <c r="H82" s="142">
        <v>3338403</v>
      </c>
      <c r="I82" s="227">
        <v>2235000</v>
      </c>
      <c r="J82" s="293">
        <v>3629003</v>
      </c>
      <c r="K82" s="301">
        <v>3385825</v>
      </c>
      <c r="L82" s="301">
        <v>3269943</v>
      </c>
      <c r="M82" s="291">
        <f>+HISTORICOS!AD82</f>
        <v>3784285.7142857146</v>
      </c>
      <c r="N82" s="217">
        <f t="shared" si="82"/>
        <v>3273743.2857142859</v>
      </c>
      <c r="O82" s="449"/>
      <c r="P82" s="152">
        <f t="shared" si="65"/>
        <v>544538.02090996713</v>
      </c>
      <c r="Q82" s="153">
        <f t="shared" si="66"/>
        <v>2729205.2648043185</v>
      </c>
      <c r="R82" s="139">
        <f t="shared" si="67"/>
        <v>3818281.3066242533</v>
      </c>
      <c r="S82" s="235">
        <f>+AVERAGE(H82,J82:M82)</f>
        <v>3481491.9428571435</v>
      </c>
      <c r="T82" s="307">
        <f t="shared" si="75"/>
        <v>0.95890010799803393</v>
      </c>
      <c r="U82" s="313">
        <f t="shared" si="76"/>
        <v>0.64196615608589069</v>
      </c>
      <c r="V82" s="307">
        <f t="shared" si="77"/>
        <v>1.0423700699481726</v>
      </c>
      <c r="W82" s="307">
        <f t="shared" si="78"/>
        <v>0.97252127983423309</v>
      </c>
      <c r="X82" s="307">
        <f t="shared" si="79"/>
        <v>0.93923612453242322</v>
      </c>
      <c r="Y82" s="310">
        <f t="shared" si="80"/>
        <v>1.0869724176871363</v>
      </c>
      <c r="Z82" s="363">
        <f t="shared" si="85"/>
        <v>0.99999999999999978</v>
      </c>
      <c r="AA82" s="366">
        <f t="shared" si="86"/>
        <v>3470974.6461503957</v>
      </c>
    </row>
    <row r="83" spans="3:27" ht="13.15" customHeight="1" thickBot="1">
      <c r="C83" s="407" t="s">
        <v>226</v>
      </c>
      <c r="D83" s="408"/>
      <c r="E83" s="408"/>
      <c r="F83" s="408"/>
      <c r="G83" s="409"/>
      <c r="H83" s="158">
        <f t="shared" ref="H83:N83" si="89">SUM(H73:H82)</f>
        <v>24680564</v>
      </c>
      <c r="I83" s="158">
        <f t="shared" si="89"/>
        <v>26251221.428571425</v>
      </c>
      <c r="J83" s="158">
        <f t="shared" si="89"/>
        <v>26424644</v>
      </c>
      <c r="K83" s="158">
        <f t="shared" si="89"/>
        <v>26042124</v>
      </c>
      <c r="L83" s="158">
        <f t="shared" si="89"/>
        <v>24767301</v>
      </c>
      <c r="M83" s="158">
        <f t="shared" si="89"/>
        <v>20804505.042016812</v>
      </c>
      <c r="N83" s="158">
        <f t="shared" si="89"/>
        <v>24828393.24509804</v>
      </c>
      <c r="O83" s="450"/>
      <c r="P83" s="208">
        <v>20267000.000000004</v>
      </c>
      <c r="Q83" s="158">
        <f t="shared" ref="Q83:S83" si="90">SUM(Q73:Q82)</f>
        <v>20680706.9252229</v>
      </c>
      <c r="R83" s="158">
        <f t="shared" si="90"/>
        <v>28976079.564973176</v>
      </c>
      <c r="S83" s="206">
        <f t="shared" si="90"/>
        <v>24351321.308683474</v>
      </c>
    </row>
    <row r="84" spans="3:27" ht="24" customHeight="1" thickBot="1">
      <c r="C84" s="407" t="s">
        <v>402</v>
      </c>
      <c r="D84" s="408"/>
      <c r="E84" s="408"/>
      <c r="F84" s="408"/>
      <c r="G84" s="408"/>
      <c r="H84" s="35">
        <f>+H38+H70+H83</f>
        <v>83244422</v>
      </c>
      <c r="I84" s="35">
        <f t="shared" ref="I84:N84" si="91">+I38+I70+I83</f>
        <v>76693833.592436999</v>
      </c>
      <c r="J84" s="35">
        <f t="shared" si="91"/>
        <v>85590015</v>
      </c>
      <c r="K84" s="35">
        <f t="shared" si="91"/>
        <v>85819637</v>
      </c>
      <c r="L84" s="35">
        <f t="shared" si="91"/>
        <v>81785254</v>
      </c>
      <c r="M84" s="35">
        <f t="shared" si="91"/>
        <v>56147874.831932783</v>
      </c>
      <c r="N84" s="35">
        <f t="shared" si="91"/>
        <v>78213506.070728302</v>
      </c>
      <c r="O84" s="339"/>
      <c r="P84" s="35" t="e">
        <f>SUM(#REF!,P83,P70,P38)</f>
        <v>#REF!</v>
      </c>
      <c r="Q84" s="35">
        <f t="shared" ref="Q84" si="92">+Q38+Q70+Q83</f>
        <v>60218181.988172114</v>
      </c>
      <c r="R84" s="35">
        <f t="shared" ref="R84:S84" si="93">+R38+R70+R83</f>
        <v>96486857.260152906</v>
      </c>
      <c r="S84" s="35">
        <f t="shared" si="93"/>
        <v>77496006.38949579</v>
      </c>
    </row>
  </sheetData>
  <mergeCells count="30">
    <mergeCell ref="L1:L3"/>
    <mergeCell ref="C1:G1"/>
    <mergeCell ref="H1:H3"/>
    <mergeCell ref="I1:I3"/>
    <mergeCell ref="J1:J3"/>
    <mergeCell ref="K1:K3"/>
    <mergeCell ref="O72:O83"/>
    <mergeCell ref="C83:G83"/>
    <mergeCell ref="C84:G84"/>
    <mergeCell ref="S1:S3"/>
    <mergeCell ref="O5:O37"/>
    <mergeCell ref="C38:G38"/>
    <mergeCell ref="C39:R39"/>
    <mergeCell ref="O40:O70"/>
    <mergeCell ref="C70:G70"/>
    <mergeCell ref="C71:R71"/>
    <mergeCell ref="M1:M3"/>
    <mergeCell ref="N1:N3"/>
    <mergeCell ref="P1:R3"/>
    <mergeCell ref="C2:G2"/>
    <mergeCell ref="C3:G3"/>
    <mergeCell ref="C4:R4"/>
    <mergeCell ref="Z1:Z3"/>
    <mergeCell ref="AA1:AA3"/>
    <mergeCell ref="T1:T3"/>
    <mergeCell ref="U1:U3"/>
    <mergeCell ref="V1:V3"/>
    <mergeCell ref="W1:W3"/>
    <mergeCell ref="X1:X3"/>
    <mergeCell ref="Y1:Y3"/>
  </mergeCells>
  <pageMargins left="0.7" right="0.7" top="0.75" bottom="0.75" header="0.3" footer="0.3"/>
  <pageSetup paperSize="9" orientation="portrait" r:id="rId1"/>
  <colBreaks count="1" manualBreakCount="1">
    <brk id="9" max="10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7340B-73AF-4E09-BB59-5B8558E93498}">
  <dimension ref="A1:K93"/>
  <sheetViews>
    <sheetView showGridLines="0" tabSelected="1" topLeftCell="A77" zoomScale="80" zoomScaleNormal="80" workbookViewId="0">
      <selection activeCell="I80" sqref="I80"/>
    </sheetView>
  </sheetViews>
  <sheetFormatPr baseColWidth="10" defaultColWidth="8.83203125" defaultRowHeight="12.75"/>
  <cols>
    <col min="1" max="2" width="8.83203125" style="3" customWidth="1"/>
    <col min="3" max="3" width="16" style="3" bestFit="1" customWidth="1"/>
    <col min="4" max="4" width="40" style="3" customWidth="1"/>
    <col min="5" max="5" width="67.33203125" style="3" customWidth="1"/>
    <col min="6" max="6" width="14.6640625" style="3" customWidth="1"/>
    <col min="7" max="7" width="14.6640625" style="12" customWidth="1"/>
    <col min="8" max="8" width="25.6640625" style="3" customWidth="1"/>
    <col min="9" max="9" width="26.33203125" style="3" customWidth="1"/>
    <col min="10" max="10" width="21.5" style="3" customWidth="1"/>
    <col min="11" max="11" width="24.83203125" style="3" customWidth="1"/>
    <col min="12" max="16384" width="8.83203125" style="3"/>
  </cols>
  <sheetData>
    <row r="1" spans="1:11" ht="13.15" customHeight="1">
      <c r="C1" s="403" t="s">
        <v>91</v>
      </c>
      <c r="D1" s="404"/>
      <c r="E1" s="404"/>
      <c r="F1" s="404"/>
      <c r="G1" s="404"/>
      <c r="H1" s="470" t="s">
        <v>412</v>
      </c>
      <c r="I1" s="471"/>
      <c r="J1" s="471"/>
      <c r="K1" s="472"/>
    </row>
    <row r="2" spans="1:11" ht="13.15" customHeight="1">
      <c r="C2" s="399" t="s">
        <v>92</v>
      </c>
      <c r="D2" s="400"/>
      <c r="E2" s="400"/>
      <c r="F2" s="400"/>
      <c r="G2" s="400"/>
      <c r="H2" s="473"/>
      <c r="I2" s="474"/>
      <c r="J2" s="474"/>
      <c r="K2" s="475"/>
    </row>
    <row r="3" spans="1:11" ht="82.9" customHeight="1" thickBot="1">
      <c r="C3" s="401" t="s">
        <v>93</v>
      </c>
      <c r="D3" s="402"/>
      <c r="E3" s="402"/>
      <c r="F3" s="402"/>
      <c r="G3" s="402"/>
      <c r="H3" s="473"/>
      <c r="I3" s="474"/>
      <c r="J3" s="474"/>
      <c r="K3" s="475"/>
    </row>
    <row r="4" spans="1:11" ht="13.5" thickBot="1">
      <c r="C4" s="388" t="s">
        <v>97</v>
      </c>
      <c r="D4" s="389"/>
      <c r="E4" s="389"/>
      <c r="F4" s="389"/>
      <c r="G4" s="389"/>
      <c r="H4" s="389"/>
      <c r="I4" s="389"/>
      <c r="J4" s="389"/>
      <c r="K4" s="420"/>
    </row>
    <row r="5" spans="1:11" ht="47.25" customHeight="1" thickBot="1">
      <c r="A5" s="5"/>
      <c r="B5" s="5"/>
      <c r="C5" s="59" t="s">
        <v>95</v>
      </c>
      <c r="D5" s="60" t="s">
        <v>96</v>
      </c>
      <c r="E5" s="59" t="s">
        <v>94</v>
      </c>
      <c r="F5" s="61" t="s">
        <v>292</v>
      </c>
      <c r="G5" s="62" t="s">
        <v>0</v>
      </c>
      <c r="H5" s="232" t="s">
        <v>293</v>
      </c>
      <c r="I5" s="232" t="s">
        <v>294</v>
      </c>
      <c r="J5" s="232" t="s">
        <v>295</v>
      </c>
      <c r="K5" s="232" t="s">
        <v>359</v>
      </c>
    </row>
    <row r="6" spans="1:11" s="4" customFormat="1" ht="63.75">
      <c r="C6" s="9" t="s">
        <v>98</v>
      </c>
      <c r="D6" s="10" t="s">
        <v>131</v>
      </c>
      <c r="E6" s="13" t="s">
        <v>62</v>
      </c>
      <c r="F6" s="10" t="s">
        <v>4</v>
      </c>
      <c r="G6" s="37">
        <v>1</v>
      </c>
      <c r="H6" s="321">
        <v>3529412</v>
      </c>
      <c r="I6" s="322">
        <f>+H6*19%</f>
        <v>670588.28</v>
      </c>
      <c r="J6" s="323">
        <f>+H6+I6</f>
        <v>4200000.28</v>
      </c>
      <c r="K6" s="317">
        <f t="shared" ref="K6:K36" si="0">+J6*G6</f>
        <v>4200000.28</v>
      </c>
    </row>
    <row r="7" spans="1:11" s="4" customFormat="1" ht="76.5">
      <c r="C7" s="2" t="s">
        <v>100</v>
      </c>
      <c r="D7" s="1" t="s">
        <v>134</v>
      </c>
      <c r="E7" s="15" t="s">
        <v>16</v>
      </c>
      <c r="F7" s="1" t="s">
        <v>4</v>
      </c>
      <c r="G7" s="38">
        <v>1</v>
      </c>
      <c r="H7" s="324">
        <v>1783814.3754614801</v>
      </c>
      <c r="I7" s="325">
        <f t="shared" ref="I7:I36" si="1">+H7*19%</f>
        <v>338924.73133768124</v>
      </c>
      <c r="J7" s="326">
        <f>+H7+I7</f>
        <v>2122739.1067991615</v>
      </c>
      <c r="K7" s="318">
        <f t="shared" si="0"/>
        <v>2122739.1067991615</v>
      </c>
    </row>
    <row r="8" spans="1:11" s="4" customFormat="1" ht="51">
      <c r="C8" s="2" t="s">
        <v>101</v>
      </c>
      <c r="D8" s="1" t="s">
        <v>132</v>
      </c>
      <c r="E8" s="15" t="s">
        <v>17</v>
      </c>
      <c r="F8" s="1" t="s">
        <v>4</v>
      </c>
      <c r="G8" s="38">
        <v>6</v>
      </c>
      <c r="H8" s="324">
        <v>260033.72365272278</v>
      </c>
      <c r="I8" s="325">
        <f t="shared" si="1"/>
        <v>49406.40749401733</v>
      </c>
      <c r="J8" s="327">
        <f>+H8+I8</f>
        <v>309440.13114674011</v>
      </c>
      <c r="K8" s="318">
        <f t="shared" si="0"/>
        <v>1856640.7868804405</v>
      </c>
    </row>
    <row r="9" spans="1:11" s="4" customFormat="1" ht="38.25">
      <c r="C9" s="2" t="s">
        <v>102</v>
      </c>
      <c r="D9" s="1" t="s">
        <v>133</v>
      </c>
      <c r="E9" s="15" t="s">
        <v>10</v>
      </c>
      <c r="F9" s="1" t="s">
        <v>4</v>
      </c>
      <c r="G9" s="38">
        <v>15</v>
      </c>
      <c r="H9" s="324">
        <v>76257.087630517388</v>
      </c>
      <c r="I9" s="325">
        <f t="shared" si="1"/>
        <v>14488.846649798304</v>
      </c>
      <c r="J9" s="327">
        <f t="shared" ref="J9:J36" si="2">+H9+I9</f>
        <v>90745.934280315691</v>
      </c>
      <c r="K9" s="318">
        <f t="shared" si="0"/>
        <v>1361189.0142047354</v>
      </c>
    </row>
    <row r="10" spans="1:11" s="4" customFormat="1" ht="25.5">
      <c r="C10" s="2" t="s">
        <v>103</v>
      </c>
      <c r="D10" s="1" t="s">
        <v>135</v>
      </c>
      <c r="E10" s="15" t="s">
        <v>63</v>
      </c>
      <c r="F10" s="1" t="s">
        <v>4</v>
      </c>
      <c r="G10" s="38">
        <v>5</v>
      </c>
      <c r="H10" s="324">
        <v>126526.68004023588</v>
      </c>
      <c r="I10" s="325">
        <f t="shared" si="1"/>
        <v>24040.069207644818</v>
      </c>
      <c r="J10" s="327">
        <f t="shared" si="2"/>
        <v>150566.74924788071</v>
      </c>
      <c r="K10" s="318">
        <f t="shared" si="0"/>
        <v>752833.7462394035</v>
      </c>
    </row>
    <row r="11" spans="1:11" s="4" customFormat="1" ht="38.25">
      <c r="C11" s="2" t="s">
        <v>104</v>
      </c>
      <c r="D11" s="1" t="s">
        <v>136</v>
      </c>
      <c r="E11" s="15" t="s">
        <v>18</v>
      </c>
      <c r="F11" s="1" t="s">
        <v>4</v>
      </c>
      <c r="G11" s="38">
        <v>1</v>
      </c>
      <c r="H11" s="324">
        <v>1765618.9707202148</v>
      </c>
      <c r="I11" s="325">
        <f t="shared" si="1"/>
        <v>335467.6044368408</v>
      </c>
      <c r="J11" s="327">
        <f t="shared" si="2"/>
        <v>2101086.5751570556</v>
      </c>
      <c r="K11" s="318">
        <f t="shared" si="0"/>
        <v>2101086.5751570556</v>
      </c>
    </row>
    <row r="12" spans="1:11" s="4" customFormat="1" ht="76.5">
      <c r="C12" s="2" t="s">
        <v>105</v>
      </c>
      <c r="D12" s="1" t="s">
        <v>137</v>
      </c>
      <c r="E12" s="15" t="s">
        <v>19</v>
      </c>
      <c r="F12" s="1" t="s">
        <v>4</v>
      </c>
      <c r="G12" s="38">
        <v>1</v>
      </c>
      <c r="H12" s="324">
        <v>387463.73615629727</v>
      </c>
      <c r="I12" s="325">
        <f t="shared" si="1"/>
        <v>73618.109869696476</v>
      </c>
      <c r="J12" s="327">
        <f t="shared" si="2"/>
        <v>461081.84602599376</v>
      </c>
      <c r="K12" s="318">
        <f t="shared" si="0"/>
        <v>461081.84602599376</v>
      </c>
    </row>
    <row r="13" spans="1:11" s="4" customFormat="1" ht="38.25">
      <c r="C13" s="2" t="s">
        <v>106</v>
      </c>
      <c r="D13" s="1" t="s">
        <v>138</v>
      </c>
      <c r="E13" s="15" t="s">
        <v>20</v>
      </c>
      <c r="F13" s="1" t="s">
        <v>4</v>
      </c>
      <c r="G13" s="38">
        <v>2</v>
      </c>
      <c r="H13" s="324">
        <v>213467.9866665937</v>
      </c>
      <c r="I13" s="325">
        <f t="shared" si="1"/>
        <v>40558.917466652805</v>
      </c>
      <c r="J13" s="327">
        <f t="shared" si="2"/>
        <v>254026.90413324651</v>
      </c>
      <c r="K13" s="318">
        <f t="shared" si="0"/>
        <v>508053.80826649303</v>
      </c>
    </row>
    <row r="14" spans="1:11" s="4" customFormat="1" ht="38.25">
      <c r="C14" s="2" t="s">
        <v>107</v>
      </c>
      <c r="D14" s="1" t="s">
        <v>139</v>
      </c>
      <c r="E14" s="15" t="s">
        <v>21</v>
      </c>
      <c r="F14" s="1" t="s">
        <v>4</v>
      </c>
      <c r="G14" s="38">
        <v>4</v>
      </c>
      <c r="H14" s="324">
        <v>209066.94097483341</v>
      </c>
      <c r="I14" s="325">
        <f t="shared" si="1"/>
        <v>39722.718785218349</v>
      </c>
      <c r="J14" s="327">
        <f t="shared" si="2"/>
        <v>248789.65976005176</v>
      </c>
      <c r="K14" s="318">
        <f t="shared" si="0"/>
        <v>995158.63904020702</v>
      </c>
    </row>
    <row r="15" spans="1:11" s="4" customFormat="1" ht="25.5">
      <c r="C15" s="2" t="s">
        <v>108</v>
      </c>
      <c r="D15" s="1" t="s">
        <v>140</v>
      </c>
      <c r="E15" s="15" t="s">
        <v>22</v>
      </c>
      <c r="F15" s="1" t="s">
        <v>4</v>
      </c>
      <c r="G15" s="38">
        <v>2</v>
      </c>
      <c r="H15" s="324">
        <v>140073.02553647838</v>
      </c>
      <c r="I15" s="325">
        <f t="shared" si="1"/>
        <v>26613.874851930894</v>
      </c>
      <c r="J15" s="327">
        <f t="shared" si="2"/>
        <v>166686.90038840927</v>
      </c>
      <c r="K15" s="318">
        <f t="shared" si="0"/>
        <v>333373.80077681853</v>
      </c>
    </row>
    <row r="16" spans="1:11" s="4" customFormat="1" ht="38.25">
      <c r="C16" s="2" t="s">
        <v>109</v>
      </c>
      <c r="D16" s="1" t="s">
        <v>141</v>
      </c>
      <c r="E16" s="15" t="s">
        <v>23</v>
      </c>
      <c r="F16" s="1" t="s">
        <v>4</v>
      </c>
      <c r="G16" s="38">
        <v>2</v>
      </c>
      <c r="H16" s="324">
        <v>60974.950899434894</v>
      </c>
      <c r="I16" s="325">
        <f t="shared" si="1"/>
        <v>11585.24067089263</v>
      </c>
      <c r="J16" s="327">
        <f t="shared" si="2"/>
        <v>72560.19157032753</v>
      </c>
      <c r="K16" s="318">
        <f t="shared" si="0"/>
        <v>145120.38314065506</v>
      </c>
    </row>
    <row r="17" spans="3:11" s="4" customFormat="1" ht="25.5">
      <c r="C17" s="2" t="s">
        <v>110</v>
      </c>
      <c r="D17" s="1" t="s">
        <v>145</v>
      </c>
      <c r="E17" s="15" t="s">
        <v>24</v>
      </c>
      <c r="F17" s="1" t="s">
        <v>4</v>
      </c>
      <c r="G17" s="38">
        <v>2</v>
      </c>
      <c r="H17" s="324">
        <v>276628.91502371879</v>
      </c>
      <c r="I17" s="325">
        <f t="shared" si="1"/>
        <v>52559.493854506567</v>
      </c>
      <c r="J17" s="327">
        <f t="shared" si="2"/>
        <v>329188.40887822537</v>
      </c>
      <c r="K17" s="318">
        <f t="shared" si="0"/>
        <v>658376.81775645074</v>
      </c>
    </row>
    <row r="18" spans="3:11" s="4" customFormat="1" ht="51">
      <c r="C18" s="2" t="s">
        <v>111</v>
      </c>
      <c r="D18" s="1" t="s">
        <v>146</v>
      </c>
      <c r="E18" s="15" t="s">
        <v>25</v>
      </c>
      <c r="F18" s="1" t="s">
        <v>4</v>
      </c>
      <c r="G18" s="38">
        <v>2</v>
      </c>
      <c r="H18" s="324">
        <v>82023.98897221782</v>
      </c>
      <c r="I18" s="325">
        <f t="shared" si="1"/>
        <v>15584.557904721385</v>
      </c>
      <c r="J18" s="327">
        <f t="shared" si="2"/>
        <v>97608.546876939203</v>
      </c>
      <c r="K18" s="318">
        <f t="shared" si="0"/>
        <v>195217.09375387841</v>
      </c>
    </row>
    <row r="19" spans="3:11" s="4" customFormat="1" ht="25.5">
      <c r="C19" s="2" t="s">
        <v>112</v>
      </c>
      <c r="D19" s="1" t="s">
        <v>147</v>
      </c>
      <c r="E19" s="15" t="s">
        <v>26</v>
      </c>
      <c r="F19" s="1" t="s">
        <v>4</v>
      </c>
      <c r="G19" s="38">
        <v>2</v>
      </c>
      <c r="H19" s="324">
        <v>52729.715861559162</v>
      </c>
      <c r="I19" s="325">
        <f t="shared" si="1"/>
        <v>10018.646013696241</v>
      </c>
      <c r="J19" s="327">
        <f t="shared" si="2"/>
        <v>62748.361875255403</v>
      </c>
      <c r="K19" s="318">
        <f t="shared" si="0"/>
        <v>125496.72375051081</v>
      </c>
    </row>
    <row r="20" spans="3:11" s="4" customFormat="1" ht="25.5">
      <c r="C20" s="2" t="s">
        <v>113</v>
      </c>
      <c r="D20" s="1" t="s">
        <v>148</v>
      </c>
      <c r="E20" s="15" t="s">
        <v>64</v>
      </c>
      <c r="F20" s="1" t="s">
        <v>4</v>
      </c>
      <c r="G20" s="38">
        <v>2</v>
      </c>
      <c r="H20" s="324">
        <v>82584.946328982609</v>
      </c>
      <c r="I20" s="325">
        <f t="shared" si="1"/>
        <v>15691.139802506696</v>
      </c>
      <c r="J20" s="327">
        <f t="shared" si="2"/>
        <v>98276.086131489312</v>
      </c>
      <c r="K20" s="318">
        <f t="shared" si="0"/>
        <v>196552.17226297862</v>
      </c>
    </row>
    <row r="21" spans="3:11" s="4" customFormat="1" ht="51">
      <c r="C21" s="2" t="s">
        <v>114</v>
      </c>
      <c r="D21" s="1" t="s">
        <v>142</v>
      </c>
      <c r="E21" s="15" t="s">
        <v>27</v>
      </c>
      <c r="F21" s="1" t="s">
        <v>4</v>
      </c>
      <c r="G21" s="38">
        <v>2</v>
      </c>
      <c r="H21" s="324">
        <v>231211.82398997343</v>
      </c>
      <c r="I21" s="325">
        <f t="shared" si="1"/>
        <v>43930.24655809495</v>
      </c>
      <c r="J21" s="327">
        <f t="shared" si="2"/>
        <v>275142.07054806838</v>
      </c>
      <c r="K21" s="318">
        <f t="shared" si="0"/>
        <v>550284.14109613677</v>
      </c>
    </row>
    <row r="22" spans="3:11" s="4" customFormat="1" ht="63.75">
      <c r="C22" s="2" t="s">
        <v>115</v>
      </c>
      <c r="D22" s="1" t="s">
        <v>149</v>
      </c>
      <c r="E22" s="15" t="s">
        <v>28</v>
      </c>
      <c r="F22" s="1" t="s">
        <v>4</v>
      </c>
      <c r="G22" s="38">
        <v>1</v>
      </c>
      <c r="H22" s="324">
        <v>73689.226570541505</v>
      </c>
      <c r="I22" s="325">
        <f t="shared" si="1"/>
        <v>14000.953048402886</v>
      </c>
      <c r="J22" s="327">
        <f t="shared" si="2"/>
        <v>87690.179618944385</v>
      </c>
      <c r="K22" s="318">
        <f t="shared" si="0"/>
        <v>87690.179618944385</v>
      </c>
    </row>
    <row r="23" spans="3:11" s="4" customFormat="1" ht="63.75">
      <c r="C23" s="2" t="s">
        <v>116</v>
      </c>
      <c r="D23" s="1" t="s">
        <v>143</v>
      </c>
      <c r="E23" s="15" t="s">
        <v>29</v>
      </c>
      <c r="F23" s="1" t="s">
        <v>4</v>
      </c>
      <c r="G23" s="38">
        <v>2</v>
      </c>
      <c r="H23" s="324">
        <v>396899.91631957167</v>
      </c>
      <c r="I23" s="325">
        <f t="shared" si="1"/>
        <v>75410.984100718619</v>
      </c>
      <c r="J23" s="327">
        <f t="shared" si="2"/>
        <v>472310.9004202903</v>
      </c>
      <c r="K23" s="318">
        <f t="shared" si="0"/>
        <v>944621.8008405806</v>
      </c>
    </row>
    <row r="24" spans="3:11" s="4" customFormat="1" ht="25.5">
      <c r="C24" s="2" t="s">
        <v>117</v>
      </c>
      <c r="D24" s="1" t="s">
        <v>150</v>
      </c>
      <c r="E24" s="15" t="s">
        <v>30</v>
      </c>
      <c r="F24" s="1" t="s">
        <v>4</v>
      </c>
      <c r="G24" s="38">
        <v>5</v>
      </c>
      <c r="H24" s="324">
        <v>42744.096993298001</v>
      </c>
      <c r="I24" s="325">
        <f t="shared" si="1"/>
        <v>8121.3784287266199</v>
      </c>
      <c r="J24" s="327">
        <f t="shared" si="2"/>
        <v>50865.475422024618</v>
      </c>
      <c r="K24" s="318">
        <f t="shared" si="0"/>
        <v>254327.37711012308</v>
      </c>
    </row>
    <row r="25" spans="3:11" s="4" customFormat="1" ht="25.5">
      <c r="C25" s="2" t="s">
        <v>118</v>
      </c>
      <c r="D25" s="1" t="s">
        <v>151</v>
      </c>
      <c r="E25" s="15" t="s">
        <v>31</v>
      </c>
      <c r="F25" s="1" t="s">
        <v>4</v>
      </c>
      <c r="G25" s="38">
        <v>5</v>
      </c>
      <c r="H25" s="324">
        <v>37763.874693192971</v>
      </c>
      <c r="I25" s="325">
        <f t="shared" si="1"/>
        <v>7175.1361917066642</v>
      </c>
      <c r="J25" s="327">
        <f t="shared" si="2"/>
        <v>44939.010884899631</v>
      </c>
      <c r="K25" s="318">
        <f t="shared" si="0"/>
        <v>224695.05442449817</v>
      </c>
    </row>
    <row r="26" spans="3:11" s="4" customFormat="1" ht="25.5">
      <c r="C26" s="2" t="s">
        <v>119</v>
      </c>
      <c r="D26" s="1" t="s">
        <v>152</v>
      </c>
      <c r="E26" s="15" t="s">
        <v>32</v>
      </c>
      <c r="F26" s="1" t="s">
        <v>4</v>
      </c>
      <c r="G26" s="38">
        <v>5</v>
      </c>
      <c r="H26" s="324">
        <v>88008.07609566988</v>
      </c>
      <c r="I26" s="325">
        <f t="shared" si="1"/>
        <v>16721.534458177277</v>
      </c>
      <c r="J26" s="327">
        <f t="shared" si="2"/>
        <v>104729.61055384716</v>
      </c>
      <c r="K26" s="318">
        <f t="shared" si="0"/>
        <v>523648.0527692358</v>
      </c>
    </row>
    <row r="27" spans="3:11" s="4" customFormat="1" ht="63.75">
      <c r="C27" s="2" t="s">
        <v>120</v>
      </c>
      <c r="D27" s="1" t="s">
        <v>153</v>
      </c>
      <c r="E27" s="15" t="s">
        <v>33</v>
      </c>
      <c r="F27" s="1" t="s">
        <v>4</v>
      </c>
      <c r="G27" s="38">
        <v>2</v>
      </c>
      <c r="H27" s="324">
        <v>141449.99922181494</v>
      </c>
      <c r="I27" s="325">
        <f t="shared" si="1"/>
        <v>26875.49985214484</v>
      </c>
      <c r="J27" s="327">
        <f t="shared" si="2"/>
        <v>168325.49907395977</v>
      </c>
      <c r="K27" s="318">
        <f t="shared" si="0"/>
        <v>336650.99814791954</v>
      </c>
    </row>
    <row r="28" spans="3:11" s="4" customFormat="1" ht="63.75">
      <c r="C28" s="2" t="s">
        <v>121</v>
      </c>
      <c r="D28" s="1" t="s">
        <v>154</v>
      </c>
      <c r="E28" s="15" t="s">
        <v>35</v>
      </c>
      <c r="F28" s="1" t="s">
        <v>4</v>
      </c>
      <c r="G28" s="38">
        <v>2</v>
      </c>
      <c r="H28" s="324">
        <v>255387.08952506352</v>
      </c>
      <c r="I28" s="325">
        <f t="shared" si="1"/>
        <v>48523.547009762071</v>
      </c>
      <c r="J28" s="327">
        <f t="shared" si="2"/>
        <v>303910.63653482561</v>
      </c>
      <c r="K28" s="318">
        <f t="shared" si="0"/>
        <v>607821.27306965122</v>
      </c>
    </row>
    <row r="29" spans="3:11" s="4" customFormat="1" ht="76.5">
      <c r="C29" s="2" t="s">
        <v>122</v>
      </c>
      <c r="D29" s="1" t="s">
        <v>155</v>
      </c>
      <c r="E29" s="15" t="s">
        <v>67</v>
      </c>
      <c r="F29" s="1" t="s">
        <v>4</v>
      </c>
      <c r="G29" s="38">
        <v>2</v>
      </c>
      <c r="H29" s="324">
        <v>174050.42636986298</v>
      </c>
      <c r="I29" s="325">
        <f t="shared" si="1"/>
        <v>33069.581010273963</v>
      </c>
      <c r="J29" s="327">
        <f t="shared" si="2"/>
        <v>207120.00738013693</v>
      </c>
      <c r="K29" s="318">
        <f t="shared" si="0"/>
        <v>414240.01476027386</v>
      </c>
    </row>
    <row r="30" spans="3:11" s="4" customFormat="1" ht="38.25">
      <c r="C30" s="2" t="s">
        <v>123</v>
      </c>
      <c r="D30" s="1" t="s">
        <v>156</v>
      </c>
      <c r="E30" s="15" t="s">
        <v>65</v>
      </c>
      <c r="F30" s="1" t="s">
        <v>4</v>
      </c>
      <c r="G30" s="38">
        <v>2</v>
      </c>
      <c r="H30" s="324">
        <v>35621.853925404983</v>
      </c>
      <c r="I30" s="325">
        <f t="shared" si="1"/>
        <v>6768.1522458269465</v>
      </c>
      <c r="J30" s="327">
        <f t="shared" si="2"/>
        <v>42390.006171231929</v>
      </c>
      <c r="K30" s="318">
        <f t="shared" si="0"/>
        <v>84780.012342463859</v>
      </c>
    </row>
    <row r="31" spans="3:11" s="4" customFormat="1" ht="51">
      <c r="C31" s="2" t="s">
        <v>124</v>
      </c>
      <c r="D31" s="1" t="s">
        <v>157</v>
      </c>
      <c r="E31" s="15" t="s">
        <v>66</v>
      </c>
      <c r="F31" s="1" t="s">
        <v>4</v>
      </c>
      <c r="G31" s="38">
        <v>2</v>
      </c>
      <c r="H31" s="324">
        <v>40801.796973940975</v>
      </c>
      <c r="I31" s="325">
        <f t="shared" si="1"/>
        <v>7752.3414250487849</v>
      </c>
      <c r="J31" s="327">
        <f t="shared" si="2"/>
        <v>48554.138398989759</v>
      </c>
      <c r="K31" s="318">
        <f t="shared" si="0"/>
        <v>97108.276797979517</v>
      </c>
    </row>
    <row r="32" spans="3:11" s="4" customFormat="1" ht="76.5">
      <c r="C32" s="2" t="s">
        <v>125</v>
      </c>
      <c r="D32" s="1" t="s">
        <v>158</v>
      </c>
      <c r="E32" s="15" t="s">
        <v>58</v>
      </c>
      <c r="F32" s="1" t="s">
        <v>4</v>
      </c>
      <c r="G32" s="38">
        <v>2</v>
      </c>
      <c r="H32" s="324">
        <v>205205.61719102267</v>
      </c>
      <c r="I32" s="325">
        <f t="shared" si="1"/>
        <v>38989.067266294311</v>
      </c>
      <c r="J32" s="327">
        <f t="shared" si="2"/>
        <v>244194.68445731699</v>
      </c>
      <c r="K32" s="318">
        <f t="shared" si="0"/>
        <v>488389.36891463399</v>
      </c>
    </row>
    <row r="33" spans="3:11" s="4" customFormat="1" ht="51">
      <c r="C33" s="2" t="s">
        <v>126</v>
      </c>
      <c r="D33" s="1" t="s">
        <v>159</v>
      </c>
      <c r="E33" s="15" t="s">
        <v>36</v>
      </c>
      <c r="F33" s="1" t="s">
        <v>4</v>
      </c>
      <c r="G33" s="38">
        <v>2</v>
      </c>
      <c r="H33" s="324">
        <v>261126.11651815247</v>
      </c>
      <c r="I33" s="325">
        <f t="shared" si="1"/>
        <v>49613.962138448973</v>
      </c>
      <c r="J33" s="327">
        <f t="shared" si="2"/>
        <v>310740.07865660143</v>
      </c>
      <c r="K33" s="318">
        <f t="shared" si="0"/>
        <v>621480.15731320286</v>
      </c>
    </row>
    <row r="34" spans="3:11" s="4" customFormat="1" ht="63.75">
      <c r="C34" s="2" t="s">
        <v>127</v>
      </c>
      <c r="D34" s="1" t="s">
        <v>159</v>
      </c>
      <c r="E34" s="15" t="s">
        <v>37</v>
      </c>
      <c r="F34" s="1" t="s">
        <v>4</v>
      </c>
      <c r="G34" s="38">
        <v>2</v>
      </c>
      <c r="H34" s="324">
        <v>779368.35673981649</v>
      </c>
      <c r="I34" s="325">
        <f t="shared" si="1"/>
        <v>148079.98778056513</v>
      </c>
      <c r="J34" s="327">
        <f t="shared" si="2"/>
        <v>927448.34452038165</v>
      </c>
      <c r="K34" s="318">
        <f t="shared" si="0"/>
        <v>1854896.6890407633</v>
      </c>
    </row>
    <row r="35" spans="3:11" s="4" customFormat="1" ht="51">
      <c r="C35" s="2" t="s">
        <v>128</v>
      </c>
      <c r="D35" s="1" t="s">
        <v>160</v>
      </c>
      <c r="E35" s="15" t="s">
        <v>38</v>
      </c>
      <c r="F35" s="1" t="s">
        <v>4</v>
      </c>
      <c r="G35" s="38">
        <v>2</v>
      </c>
      <c r="H35" s="324">
        <v>109049.18053496916</v>
      </c>
      <c r="I35" s="325">
        <f t="shared" si="1"/>
        <v>20719.344301644142</v>
      </c>
      <c r="J35" s="327">
        <f t="shared" si="2"/>
        <v>129768.5248366133</v>
      </c>
      <c r="K35" s="318">
        <f t="shared" si="0"/>
        <v>259537.0496732266</v>
      </c>
    </row>
    <row r="36" spans="3:11" s="4" customFormat="1" ht="102.75" thickBot="1">
      <c r="C36" s="2" t="s">
        <v>129</v>
      </c>
      <c r="D36" s="14" t="s">
        <v>161</v>
      </c>
      <c r="E36" s="17" t="s">
        <v>39</v>
      </c>
      <c r="F36" s="14" t="s">
        <v>4</v>
      </c>
      <c r="G36" s="39">
        <v>1</v>
      </c>
      <c r="H36" s="328">
        <v>10133016.728533791</v>
      </c>
      <c r="I36" s="329">
        <f t="shared" si="1"/>
        <v>1925273.1784214203</v>
      </c>
      <c r="J36" s="330">
        <f t="shared" si="2"/>
        <v>12058289.906955212</v>
      </c>
      <c r="K36" s="319">
        <f t="shared" si="0"/>
        <v>12058289.906955212</v>
      </c>
    </row>
    <row r="37" spans="3:11" s="4" customFormat="1" ht="13.15" customHeight="1" thickBot="1">
      <c r="C37" s="414" t="s">
        <v>162</v>
      </c>
      <c r="D37" s="415"/>
      <c r="E37" s="415"/>
      <c r="F37" s="415"/>
      <c r="G37" s="415"/>
      <c r="H37" s="331">
        <f>+SUM(H6:H36)</f>
        <v>22052071.224121377</v>
      </c>
      <c r="I37" s="332">
        <f>+SUM(I6:I36)</f>
        <v>4189893.5325830616</v>
      </c>
      <c r="J37" s="332">
        <f>+SUM(J6:J36)</f>
        <v>26241964.756704435</v>
      </c>
      <c r="K37" s="332">
        <f>+SUM(K6:K36)</f>
        <v>35421381.146929622</v>
      </c>
    </row>
    <row r="38" spans="3:11" ht="13.5" thickBot="1">
      <c r="C38" s="412" t="s">
        <v>385</v>
      </c>
      <c r="D38" s="413"/>
      <c r="E38" s="413"/>
      <c r="F38" s="413"/>
      <c r="G38" s="413"/>
      <c r="H38" s="413"/>
      <c r="I38" s="413"/>
      <c r="J38" s="413"/>
      <c r="K38" s="418"/>
    </row>
    <row r="39" spans="3:11" ht="26.25" thickBot="1">
      <c r="C39" s="32" t="s">
        <v>95</v>
      </c>
      <c r="D39" s="371" t="s">
        <v>96</v>
      </c>
      <c r="E39" s="32" t="s">
        <v>94</v>
      </c>
      <c r="F39" s="33" t="s">
        <v>292</v>
      </c>
      <c r="G39" s="370" t="s">
        <v>0</v>
      </c>
      <c r="H39" s="369" t="s">
        <v>293</v>
      </c>
      <c r="I39" s="369" t="s">
        <v>294</v>
      </c>
      <c r="J39" s="369" t="s">
        <v>295</v>
      </c>
      <c r="K39" s="369" t="s">
        <v>359</v>
      </c>
    </row>
    <row r="40" spans="3:11" ht="76.5">
      <c r="C40" s="375" t="s">
        <v>164</v>
      </c>
      <c r="D40" s="376" t="s">
        <v>167</v>
      </c>
      <c r="E40" s="368" t="s">
        <v>40</v>
      </c>
      <c r="F40" s="376" t="s">
        <v>4</v>
      </c>
      <c r="G40" s="377">
        <v>1</v>
      </c>
      <c r="H40" s="378">
        <v>2427268.8511505369</v>
      </c>
      <c r="I40" s="379">
        <f>+H40*19%</f>
        <v>461181.08171860204</v>
      </c>
      <c r="J40" s="379">
        <f>+H40+I40</f>
        <v>2888449.9328691391</v>
      </c>
      <c r="K40" s="380">
        <f t="shared" ref="K40:K65" si="3">+J40*G40</f>
        <v>2888449.9328691391</v>
      </c>
    </row>
    <row r="41" spans="3:11" ht="63.75">
      <c r="C41" s="2" t="s">
        <v>197</v>
      </c>
      <c r="D41" s="1" t="s">
        <v>168</v>
      </c>
      <c r="E41" s="15" t="s">
        <v>41</v>
      </c>
      <c r="F41" s="1" t="s">
        <v>4</v>
      </c>
      <c r="G41" s="38">
        <v>1</v>
      </c>
      <c r="H41" s="333">
        <v>627630.8743326189</v>
      </c>
      <c r="I41" s="325">
        <f t="shared" ref="I41:I65" si="4">+H41*19%</f>
        <v>119249.86612319759</v>
      </c>
      <c r="J41" s="325">
        <f>+H41+I41</f>
        <v>746880.7404558165</v>
      </c>
      <c r="K41" s="373">
        <f t="shared" si="3"/>
        <v>746880.7404558165</v>
      </c>
    </row>
    <row r="42" spans="3:11" ht="102">
      <c r="C42" s="2" t="s">
        <v>198</v>
      </c>
      <c r="D42" s="1" t="s">
        <v>169</v>
      </c>
      <c r="E42" s="15" t="s">
        <v>297</v>
      </c>
      <c r="F42" s="1" t="s">
        <v>4</v>
      </c>
      <c r="G42" s="38">
        <v>1</v>
      </c>
      <c r="H42" s="333">
        <v>3016272.4780028043</v>
      </c>
      <c r="I42" s="325">
        <f t="shared" si="4"/>
        <v>573091.77082053281</v>
      </c>
      <c r="J42" s="325">
        <f t="shared" ref="J42:J65" si="5">+H42+I42</f>
        <v>3589364.2488233373</v>
      </c>
      <c r="K42" s="373">
        <f t="shared" si="3"/>
        <v>3589364.2488233373</v>
      </c>
    </row>
    <row r="43" spans="3:11" ht="76.5">
      <c r="C43" s="2" t="s">
        <v>199</v>
      </c>
      <c r="D43" s="1" t="s">
        <v>170</v>
      </c>
      <c r="E43" s="15" t="s">
        <v>7</v>
      </c>
      <c r="F43" s="1" t="s">
        <v>4</v>
      </c>
      <c r="G43" s="38">
        <v>1</v>
      </c>
      <c r="H43" s="333">
        <v>2920130.7397007477</v>
      </c>
      <c r="I43" s="325">
        <f t="shared" si="4"/>
        <v>554824.84054314205</v>
      </c>
      <c r="J43" s="325">
        <f t="shared" si="5"/>
        <v>3474955.5802438897</v>
      </c>
      <c r="K43" s="373">
        <f t="shared" si="3"/>
        <v>3474955.5802438897</v>
      </c>
    </row>
    <row r="44" spans="3:11" ht="127.5">
      <c r="C44" s="2" t="s">
        <v>200</v>
      </c>
      <c r="D44" s="1" t="s">
        <v>171</v>
      </c>
      <c r="E44" s="15" t="s">
        <v>42</v>
      </c>
      <c r="F44" s="1" t="s">
        <v>4</v>
      </c>
      <c r="G44" s="38">
        <v>1</v>
      </c>
      <c r="H44" s="333">
        <v>4070495.1828623139</v>
      </c>
      <c r="I44" s="325">
        <f t="shared" si="4"/>
        <v>773394.08474383969</v>
      </c>
      <c r="J44" s="325">
        <f t="shared" si="5"/>
        <v>4843889.2676061541</v>
      </c>
      <c r="K44" s="373">
        <f t="shared" si="3"/>
        <v>4843889.2676061541</v>
      </c>
    </row>
    <row r="45" spans="3:11" ht="114.75">
      <c r="C45" s="2" t="s">
        <v>201</v>
      </c>
      <c r="D45" s="1" t="s">
        <v>172</v>
      </c>
      <c r="E45" s="15" t="s">
        <v>9</v>
      </c>
      <c r="F45" s="1" t="s">
        <v>4</v>
      </c>
      <c r="G45" s="38">
        <v>1</v>
      </c>
      <c r="H45" s="333">
        <v>1529601.6997647297</v>
      </c>
      <c r="I45" s="325">
        <f t="shared" si="4"/>
        <v>290624.32295529864</v>
      </c>
      <c r="J45" s="325">
        <f t="shared" si="5"/>
        <v>1820226.0227200284</v>
      </c>
      <c r="K45" s="373">
        <f t="shared" si="3"/>
        <v>1820226.0227200284</v>
      </c>
    </row>
    <row r="46" spans="3:11" ht="51">
      <c r="C46" s="2" t="s">
        <v>202</v>
      </c>
      <c r="D46" s="1" t="s">
        <v>173</v>
      </c>
      <c r="E46" s="15" t="s">
        <v>43</v>
      </c>
      <c r="F46" s="1" t="s">
        <v>4</v>
      </c>
      <c r="G46" s="38">
        <v>1</v>
      </c>
      <c r="H46" s="333">
        <v>153856.66660784741</v>
      </c>
      <c r="I46" s="325">
        <f t="shared" si="4"/>
        <v>29232.766655491007</v>
      </c>
      <c r="J46" s="325">
        <f t="shared" si="5"/>
        <v>183089.4332633384</v>
      </c>
      <c r="K46" s="373">
        <f t="shared" si="3"/>
        <v>183089.4332633384</v>
      </c>
    </row>
    <row r="47" spans="3:11" ht="38.25">
      <c r="C47" s="2" t="s">
        <v>203</v>
      </c>
      <c r="D47" s="1" t="s">
        <v>174</v>
      </c>
      <c r="E47" s="15" t="s">
        <v>44</v>
      </c>
      <c r="F47" s="1" t="s">
        <v>4</v>
      </c>
      <c r="G47" s="38">
        <v>1</v>
      </c>
      <c r="H47" s="333">
        <v>551924.68719312444</v>
      </c>
      <c r="I47" s="325">
        <f t="shared" si="4"/>
        <v>104865.69056669365</v>
      </c>
      <c r="J47" s="325">
        <f t="shared" si="5"/>
        <v>656790.3777598181</v>
      </c>
      <c r="K47" s="373">
        <f t="shared" si="3"/>
        <v>656790.3777598181</v>
      </c>
    </row>
    <row r="48" spans="3:11" ht="140.25">
      <c r="C48" s="2" t="s">
        <v>204</v>
      </c>
      <c r="D48" s="1" t="s">
        <v>175</v>
      </c>
      <c r="E48" s="15" t="s">
        <v>45</v>
      </c>
      <c r="F48" s="1" t="s">
        <v>4</v>
      </c>
      <c r="G48" s="38">
        <v>1</v>
      </c>
      <c r="H48" s="333">
        <v>2199004.2846943592</v>
      </c>
      <c r="I48" s="325">
        <f t="shared" si="4"/>
        <v>417810.81409192825</v>
      </c>
      <c r="J48" s="325">
        <f t="shared" si="5"/>
        <v>2616815.0987862875</v>
      </c>
      <c r="K48" s="373">
        <f t="shared" si="3"/>
        <v>2616815.0987862875</v>
      </c>
    </row>
    <row r="49" spans="3:11" ht="38.25">
      <c r="C49" s="2" t="s">
        <v>205</v>
      </c>
      <c r="D49" s="1" t="s">
        <v>176</v>
      </c>
      <c r="E49" s="15" t="s">
        <v>47</v>
      </c>
      <c r="F49" s="1" t="s">
        <v>4</v>
      </c>
      <c r="G49" s="38">
        <v>1</v>
      </c>
      <c r="H49" s="333">
        <v>605663.07319393824</v>
      </c>
      <c r="I49" s="325">
        <f t="shared" si="4"/>
        <v>115075.98390684827</v>
      </c>
      <c r="J49" s="325">
        <f t="shared" si="5"/>
        <v>720739.05710078648</v>
      </c>
      <c r="K49" s="373">
        <f t="shared" si="3"/>
        <v>720739.05710078648</v>
      </c>
    </row>
    <row r="50" spans="3:11" ht="38.25">
      <c r="C50" s="2" t="s">
        <v>206</v>
      </c>
      <c r="D50" s="1" t="s">
        <v>177</v>
      </c>
      <c r="E50" s="15" t="s">
        <v>46</v>
      </c>
      <c r="F50" s="1" t="s">
        <v>4</v>
      </c>
      <c r="G50" s="38">
        <v>1</v>
      </c>
      <c r="H50" s="333">
        <v>1046511.8059852088</v>
      </c>
      <c r="I50" s="325">
        <f t="shared" si="4"/>
        <v>198837.24313718968</v>
      </c>
      <c r="J50" s="325">
        <f t="shared" si="5"/>
        <v>1245349.0491223985</v>
      </c>
      <c r="K50" s="373">
        <f t="shared" si="3"/>
        <v>1245349.0491223985</v>
      </c>
    </row>
    <row r="51" spans="3:11" ht="63.75">
      <c r="C51" s="2" t="s">
        <v>207</v>
      </c>
      <c r="D51" s="1" t="s">
        <v>178</v>
      </c>
      <c r="E51" s="15" t="s">
        <v>48</v>
      </c>
      <c r="F51" s="1" t="s">
        <v>4</v>
      </c>
      <c r="G51" s="38">
        <v>1</v>
      </c>
      <c r="H51" s="333">
        <v>1690166.3294706957</v>
      </c>
      <c r="I51" s="325">
        <f t="shared" si="4"/>
        <v>321131.60259943217</v>
      </c>
      <c r="J51" s="325">
        <f t="shared" si="5"/>
        <v>2011297.9320701279</v>
      </c>
      <c r="K51" s="373">
        <f t="shared" si="3"/>
        <v>2011297.9320701279</v>
      </c>
    </row>
    <row r="52" spans="3:11" ht="38.25">
      <c r="C52" s="2" t="s">
        <v>208</v>
      </c>
      <c r="D52" s="1" t="s">
        <v>179</v>
      </c>
      <c r="E52" s="15" t="s">
        <v>49</v>
      </c>
      <c r="F52" s="1" t="s">
        <v>4</v>
      </c>
      <c r="G52" s="38">
        <v>1</v>
      </c>
      <c r="H52" s="333">
        <v>1913546.3644354711</v>
      </c>
      <c r="I52" s="325">
        <f t="shared" si="4"/>
        <v>363573.80924273952</v>
      </c>
      <c r="J52" s="325">
        <f t="shared" si="5"/>
        <v>2277120.1736782105</v>
      </c>
      <c r="K52" s="373">
        <f t="shared" si="3"/>
        <v>2277120.1736782105</v>
      </c>
    </row>
    <row r="53" spans="3:11" ht="51">
      <c r="C53" s="2" t="s">
        <v>209</v>
      </c>
      <c r="D53" s="1" t="s">
        <v>180</v>
      </c>
      <c r="E53" s="15" t="s">
        <v>61</v>
      </c>
      <c r="F53" s="1" t="s">
        <v>4</v>
      </c>
      <c r="G53" s="38">
        <v>11</v>
      </c>
      <c r="H53" s="333">
        <v>111624.96865024681</v>
      </c>
      <c r="I53" s="325">
        <f t="shared" si="4"/>
        <v>21208.744043546892</v>
      </c>
      <c r="J53" s="325">
        <f t="shared" si="5"/>
        <v>132833.7126937937</v>
      </c>
      <c r="K53" s="373">
        <f t="shared" si="3"/>
        <v>1461170.8396317307</v>
      </c>
    </row>
    <row r="54" spans="3:11" ht="51">
      <c r="C54" s="2" t="s">
        <v>210</v>
      </c>
      <c r="D54" s="1" t="s">
        <v>181</v>
      </c>
      <c r="E54" s="15" t="s">
        <v>50</v>
      </c>
      <c r="F54" s="1" t="s">
        <v>4</v>
      </c>
      <c r="G54" s="38">
        <v>2</v>
      </c>
      <c r="H54" s="333">
        <v>120976.35931776746</v>
      </c>
      <c r="I54" s="325">
        <f t="shared" si="4"/>
        <v>22985.50827037582</v>
      </c>
      <c r="J54" s="325">
        <f t="shared" si="5"/>
        <v>143961.86758814327</v>
      </c>
      <c r="K54" s="373">
        <f t="shared" si="3"/>
        <v>287923.73517628654</v>
      </c>
    </row>
    <row r="55" spans="3:11" ht="51">
      <c r="C55" s="2" t="s">
        <v>211</v>
      </c>
      <c r="D55" s="1" t="s">
        <v>182</v>
      </c>
      <c r="E55" s="15" t="s">
        <v>17</v>
      </c>
      <c r="F55" s="1" t="s">
        <v>4</v>
      </c>
      <c r="G55" s="38">
        <v>2</v>
      </c>
      <c r="H55" s="333">
        <v>311101.3365522626</v>
      </c>
      <c r="I55" s="325">
        <f t="shared" si="4"/>
        <v>59109.253944929893</v>
      </c>
      <c r="J55" s="325">
        <f t="shared" si="5"/>
        <v>370210.59049719246</v>
      </c>
      <c r="K55" s="373">
        <f t="shared" si="3"/>
        <v>740421.18099438492</v>
      </c>
    </row>
    <row r="56" spans="3:11" ht="51">
      <c r="C56" s="2" t="s">
        <v>212</v>
      </c>
      <c r="D56" s="1" t="s">
        <v>410</v>
      </c>
      <c r="E56" s="15" t="s">
        <v>51</v>
      </c>
      <c r="F56" s="1" t="s">
        <v>4</v>
      </c>
      <c r="G56" s="38">
        <v>5</v>
      </c>
      <c r="H56" s="333">
        <v>136496.98541930958</v>
      </c>
      <c r="I56" s="325">
        <f t="shared" si="4"/>
        <v>25934.427229668821</v>
      </c>
      <c r="J56" s="325">
        <f t="shared" si="5"/>
        <v>162431.41264897841</v>
      </c>
      <c r="K56" s="373">
        <f t="shared" si="3"/>
        <v>812157.06324489205</v>
      </c>
    </row>
    <row r="57" spans="3:11" ht="25.5">
      <c r="C57" s="2" t="s">
        <v>213</v>
      </c>
      <c r="D57" s="1" t="s">
        <v>184</v>
      </c>
      <c r="E57" s="15" t="s">
        <v>52</v>
      </c>
      <c r="F57" s="1" t="s">
        <v>4</v>
      </c>
      <c r="G57" s="38">
        <v>6</v>
      </c>
      <c r="H57" s="333">
        <v>50571.738629299951</v>
      </c>
      <c r="I57" s="325">
        <f t="shared" si="4"/>
        <v>9608.6303395669911</v>
      </c>
      <c r="J57" s="325">
        <f t="shared" si="5"/>
        <v>60180.36896886694</v>
      </c>
      <c r="K57" s="373">
        <f t="shared" si="3"/>
        <v>361082.21381320164</v>
      </c>
    </row>
    <row r="58" spans="3:11" ht="51">
      <c r="C58" s="2" t="s">
        <v>214</v>
      </c>
      <c r="D58" s="1" t="s">
        <v>185</v>
      </c>
      <c r="E58" s="15" t="s">
        <v>59</v>
      </c>
      <c r="F58" s="1" t="s">
        <v>4</v>
      </c>
      <c r="G58" s="38">
        <v>4</v>
      </c>
      <c r="H58" s="333">
        <v>253968.32058441121</v>
      </c>
      <c r="I58" s="325">
        <f t="shared" si="4"/>
        <v>48253.980911038132</v>
      </c>
      <c r="J58" s="325">
        <f t="shared" si="5"/>
        <v>302222.30149544933</v>
      </c>
      <c r="K58" s="373">
        <f t="shared" si="3"/>
        <v>1208889.2059817973</v>
      </c>
    </row>
    <row r="59" spans="3:11" ht="25.5">
      <c r="C59" s="2" t="s">
        <v>215</v>
      </c>
      <c r="D59" s="1" t="s">
        <v>186</v>
      </c>
      <c r="E59" s="15" t="s">
        <v>53</v>
      </c>
      <c r="F59" s="1" t="s">
        <v>4</v>
      </c>
      <c r="G59" s="38">
        <v>5</v>
      </c>
      <c r="H59" s="333">
        <v>54461.394975515235</v>
      </c>
      <c r="I59" s="325">
        <f t="shared" si="4"/>
        <v>10347.665045347894</v>
      </c>
      <c r="J59" s="325">
        <f t="shared" si="5"/>
        <v>64809.060020863129</v>
      </c>
      <c r="K59" s="373">
        <f t="shared" si="3"/>
        <v>324045.30010431563</v>
      </c>
    </row>
    <row r="60" spans="3:11" ht="76.5">
      <c r="C60" s="2" t="s">
        <v>216</v>
      </c>
      <c r="D60" s="1" t="s">
        <v>187</v>
      </c>
      <c r="E60" s="15" t="s">
        <v>54</v>
      </c>
      <c r="F60" s="1" t="s">
        <v>4</v>
      </c>
      <c r="G60" s="38">
        <v>5</v>
      </c>
      <c r="H60" s="333">
        <v>131393.98424809228</v>
      </c>
      <c r="I60" s="325">
        <f t="shared" si="4"/>
        <v>24964.857007137532</v>
      </c>
      <c r="J60" s="325">
        <f t="shared" si="5"/>
        <v>156358.84125522981</v>
      </c>
      <c r="K60" s="373">
        <f t="shared" si="3"/>
        <v>781794.20627614902</v>
      </c>
    </row>
    <row r="61" spans="3:11" ht="51">
      <c r="C61" s="2" t="s">
        <v>217</v>
      </c>
      <c r="D61" s="1" t="s">
        <v>192</v>
      </c>
      <c r="E61" s="15" t="s">
        <v>300</v>
      </c>
      <c r="F61" s="1" t="s">
        <v>4</v>
      </c>
      <c r="G61" s="38">
        <v>10</v>
      </c>
      <c r="H61" s="333">
        <v>80155.06200096324</v>
      </c>
      <c r="I61" s="325">
        <f t="shared" si="4"/>
        <v>15229.461780183015</v>
      </c>
      <c r="J61" s="325">
        <f t="shared" si="5"/>
        <v>95384.523781146258</v>
      </c>
      <c r="K61" s="373">
        <f t="shared" si="3"/>
        <v>953845.2378114626</v>
      </c>
    </row>
    <row r="62" spans="3:11">
      <c r="C62" s="2" t="s">
        <v>218</v>
      </c>
      <c r="D62" s="1" t="s">
        <v>195</v>
      </c>
      <c r="E62" s="15" t="s">
        <v>55</v>
      </c>
      <c r="F62" s="20" t="s">
        <v>1</v>
      </c>
      <c r="G62" s="38">
        <v>20</v>
      </c>
      <c r="H62" s="333">
        <v>30278.705063731755</v>
      </c>
      <c r="I62" s="325">
        <f t="shared" si="4"/>
        <v>5752.9539621090335</v>
      </c>
      <c r="J62" s="325">
        <f t="shared" si="5"/>
        <v>36031.659025840789</v>
      </c>
      <c r="K62" s="373">
        <f t="shared" si="3"/>
        <v>720633.18051681574</v>
      </c>
    </row>
    <row r="63" spans="3:11" ht="25.5">
      <c r="C63" s="2" t="s">
        <v>219</v>
      </c>
      <c r="D63" s="1" t="s">
        <v>196</v>
      </c>
      <c r="E63" s="15" t="s">
        <v>56</v>
      </c>
      <c r="F63" s="1" t="s">
        <v>4</v>
      </c>
      <c r="G63" s="38">
        <v>20</v>
      </c>
      <c r="H63" s="333">
        <v>67179.341823668961</v>
      </c>
      <c r="I63" s="325">
        <f t="shared" si="4"/>
        <v>12764.074946497103</v>
      </c>
      <c r="J63" s="325">
        <f t="shared" si="5"/>
        <v>79943.416770166063</v>
      </c>
      <c r="K63" s="373">
        <f t="shared" si="3"/>
        <v>1598868.3354033213</v>
      </c>
    </row>
    <row r="64" spans="3:11" ht="25.5">
      <c r="C64" s="2" t="s">
        <v>220</v>
      </c>
      <c r="D64" s="1" t="s">
        <v>193</v>
      </c>
      <c r="E64" s="15" t="s">
        <v>57</v>
      </c>
      <c r="F64" s="1" t="s">
        <v>4</v>
      </c>
      <c r="G64" s="38">
        <v>6</v>
      </c>
      <c r="H64" s="333">
        <v>36418.64891068868</v>
      </c>
      <c r="I64" s="325">
        <f t="shared" si="4"/>
        <v>6919.5432930308489</v>
      </c>
      <c r="J64" s="325">
        <f t="shared" si="5"/>
        <v>43338.192203719533</v>
      </c>
      <c r="K64" s="373">
        <f t="shared" si="3"/>
        <v>260029.1532223172</v>
      </c>
    </row>
    <row r="65" spans="3:11" ht="39" thickBot="1">
      <c r="C65" s="16" t="s">
        <v>221</v>
      </c>
      <c r="D65" s="14" t="s">
        <v>194</v>
      </c>
      <c r="E65" s="17" t="s">
        <v>60</v>
      </c>
      <c r="F65" s="14" t="s">
        <v>4</v>
      </c>
      <c r="G65" s="39">
        <v>16</v>
      </c>
      <c r="H65" s="334">
        <v>30686.124349966725</v>
      </c>
      <c r="I65" s="329">
        <f t="shared" si="4"/>
        <v>5830.3636264936777</v>
      </c>
      <c r="J65" s="329">
        <f t="shared" si="5"/>
        <v>36516.487976460405</v>
      </c>
      <c r="K65" s="374">
        <f t="shared" si="3"/>
        <v>584263.80762336648</v>
      </c>
    </row>
    <row r="66" spans="3:11" ht="13.5" thickBot="1">
      <c r="C66" s="410" t="s">
        <v>166</v>
      </c>
      <c r="D66" s="411"/>
      <c r="E66" s="411"/>
      <c r="F66" s="411"/>
      <c r="G66" s="411"/>
      <c r="H66" s="331">
        <f>+SUM(H40:H65)</f>
        <v>24167386.007920321</v>
      </c>
      <c r="I66" s="331">
        <f t="shared" ref="I66:J66" si="6">+SUM(I40:I65)</f>
        <v>4591803.3415048607</v>
      </c>
      <c r="J66" s="331">
        <f t="shared" si="6"/>
        <v>28759189.349425189</v>
      </c>
      <c r="K66" s="332">
        <f>+SUM(K40:K65)</f>
        <v>37170090.37429937</v>
      </c>
    </row>
    <row r="67" spans="3:11" ht="13.5" thickBot="1">
      <c r="C67" s="410" t="s">
        <v>165</v>
      </c>
      <c r="D67" s="411"/>
      <c r="E67" s="411"/>
      <c r="F67" s="411"/>
      <c r="G67" s="411"/>
      <c r="H67" s="411"/>
      <c r="I67" s="411"/>
      <c r="J67" s="411"/>
      <c r="K67" s="469"/>
    </row>
    <row r="68" spans="3:11" ht="26.25" thickBot="1">
      <c r="C68" s="32" t="s">
        <v>95</v>
      </c>
      <c r="D68" s="371" t="s">
        <v>96</v>
      </c>
      <c r="E68" s="32" t="s">
        <v>94</v>
      </c>
      <c r="F68" s="33" t="s">
        <v>292</v>
      </c>
      <c r="G68" s="370" t="s">
        <v>0</v>
      </c>
      <c r="H68" s="369" t="s">
        <v>293</v>
      </c>
      <c r="I68" s="369" t="s">
        <v>294</v>
      </c>
      <c r="J68" s="369" t="s">
        <v>295</v>
      </c>
      <c r="K68" s="369" t="s">
        <v>359</v>
      </c>
    </row>
    <row r="69" spans="3:11" ht="76.5">
      <c r="C69" s="9" t="s">
        <v>225</v>
      </c>
      <c r="D69" s="10" t="s">
        <v>236</v>
      </c>
      <c r="E69" s="13" t="s">
        <v>409</v>
      </c>
      <c r="F69" s="10" t="s">
        <v>4</v>
      </c>
      <c r="G69" s="37">
        <v>1</v>
      </c>
      <c r="H69" s="314">
        <v>3269209.2979966211</v>
      </c>
      <c r="I69" s="322">
        <f>+H69*19%</f>
        <v>621149.76661935798</v>
      </c>
      <c r="J69" s="322">
        <f>+H69+I69</f>
        <v>3890359.0646159789</v>
      </c>
      <c r="K69" s="372">
        <f>+J69*G69</f>
        <v>3890359.0646159789</v>
      </c>
    </row>
    <row r="70" spans="3:11" ht="178.5">
      <c r="C70" s="2" t="s">
        <v>228</v>
      </c>
      <c r="D70" s="1" t="s">
        <v>237</v>
      </c>
      <c r="E70" s="15" t="s">
        <v>8</v>
      </c>
      <c r="F70" s="1" t="s">
        <v>4</v>
      </c>
      <c r="G70" s="38">
        <v>2</v>
      </c>
      <c r="H70" s="315">
        <v>4116852.3719710298</v>
      </c>
      <c r="I70" s="325">
        <f t="shared" ref="I70:I78" si="7">+H70*19%</f>
        <v>782201.95067449566</v>
      </c>
      <c r="J70" s="325">
        <f t="shared" ref="J70:J78" si="8">+H70+I70</f>
        <v>4899054.3226455254</v>
      </c>
      <c r="K70" s="373">
        <f t="shared" ref="K70:K78" si="9">+J70*G70</f>
        <v>9798108.6452910509</v>
      </c>
    </row>
    <row r="71" spans="3:11" ht="114.75">
      <c r="C71" s="2" t="s">
        <v>99</v>
      </c>
      <c r="D71" s="1" t="s">
        <v>172</v>
      </c>
      <c r="E71" s="15" t="s">
        <v>9</v>
      </c>
      <c r="F71" s="1" t="s">
        <v>4</v>
      </c>
      <c r="G71" s="38">
        <v>1</v>
      </c>
      <c r="H71" s="315">
        <v>1512457.6643353356</v>
      </c>
      <c r="I71" s="325">
        <f t="shared" si="7"/>
        <v>287366.95622371376</v>
      </c>
      <c r="J71" s="325">
        <f t="shared" si="8"/>
        <v>1799824.6205590493</v>
      </c>
      <c r="K71" s="373">
        <f t="shared" si="9"/>
        <v>1799824.6205590493</v>
      </c>
    </row>
    <row r="72" spans="3:11" ht="38.25">
      <c r="C72" s="2" t="s">
        <v>229</v>
      </c>
      <c r="D72" s="1" t="s">
        <v>238</v>
      </c>
      <c r="E72" s="15" t="s">
        <v>10</v>
      </c>
      <c r="F72" s="1" t="s">
        <v>4</v>
      </c>
      <c r="G72" s="38">
        <v>36</v>
      </c>
      <c r="H72" s="315">
        <v>76257.087630517388</v>
      </c>
      <c r="I72" s="325">
        <f t="shared" si="7"/>
        <v>14488.846649798304</v>
      </c>
      <c r="J72" s="325">
        <f t="shared" si="8"/>
        <v>90745.934280315691</v>
      </c>
      <c r="K72" s="373">
        <f t="shared" si="9"/>
        <v>3266853.6340913647</v>
      </c>
    </row>
    <row r="73" spans="3:11" ht="25.5">
      <c r="C73" s="2" t="s">
        <v>230</v>
      </c>
      <c r="D73" s="1" t="s">
        <v>239</v>
      </c>
      <c r="E73" s="15" t="s">
        <v>11</v>
      </c>
      <c r="F73" s="1" t="s">
        <v>4</v>
      </c>
      <c r="G73" s="38">
        <v>9</v>
      </c>
      <c r="H73" s="315">
        <v>203204.29376953072</v>
      </c>
      <c r="I73" s="325">
        <f t="shared" si="7"/>
        <v>38608.815816210838</v>
      </c>
      <c r="J73" s="325">
        <f t="shared" si="8"/>
        <v>241813.10958574156</v>
      </c>
      <c r="K73" s="373">
        <f t="shared" si="9"/>
        <v>2176317.9862716743</v>
      </c>
    </row>
    <row r="74" spans="3:11" ht="63.75">
      <c r="C74" s="2" t="s">
        <v>231</v>
      </c>
      <c r="D74" s="1" t="s">
        <v>240</v>
      </c>
      <c r="E74" s="15" t="s">
        <v>12</v>
      </c>
      <c r="F74" s="1" t="s">
        <v>4</v>
      </c>
      <c r="G74" s="38">
        <v>2</v>
      </c>
      <c r="H74" s="315">
        <v>1836213.733609827</v>
      </c>
      <c r="I74" s="325">
        <f t="shared" si="7"/>
        <v>348880.60938586714</v>
      </c>
      <c r="J74" s="325">
        <f t="shared" si="8"/>
        <v>2185094.3429956939</v>
      </c>
      <c r="K74" s="373">
        <f t="shared" si="9"/>
        <v>4370188.6859913878</v>
      </c>
    </row>
    <row r="75" spans="3:11" ht="89.25">
      <c r="C75" s="2" t="s">
        <v>232</v>
      </c>
      <c r="D75" s="1" t="s">
        <v>241</v>
      </c>
      <c r="E75" s="15" t="s">
        <v>13</v>
      </c>
      <c r="F75" s="1" t="s">
        <v>4</v>
      </c>
      <c r="G75" s="38">
        <v>1</v>
      </c>
      <c r="H75" s="315">
        <v>2521009</v>
      </c>
      <c r="I75" s="325">
        <f t="shared" si="7"/>
        <v>478991.71</v>
      </c>
      <c r="J75" s="325">
        <f t="shared" si="8"/>
        <v>3000000.71</v>
      </c>
      <c r="K75" s="373">
        <f t="shared" si="9"/>
        <v>3000000.71</v>
      </c>
    </row>
    <row r="76" spans="3:11" ht="102">
      <c r="C76" s="2" t="s">
        <v>233</v>
      </c>
      <c r="D76" s="1" t="s">
        <v>169</v>
      </c>
      <c r="E76" s="15" t="s">
        <v>72</v>
      </c>
      <c r="F76" s="1" t="s">
        <v>4</v>
      </c>
      <c r="G76" s="38">
        <v>1</v>
      </c>
      <c r="H76" s="333">
        <v>3016272.4780028043</v>
      </c>
      <c r="I76" s="325">
        <f t="shared" si="7"/>
        <v>573091.77082053281</v>
      </c>
      <c r="J76" s="325">
        <f t="shared" si="8"/>
        <v>3589364.2488233373</v>
      </c>
      <c r="K76" s="373">
        <f t="shared" si="9"/>
        <v>3589364.2488233373</v>
      </c>
    </row>
    <row r="77" spans="3:11" ht="51">
      <c r="C77" s="2" t="s">
        <v>234</v>
      </c>
      <c r="D77" s="1" t="s">
        <v>242</v>
      </c>
      <c r="E77" s="15" t="s">
        <v>14</v>
      </c>
      <c r="F77" s="1" t="s">
        <v>4</v>
      </c>
      <c r="G77" s="38">
        <v>1</v>
      </c>
      <c r="H77" s="315">
        <v>2134622</v>
      </c>
      <c r="I77" s="325">
        <f t="shared" si="7"/>
        <v>405578.18</v>
      </c>
      <c r="J77" s="325">
        <f t="shared" si="8"/>
        <v>2540200.1800000002</v>
      </c>
      <c r="K77" s="373">
        <f t="shared" si="9"/>
        <v>2540200.1800000002</v>
      </c>
    </row>
    <row r="78" spans="3:11" ht="51.75" thickBot="1">
      <c r="C78" s="16" t="s">
        <v>235</v>
      </c>
      <c r="D78" s="14" t="s">
        <v>243</v>
      </c>
      <c r="E78" s="17" t="s">
        <v>15</v>
      </c>
      <c r="F78" s="14" t="s">
        <v>4</v>
      </c>
      <c r="G78" s="39">
        <v>4</v>
      </c>
      <c r="H78" s="316">
        <v>3470974.6461503957</v>
      </c>
      <c r="I78" s="329">
        <f t="shared" si="7"/>
        <v>659485.18276857515</v>
      </c>
      <c r="J78" s="329">
        <f t="shared" si="8"/>
        <v>4130459.8289189711</v>
      </c>
      <c r="K78" s="374">
        <f t="shared" si="9"/>
        <v>16521839.315675884</v>
      </c>
    </row>
    <row r="79" spans="3:11" ht="13.5" thickBot="1">
      <c r="C79" s="414" t="s">
        <v>226</v>
      </c>
      <c r="D79" s="415"/>
      <c r="E79" s="415"/>
      <c r="F79" s="415"/>
      <c r="G79" s="468"/>
      <c r="H79" s="367">
        <f t="shared" ref="H79:K79" si="10">SUM(H69:H78)</f>
        <v>22157072.573466063</v>
      </c>
      <c r="I79" s="367">
        <f t="shared" si="10"/>
        <v>4209843.7889585523</v>
      </c>
      <c r="J79" s="367">
        <f t="shared" si="10"/>
        <v>26366916.362424612</v>
      </c>
      <c r="K79" s="367">
        <f t="shared" si="10"/>
        <v>50953057.091319732</v>
      </c>
    </row>
    <row r="80" spans="3:11" ht="13.5" thickBot="1">
      <c r="C80" s="407" t="s">
        <v>402</v>
      </c>
      <c r="D80" s="408"/>
      <c r="E80" s="408"/>
      <c r="F80" s="408"/>
      <c r="G80" s="416"/>
      <c r="H80" s="335">
        <f t="shared" ref="H80:K80" si="11">+H37+H66+H79</f>
        <v>68376529.805507764</v>
      </c>
      <c r="I80" s="335">
        <f t="shared" si="11"/>
        <v>12991540.663046475</v>
      </c>
      <c r="J80" s="335">
        <f t="shared" si="11"/>
        <v>81368070.468554229</v>
      </c>
      <c r="K80" s="335">
        <f t="shared" si="11"/>
        <v>123544528.61254874</v>
      </c>
    </row>
    <row r="93" spans="9:9">
      <c r="I93" s="381"/>
    </row>
  </sheetData>
  <mergeCells count="11">
    <mergeCell ref="C37:G37"/>
    <mergeCell ref="C1:G1"/>
    <mergeCell ref="H1:K3"/>
    <mergeCell ref="C2:G2"/>
    <mergeCell ref="C3:G3"/>
    <mergeCell ref="C4:K4"/>
    <mergeCell ref="C38:K38"/>
    <mergeCell ref="C66:G66"/>
    <mergeCell ref="C67:K67"/>
    <mergeCell ref="C79:G79"/>
    <mergeCell ref="C80:G8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CUADRO COMPARATIVO  </vt:lpstr>
      <vt:lpstr>CUADRO COMPARATIVO PORCENTAJE </vt:lpstr>
      <vt:lpstr>HISTORICOS</vt:lpstr>
      <vt:lpstr>DATOS EXC. DESVE ESTANDAR </vt:lpstr>
      <vt:lpstr>DATOS %DEPUES DE LA PODADA AJUS</vt:lpstr>
      <vt:lpstr>PRECIO TECHO AJUT MESA TRABAJO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 Hoyos Castro</dc:creator>
  <cp:lastModifiedBy>Maria Monica Ramirez Diaz</cp:lastModifiedBy>
  <dcterms:created xsi:type="dcterms:W3CDTF">2025-02-12T19:21:55Z</dcterms:created>
  <dcterms:modified xsi:type="dcterms:W3CDTF">2025-12-10T21:15:31Z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2025-02-11T00:00:00Z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2025-02-12T00:00:00Z</vt:filetime>
  </property>
  <property fmtid="{D5CDD505-2E9C-101B-9397-08002B2CF9AE}" pid="5" name="Producer">
    <vt:lpwstr>Microsoft® Word para Microsoft 365</vt:lpwstr>
  </property>
</Properties>
</file>