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F:\MINISTERIO 2025\LICITACION LOTES\CONTRATOS\CONTRATO LOTE 2\"/>
    </mc:Choice>
  </mc:AlternateContent>
  <xr:revisionPtr revIDLastSave="0" documentId="8_{3327586C-0D0D-4B63-8CF1-63F6E3333E46}" xr6:coauthVersionLast="47" xr6:coauthVersionMax="47" xr10:uidLastSave="{00000000-0000-0000-0000-000000000000}"/>
  <bookViews>
    <workbookView xWindow="-108" yWindow="-108" windowWidth="23256" windowHeight="12456" activeTab="2" xr2:uid="{90638225-5A8A-417A-8B6F-6AA6A8BE4040}"/>
  </bookViews>
  <sheets>
    <sheet name="PRESUPUESTO" sheetId="1" r:id="rId1"/>
    <sheet name="AIU" sheetId="2" r:id="rId2"/>
    <sheet name="FORMULARIO 1" sheetId="3" r:id="rId3"/>
  </sheet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#REF!</definedName>
    <definedName name="\AA">#REF!</definedName>
    <definedName name="\b" localSheetId="1">#REF!</definedName>
    <definedName name="\b">#REF!</definedName>
    <definedName name="\bb" localSheetId="1">#REF!</definedName>
    <definedName name="\bb">#REF!</definedName>
    <definedName name="\c">#REF!</definedName>
    <definedName name="\E" localSheetId="1">#REF!</definedName>
    <definedName name="\E">#REF!</definedName>
    <definedName name="\EE" localSheetId="1">#REF!</definedName>
    <definedName name="\EE">#REF!</definedName>
    <definedName name="\G" localSheetId="1">#REF!</definedName>
    <definedName name="\G">#REF!</definedName>
    <definedName name="\i">#REF!</definedName>
    <definedName name="\k" localSheetId="1">#REF!</definedName>
    <definedName name="\k">#REF!</definedName>
    <definedName name="\l" localSheetId="1">#REF!</definedName>
    <definedName name="\l">#REF!</definedName>
    <definedName name="\M" localSheetId="1">#REF!</definedName>
    <definedName name="\M">#REF!</definedName>
    <definedName name="\ñ" localSheetId="1">#REF!</definedName>
    <definedName name="\ñ">#REF!</definedName>
    <definedName name="\P" localSheetId="1">#REF!</definedName>
    <definedName name="\P">#REF!</definedName>
    <definedName name="\R" localSheetId="1">#REF!</definedName>
    <definedName name="\R">#REF!</definedName>
    <definedName name="\s" localSheetId="1">#REF!</definedName>
    <definedName name="\s">#REF!</definedName>
    <definedName name="\t">#REF!</definedName>
    <definedName name="\V">#REF!</definedName>
    <definedName name="\X" localSheetId="1">AIU!ERR</definedName>
    <definedName name="\X">[0]!ERR</definedName>
    <definedName name="\Z" localSheetId="1">AIU!ERR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2">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2">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2">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2">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2">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2">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2">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2">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2">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2">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2">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2">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2">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2">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2">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PC2002">#REF!</definedName>
    <definedName name="_____________MA2">#REF!</definedName>
    <definedName name="_____________oa55">#REF!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MA2">#REF!</definedName>
    <definedName name="____________oa55">#REF!</definedName>
    <definedName name="____________PJ50">#REF!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2">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2">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2">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2">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2">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PC2002">#REF!</definedName>
    <definedName name="___________MA2">#REF!</definedName>
    <definedName name="___________oa55">#REF!</definedName>
    <definedName name="___________PJ50">#REF!</definedName>
    <definedName name="___________SBC1">#REF!</definedName>
    <definedName name="___________SBC3">#REF!</definedName>
    <definedName name="___________SBC5">#REF!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#REF!</definedName>
    <definedName name="__________SBC3">#REF!</definedName>
    <definedName name="__________SBC5">#REF!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2">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2">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2">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2">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2">Scheduled_Payment+Extra_Payment</definedName>
    <definedName name="__________z6">Scheduled_Payment+Extra_Payment</definedName>
    <definedName name="__________z7">#N/A</definedName>
    <definedName name="_________AFC1">#REF!</definedName>
    <definedName name="_________AFC3">#REF!</definedName>
    <definedName name="_________AFC5">#REF!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6">#REF!</definedName>
    <definedName name="_________i1">#REF!</definedName>
    <definedName name="_________IPC2002">#REF!</definedName>
    <definedName name="_________key2" hidden="1">#REF!</definedName>
    <definedName name="_________MA2">#REF!</definedName>
    <definedName name="_________oa55">#REF!</definedName>
    <definedName name="_________PJ50" localSheetId="1">#REF!</definedName>
    <definedName name="_________PJ50">#REF!</definedName>
    <definedName name="_________pj51">#REF!</definedName>
    <definedName name="_________SBC1">#REF!</definedName>
    <definedName name="_________SBC3">#REF!</definedName>
    <definedName name="_________SBC5">#REF!</definedName>
    <definedName name="________A1">IF([0]!Values_Entered,[0]!Header_Row+[0]!Number_of_Payments,[0]!Header_Row)</definedName>
    <definedName name="________A17000">#REF!</definedName>
    <definedName name="________A20000">#REF!</definedName>
    <definedName name="________A30000">#REF!</definedName>
    <definedName name="________AFC1">#REF!</definedName>
    <definedName name="________AFC3">#REF!</definedName>
    <definedName name="________AFC5">#REF!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key2" hidden="1">#REF!</definedName>
    <definedName name="________key3" localSheetId="1" hidden="1">#REF!</definedName>
    <definedName name="________key3" hidden="1">#REF!</definedName>
    <definedName name="________MA2" localSheetId="1">#REF!</definedName>
    <definedName name="________MA2">#REF!</definedName>
    <definedName name="________oa55">#REF!</definedName>
    <definedName name="________PJ50" localSheetId="1">#REF!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#REF!</definedName>
    <definedName name="________SBC3">#REF!</definedName>
    <definedName name="________SBC5">#REF!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2">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2">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2">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2">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2">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#REF!</definedName>
    <definedName name="______AFC3">#REF!</definedName>
    <definedName name="______AFC5">#REF!</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#REF!</definedName>
    <definedName name="______PJ50">#REF!</definedName>
    <definedName name="______pj51">#REF!</definedName>
    <definedName name="______pr01" localSheetId="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2">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#REF!</definedName>
    <definedName name="_____adi2">#REF!</definedName>
    <definedName name="_____AFC1">#REF!</definedName>
    <definedName name="_____AFC3">#REF!</definedName>
    <definedName name="_____AFC5">#REF!</definedName>
    <definedName name="_____ane7">#REF!</definedName>
    <definedName name="_____ane8">#REF!</definedName>
    <definedName name="_____APU221">#REF!</definedName>
    <definedName name="_____APU465">#REF!</definedName>
    <definedName name="_____Atp2">#REF!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#REF!</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OCD1" localSheetId="1">#REF!</definedName>
    <definedName name="_____OCD1">#REF!</definedName>
    <definedName name="_____OCI1" localSheetId="1">#REF!</definedName>
    <definedName name="_____OCI1">#REF!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#REF!</definedName>
    <definedName name="_____PJ50">#REF!</definedName>
    <definedName name="_____pj51">#REF!</definedName>
    <definedName name="_____pr01" localSheetId="1">#REF!</definedName>
    <definedName name="_____pr01">#REF!</definedName>
    <definedName name="_____pr02" localSheetId="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hidden="1">{"via1",#N/A,TRUE,"general";"via2",#N/A,TRUE,"general";"via3",#N/A,TRUE,"general"}</definedName>
    <definedName name="_____VIT1">#REF!</definedName>
    <definedName name="_____VPR1">#REF!</definedName>
    <definedName name="_____VPR2">#REF!</definedName>
    <definedName name="_____VRP1">#REF!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2">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FC1">#REF!</definedName>
    <definedName name="____AFC3">#REF!</definedName>
    <definedName name="____AFC5">#REF!</definedName>
    <definedName name="____ane7">#REF!</definedName>
    <definedName name="____ane8">#REF!</definedName>
    <definedName name="____APU221">#REF!</definedName>
    <definedName name="____APU465">#REF!</definedName>
    <definedName name="____Atp2">#REF!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CAC1">#REF!</definedName>
    <definedName name="____CAC3">#REF!</definedName>
    <definedName name="____CAC5">#REF!</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#REF!</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 localSheetId="1">#REF!</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OCD1" localSheetId="1">#REF!</definedName>
    <definedName name="____OCD1">#REF!</definedName>
    <definedName name="____OCI1" localSheetId="1">#REF!</definedName>
    <definedName name="____OCI1">#REF!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#REF!</definedName>
    <definedName name="____SBC3">#REF!</definedName>
    <definedName name="____SBC5">#REF!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hidden="1">{"via1",#N/A,TRUE,"general";"via2",#N/A,TRUE,"general";"via3",#N/A,TRUE,"general"}</definedName>
    <definedName name="____VIT1">#REF!</definedName>
    <definedName name="____VPR1">#REF!</definedName>
    <definedName name="____VPR2" localSheetId="1">#REF!</definedName>
    <definedName name="____VPR2">#REF!</definedName>
    <definedName name="____VRP1" localSheetId="1">#REF!</definedName>
    <definedName name="____VRP1">#REF!</definedName>
    <definedName name="____VSM1" localSheetId="1">#REF!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2">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#REF!</definedName>
    <definedName name="___adi2">#REF!</definedName>
    <definedName name="___AFC1">#REF!</definedName>
    <definedName name="___AFC3">#REF!</definedName>
    <definedName name="___AFC5">#REF!</definedName>
    <definedName name="___ane7">#REF!</definedName>
    <definedName name="___ane8">#REF!</definedName>
    <definedName name="___APU221">#REF!</definedName>
    <definedName name="___APU465">#REF!</definedName>
    <definedName name="___Atp2">#REF!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CAC1">#REF!</definedName>
    <definedName name="___CAC3">#REF!</definedName>
    <definedName name="___CAC5">#REF!</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#REF!</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localSheetId="1" hidden="1">#REF!</definedName>
    <definedName name="___key3" hidden="1">#REF!</definedName>
    <definedName name="___key31" localSheetId="1" hidden="1">#REF!</definedName>
    <definedName name="___key31" hidden="1">#REF!</definedName>
    <definedName name="___kjk6" hidden="1">{"TAB1",#N/A,TRUE,"GENERAL";"TAB2",#N/A,TRUE,"GENERAL";"TAB3",#N/A,TRUE,"GENERAL";"TAB4",#N/A,TRUE,"GENERAL";"TAB5",#N/A,TRUE,"GENERAL"}</definedName>
    <definedName name="___LEY80" localSheetId="1">#REF!</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hidden="1">{"via1",#N/A,TRUE,"general";"via2",#N/A,TRUE,"general";"via3",#N/A,TRUE,"general"}</definedName>
    <definedName name="___VIT1">#REF!</definedName>
    <definedName name="___VPR1">#REF!</definedName>
    <definedName name="___VPR2" localSheetId="1">#REF!</definedName>
    <definedName name="___VPR2">#REF!</definedName>
    <definedName name="___VRP1" localSheetId="1">#REF!</definedName>
    <definedName name="___VRP1">#REF!</definedName>
    <definedName name="___VSM1" localSheetId="1">#REF!</definedName>
    <definedName name="___VSM1">#REF!</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123Graph_A" localSheetId="1" hidden="1">#REF!</definedName>
    <definedName name="__123Graph_A" hidden="1">#REF!</definedName>
    <definedName name="__123Graph_B" localSheetId="1" hidden="1">#REF!</definedName>
    <definedName name="__123Graph_B" hidden="1">#REF!</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#REF!</definedName>
    <definedName name="__adi2">#REF!</definedName>
    <definedName name="__AFC1">#REF!</definedName>
    <definedName name="__AFC3">#REF!</definedName>
    <definedName name="__AFC5">#REF!</definedName>
    <definedName name="__ane7">#REF!</definedName>
    <definedName name="__ane8">#REF!</definedName>
    <definedName name="__APU221">#REF!</definedName>
    <definedName name="__APU465">#REF!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1">AIU!ERR</definedName>
    <definedName name="__F">[0]!ERR</definedName>
    <definedName name="__FS01" localSheetId="1">AIU!ERR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1">#REF!</definedName>
    <definedName name="__ICP1">#REF!</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1" hidden="1">#REF!</definedName>
    <definedName name="__key2" hidden="1">#REF!</definedName>
    <definedName name="__key21" localSheetId="1" hidden="1">#REF!</definedName>
    <definedName name="__key21" hidden="1">#REF!</definedName>
    <definedName name="__key3" localSheetId="1" hidden="1">#REF!</definedName>
    <definedName name="__key3" hidden="1">#REF!</definedName>
    <definedName name="__key31" localSheetId="1" hidden="1">#REF!</definedName>
    <definedName name="__key31" hidden="1">#REF!</definedName>
    <definedName name="__kjk6" hidden="1">{"TAB1",#N/A,TRUE,"GENERAL";"TAB2",#N/A,TRUE,"GENERAL";"TAB3",#N/A,TRUE,"GENERAL";"TAB4",#N/A,TRUE,"GENERAL";"TAB5",#N/A,TRUE,"GENERAL"}</definedName>
    <definedName name="__LEY80" localSheetId="1">#REF!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IF(#REF!*#REF!*#REF!*#REF!&gt;0,1,0)</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2">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1">#REF!</definedName>
    <definedName name="_1">#REF!</definedName>
    <definedName name="_1_25" localSheetId="1">#REF!</definedName>
    <definedName name="_1_25">#REF!</definedName>
    <definedName name="_10_PR64_500_–_PR_69_541.49">#REF!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di1">#REF!</definedName>
    <definedName name="_adi2">#REF!</definedName>
    <definedName name="_AFC1">#REF!</definedName>
    <definedName name="_AFC3">#REF!</definedName>
    <definedName name="_AFC5">#REF!</definedName>
    <definedName name="_ALM1" localSheetId="1">#REF!</definedName>
    <definedName name="_ALM1">#REF!</definedName>
    <definedName name="_AND1" localSheetId="1">#REF!</definedName>
    <definedName name="_AND1">#REF!</definedName>
    <definedName name="_ane7">#REF!</definedName>
    <definedName name="_ane8">#REF!</definedName>
    <definedName name="_APU221" localSheetId="1">#REF!</definedName>
    <definedName name="_APU221">#REF!</definedName>
    <definedName name="_APU3">#REF!</definedName>
    <definedName name="_APU465">#REF!</definedName>
    <definedName name="_Atp2">#REF!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ac1">#REF!</definedName>
    <definedName name="_eac2">#REF!</definedName>
    <definedName name="_eac3">#REF!</definedName>
    <definedName name="_eac4">#REF!</definedName>
    <definedName name="_eac5">#REF!</definedName>
    <definedName name="_ECP1">#REF!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AIU!ERR</definedName>
    <definedName name="_F">[0]!ERR</definedName>
    <definedName name="_F10" localSheetId="1">#REF!</definedName>
    <definedName name="_F10">#REF!</definedName>
    <definedName name="_FC" localSheetId="1">#REF!</definedName>
    <definedName name="_FC">#REF!</definedName>
    <definedName name="_Fill" localSheetId="1">#REF!</definedName>
    <definedName name="_Fill" hidden="1">#REF!</definedName>
    <definedName name="_xlnm._FilterDatabase" localSheetId="2" hidden="1">'FORMULARIO 1'!$A$10:$N$10</definedName>
    <definedName name="_xlnm._FilterDatabase" localSheetId="0" hidden="1">PRESUPUESTO!$A$10:$M$10</definedName>
    <definedName name="_FS01" localSheetId="1">AIU!ERR</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#REF!</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 localSheetId="1">#REF!</definedName>
    <definedName name="_IMP1">#REF!</definedName>
    <definedName name="_INF1">#REF!</definedName>
    <definedName name="_IPC2002" localSheetId="1">#REF!</definedName>
    <definedName name="_IPC2002">#REF!</definedName>
    <definedName name="_IVA1" localSheetId="1">#REF!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#REF!</definedName>
    <definedName name="_Key1" hidden="1">#REF!</definedName>
    <definedName name="_Key11" localSheetId="1" hidden="1">#REF!</definedName>
    <definedName name="_Key11" hidden="1">#REF!</definedName>
    <definedName name="_Key2" localSheetId="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#REF!</definedName>
    <definedName name="_lac2">#REF!</definedName>
    <definedName name="_lac3">#REF!</definedName>
    <definedName name="_lac4">#REF!</definedName>
    <definedName name="_lac5">#REF!</definedName>
    <definedName name="_lar03" localSheetId="1">#REF!</definedName>
    <definedName name="_lar03">#REF!</definedName>
    <definedName name="_LEY80" localSheetId="1">#REF!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#REF!</definedName>
    <definedName name="_mu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rf10">#REF!</definedName>
    <definedName name="_NUEVO">#REF!</definedName>
    <definedName name="_num10" localSheetId="1">#REF!</definedName>
    <definedName name="_num10">#REF!</definedName>
    <definedName name="_num2" localSheetId="1">#REF!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#REF!</definedName>
    <definedName name="_OCD1">#REF!</definedName>
    <definedName name="_OCI1">#REF!</definedName>
    <definedName name="_OCT2">#REF!</definedName>
    <definedName name="_OF">#REF!</definedName>
    <definedName name="_Order1" localSheetId="1">255</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L">#REF!</definedName>
    <definedName name="_Parse_Out" hidden="1">#REF!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#REF!</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f4" localSheetId="1">#REF!</definedName>
    <definedName name="_ref4">#REF!</definedName>
    <definedName name="_RET1" localSheetId="1">#REF!</definedName>
    <definedName name="_RET1">#REF!</definedName>
    <definedName name="_RET2" localSheetId="1">#REF!</definedName>
    <definedName name="_RET2">#REF!</definedName>
    <definedName name="_RET3" localSheetId="1">#REF!</definedName>
    <definedName name="_RET3">#REF!</definedName>
    <definedName name="_RET4" localSheetId="1">#REF!</definedName>
    <definedName name="_RET4">#REF!</definedName>
    <definedName name="_RET5" localSheetId="1">#REF!</definedName>
    <definedName name="_RET5">#REF!</definedName>
    <definedName name="_RET6">#REF!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1">#REF!</definedName>
    <definedName name="_Sort" hidden="1">#REF!</definedName>
    <definedName name="_srn001" localSheetId="1">#REF!</definedName>
    <definedName name="_srn001">#REF!</definedName>
    <definedName name="_SUM1" localSheetId="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1"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2">Scheduled_Payment+Extra_Payment</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vtas.cim">#REF!</definedName>
    <definedName name="A_1" localSheetId="1">#REF!</definedName>
    <definedName name="A_1">#REF!</definedName>
    <definedName name="A_impresión_IM" localSheetId="1">#REF!</definedName>
    <definedName name="A_impresión_IM">#REF!</definedName>
    <definedName name="A_nuevo">#REF!</definedName>
    <definedName name="A000">#REF!</definedName>
    <definedName name="A18A200" localSheetId="1">#REF!</definedName>
    <definedName name="A18A20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AIU!ERR</definedName>
    <definedName name="aa">[0]!ERR</definedName>
    <definedName name="AAA" localSheetId="1">AIU!ERR</definedName>
    <definedName name="AAA">[0]!ERR</definedName>
    <definedName name="aaaa">#REF!</definedName>
    <definedName name="AAAAA">#REF!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IL">#REF!</definedName>
    <definedName name="absc">#REF!</definedName>
    <definedName name="absc_">#REF!</definedName>
    <definedName name="absc_1">#REF!</definedName>
    <definedName name="absc1">#REF!</definedName>
    <definedName name="ac" localSheetId="1">#REF!</definedName>
    <definedName name="ac">#REF!</definedName>
    <definedName name="Acarreo">#REF!</definedName>
    <definedName name="Accesorios_de_1_2">#REF!</definedName>
    <definedName name="Accesorios_de_3_4">#REF!</definedName>
    <definedName name="Accesorios_Galvanizados">#REF!</definedName>
    <definedName name="AccessDatabase" hidden="1">"C:\C-314\VOLUMENES\volfin4.mdb"</definedName>
    <definedName name="acci">#REF!</definedName>
    <definedName name="Acero_de_Refuerzo_Figurado_de_60.000_P.S.I.">#REF!</definedName>
    <definedName name="Acero_Figurado_en_Obra">#REF!</definedName>
    <definedName name="Acero_Para_Transferencias">#REF!</definedName>
    <definedName name="ACFG">#REF!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2">#REF!</definedName>
    <definedName name="ACTAAJUSTE3" hidden="1">{"via1",#N/A,TRUE,"general";"via2",#N/A,TRUE,"general";"via3",#N/A,TRUE,"general"}</definedName>
    <definedName name="ACTAPARCIAL">#REF!</definedName>
    <definedName name="Actividades">#REF!</definedName>
    <definedName name="ACTV">#REF!</definedName>
    <definedName name="acumulado">#REF!,#REF!,#REF!,#REF!</definedName>
    <definedName name="ad" localSheetId="1">#REF!</definedName>
    <definedName name="ad">#REF!</definedName>
    <definedName name="adasd" localSheetId="1">#REF!</definedName>
    <definedName name="adasd">#REF!</definedName>
    <definedName name="ADFGSDB" localSheetId="1" hidden="1">{"via1",#N/A,TRUE,"general";"via2",#N/A,TRUE,"general";"via3",#N/A,TRUE,"general"}</definedName>
    <definedName name="ADFGSDB" hidden="1">{"via1",#N/A,TRUE,"general";"via2",#N/A,TRUE,"general";"via3",#N/A,TRUE,"general"}</definedName>
    <definedName name="ADI">#REF!</definedName>
    <definedName name="ADM">#REF!</definedName>
    <definedName name="ADMINISTRACION">#REF!</definedName>
    <definedName name="administrador">#REF!</definedName>
    <definedName name="ADMINISTRADOR_VIAL__ARMANDO_SANCHEZ_SANCHEZ">#REF!</definedName>
    <definedName name="ADMON" localSheetId="1">#REF!</definedName>
    <definedName name="ADMON">#REF!</definedName>
    <definedName name="ADMON1" localSheetId="1">#REF!</definedName>
    <definedName name="ADMON1">#REF!</definedName>
    <definedName name="adoc1">#REF!</definedName>
    <definedName name="ADOC125">#REF!</definedName>
    <definedName name="adoq">#REF!</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ua">#REF!</definedName>
    <definedName name="ah">#REF!</definedName>
    <definedName name="ahe">#REF!</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ambre_Negro_No.18">#REF!</definedName>
    <definedName name="alambre14">#REF!</definedName>
    <definedName name="alambrecal14">#REF!</definedName>
    <definedName name="alc">#REF!</definedName>
    <definedName name="AlcanceProyecto" localSheetId="1">#REF!</definedName>
    <definedName name="AlcanceProyecto">#REF!</definedName>
    <definedName name="Alcaparro_2.00_m">#REF!</definedName>
    <definedName name="ALM" localSheetId="1">#REF!</definedName>
    <definedName name="ALM">#REF!</definedName>
    <definedName name="Almacenista">#REF!</definedName>
    <definedName name="ALTO">#REF!</definedName>
    <definedName name="Amount" localSheetId="1">#REF!</definedName>
    <definedName name="Amount">#REF!</definedName>
    <definedName name="Analis">#REF!</definedName>
    <definedName name="ANALISIS">#REF!</definedName>
    <definedName name="ANCLAJE" localSheetId="1">#REF!</definedName>
    <definedName name="ANCLAJE">#REF!</definedName>
    <definedName name="AND" localSheetId="1">#REF!</definedName>
    <definedName name="AND">#REF!</definedName>
    <definedName name="Andamio_Sección">#REF!</definedName>
    <definedName name="Andamios">#REF!</definedName>
    <definedName name="Andres123">#REF!</definedName>
    <definedName name="ANE">#REF!</definedName>
    <definedName name="anex7" localSheetId="1">#REF!</definedName>
    <definedName name="anex7">#REF!</definedName>
    <definedName name="anex8" localSheetId="1">#REF!</definedName>
    <definedName name="anex8">#REF!</definedName>
    <definedName name="ANEXO">#REF!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gulo_en_aluminio_1_2__x_1_2__x_1_16">#REF!</definedName>
    <definedName name="Angulo_hierro_2_1_2__x_3_13">#REF!</definedName>
    <definedName name="anscount" hidden="1">1</definedName>
    <definedName name="Antic">#REF!</definedName>
    <definedName name="ANTICIPO">#REF!</definedName>
    <definedName name="Anticorrosivo_Rojo_Claro">#REF!</definedName>
    <definedName name="AÑO">#REF!</definedName>
    <definedName name="AÑOWUIE">#REF!</definedName>
    <definedName name="ao">#REF!</definedName>
    <definedName name="apaiy" localSheetId="1">#REF!</definedName>
    <definedName name="apaiy">#REF!</definedName>
    <definedName name="Aparatos_Telefonicos_para_extensiones">#REF!</definedName>
    <definedName name="Aparatos_Telefonicos_secretariales">#REF!</definedName>
    <definedName name="APELLIDOS" localSheetId="1">#REF!</definedName>
    <definedName name="APELLIDOS">#REF!</definedName>
    <definedName name="API" localSheetId="1">#REF!</definedName>
    <definedName name="API">#REF!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 localSheetId="1">#REF!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PU5P">#REF!</definedName>
    <definedName name="aq" localSheetId="1">AIU!ERR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_canal">#REF!</definedName>
    <definedName name="_xlnm.Extract">#REF!</definedName>
    <definedName name="_xlnm.Print_Area" localSheetId="1">AIU!$B$1:$J$55</definedName>
    <definedName name="_xlnm.Print_Area" localSheetId="2">'FORMULARIO 1'!$A$1:$I$284</definedName>
    <definedName name="_xlnm.Print_Area" localSheetId="0">PRESUPUESTO!$A$1:$H$274</definedName>
    <definedName name="_xlnm.Print_Area">#REF!</definedName>
    <definedName name="AreaLimpiar">#REF!,#REF!,#REF!,#REF!,#REF!,#REF!,#REF!,#REF!,#REF!,#REF!</definedName>
    <definedName name="Areatotal" localSheetId="1">#REF!</definedName>
    <definedName name="Areatotal">#REF!</definedName>
    <definedName name="Aref" localSheetId="1">#REF!</definedName>
    <definedName name="Aref">#REF!</definedName>
    <definedName name="ARENA">#REF!</definedName>
    <definedName name="Arenag">#REF!</definedName>
    <definedName name="armuve" localSheetId="1">AIU!ERR</definedName>
    <definedName name="armuve">[0]!ERR</definedName>
    <definedName name="ARP" localSheetId="1">#REF!</definedName>
    <definedName name="ARP">#REF!</definedName>
    <definedName name="ARS" localSheetId="1">#REF!</definedName>
    <definedName name="ARS">#REF!</definedName>
    <definedName name="articulos">#REF!</definedName>
    <definedName name="ARTURO">#REF!</definedName>
    <definedName name="as" localSheetId="1">AIU!ERR</definedName>
    <definedName name="as">[0]!ERR</definedName>
    <definedName name="asasdasd">#N/A</definedName>
    <definedName name="ASB">#REF!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AIU!ERR</definedName>
    <definedName name="ASDFGHJKLÑ">[0]!ERR</definedName>
    <definedName name="asdfñk">#N/A</definedName>
    <definedName name="ASFALTO">#REF!</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p">#REF!</definedName>
    <definedName name="au">#REF!</definedName>
    <definedName name="aur">#REF!</definedName>
    <definedName name="_xlnm.Auto_Open" localSheetId="2">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2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#REF!</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jo_L">#REF!</definedName>
    <definedName name="BANCO">#REF!</definedName>
    <definedName name="BARA">#REF!</definedName>
    <definedName name="Base" localSheetId="1">#REF!</definedName>
    <definedName name="Base">#REF!</definedName>
    <definedName name="Base_datos_IM" localSheetId="1">#REF!</definedName>
    <definedName name="Base_datos_IM">#REF!</definedName>
    <definedName name="base_VaR">#REF!</definedName>
    <definedName name="base1" localSheetId="1">#REF!</definedName>
    <definedName name="base1">#REF!</definedName>
    <definedName name="base2">#REF!</definedName>
    <definedName name="basedatos">#REF!</definedName>
    <definedName name="_xlnm.Database" localSheetId="1">#REF!</definedName>
    <definedName name="_xlnm.Database">#REF!</definedName>
    <definedName name="BaseDeDatos1" localSheetId="1">#REF!</definedName>
    <definedName name="BaseDeDatos1">#REF!</definedName>
    <definedName name="basep">#REF!</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#REF!</definedName>
    <definedName name="BB" localSheetId="1">AIU!ERR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T">#REF!</definedName>
    <definedName name="bgvfcdx" localSheetId="1"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 localSheetId="1">#REF!</definedName>
    <definedName name="blReferenciaInforme">#REF!</definedName>
    <definedName name="bn" localSheetId="1">#REF!</definedName>
    <definedName name="bn">#REF!</definedName>
    <definedName name="bnm">#REF!</definedName>
    <definedName name="BOBCAT">#REF!</definedName>
    <definedName name="Bombas" localSheetId="1">#REF!</definedName>
    <definedName name="Bombas">#REF!</definedName>
    <definedName name="BONO">#REF!</definedName>
    <definedName name="BORDE1">#REF!</definedName>
    <definedName name="BORDE2">#REF!</definedName>
    <definedName name="BORDE3">#REF!</definedName>
    <definedName name="BORDER1">#REF!</definedName>
    <definedName name="BORDET" localSheetId="1">#REF!</definedName>
    <definedName name="BORDET">#REF!</definedName>
    <definedName name="BORSHE" localSheetId="1">#REF!</definedName>
    <definedName name="BORSHE">#REF!</definedName>
    <definedName name="BORSUM" localSheetId="1">#REF!</definedName>
    <definedName name="BORSUM">#REF!</definedName>
    <definedName name="boxes" localSheetId="1">#REF!</definedName>
    <definedName name="boxes">#REF!</definedName>
    <definedName name="BQ" localSheetId="1">#REF!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iltIn_Print_Area">#REF!</definedName>
    <definedName name="BuiltIn_Print_Area___0">#REF!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 localSheetId="1">#REF!</definedName>
    <definedName name="CA">#REF!</definedName>
    <definedName name="CAB">#REF!</definedName>
    <definedName name="Cableado">#REF!</definedName>
    <definedName name="cadener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GURO">#REF!</definedName>
    <definedName name="CANT">#REF!</definedName>
    <definedName name="cantidad" localSheetId="1">#REF!,#REF!,#REF!,#REF!,#REF!,#REF!,#REF!,#REF!,#REF!,#REF!,#REF!,#REF!,#REF!,#REF!,#REF!,#REF!</definedName>
    <definedName name="cantidad">#REF!,#REF!,#REF!,#REF!,#REF!,#REF!,#REF!,#REF!,#REF!,#REF!,#REF!,#REF!,#REF!,#REF!,#REF!,#REF!</definedName>
    <definedName name="CAP" localSheetId="1">#REF!</definedName>
    <definedName name="CAP">#REF!</definedName>
    <definedName name="CAPAC._HSE" localSheetId="1">#REF!</definedName>
    <definedName name="CAPAC._HSE">#REF!</definedName>
    <definedName name="Car">#REF!</definedName>
    <definedName name="CARGA" localSheetId="1">#REF!</definedName>
    <definedName name="CARGA">#REF!</definedName>
    <definedName name="CARGADOR">#REF!</definedName>
    <definedName name="CARGO">#REF!</definedName>
    <definedName name="CARGOS">#REF!</definedName>
    <definedName name="carlos" localSheetId="1">MODULO10.auto_abrir</definedName>
    <definedName name="carlos" localSheetId="2">MODULO10.auto_abrir</definedName>
    <definedName name="carlos">MODULO10.auto_abrir</definedName>
    <definedName name="CARRETERA">#REF!</definedName>
    <definedName name="CARRO">#REF!</definedName>
    <definedName name="CASA">#REF!</definedName>
    <definedName name="CASITA">#REF!</definedName>
    <definedName name="CATD8">#REF!</definedName>
    <definedName name="CATEGORIA">#REF!</definedName>
    <definedName name="causa">#REF!</definedName>
    <definedName name="CBLES" localSheetId="1">#REF!</definedName>
    <definedName name="CBLES">#REF!</definedName>
    <definedName name="CBLES1" localSheetId="1">#REF!</definedName>
    <definedName name="CBLES1">#REF!</definedName>
    <definedName name="CBRDISEÑO">#REF!</definedName>
    <definedName name="CBWorkbookPriority" hidden="1">-1602700874</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T" localSheetId="1">#REF!</definedName>
    <definedName name="CCT">#REF!</definedName>
    <definedName name="ccto210" localSheetId="1">#REF!</definedName>
    <definedName name="ccto210">#REF!</definedName>
    <definedName name="cd">#REF!</definedName>
    <definedName name="cdcdc" localSheetId="1" hidden="1">{"via1",#N/A,TRUE,"general";"via2",#N/A,TRUE,"general";"via3",#N/A,TRUE,"general"}</definedName>
    <definedName name="cdcdc" hidden="1">{"via1",#N/A,TRUE,"general";"via2",#N/A,TRUE,"general";"via3",#N/A,TRUE,"general"}</definedName>
    <definedName name="CDctrl">#REF!</definedName>
    <definedName name="CDE" localSheetId="1">#REF!</definedName>
    <definedName name="CDE">#REF!</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#REF!</definedName>
    <definedName name="Cemento_Gris">#REF!</definedName>
    <definedName name="cesped">#REF!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 localSheetId="1">#REF!</definedName>
    <definedName name="Ch">#REF!</definedName>
    <definedName name="CHK_PU" localSheetId="1">#REF!</definedName>
    <definedName name="CHK_PU">#REF!</definedName>
    <definedName name="CHP" localSheetId="1">#REF!</definedName>
    <definedName name="CHP">#REF!</definedName>
    <definedName name="CIRCUITOS">#REF!</definedName>
    <definedName name="CISNEROS" localSheetId="1">#REF!</definedName>
    <definedName name="CISNEROS">#REF!</definedName>
    <definedName name="cjsa" localSheetId="1" hidden="1">#REF!</definedName>
    <definedName name="cjsa" hidden="1">#REF!</definedName>
    <definedName name="CL">#REF!</definedName>
    <definedName name="clase">#REF!</definedName>
    <definedName name="cmf">#REF!</definedName>
    <definedName name="CMIBLE" localSheetId="1">#REF!</definedName>
    <definedName name="CMIBLE">#REF!</definedName>
    <definedName name="CMIBLE1" localSheetId="1">#REF!</definedName>
    <definedName name="CMIBLE1">#REF!</definedName>
    <definedName name="CN">#REF!</definedName>
    <definedName name="co">#REF!</definedName>
    <definedName name="Cod" localSheetId="1">#REF!</definedName>
    <definedName name="Cod">#REF!</definedName>
    <definedName name="CodActEco">#REF!</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#REF!</definedName>
    <definedName name="cogvsiruj">#REF!</definedName>
    <definedName name="COLON" localSheetId="1">#REF!</definedName>
    <definedName name="COLON">#REF!</definedName>
    <definedName name="ColTap">#REF!</definedName>
    <definedName name="Com">#REF!</definedName>
    <definedName name="COMIDA" localSheetId="1">#REF!</definedName>
    <definedName name="COMIDA">#REF!</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RE">#REF!</definedName>
    <definedName name="COMPRESOR">#REF!</definedName>
    <definedName name="Compresores" localSheetId="1">#REF!</definedName>
    <definedName name="Compresores">#REF!</definedName>
    <definedName name="COMPROBANTE_DE_PAGO">#REF!</definedName>
    <definedName name="concreto">#REF!</definedName>
    <definedName name="Concreto1_m">#REF!</definedName>
    <definedName name="Concreto2_m">#REF!</definedName>
    <definedName name="Concreto3_m">#REF!</definedName>
    <definedName name="Concreto4_m">#REF!</definedName>
    <definedName name="Concreto5_m">#REF!</definedName>
    <definedName name="conductor">#REF!</definedName>
    <definedName name="ConseqCat">0</definedName>
    <definedName name="ConseqForMitRisk">3</definedName>
    <definedName name="Consultor">#N/A</definedName>
    <definedName name="CONT">#REF!</definedName>
    <definedName name="contra">#REF!</definedName>
    <definedName name="Contratante">#REF!</definedName>
    <definedName name="contratista">#REF!</definedName>
    <definedName name="CONTRATO">#REF!</definedName>
    <definedName name="COPIA" localSheetId="1">AIU!ERR</definedName>
    <definedName name="COPIA">[0]!ERR</definedName>
    <definedName name="COPIA1" localSheetId="1">#REF!</definedName>
    <definedName name="COPIA1">#REF!</definedName>
    <definedName name="COPIA2" localSheetId="1">#REF!</definedName>
    <definedName name="COPIA2">#REF!</definedName>
    <definedName name="copiao4" localSheetId="1">AIU!ERR</definedName>
    <definedName name="copiao4">[0]!ERR</definedName>
    <definedName name="corri" localSheetId="1">AIU!ERR</definedName>
    <definedName name="corri">[0]!ERR</definedName>
    <definedName name="COSTO_FRENTE">#REF!</definedName>
    <definedName name="COSTO_TRANSPORTE">#REF!</definedName>
    <definedName name="costo2" localSheetId="1" hidden="1">#REF!</definedName>
    <definedName name="costo2" hidden="1">#REF!</definedName>
    <definedName name="COSTODIRECTO" localSheetId="1">#REF!</definedName>
    <definedName name="COSTODIRECTO">#REF!</definedName>
    <definedName name="COSTOS" localSheetId="1">#REF!</definedName>
    <definedName name="COSTOS">#REF!</definedName>
    <definedName name="cp">#REF!</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iticos">#REF!</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#REF!</definedName>
    <definedName name="CTE">#REF!</definedName>
    <definedName name="ctoin">#REF!</definedName>
    <definedName name="CTR">#REF!</definedName>
    <definedName name="CTRPAG">#REF!</definedName>
    <definedName name="cuad1">#REF!</definedName>
    <definedName name="cuad2">#REF!</definedName>
    <definedName name="cuad3">#REF!</definedName>
    <definedName name="cuad4">#REF!</definedName>
    <definedName name="CUAD5">#REF!</definedName>
    <definedName name="cuado">#REF!</definedName>
    <definedName name="CUAL" localSheetId="1">AIU!ERR</definedName>
    <definedName name="CUAL">[0]!ERR</definedName>
    <definedName name="CUBS" localSheetId="1">#REF!</definedName>
    <definedName name="CUBS">#REF!</definedName>
    <definedName name="CUENTA">#REF!</definedName>
    <definedName name="CUNET" localSheetId="1" hidden="1">{"via1",#N/A,TRUE,"general";"via2",#N/A,TRUE,"general";"via3",#N/A,TRUE,"general"}</definedName>
    <definedName name="CUNET" hidden="1">{"via1",#N/A,TRUE,"general";"via2",#N/A,TRUE,"general";"via3",#N/A,TRUE,"general"}</definedName>
    <definedName name="curva">"Chart 11"</definedName>
    <definedName name="Customize">#REF!</definedName>
    <definedName name="cv" localSheetId="1">#REF!</definedName>
    <definedName name="cv">#REF!</definedName>
    <definedName name="cv_51">#REF!</definedName>
    <definedName name="CVa">#REF!</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#REF!</definedName>
    <definedName name="DAFT">#REF!</definedName>
    <definedName name="DANODO">#REF!</definedName>
    <definedName name="DANODOF">#REF!</definedName>
    <definedName name="DANODOFT">#REF!</definedName>
    <definedName name="dario">#REF!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Displayed">"Ejemplo"</definedName>
    <definedName name="DATO1">#REF!</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F">#REF!</definedName>
    <definedName name="DCI" localSheetId="1">#REF!</definedName>
    <definedName name="DCI">#REF!</definedName>
    <definedName name="DCI1_1" localSheetId="1">#REF!</definedName>
    <definedName name="DCI1_1">#REF!</definedName>
    <definedName name="DCI1_1_1" localSheetId="1">#REF!</definedName>
    <definedName name="DCI1_1_1">#REF!</definedName>
    <definedName name="DCI1_1_2" localSheetId="1">#REF!</definedName>
    <definedName name="DCI1_1_2">#REF!</definedName>
    <definedName name="DCI1_1_3">#REF!</definedName>
    <definedName name="DCI1_1_4">#REF!</definedName>
    <definedName name="DCI1_2">#REF!</definedName>
    <definedName name="DCI1_3">#REF!</definedName>
    <definedName name="DCI1_4">#REF!</definedName>
    <definedName name="DCorriente" localSheetId="1">#REF!</definedName>
    <definedName name="DCorriente">#REF!</definedName>
    <definedName name="Dcorriente1" localSheetId="1">#REF!</definedName>
    <definedName name="Dcorriente1">#REF!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 hidden="1">#REF!</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D">#REF!</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 localSheetId="1">#REF!</definedName>
    <definedName name="demanto">#REF!</definedName>
    <definedName name="demanto_51">#REF!</definedName>
    <definedName name="DEMOLICIÓN">#REF!</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#N/A</definedName>
    <definedName name="DERFE" localSheetId="1">#REF!</definedName>
    <definedName name="DERFE">#REF!</definedName>
    <definedName name="DERRUMBES111">#REF!</definedName>
    <definedName name="desarrolladas">#REF!,#REF!,#REF!,#REF!</definedName>
    <definedName name="DESCUNMI" localSheetId="1">#REF!</definedName>
    <definedName name="DESCUNMI">#REF!</definedName>
    <definedName name="DEST_ART" localSheetId="1">#REF!</definedName>
    <definedName name="DEST_ART">#REF!</definedName>
    <definedName name="DESTCOD" localSheetId="1">#REF!</definedName>
    <definedName name="DESTCOD">#REF!</definedName>
    <definedName name="DESTFG" localSheetId="1">#REF!</definedName>
    <definedName name="DESTFG">#REF!</definedName>
    <definedName name="DESTQTY" localSheetId="1">#REF!</definedName>
    <definedName name="DESTQTY">#REF!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ER">#REF!</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#REF!</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ego">#REF!</definedName>
    <definedName name="diego1">#REF!</definedName>
    <definedName name="diferencia" localSheetId="1">#REF!,#REF!,#REF!,#REF!,#REF!,#REF!,#REF!,#REF!,#REF!,#REF!</definedName>
    <definedName name="diferencia">#REF!,#REF!,#REF!,#REF!,#REF!,#REF!,#REF!,#REF!,#REF!,#REF!</definedName>
    <definedName name="DIJ" localSheetId="1">#REF!</definedName>
    <definedName name="DIJ">#REF!</definedName>
    <definedName name="DIJ1_1" localSheetId="1">#REF!</definedName>
    <definedName name="DIJ1_1">#REF!</definedName>
    <definedName name="DIJ1_1_1" localSheetId="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 localSheetId="1">#REF!</definedName>
    <definedName name="display_area_2">#REF!</definedName>
    <definedName name="DistanciasPRS7801">#REF!</definedName>
    <definedName name="DistanciasPRS9003">#REF!</definedName>
    <definedName name="DistanciasPRS9004">#REF!</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#REF!</definedName>
    <definedName name="DOR">#REF!</definedName>
    <definedName name="DOTACIÓN" localSheetId="1">#REF!</definedName>
    <definedName name="DOTACIÓN">#REF!</definedName>
    <definedName name="Dp">#REF!</definedName>
    <definedName name="DPI" localSheetId="1">#REF!</definedName>
    <definedName name="DPI">#REF!</definedName>
    <definedName name="DPI1_1" localSheetId="1">#REF!</definedName>
    <definedName name="DPI1_1">#REF!</definedName>
    <definedName name="DPI1_1_1">#REF!</definedName>
    <definedName name="DPY">#REF!</definedName>
    <definedName name="DPY1_1">#REF!</definedName>
    <definedName name="DPY1_1_1">#REF!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1" hidden="1">{"via1",#N/A,TRUE,"general";"via2",#N/A,TRUE,"general";"via3",#N/A,TRUE,"general"}</definedName>
    <definedName name="dry" hidden="1">{"via1",#N/A,TRUE,"general";"via2",#N/A,TRUE,"general";"via3",#N/A,TRUE,"general"}</definedName>
    <definedName name="DS">#REF!</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#REF!</definedName>
    <definedName name="DsctoPension">#REF!</definedName>
    <definedName name="DsctoSalud">#REF!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 localSheetId="1">#REF!</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#REF!</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1" hidden="1">{"via1",#N/A,TRUE,"general";"via2",#N/A,TRUE,"general";"via3",#N/A,TRUE,"general"}</definedName>
    <definedName name="e3e33" hidden="1">{"via1",#N/A,TRUE,"general";"via2",#N/A,TRUE,"general";"via3",#N/A,TRUE,"general"}</definedName>
    <definedName name="ec">#REF!</definedName>
    <definedName name="ECP">#REF!</definedName>
    <definedName name="ECP1_1">#REF!</definedName>
    <definedName name="ECP1_1_1">#REF!</definedName>
    <definedName name="EDC" localSheetId="1">#REF!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AIU!ERR</definedName>
    <definedName name="EE">[0]!ERR</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 localSheetId="2">Scheduled_Payment+Extra_Payment</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#REF!</definedName>
    <definedName name="ELIMINACIONPROYC" localSheetId="1">#REF!</definedName>
    <definedName name="ELIMINACIONPROYC">#REF!</definedName>
    <definedName name="emanto" localSheetId="1">#REF!</definedName>
    <definedName name="emanto">#REF!</definedName>
    <definedName name="emanto_51">#REF!</definedName>
    <definedName name="eme" localSheetId="1">AIU!ERR</definedName>
    <definedName name="eme">[0]!ERR</definedName>
    <definedName name="EMPLEADO" localSheetId="1">#REF!</definedName>
    <definedName name="EMPLEADO">#REF!</definedName>
    <definedName name="Empresa">#REF!</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ERO">#REF!</definedName>
    <definedName name="ENEROA">#REF!</definedName>
    <definedName name="Ensayos">#REF!</definedName>
    <definedName name="ENTRADASP">#REF!</definedName>
    <definedName name="EPECIALIDAD_SIDOE">#REF!</definedName>
    <definedName name="EPS">#REF!</definedName>
    <definedName name="EQUI">#REF!</definedName>
    <definedName name="equipo">#REF!</definedName>
    <definedName name="EQUIPO1" localSheetId="1">#REF!</definedName>
    <definedName name="EQUIPO1">#REF!</definedName>
    <definedName name="EQUIPOS1" localSheetId="1">#REF!</definedName>
    <definedName name="EQUIPOS1">#REF!</definedName>
    <definedName name="eqw" localSheetId="1" hidden="1">{"via1",#N/A,TRUE,"general";"via2",#N/A,TRUE,"general";"via3",#N/A,TRUE,"general"}</definedName>
    <definedName name="eqw" hidden="1">{"via1",#N/A,TRUE,"general";"via2",#N/A,TRUE,"general";"via3",#N/A,TRUE,"general"}</definedName>
    <definedName name="er">#REF!</definedName>
    <definedName name="ERE_ART">#REF!</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#REF!</definedName>
    <definedName name="ERROR5">#REF!</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AIU!ERR</definedName>
    <definedName name="ES">[0]!ERR</definedName>
    <definedName name="ESA" localSheetId="1">#REF!</definedName>
    <definedName name="ESA">#REF!</definedName>
    <definedName name="ESE" localSheetId="1">#REF!</definedName>
    <definedName name="ESE">#REF!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 localSheetId="1">#REF!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1" hidden="1">{#N/A,#N/A,TRUE,"INGENIERIA";#N/A,#N/A,TRUE,"COMPRAS";#N/A,#N/A,TRUE,"DIRECCION";#N/A,#N/A,TRUE,"RESUMEN"}</definedName>
    <definedName name="ESTRUCTURA" hidden="1">{#N/A,#N/A,TRUE,"INGENIERIA";#N/A,#N/A,TRUE,"COMPRAS";#N/A,#N/A,TRUE,"DIRECCION";#N/A,#N/A,TRUE,"RESUMEN"}</definedName>
    <definedName name="ESTRUCTURAS">#REF!</definedName>
    <definedName name="et">#REF!</definedName>
    <definedName name="ETAP" localSheetId="1">#REF!</definedName>
    <definedName name="ETAP">#REF!</definedName>
    <definedName name="ETAPA_PACC" localSheetId="1">#REF!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 localSheetId="1">#REF!</definedName>
    <definedName name="Excel_BuiltIn_Print_Titles_15">#REF!</definedName>
    <definedName name="Excel_BuiltIn_Print_Titles_15_51">#REF!</definedName>
    <definedName name="Excel_BuiltIn_Print_Titles_16" localSheetId="1">#REF!</definedName>
    <definedName name="Excel_BuiltIn_Print_Titles_16">#REF!</definedName>
    <definedName name="Excel_BuiltIn_Print_Titles_16_51">#REF!</definedName>
    <definedName name="Excel_BuiltIn_Print_Titles_17" localSheetId="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 localSheetId="1">#REF!</definedName>
    <definedName name="Excel_BuiltIn_Print_Titles_20">#REF!</definedName>
    <definedName name="Excel_BuiltIn_Print_Titles_20_51">#REF!</definedName>
    <definedName name="Excel_BuiltIn_Print_Titles_21" localSheetId="1">#REF!</definedName>
    <definedName name="Excel_BuiltIn_Print_Titles_21">#REF!</definedName>
    <definedName name="Excel_BuiltIn_Print_Titles_21_51">#REF!</definedName>
    <definedName name="Excel_BuiltIn_Print_Titles_23" localSheetId="1">#REF!</definedName>
    <definedName name="Excel_BuiltIn_Print_Titles_23">#REF!</definedName>
    <definedName name="Excel_BuiltIn_Print_Titles_23_51">#REF!</definedName>
    <definedName name="Excel_BuiltIn_Print_Titles_3" localSheetId="1">#REF!</definedName>
    <definedName name="Excel_BuiltIn_Print_Titles_3">#REF!</definedName>
    <definedName name="Excel_BuiltIn_Print_Titles_3_51">#REF!</definedName>
    <definedName name="Excel_BuiltIn_Print_Titles_5" localSheetId="1">#REF!</definedName>
    <definedName name="Excel_BuiltIn_Print_Titles_5">#REF!</definedName>
    <definedName name="Excel_BuiltIn_Print_Titles_5_51">#REF!</definedName>
    <definedName name="Excel_BuiltIn_Print_Titles_5_XX" localSheetId="1">#REF!</definedName>
    <definedName name="Excel_BuiltIn_Print_Titles_5_XX">#REF!</definedName>
    <definedName name="Excel_BuiltIn_Print_Titles_5_XX_51">#REF!</definedName>
    <definedName name="Excel_BuiltIn_Print_Titles_6" localSheetId="1">#REF!</definedName>
    <definedName name="Excel_BuiltIn_Print_Titles_6">#REF!</definedName>
    <definedName name="Excel_BuiltIn_Print_Titles_6_51">#REF!</definedName>
    <definedName name="Excel_BuiltIn_Print_Titles_7" localSheetId="1">#REF!</definedName>
    <definedName name="Excel_BuiltIn_Print_Titles_7">#REF!</definedName>
    <definedName name="Excel_BuiltIn_Print_Titles_7_51">#REF!</definedName>
    <definedName name="Excel_BuiltIn_Print_Titles_8" localSheetId="1">#REF!</definedName>
    <definedName name="Excel_BuiltIn_Print_Titles_8">#REF!</definedName>
    <definedName name="Excel_BuiltIn_Print_Titles_8_51">#REF!</definedName>
    <definedName name="Excel_BuiltIn_Print_Titles_9" localSheetId="1">#REF!</definedName>
    <definedName name="Excel_BuiltIn_Print_Titles_9">#REF!</definedName>
    <definedName name="Excel_BuiltIn_Print_Titles_9_51">#REF!</definedName>
    <definedName name="EXCROC">#REF!</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#REF!</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a">#REF!</definedName>
    <definedName name="FAC" hidden="1">#REF!</definedName>
    <definedName name="FACIL">#REF!</definedName>
    <definedName name="Facilidades">#REF!</definedName>
    <definedName name="factor">#REF!</definedName>
    <definedName name="FACTURADO">#REF!</definedName>
    <definedName name="FareWellStmnt">#REF!</definedName>
    <definedName name="FaseProyecto" localSheetId="1">#REF!</definedName>
    <definedName name="FaseProyecto">#REF!</definedName>
    <definedName name="fb">#REF!</definedName>
    <definedName name="FD" localSheetId="1">AIU!ERR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RO">#REF!</definedName>
    <definedName name="Fecha">#REF!</definedName>
    <definedName name="FechaInicio">#REF!</definedName>
    <definedName name="FechaTermina">#REF!</definedName>
    <definedName name="FechaTerminacion" localSheetId="1">#REF!</definedName>
    <definedName name="FechaTerminacion">#REF!</definedName>
    <definedName name="FENREO">#REF!</definedName>
    <definedName name="fer" localSheetId="1">#REF!</definedName>
    <definedName name="fer">#REF!</definedName>
    <definedName name="ferfer" localSheetId="1" hidden="1">{"via1",#N/A,TRUE,"general";"via2",#N/A,TRUE,"general";"via3",#N/A,TRUE,"general"}</definedName>
    <definedName name="ferfer" hidden="1">{"via1",#N/A,TRUE,"general";"via2",#N/A,TRUE,"general";"via3",#N/A,TRUE,"general"}</definedName>
    <definedName name="FERNANDO">#REF!</definedName>
    <definedName name="fevenad1">#REF!</definedName>
    <definedName name="fevenad2">#REF!</definedName>
    <definedName name="fevenin">#REF!</definedName>
    <definedName name="ff" localSheetId="1">AIU!ERR</definedName>
    <definedName name="ff">[0]!ERR</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AIU!ERR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GSFGSDFSDFSDF">#REF!</definedName>
    <definedName name="fgh">#REF!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l">#REF!</definedName>
    <definedName name="FINANCIACION" localSheetId="1">AIU!ERR</definedName>
    <definedName name="FINANCIACION">[0]!ERR</definedName>
    <definedName name="FinePrint">#REF!</definedName>
    <definedName name="FINI">#REF!</definedName>
    <definedName name="Finisher">#REF!</definedName>
    <definedName name="fk">#REF!</definedName>
    <definedName name="flq">#REF!</definedName>
    <definedName name="FM">1.18</definedName>
    <definedName name="fnic">#REF!</definedName>
    <definedName name="FO">1.32</definedName>
    <definedName name="FONDOPEN">#REF!</definedName>
    <definedName name="FORDESCR">#REF!</definedName>
    <definedName name="FORM_C3">#REF!</definedName>
    <definedName name="FORMALE">#REF!</definedName>
    <definedName name="FORMOLT">#REF!</definedName>
    <definedName name="Formulario">+#REF!</definedName>
    <definedName name="formularioCantidades">#REF!</definedName>
    <definedName name="FORSHE">#REF!</definedName>
    <definedName name="FORUNMIS">#REF!</definedName>
    <definedName name="FOTO">#REF!</definedName>
    <definedName name="FOTOS">#REF!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#REF!</definedName>
    <definedName name="fu" localSheetId="1">AIU!ERR</definedName>
    <definedName name="fu">[0]!ERR</definedName>
    <definedName name="Full_Print" localSheetId="1">#REF!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 localSheetId="1">#REF!</definedName>
    <definedName name="G1_">#REF!</definedName>
    <definedName name="ga">#REF!</definedName>
    <definedName name="GAJ" localSheetId="1">#REF!</definedName>
    <definedName name="GAJ">#REF!</definedName>
    <definedName name="GAS" localSheetId="1">#REF!</definedName>
    <definedName name="GAS">#REF!</definedName>
    <definedName name="GATO">#REF!</definedName>
    <definedName name="gavion">#REF!</definedName>
    <definedName name="gb">#REF!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#REF!</definedName>
    <definedName name="GCI">#REF!</definedName>
    <definedName name="GCN">#REF!</definedName>
    <definedName name="GCP">#REF!</definedName>
    <definedName name="gd">#REF!</definedName>
    <definedName name="gddfgdfgdf">#REF!</definedName>
    <definedName name="gdj">#REF!</definedName>
    <definedName name="GDN">#REF!</definedName>
    <definedName name="GDR">#REF!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 localSheetId="1">#REF!</definedName>
    <definedName name="GEC_ON_DAPIAY">#REF!</definedName>
    <definedName name="GEC_ON_GER" localSheetId="1">#REF!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otextil">#REF!</definedName>
    <definedName name="GERENCIA">#REF!</definedName>
    <definedName name="GERENCIA1">#REF!</definedName>
    <definedName name="GERENCIA2">#REF!</definedName>
    <definedName name="Gerente">#REF!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FGSFGGSFGS">#REF!</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#REF!</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AIU!ERR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gggggggggg">#REF!</definedName>
    <definedName name="ggggggggggggggggggg">#REF!</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hu">#REF!</definedName>
    <definedName name="GI">MATCH(0.01,[0]!End_Bal,-1)+1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#REF!</definedName>
    <definedName name="GMM_ON_DMARES" localSheetId="1">#REF!</definedName>
    <definedName name="GMM_ON_DMARES">#REF!</definedName>
    <definedName name="GMM_ON_DRIO" localSheetId="1">#REF!</definedName>
    <definedName name="GMM_ON_DRIO">#REF!</definedName>
    <definedName name="gmt">#REF!</definedName>
    <definedName name="gn">#REF!</definedName>
    <definedName name="gnm">#REF!</definedName>
    <definedName name="gñ">#REF!</definedName>
    <definedName name="GOR" localSheetId="1">#REF!</definedName>
    <definedName name="GOR">#REF!</definedName>
    <definedName name="GOT" localSheetId="1">#REF!</definedName>
    <definedName name="GOT">#REF!</definedName>
    <definedName name="gp">#REF!</definedName>
    <definedName name="GPO" localSheetId="1">#REF!</definedName>
    <definedName name="GPO">#REF!</definedName>
    <definedName name="GPR" localSheetId="1">#REF!</definedName>
    <definedName name="GPR">#REF!</definedName>
    <definedName name="_xlnm.Recorder" localSheetId="1">#REF!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a">#REF!</definedName>
    <definedName name="GRAVILLA">#REF!</definedName>
    <definedName name="GRC" localSheetId="1">#REF!</definedName>
    <definedName name="GRC">#REF!</definedName>
    <definedName name="GRC_ON_ASO" localSheetId="1">#REF!</definedName>
    <definedName name="GRC_ON_ASO">#REF!</definedName>
    <definedName name="GRC_ON_DAPIAY" localSheetId="1">#REF!</definedName>
    <definedName name="GRC_ON_DAPIAY">#REF!</definedName>
    <definedName name="GRC_ON_GER" localSheetId="1">#REF!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M">#REF!</definedName>
    <definedName name="GRM_ON_DMARES" localSheetId="1">#REF!</definedName>
    <definedName name="GRM_ON_DMARES">#REF!</definedName>
    <definedName name="GRM_ON_DRIO" localSheetId="1">#REF!</definedName>
    <definedName name="GRM_ON_DRIO">#REF!</definedName>
    <definedName name="GRN" localSheetId="1">#REF!</definedName>
    <definedName name="GRN">#REF!</definedName>
    <definedName name="GRN_ON_ASO" localSheetId="1">#REF!</definedName>
    <definedName name="GRN_ON_ASO">#REF!</definedName>
    <definedName name="GRN_ON_DIREC" localSheetId="1">#REF!</definedName>
    <definedName name="GRN_ON_DIREC">#REF!</definedName>
    <definedName name="GRS" localSheetId="1">#REF!</definedName>
    <definedName name="GRS">#REF!</definedName>
    <definedName name="GRS_ON_ASO" localSheetId="1">#REF!</definedName>
    <definedName name="GRS_ON_ASO">#REF!</definedName>
    <definedName name="GRS_ON_DIREC" localSheetId="1">#REF!</definedName>
    <definedName name="GRS_ON_DIREC">#REF!</definedName>
    <definedName name="GRS_ON_HUIL" localSheetId="1">#REF!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 localSheetId="1">#REF!</definedName>
    <definedName name="GTRE">#REF!</definedName>
    <definedName name="guadua">#REF!</definedName>
    <definedName name="gy">#REF!</definedName>
    <definedName name="h" localSheetId="1">#REF!</definedName>
    <definedName name="h">#REF!</definedName>
    <definedName name="H_pump" localSheetId="1">#REF!</definedName>
    <definedName name="H_pump">#REF!</definedName>
    <definedName name="h9h" localSheetId="1" hidden="1">{"via1",#N/A,TRUE,"general";"via2",#N/A,TRUE,"general";"via3",#N/A,TRUE,"general"}</definedName>
    <definedName name="h9h" hidden="1">{"via1",#N/A,TRUE,"general";"via2",#N/A,TRUE,"general";"via3",#N/A,TRUE,"general"}</definedName>
    <definedName name="ha">#REF!</definedName>
    <definedName name="hab___viv">#REF!</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#REF!</definedName>
    <definedName name="HERRERO" localSheetId="1">#REF!</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1">AIU!ERR</definedName>
    <definedName name="hh">[0]!ERR</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HH">#REF!</definedName>
    <definedName name="HHHHHHHHHHHHHHHHH">#REF!</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SHDHDHGFHFGHFGH">#REF!</definedName>
    <definedName name="hhtrhreh" localSheetId="1" hidden="1">{"via1",#N/A,TRUE,"general";"via2",#N/A,TRUE,"general";"via3",#N/A,TRUE,"general"}</definedName>
    <definedName name="hhtrhreh" hidden="1">{"via1",#N/A,TRUE,"general";"via2",#N/A,TRUE,"general";"via3",#N/A,TRUE,"general"}</definedName>
    <definedName name="Hid">#REF!</definedName>
    <definedName name="HIDE1">#REF!</definedName>
    <definedName name="Hierro">#REF!</definedName>
    <definedName name="hit">#REF!</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AIU!ERR</definedName>
    <definedName name="HK">[0]!ERR</definedName>
    <definedName name="hl">#REF!</definedName>
    <definedName name="HM" localSheetId="1">#REF!</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 localSheetId="1">#REF!</definedName>
    <definedName name="HOJA1">#REF!</definedName>
    <definedName name="HOJA8">#REF!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1">#REF!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 localSheetId="1">#REF!</definedName>
    <definedName name="Hornos">#REF!</definedName>
    <definedName name="hp">#REF!</definedName>
    <definedName name="HP_stg_Hz" localSheetId="1">#REF!</definedName>
    <definedName name="HP_stg_Hz">#REF!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SFGSSGSGFG">#REF!</definedName>
    <definedName name="ht">#REF!</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 localSheetId="1">#REF!</definedName>
    <definedName name="Icct">#REF!</definedName>
    <definedName name="ICP" localSheetId="1">#REF!</definedName>
    <definedName name="ICP">#REF!</definedName>
    <definedName name="ICP1_1" localSheetId="1">#REF!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1">AIU!ERR</definedName>
    <definedName name="ID">[0]!ERR</definedName>
    <definedName name="IF" localSheetId="1">#REF!</definedName>
    <definedName name="IF">#REF!</definedName>
    <definedName name="Ig" localSheetId="1">#REF!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#REF!</definedName>
    <definedName name="IMPRESSION" localSheetId="1">#REF!</definedName>
    <definedName name="IMPRESSION">#REF!</definedName>
    <definedName name="IMPREVISTOS">#REF!</definedName>
    <definedName name="imprimir" localSheetId="1">#REF!</definedName>
    <definedName name="imprimir">#REF!</definedName>
    <definedName name="IMPTOS" localSheetId="1">#REF!</definedName>
    <definedName name="IMPTOS">#REF!</definedName>
    <definedName name="IMPTOS1">#REF!</definedName>
    <definedName name="INC">#REF!</definedName>
    <definedName name="INCR._PRODC.">#REF!</definedName>
    <definedName name="INDI">#N/A</definedName>
    <definedName name="INDICE">#REF!</definedName>
    <definedName name="inf">#REF!</definedName>
    <definedName name="INFG">#REF!</definedName>
    <definedName name="INFORME">#REF!</definedName>
    <definedName name="Informe_semanal" localSheetId="1">#REF!</definedName>
    <definedName name="Informe_semanal">#REF!</definedName>
    <definedName name="Ing">#REF!</definedName>
    <definedName name="INGENIERIA1" localSheetId="1" hidden="1">#REF!</definedName>
    <definedName name="INGENIERIA1" hidden="1">#REF!</definedName>
    <definedName name="INGENIERIA11" localSheetId="1" hidden="1">#REF!</definedName>
    <definedName name="INGENIERIA11" hidden="1">#REF!</definedName>
    <definedName name="iniciales">#REF!,#REF!,#REF!,#REF!</definedName>
    <definedName name="Inicio">#REF!</definedName>
    <definedName name="INPU" localSheetId="1">#REF!</definedName>
    <definedName name="INPU">#REF!</definedName>
    <definedName name="INPUT" localSheetId="1">#REF!</definedName>
    <definedName name="INPUT">#REF!</definedName>
    <definedName name="INSU" localSheetId="1">#REF!</definedName>
    <definedName name="INSU">#REF!</definedName>
    <definedName name="Insumos_auxiliares" localSheetId="1">#REF!</definedName>
    <definedName name="Insumos_auxiliares">#REF!</definedName>
    <definedName name="Insumos_basicos" localSheetId="1">#REF!</definedName>
    <definedName name="Insumos_basicos">#REF!</definedName>
    <definedName name="Int" localSheetId="1">#REF!</definedName>
    <definedName name="Int">#REF!</definedName>
    <definedName name="InTap">#REF!</definedName>
    <definedName name="INTER">#REF!</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#REF!</definedName>
    <definedName name="IntVal">#REF!</definedName>
    <definedName name="INV">#REF!</definedName>
    <definedName name="INV_11">#REF!</definedName>
    <definedName name="INV_Payments">#REF!</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1">AIU!ERR</definedName>
    <definedName name="IOUHH">[0]!ERR</definedName>
    <definedName name="IP" localSheetId="1">#REF!</definedName>
    <definedName name="IP">#REF!</definedName>
    <definedName name="ir">#REF!</definedName>
    <definedName name="irng" localSheetId="1" hidden="1">#REF!</definedName>
    <definedName name="irng" hidden="1">#REF!</definedName>
    <definedName name="irrigador">#REF!</definedName>
    <definedName name="Iss">#REF!</definedName>
    <definedName name="issafp">#REF!</definedName>
    <definedName name="isscs">#REF!</definedName>
    <definedName name="isseps">#REF!</definedName>
    <definedName name="it.">#REF!</definedName>
    <definedName name="ITEM">#REF!</definedName>
    <definedName name="ITEM1" localSheetId="1">#REF!</definedName>
    <definedName name="ITEM1">#REF!</definedName>
    <definedName name="ITEM1_133">#REF!</definedName>
    <definedName name="ITEM1_149">#REF!</definedName>
    <definedName name="ITEM1_186">#REF!</definedName>
    <definedName name="ITEM1_187">#REF!</definedName>
    <definedName name="ITEM15" localSheetId="1">#REF!</definedName>
    <definedName name="ITEM15">#REF!</definedName>
    <definedName name="ITEM15_133">#REF!</definedName>
    <definedName name="ITEM15_149">#REF!</definedName>
    <definedName name="ITEM15_186">#REF!</definedName>
    <definedName name="ITEM15_187">#REF!</definedName>
    <definedName name="ITEM2" localSheetId="1">#REF!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annaC">#N/A</definedName>
    <definedName name="JdannaCA">#N/A</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AIU!ERR</definedName>
    <definedName name="jj">[0]!ERR</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n">#REF!</definedName>
    <definedName name="jñ">#REF!</definedName>
    <definedName name="jo">#REF!</definedName>
    <definedName name="JOHNNY" localSheetId="1">AIU!ERR</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AIU!ERR</definedName>
    <definedName name="kl">[0]!ERR</definedName>
    <definedName name="klklk" localSheetId="1">#REF!</definedName>
    <definedName name="klklk">#REF!</definedName>
    <definedName name="km" localSheetId="1">#REF!</definedName>
    <definedName name="km">#REF!</definedName>
    <definedName name="kñy">#REF!</definedName>
    <definedName name="KO" localSheetId="1">#REF!</definedName>
    <definedName name="ko">#REF!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ia">#REF!</definedName>
    <definedName name="Libro1_Hoja1_Lista">#REF!</definedName>
    <definedName name="LICITACION" localSheetId="1">#REF!</definedName>
    <definedName name="LICITACION">#REF!</definedName>
    <definedName name="LINA">#REF!</definedName>
    <definedName name="linc1">#REF!</definedName>
    <definedName name="linc2">#REF!</definedName>
    <definedName name="linc3">#REF!</definedName>
    <definedName name="linc4">#REF!</definedName>
    <definedName name="linc5">#REF!</definedName>
    <definedName name="LINEA" localSheetId="1">#REF!</definedName>
    <definedName name="LINEA">#REF!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#REF!</definedName>
    <definedName name="ListaUni">#REF!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ANTAS">#REF!</definedName>
    <definedName name="LLL">#REF!</definedName>
    <definedName name="LLL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#REF!</definedName>
    <definedName name="LÑP">#REF!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2">#REF!</definedName>
    <definedName name="LOCALIZACION">#REF!</definedName>
    <definedName name="LOCALIZACION_Y_REPLANTEO" localSheetId="1">#REF!</definedName>
    <definedName name="LOCALIZACION_Y_REPLANTEO">#REF!</definedName>
    <definedName name="LOCALIZACIÓN_Y_REPLANTEO._ESTRUCTURAS">#REF!</definedName>
    <definedName name="LOGO" localSheetId="1">AIU!ERR</definedName>
    <definedName name="LOGO">[0]!ERR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#REF!</definedName>
    <definedName name="lplpl" localSheetId="1" hidden="1">{"via1",#N/A,TRUE,"general";"via2",#N/A,TRUE,"general";"via3",#N/A,TRUE,"general"}</definedName>
    <definedName name="lplpl" hidden="1">{"via1",#N/A,TRUE,"general";"via2",#N/A,TRUE,"general";"via3",#N/A,TRUE,"general"}</definedName>
    <definedName name="lsttros">#REF!</definedName>
    <definedName name="lt">#REF!</definedName>
    <definedName name="lucy" hidden="1">{"TAB1",#N/A,TRUE,"GENERAL";"TAB2",#N/A,TRUE,"GENERAL";"TAB3",#N/A,TRUE,"GENERAL";"TAB4",#N/A,TRUE,"GENERAL";"TAB5",#N/A,TRUE,"GENERAL"}</definedName>
    <definedName name="lun" localSheetId="1">#REF!</definedName>
    <definedName name="lun">#REF!</definedName>
    <definedName name="LUNA">#REF!</definedName>
    <definedName name="lv" localSheetId="1">#REF!</definedName>
    <definedName name="lv">#REF!</definedName>
    <definedName name="m" localSheetId="1">#REF!</definedName>
    <definedName name="m">#REF!</definedName>
    <definedName name="MA" localSheetId="1">#REF!</definedName>
    <definedName name="MA">#REF!</definedName>
    <definedName name="MACR" localSheetId="1">#REF!</definedName>
    <definedName name="MACR">#REF!</definedName>
    <definedName name="MACRDEL" localSheetId="1">#REF!</definedName>
    <definedName name="MACRDEL">#REF!</definedName>
    <definedName name="Macroactividad" localSheetId="1">#REF!</definedName>
    <definedName name="Macroactividad">#REF!</definedName>
    <definedName name="maestro">#REF!</definedName>
    <definedName name="mafdsf" localSheetId="1" hidden="1">{"via1",#N/A,TRUE,"general";"via2",#N/A,TRUE,"general";"via3",#N/A,TRUE,"general"}</definedName>
    <definedName name="mafdsf" hidden="1">{"via1",#N/A,TRUE,"general";"via2",#N/A,TRUE,"general";"via3",#N/A,TRUE,"general"}</definedName>
    <definedName name="MAL">#REF!&lt;2.5</definedName>
    <definedName name="MALO">#REF!&lt;2.5</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#REF!</definedName>
    <definedName name="Maquinaria">#N/A</definedName>
    <definedName name="mar" localSheetId="1">#REF!</definedName>
    <definedName name="mar">#REF!</definedName>
    <definedName name="MARAVILLA" hidden="1">{"PRES REHAB ARM-PER POR ITEMS  KM A KM",#N/A,TRUE,"Rehabilitacion Arm-Per"}</definedName>
    <definedName name="marcela">#REF!</definedName>
    <definedName name="MARCO_H" localSheetId="1">#REF!</definedName>
    <definedName name="MARCO_H">#REF!</definedName>
    <definedName name="maria">#REF!</definedName>
    <definedName name="MARILUZ">#REF!</definedName>
    <definedName name="marina" localSheetId="1">#REF!</definedName>
    <definedName name="marina">#REF!</definedName>
    <definedName name="MARINAS">#REF!</definedName>
    <definedName name="martillo">#REF!</definedName>
    <definedName name="MARY">#REF!</definedName>
    <definedName name="MARYLUZ" hidden="1">{"PRES REHAB ARM-PER POR ITEMS  KM A KM",#N/A,TRUE,"Rehabilitacion Arm-Per"}</definedName>
    <definedName name="marzito">#REF!</definedName>
    <definedName name="MARZO">#REF!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#REF!</definedName>
    <definedName name="MATERIAL">#REF!</definedName>
    <definedName name="materiales">#REF!</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#REF!</definedName>
    <definedName name="MATRIZRICS">#REF!</definedName>
    <definedName name="MAX">#REF!</definedName>
    <definedName name="MAYO">#REF!</definedName>
    <definedName name="MCCs">#REF!</definedName>
    <definedName name="mdd" localSheetId="1" hidden="1">{"via1",#N/A,TRUE,"general";"via2",#N/A,TRUE,"general";"via3",#N/A,TRUE,"general"}</definedName>
    <definedName name="mdd" hidden="1">{"via1",#N/A,TRUE,"general";"via2",#N/A,TRUE,"general";"via3",#N/A,TRUE,"general"}</definedName>
    <definedName name="MEDARDO">#REF!</definedName>
    <definedName name="mediah_reposo_comida">#REF!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1">#REF!</definedName>
    <definedName name="MESES">#REF!</definedName>
    <definedName name="MesesMora">#REF!</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#REF!</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1" hidden="1">{#N/A,#N/A,FALSE,"Hoja1";#N/A,#N/A,FALSE,"Hoja2"}</definedName>
    <definedName name="MOE" hidden="1">{#N/A,#N/A,FALSE,"Hoja1";#N/A,#N/A,FALSE,"Hoja2"}</definedName>
    <definedName name="MONEDA">#REF!</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ra">#REF!</definedName>
    <definedName name="MORON" localSheetId="1">#REF!</definedName>
    <definedName name="MORON">#REF!</definedName>
    <definedName name="MOTO">#REF!</definedName>
    <definedName name="MOTOBOMBA">#REF!</definedName>
    <definedName name="Motoniv">#REF!</definedName>
    <definedName name="motosierra">#REF!</definedName>
    <definedName name="mpdirint">#REF!</definedName>
    <definedName name="mprelecon">#REF!</definedName>
    <definedName name="mr">#REF!</definedName>
    <definedName name="MRLART" localSheetId="1">#REF!</definedName>
    <definedName name="MRLART">#REF!</definedName>
    <definedName name="MRSUPDET" localSheetId="1">#REF!</definedName>
    <definedName name="MRSUPDET">#REF!</definedName>
    <definedName name="Mtz_Avance" localSheetId="1">#REF!</definedName>
    <definedName name="Mtz_Avance">#REF!</definedName>
    <definedName name="Mv" localSheetId="1">#REF!</definedName>
    <definedName name="Mv">#REF!</definedName>
    <definedName name="n" localSheetId="1"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#REF!</definedName>
    <definedName name="NJH">#REF!</definedName>
    <definedName name="NM">#REF!</definedName>
    <definedName name="Nmax" localSheetId="1">#REF!</definedName>
    <definedName name="Nmax">#REF!</definedName>
    <definedName name="nmdlf" localSheetId="1">#REF!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AIU!ERR</definedName>
    <definedName name="NO">[0]!ERR</definedName>
    <definedName name="No._tanques">#REF!</definedName>
    <definedName name="No_desarrolladas">#REF!,#REF!,#REF!,#REF!</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#REF!</definedName>
    <definedName name="NombreVicepresidencia">#REF!</definedName>
    <definedName name="Norte">#REF!</definedName>
    <definedName name="NOVIEMBRE">MATCH(0.01,#REF!,-1)+1</definedName>
    <definedName name="NPAGE">#REF!</definedName>
    <definedName name="nr">#REF!</definedName>
    <definedName name="NroCODIGO">#REF!</definedName>
    <definedName name="NroDOCUMENTO">#REF!</definedName>
    <definedName name="nt">#REF!</definedName>
    <definedName name="NUEVO" localSheetId="1">#REF!</definedName>
    <definedName name="NUEVO">#REF!</definedName>
    <definedName name="Num_Pmt_Per_Year" localSheetId="1">#REF!</definedName>
    <definedName name="Num_Pmt_Per_Year">#REF!</definedName>
    <definedName name="Number_of_Payments" localSheetId="1">MATCH(0.01,AIU!End_Bal,-1)+1</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#REF!</definedName>
    <definedName name="ObjetivoProyecto" localSheetId="1">#REF!</definedName>
    <definedName name="ObjetivoProyecto">#REF!</definedName>
    <definedName name="OBJETO">#REF!</definedName>
    <definedName name="Obra" localSheetId="1">#REF!</definedName>
    <definedName name="Obra">#REF!</definedName>
    <definedName name="obras" localSheetId="1" hidden="1">#REF!</definedName>
    <definedName name="obras" hidden="1">#REF!</definedName>
    <definedName name="obras1" localSheetId="1">DATE(YEAR(#REF!),MONTH(#REF!)+Payment_Number,DAY(#REF!))</definedName>
    <definedName name="obras1" localSheetId="2">DATE(YEAR(#REF!),MONTH(#REF!)+Payment_Number,DAY(#REF!))</definedName>
    <definedName name="obras1">DATE(YEAR(#REF!),MONTH(#REF!)+Payment_Number,DAY(#REF!))</definedName>
    <definedName name="obras11" localSheetId="1" hidden="1">#REF!</definedName>
    <definedName name="obras11" hidden="1">#REF!</definedName>
    <definedName name="obras111" localSheetId="1">DATE(YEAR(#REF!),MONTH(#REF!)+Payment_Number,DAY(#REF!))</definedName>
    <definedName name="obras111" localSheetId="2">DATE(YEAR(#REF!),MONTH(#REF!)+Payment_Number,DAY(#REF!))</definedName>
    <definedName name="obras111">DATE(YEAR(#REF!),MONTH(#REF!)+Payment_Number,DAY(#REF!))</definedName>
    <definedName name="obrero">#REF!</definedName>
    <definedName name="OBSERVACIONES">#REF!</definedName>
    <definedName name="OCD">#REF!</definedName>
    <definedName name="OCD1_1">#REF!</definedName>
    <definedName name="OCD1_1_1">#REF!</definedName>
    <definedName name="OCI">#REF!</definedName>
    <definedName name="OCI1_1">#REF!</definedName>
    <definedName name="OCI1_1_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s">#REF!</definedName>
    <definedName name="OSCAR">#REF!</definedName>
    <definedName name="OTR">#REF!</definedName>
    <definedName name="OTRO">#REF!</definedName>
    <definedName name="otros">#REF!</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JARITA">#REF!</definedName>
    <definedName name="Parametro_Peso">#REF!</definedName>
    <definedName name="Pav">#N/A</definedName>
    <definedName name="Pay_Date" localSheetId="1">#REF!</definedName>
    <definedName name="Pay_Date">#REF!</definedName>
    <definedName name="Pay_Num" localSheetId="1">#REF!</definedName>
    <definedName name="Pay_Num">#REF!</definedName>
    <definedName name="Payment_Date" localSheetId="1">DATE(YEAR(Loan_Start),MONTH(Loan_Start)+Payment_Number,DAY(Loan_Start))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 localSheetId="2">DATE(YEAR(#REF!),MONTH(#REF!)+Payment_Number,DAY(#REF!))</definedName>
    <definedName name="Payment_Date1">DATE(YEAR(#REF!),MONTH(#REF!)+Payment_Number,DAY(#REF!))</definedName>
    <definedName name="Payment_Needed">"Pago necesario"</definedName>
    <definedName name="PAZ">#REF!</definedName>
    <definedName name="Pb">#REF!</definedName>
    <definedName name="pc">#REF!</definedName>
    <definedName name="Pd">#REF!</definedName>
    <definedName name="PEPE" localSheetId="1">AIU!ERR</definedName>
    <definedName name="PEPE">[0]!ERR</definedName>
    <definedName name="Periodo">#REF!</definedName>
    <definedName name="PeriodoPago">#REF!</definedName>
    <definedName name="PeriodoRepago" localSheetId="1">#REF!</definedName>
    <definedName name="PeriodoRepago">#REF!</definedName>
    <definedName name="PeriodoRepagoCCP" localSheetId="1">#REF!</definedName>
    <definedName name="PeriodoRepagoCCP">#REF!</definedName>
    <definedName name="PERRD">#REF!</definedName>
    <definedName name="PERRITO">#REF!</definedName>
    <definedName name="phed">#REF!</definedName>
    <definedName name="phen">#REF!</definedName>
    <definedName name="pi">#REF!</definedName>
    <definedName name="piedram">#REF!</definedName>
    <definedName name="PILOTE">#REF!</definedName>
    <definedName name="Pindis" localSheetId="1">#REF!</definedName>
    <definedName name="Pindis">#REF!</definedName>
    <definedName name="pint" localSheetId="1">#REF!</definedName>
    <definedName name="pint">#REF!</definedName>
    <definedName name="pintura" localSheetId="1">#REF!</definedName>
    <definedName name="pintura">#REF!</definedName>
    <definedName name="pintyura">#REF!</definedName>
    <definedName name="PIP" localSheetId="1">#REF!</definedName>
    <definedName name="PIP">#REF!</definedName>
    <definedName name="Piscinas" localSheetId="1">#REF!</definedName>
    <definedName name="Piscinas">#REF!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 localSheetId="1">#REF!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#REF!</definedName>
    <definedName name="Porcentaje" localSheetId="1">#REF!</definedName>
    <definedName name="Porcentaje">#REF!</definedName>
    <definedName name="PORCENTAJE1" localSheetId="1">#REF!</definedName>
    <definedName name="PORCENTAJE1">#REF!</definedName>
    <definedName name="PORTADA2" localSheetId="1">#REF!</definedName>
    <definedName name="PORTADA2">#REF!</definedName>
    <definedName name="POSICION_PRESUP" localSheetId="1">#REF!</definedName>
    <definedName name="POSICION_PRESUP">#REF!</definedName>
    <definedName name="POSICIONES" localSheetId="1">#REF!</definedName>
    <definedName name="POSICIONES">#REF!</definedName>
    <definedName name="pouig" localSheetId="1" hidden="1">{"via1",#N/A,TRUE,"general";"via2",#N/A,TRUE,"general";"via3",#N/A,TRUE,"general"}</definedName>
    <definedName name="pouig" hidden="1">{"via1",#N/A,TRUE,"general";"via2",#N/A,TRUE,"general";"via3",#N/A,TRUE,"general"}</definedName>
    <definedName name="POZO">#REF!</definedName>
    <definedName name="pp">#REF!</definedName>
    <definedName name="ppp">#REF!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#REF!</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#REF!</definedName>
    <definedName name="pres">#REF!</definedName>
    <definedName name="PREST" localSheetId="1">#REF!</definedName>
    <definedName name="PREST">#REF!</definedName>
    <definedName name="PRESTACIONES">#REF!</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 localSheetId="1">OFFSET(AIU!Full_Print,0,0,Last_Row)</definedName>
    <definedName name="Print_Area_Reset">OFFSET(Full_Print,0,0,Last_Row)</definedName>
    <definedName name="PRINT_TITLES_MI">#N/A</definedName>
    <definedName name="PRINT1" localSheetId="1">#REF!</definedName>
    <definedName name="PRINT1">#REF!</definedName>
    <definedName name="PRINT2" localSheetId="1">#REF!</definedName>
    <definedName name="PRINT2">#REF!</definedName>
    <definedName name="PRIVADO" localSheetId="1">#REF!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 hidden="1">#REF!</definedName>
    <definedName name="PROGDES" localSheetId="1">#REF!</definedName>
    <definedName name="PROGDES">#REF!</definedName>
    <definedName name="Programa" localSheetId="1">#REF!</definedName>
    <definedName name="Programa">#REF!</definedName>
    <definedName name="programainv" localSheetId="1">AIU!ERR</definedName>
    <definedName name="programainv">[0]!ERR</definedName>
    <definedName name="Proponente" localSheetId="1">#REF!</definedName>
    <definedName name="Proponente">#REF!</definedName>
    <definedName name="PROPUESTA2">#REF!</definedName>
    <definedName name="PRUEBA">#REF!</definedName>
    <definedName name="prueba1">#REF!</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TTO">#REF!</definedName>
    <definedName name="puntilla">#REF!</definedName>
    <definedName name="PVCdren4">#REF!</definedName>
    <definedName name="PVCmang3">#REF!</definedName>
    <definedName name="PW" localSheetId="1">#REF!</definedName>
    <definedName name="PW">#REF!</definedName>
    <definedName name="Pwf">#REF!</definedName>
    <definedName name="Pwf_actual">#REF!</definedName>
    <definedName name="Pwf_i">#REF!</definedName>
    <definedName name="Pwf_min">#REF!</definedName>
    <definedName name="Pwfd" localSheetId="1">#REF!</definedName>
    <definedName name="Pwfd">#REF!</definedName>
    <definedName name="Q" localSheetId="1">#REF!</definedName>
    <definedName name="Q">#REF!</definedName>
    <definedName name="Q_actual">#REF!</definedName>
    <definedName name="Q_BRUTO" localSheetId="1">#REF!</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#REF!</definedName>
    <definedName name="QE_TE">#REF!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N">#REF!</definedName>
    <definedName name="QN_QI">#REF!</definedName>
    <definedName name="QNS">#REF!</definedName>
    <definedName name="QQ">#REF!</definedName>
    <definedName name="QQQ" localSheetId="2">DATE(YEAR([0]!Loan_Start),MONTH([0]!Loan_Start)+Payment_Number,DAY([0]!Loan_Start))</definedName>
    <definedName name="QQQ">DATE(YEAR([0]!Loan_Start),MONTH([0]!Loan_Start)+Payment_Number,DAY([0]!Loan_Start))</definedName>
    <definedName name="qqqq" localSheetId="2">Scheduled_Payment+Extra_Payment</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S">#REF!</definedName>
    <definedName name="Qt">#REF!</definedName>
    <definedName name="QTIES" localSheetId="1">#REF!</definedName>
    <definedName name="QTIES">#REF!</definedName>
    <definedName name="QTY" localSheetId="1">#REF!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AIU!ERR</definedName>
    <definedName name="QWERTY">[0]!ERR</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#REF!</definedName>
    <definedName name="rana">#REF!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#REF!</definedName>
    <definedName name="Recall_3">#REF!</definedName>
    <definedName name="recebo">#REF!</definedName>
    <definedName name="RECICLA">#REF!</definedName>
    <definedName name="recursos">#REF!</definedName>
    <definedName name="RED">#REF!</definedName>
    <definedName name="REG">#REF!&gt;2.5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 localSheetId="1">#REF!</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1">AIU!ERR</definedName>
    <definedName name="REICIO">[0]!ERR</definedName>
    <definedName name="Reimbursement">"Reembolso"</definedName>
    <definedName name="reinicio" localSheetId="1">AIU!ERR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#REF!</definedName>
    <definedName name="rell" localSheetId="1">#REF!</definedName>
    <definedName name="rell">#REF!</definedName>
    <definedName name="RELLG">#REF!</definedName>
    <definedName name="remanentes">#REF!,#REF!,#REF!,#REF!</definedName>
    <definedName name="rendimiento" localSheetId="1">#REF!</definedName>
    <definedName name="rendimiento">#REF!</definedName>
    <definedName name="RENDIMIENTO____CARGA" localSheetId="1">#REF!</definedName>
    <definedName name="RENDIMIENTO____CARGA">#REF!</definedName>
    <definedName name="REPROGRAMACION">#REF!</definedName>
    <definedName name="REPXXX" localSheetId="1">#REF!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ividad">#REF!</definedName>
    <definedName name="RESU" localSheetId="1">#REF!</definedName>
    <definedName name="RESU">#REF!</definedName>
    <definedName name="resu8">#REF!</definedName>
    <definedName name="resufi" localSheetId="1">#REF!</definedName>
    <definedName name="resufi">#REF!</definedName>
    <definedName name="resufi1" localSheetId="1">#REF!</definedName>
    <definedName name="resufi1">#REF!</definedName>
    <definedName name="resul">#REF!</definedName>
    <definedName name="resumen" localSheetId="1">#REF!</definedName>
    <definedName name="resumen">#REF!</definedName>
    <definedName name="resumen_final">#REF!</definedName>
    <definedName name="resumen_final1">#REF!</definedName>
    <definedName name="Retenc">#REF!</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D">#REF!</definedName>
    <definedName name="RIIIIIIIIIIIC">#N/A</definedName>
    <definedName name="RISP">#REF!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 localSheetId="1">#REF!,#REF!,#REF!</definedName>
    <definedName name="Ro">#REF!,#REF!,#REF!</definedName>
    <definedName name="RODILLO">#REF!</definedName>
    <definedName name="rr" localSheetId="1">AIU!ERR</definedName>
    <definedName name="rr">[0]!ERR</definedName>
    <definedName name="rrr" localSheetId="1"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#REF!</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#REF!</definedName>
    <definedName name="s">[0]!ERR</definedName>
    <definedName name="SA">#REF!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1">AIU!ERR</definedName>
    <definedName name="salarios">[0]!ERR</definedName>
    <definedName name="SalConv">#REF!</definedName>
    <definedName name="SALID1" localSheetId="1">#REF!</definedName>
    <definedName name="SALID1">#REF!</definedName>
    <definedName name="SalMinimo">#REF!</definedName>
    <definedName name="sbe">#REF!</definedName>
    <definedName name="sbgfbgdr" localSheetId="1"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#REF!</definedName>
    <definedName name="seccion1">#REF!</definedName>
    <definedName name="seccion2">#REF!</definedName>
    <definedName name="SECTOR" localSheetId="1">#REF!</definedName>
    <definedName name="SECTOR">#REF!</definedName>
    <definedName name="SEGUNDO">#REF!</definedName>
    <definedName name="SEMANA_C3" localSheetId="1">#REF!</definedName>
    <definedName name="SEMANA_C3">#REF!</definedName>
    <definedName name="sena">#REF!</definedName>
    <definedName name="SERO" localSheetId="1">AIU!ERR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HEE_INT">#REF!</definedName>
    <definedName name="SHEET">#REF!</definedName>
    <definedName name="SHEET_KP">#REF!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AIU!ERR</definedName>
    <definedName name="SI">[0]!ERR</definedName>
    <definedName name="SINGOLO" localSheetId="1">#REF!</definedName>
    <definedName name="SINGOLO">#REF!</definedName>
    <definedName name="SISISIS" localSheetId="1">AIU!ERR</definedName>
    <definedName name="SISISIS">[0]!ERR</definedName>
    <definedName name="sk">#REF!</definedName>
    <definedName name="Slicer_Contact_Type">#N/A</definedName>
    <definedName name="sm">#REF!</definedName>
    <definedName name="Smlv">#REF!</definedName>
    <definedName name="smlv01">#REF!</definedName>
    <definedName name="smlv2001">#REF!</definedName>
    <definedName name="SMML">#REF!</definedName>
    <definedName name="SN">#REF!</definedName>
    <definedName name="snw">#REF!</definedName>
    <definedName name="sñ">#REF!</definedName>
    <definedName name="so">#REF!</definedName>
    <definedName name="SOBREANCHO">#REF!</definedName>
    <definedName name="SOL">#REF!</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#REF!</definedName>
    <definedName name="ssh">#REF!</definedName>
    <definedName name="sss" localSheetId="1">MODULO10.auto_abrir</definedName>
    <definedName name="sss" localSheetId="2">MODULO10.auto_abrir</definedName>
    <definedName name="sss">MODULO10.auto_abrir</definedName>
    <definedName name="SSSS" localSheetId="1">AIU!ERR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1" hidden="1">{"via1",#N/A,TRUE,"general";"via2",#N/A,TRUE,"general";"via3",#N/A,TRUE,"general"}</definedName>
    <definedName name="stt" hidden="1">{"via1",#N/A,TRUE,"general";"via2",#N/A,TRUE,"general";"via3",#N/A,TRUE,"general"}</definedName>
    <definedName name="SUBBASE">#REF!</definedName>
    <definedName name="SUBSUELO">#REF!</definedName>
    <definedName name="Subtotal">#REF!</definedName>
    <definedName name="SUCIO">#REF!</definedName>
    <definedName name="SUELDO">#REF!</definedName>
    <definedName name="suma">#REF!</definedName>
    <definedName name="Summary" localSheetId="1">#REF!</definedName>
    <definedName name="Summary">#REF!</definedName>
    <definedName name="SUP_ART" localSheetId="1">#REF!</definedName>
    <definedName name="SUP_ART">#REF!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 localSheetId="1">#REF!</definedName>
    <definedName name="SUP_VPR_NA">#REF!</definedName>
    <definedName name="SUPER">#REF!</definedName>
    <definedName name="SUPERFICIE" localSheetId="1">#REF!</definedName>
    <definedName name="SUPERFICIE">#REF!</definedName>
    <definedName name="sw" localSheetId="1">AIU!ERR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1">Scheduled_Payment+Extra_Payment</definedName>
    <definedName name="t_1" localSheetId="2">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_FECHA">#REF!</definedName>
    <definedName name="TABLA" localSheetId="1">#REF!</definedName>
    <definedName name="TABLA">#REF!</definedName>
    <definedName name="TABLA_DE_CONTENIDO__A1">#REF!</definedName>
    <definedName name="tabla1">#REF!</definedName>
    <definedName name="tabla2">#REF!</definedName>
    <definedName name="TABLEKP">#REF!</definedName>
    <definedName name="TABLEPRI">#REF!</definedName>
    <definedName name="tablonx">#REF!</definedName>
    <definedName name="Tambores">#REF!</definedName>
    <definedName name="TANQUE">#REF!</definedName>
    <definedName name="Tanques">#REF!</definedName>
    <definedName name="TAREAS_INICIALES">#REF!</definedName>
    <definedName name="TARIFA">#REF!</definedName>
    <definedName name="TarifaPension">#REF!</definedName>
    <definedName name="TARIFAS" localSheetId="1">#REF!</definedName>
    <definedName name="TARIFAS">#REF!</definedName>
    <definedName name="TarifaSalud">#REF!</definedName>
    <definedName name="Tasa" localSheetId="1">#REF!</definedName>
    <definedName name="Tasa">#REF!</definedName>
    <definedName name="TASA_DE_CAMBIO" localSheetId="1">#REF!</definedName>
    <definedName name="TASA_DE_CAMBIO">#REF!</definedName>
    <definedName name="Tasa1">#REF!</definedName>
    <definedName name="TasaCCP" localSheetId="1">#REF!</definedName>
    <definedName name="TasaCCP">#REF!</definedName>
    <definedName name="Tax" localSheetId="1">#REF!</definedName>
    <definedName name="Tax">#REF!</definedName>
    <definedName name="tb">#REF!</definedName>
    <definedName name="TB_EVENTOS_OTS_ANUAL" localSheetId="1">#REF!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#REF!</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AIU!ERR</definedName>
    <definedName name="TER">[0]!ERR</definedName>
    <definedName name="TERM" localSheetId="1">AIU!ERR</definedName>
    <definedName name="TERM">[0]!ERR</definedName>
    <definedName name="TÉRMINOS" localSheetId="1">AIU!ERR</definedName>
    <definedName name="TÉRMINOS">[0]!ERR</definedName>
    <definedName name="TERR">#REF!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#REF!</definedName>
    <definedName name="TIEMPO">#REF!</definedName>
    <definedName name="TIPO" localSheetId="1">#REF!</definedName>
    <definedName name="TIPO">#REF!</definedName>
    <definedName name="TIPO_GRUPO" localSheetId="1">#REF!</definedName>
    <definedName name="TIPO_GRUPO">#REF!</definedName>
    <definedName name="TipoGC">#REF!</definedName>
    <definedName name="TipoNeces">#REF!</definedName>
    <definedName name="TipoPro" localSheetId="1">#REF!</definedName>
    <definedName name="TipoPro">#REF!</definedName>
    <definedName name="Tipoproceso" localSheetId="1">#REF!</definedName>
    <definedName name="Tipoproceso">#REF!</definedName>
    <definedName name="tipov">#REF!</definedName>
    <definedName name="TIR" localSheetId="1">#REF!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 localSheetId="1">#REF!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n">#REF!</definedName>
    <definedName name="To">#REF!</definedName>
    <definedName name="TODOANA">#REF!</definedName>
    <definedName name="TODOINSU">#REF!</definedName>
    <definedName name="TODOITEM">#REF!</definedName>
    <definedName name="tonto">#REF!</definedName>
    <definedName name="topagrafia">#REF!</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pografia">#REF!</definedName>
    <definedName name="topografo">#REF!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 localSheetId="1">#REF!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 localSheetId="1">#REF!</definedName>
    <definedName name="total1">#REF!</definedName>
    <definedName name="TotalCesantias">#REF!</definedName>
    <definedName name="TOTALHH" localSheetId="1">#REF!</definedName>
    <definedName name="TOTALHH">#REF!</definedName>
    <definedName name="TOTALHH1" localSheetId="1">#REF!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#REF!</definedName>
    <definedName name="Transmisores">#REF!</definedName>
    <definedName name="Transporte">#REF!</definedName>
    <definedName name="TRAT">#REF!</definedName>
    <definedName name="TREM" localSheetId="1">#REF!</definedName>
    <definedName name="TREM">#REF!</definedName>
    <definedName name="Trenes" localSheetId="1">#REF!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turado">#REF!</definedName>
    <definedName name="trjfgjh" localSheetId="1" hidden="1">{"via1",#N/A,TRUE,"general";"via2",#N/A,TRUE,"general";"via3",#N/A,TRUE,"general"}</definedName>
    <definedName name="trjfgjh" hidden="1">{"via1",#N/A,TRUE,"general";"via2",#N/A,TRUE,"general";"via3",#N/A,TRUE,"general"}</definedName>
    <definedName name="TRM">#REF!</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TTTT">#REF!</definedName>
    <definedName name="TTTTTTTTTTTTTTTTTT">#REF!</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#REF!</definedName>
    <definedName name="UN_PRI">#REF!</definedName>
    <definedName name="Unidad">#REF!</definedName>
    <definedName name="UNIT">#REF!</definedName>
    <definedName name="UNITARIO">#REF!</definedName>
    <definedName name="Unitarios" localSheetId="1">#REF!</definedName>
    <definedName name="Unitarios">#REF!</definedName>
    <definedName name="unj" localSheetId="1" hidden="1">#REF!</definedName>
    <definedName name="unj" hidden="1">#REF!</definedName>
    <definedName name="uno" localSheetId="1">AIU!ERR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AIU!ERR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i">#REF!</definedName>
    <definedName name="UTIL">#REF!</definedName>
    <definedName name="UTILIDAD">#REF!</definedName>
    <definedName name="UTL">#REF!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#REF!</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#REF!</definedName>
    <definedName name="ValorCto">#REF!</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IF(Loan_Amount*AIU!Interest_Rate*Loan_Years*Loan_Start&gt;0,1,0)</definedName>
    <definedName name="Values_Entered">IF(Loan_Amount*Interest_Rate*Loan_Years*Loan_Start&gt;0,1,0)</definedName>
    <definedName name="Válvulas" localSheetId="1">#REF!</definedName>
    <definedName name="Válvulas">#REF!</definedName>
    <definedName name="vaquita" hidden="1">{"PRES REHAB ARM-PER POR ITEMS  KM A KM",#N/A,TRUE,"Rehabilitacion Arm-Per"}</definedName>
    <definedName name="Var">#REF!</definedName>
    <definedName name="VARIACION1" localSheetId="1">#REF!</definedName>
    <definedName name="VARIACION1">#REF!</definedName>
    <definedName name="Varios" localSheetId="1">#REF!</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#REF!</definedName>
    <definedName name="VEX">#REF!</definedName>
    <definedName name="VEX_ON" localSheetId="1">#REF!</definedName>
    <definedName name="VEX_ON">#REF!</definedName>
    <definedName name="VEX1_1" localSheetId="1">#REF!</definedName>
    <definedName name="VEX1_1">#REF!</definedName>
    <definedName name="VEX1_1_1" localSheetId="1">#REF!</definedName>
    <definedName name="VEX1_1_1">#REF!</definedName>
    <definedName name="VEX1_1_2" localSheetId="1">#REF!</definedName>
    <definedName name="VEX1_1_2">#REF!</definedName>
    <definedName name="VEX1_1_3" localSheetId="1">#REF!</definedName>
    <definedName name="VEX1_1_3">#REF!</definedName>
    <definedName name="VEX1_1_4" localSheetId="1">#REF!</definedName>
    <definedName name="VEX1_1_4">#REF!</definedName>
    <definedName name="VEX1_2">#REF!</definedName>
    <definedName name="VEX1_3">#REF!</definedName>
    <definedName name="vf" localSheetId="1">#REF!</definedName>
    <definedName name="vf">#REF!</definedName>
    <definedName name="VFA" localSheetId="1">#REF!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1" hidden="1">{"via1",#N/A,TRUE,"general";"via2",#N/A,TRUE,"general";"via3",#N/A,TRUE,"general"}</definedName>
    <definedName name="vfbgnhyt" hidden="1">{"via1",#N/A,TRUE,"general";"via2",#N/A,TRUE,"general";"via3",#N/A,TRUE,"general"}</definedName>
    <definedName name="vfh">#REF!</definedName>
    <definedName name="vfn">#REF!</definedName>
    <definedName name="VFR" localSheetId="1">#REF!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#REF!</definedName>
    <definedName name="VIBRO">#REF!</definedName>
    <definedName name="VICEP_DIRECC">#REF!</definedName>
    <definedName name="VigenciaDolares" localSheetId="1">#REF!</definedName>
    <definedName name="VigenciaDolares">#REF!</definedName>
    <definedName name="VigenciaPesos" localSheetId="1">#REF!</definedName>
    <definedName name="VigenciaPesos">#REF!</definedName>
    <definedName name="VIGFUTURA">#REF!</definedName>
    <definedName name="vill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mk">#REF!</definedName>
    <definedName name="VOLQUETAS">#REF!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 localSheetId="1">#REF!</definedName>
    <definedName name="vpt">#REF!</definedName>
    <definedName name="vr" localSheetId="2">Scheduled_Payment+Extra_Payment</definedName>
    <definedName name="vr">Scheduled_Payment+Extra_Payment</definedName>
    <definedName name="vrbasad1">#REF!</definedName>
    <definedName name="vrbasad2">#REF!</definedName>
    <definedName name="vrbasin">#REF!</definedName>
    <definedName name="VRP" localSheetId="1">#REF!</definedName>
    <definedName name="VRP">#REF!</definedName>
    <definedName name="VRP_PETROQ" localSheetId="1">#REF!</definedName>
    <definedName name="VRP_PETROQ">#REF!</definedName>
    <definedName name="VRP1_1" localSheetId="1">#REF!</definedName>
    <definedName name="VRP1_1">#REF!</definedName>
    <definedName name="VRP1_1_1" localSheetId="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1"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 localSheetId="1">#REF!</definedName>
    <definedName name="Wcut">#REF!</definedName>
    <definedName name="WD" localSheetId="1">#REF!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e">#REF!</definedName>
    <definedName name="wedw" localSheetId="1">#REF!</definedName>
    <definedName name="wedw">#REF!</definedName>
    <definedName name="WEFWE" localSheetId="1">#REF!</definedName>
    <definedName name="WEFWE">#REF!</definedName>
    <definedName name="WER">#REF!</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 localSheetId="1">#REF!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t">#REF!</definedName>
    <definedName name="XX" localSheetId="1">#REF!</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 hidden="1">#REF!</definedName>
    <definedName name="xxxxx">#REF!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AQ" localSheetId="1"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dr">#REF!</definedName>
    <definedName name="ZONA1" localSheetId="1">#REF!</definedName>
    <definedName name="ZONA1">#REF!</definedName>
    <definedName name="ZONA3" localSheetId="1">#REF!</definedName>
    <definedName name="ZONA3">#REF!</definedName>
    <definedName name="ZONA4">#REF!</definedName>
    <definedName name="zx" localSheetId="1">AIU!ERR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59" i="3" l="1"/>
  <c r="H252" i="3"/>
  <c r="H251" i="3"/>
  <c r="H247" i="3"/>
  <c r="H228" i="3"/>
  <c r="H226" i="3"/>
  <c r="H206" i="3"/>
  <c r="H205" i="3"/>
  <c r="H207" i="3" s="1"/>
  <c r="H202" i="3"/>
  <c r="H201" i="3"/>
  <c r="H172" i="3"/>
  <c r="H166" i="3"/>
  <c r="H165" i="3"/>
  <c r="H164" i="3"/>
  <c r="H163" i="3"/>
  <c r="H148" i="3"/>
  <c r="H147" i="3"/>
  <c r="H137" i="3"/>
  <c r="H136" i="3"/>
  <c r="H135" i="3"/>
  <c r="H134" i="3"/>
  <c r="H133" i="3"/>
  <c r="H129" i="3"/>
  <c r="H121" i="3"/>
  <c r="H120" i="3"/>
  <c r="H109" i="3"/>
  <c r="H108" i="3"/>
  <c r="H104" i="3"/>
  <c r="H92" i="3"/>
  <c r="H90" i="3"/>
  <c r="H88" i="3"/>
  <c r="H87" i="3"/>
  <c r="H83" i="3"/>
  <c r="H77" i="3"/>
  <c r="H76" i="3"/>
  <c r="H75" i="3"/>
  <c r="H73" i="3"/>
  <c r="H66" i="3"/>
  <c r="H64" i="3"/>
  <c r="H63" i="3"/>
  <c r="H62" i="3"/>
  <c r="H60" i="3"/>
  <c r="H41" i="3"/>
  <c r="H25" i="3"/>
  <c r="H22" i="3"/>
  <c r="H37" i="3"/>
  <c r="H52" i="3"/>
  <c r="H67" i="3"/>
  <c r="H71" i="3"/>
  <c r="H72" i="3"/>
  <c r="H79" i="3"/>
  <c r="H82" i="3"/>
  <c r="H96" i="3"/>
  <c r="H100" i="3"/>
  <c r="H103" i="3"/>
  <c r="H114" i="3"/>
  <c r="H125" i="3"/>
  <c r="H130" i="3"/>
  <c r="H132" i="3"/>
  <c r="H139" i="3"/>
  <c r="H143" i="3"/>
  <c r="H150" i="3"/>
  <c r="H157" i="3"/>
  <c r="H167" i="3"/>
  <c r="H168" i="3"/>
  <c r="H233" i="3"/>
  <c r="H258" i="3"/>
  <c r="H16" i="3"/>
  <c r="H279" i="3"/>
  <c r="G270" i="3"/>
  <c r="G269" i="3"/>
  <c r="G268" i="3"/>
  <c r="E254" i="3"/>
  <c r="E253" i="3"/>
  <c r="E251" i="3"/>
  <c r="E244" i="3"/>
  <c r="E243" i="3"/>
  <c r="H231" i="3"/>
  <c r="E229" i="3"/>
  <c r="H227" i="3"/>
  <c r="H215" i="3"/>
  <c r="H213" i="3"/>
  <c r="E212" i="3"/>
  <c r="H211" i="3"/>
  <c r="E210" i="3"/>
  <c r="H209" i="3"/>
  <c r="E201" i="3"/>
  <c r="H200" i="3"/>
  <c r="E199" i="3"/>
  <c r="E198" i="3"/>
  <c r="H197" i="3"/>
  <c r="E196" i="3"/>
  <c r="H188" i="3"/>
  <c r="E187" i="3"/>
  <c r="H186" i="3"/>
  <c r="E179" i="3"/>
  <c r="E191" i="3" s="1"/>
  <c r="E177" i="3"/>
  <c r="E176" i="3"/>
  <c r="E178" i="3" s="1"/>
  <c r="E175" i="3"/>
  <c r="H155" i="3"/>
  <c r="H154" i="3"/>
  <c r="H153" i="3"/>
  <c r="H151" i="3"/>
  <c r="H145" i="3"/>
  <c r="H138" i="3"/>
  <c r="H131" i="3"/>
  <c r="H118" i="3"/>
  <c r="H117" i="3"/>
  <c r="H110" i="3"/>
  <c r="H105" i="3"/>
  <c r="H102" i="3"/>
  <c r="H101" i="3"/>
  <c r="H97" i="3"/>
  <c r="H86" i="3"/>
  <c r="H85" i="3"/>
  <c r="H84" i="3"/>
  <c r="H74" i="3"/>
  <c r="H65" i="3"/>
  <c r="E56" i="3"/>
  <c r="E55" i="3"/>
  <c r="H54" i="3"/>
  <c r="H49" i="3"/>
  <c r="E48" i="3"/>
  <c r="E44" i="3"/>
  <c r="E43" i="3"/>
  <c r="E42" i="3"/>
  <c r="E41" i="3"/>
  <c r="E40" i="3"/>
  <c r="E195" i="3" s="1"/>
  <c r="E39" i="3"/>
  <c r="E38" i="3"/>
  <c r="E37" i="3"/>
  <c r="E32" i="3"/>
  <c r="E31" i="3"/>
  <c r="E28" i="3"/>
  <c r="E27" i="3"/>
  <c r="E26" i="3"/>
  <c r="E25" i="3"/>
  <c r="E22" i="3"/>
  <c r="H21" i="3"/>
  <c r="E20" i="3"/>
  <c r="E19" i="3"/>
  <c r="E13" i="3"/>
  <c r="D17" i="3"/>
  <c r="H12" i="3"/>
  <c r="I50" i="2"/>
  <c r="I51" i="2" s="1"/>
  <c r="I49" i="2"/>
  <c r="I41" i="2"/>
  <c r="I40" i="2"/>
  <c r="H39" i="2"/>
  <c r="I39" i="2" s="1"/>
  <c r="H38" i="2"/>
  <c r="I38" i="2" s="1"/>
  <c r="I37" i="2"/>
  <c r="I36" i="2"/>
  <c r="I35" i="2"/>
  <c r="I34" i="2"/>
  <c r="I33" i="2"/>
  <c r="I32" i="2"/>
  <c r="I28" i="2"/>
  <c r="I27" i="2"/>
  <c r="I26" i="2"/>
  <c r="I25" i="2"/>
  <c r="I24" i="2"/>
  <c r="I23" i="2"/>
  <c r="I22" i="2"/>
  <c r="I21" i="2"/>
  <c r="I20" i="2"/>
  <c r="I19" i="2"/>
  <c r="I18" i="2"/>
  <c r="I13" i="2"/>
  <c r="E15" i="2"/>
  <c r="G263" i="1"/>
  <c r="G264" i="1" s="1"/>
  <c r="G260" i="1"/>
  <c r="G259" i="1"/>
  <c r="G258" i="1"/>
  <c r="G257" i="1"/>
  <c r="G254" i="1"/>
  <c r="E254" i="1"/>
  <c r="E253" i="1"/>
  <c r="G253" i="1" s="1"/>
  <c r="G252" i="1"/>
  <c r="E251" i="1"/>
  <c r="G251" i="1" s="1"/>
  <c r="G255" i="1" s="1"/>
  <c r="G248" i="1"/>
  <c r="G247" i="1"/>
  <c r="G249" i="1" s="1"/>
  <c r="G244" i="1"/>
  <c r="E244" i="1"/>
  <c r="E243" i="1"/>
  <c r="G243" i="1" s="1"/>
  <c r="G245" i="1" s="1"/>
  <c r="G237" i="1"/>
  <c r="G236" i="1"/>
  <c r="G235" i="1"/>
  <c r="G234" i="1"/>
  <c r="G233" i="1"/>
  <c r="G232" i="1"/>
  <c r="G231" i="1"/>
  <c r="G230" i="1"/>
  <c r="G229" i="1"/>
  <c r="E229" i="1"/>
  <c r="G228" i="1"/>
  <c r="G227" i="1"/>
  <c r="G226" i="1"/>
  <c r="G225" i="1"/>
  <c r="G221" i="1"/>
  <c r="G220" i="1"/>
  <c r="G219" i="1"/>
  <c r="G218" i="1"/>
  <c r="G215" i="1"/>
  <c r="G214" i="1"/>
  <c r="G213" i="1"/>
  <c r="E212" i="1"/>
  <c r="G212" i="1" s="1"/>
  <c r="G211" i="1"/>
  <c r="E210" i="1"/>
  <c r="G210" i="1" s="1"/>
  <c r="G209" i="1"/>
  <c r="G206" i="1"/>
  <c r="G205" i="1"/>
  <c r="G207" i="1" s="1"/>
  <c r="G202" i="1"/>
  <c r="G201" i="1"/>
  <c r="E201" i="1"/>
  <c r="G200" i="1"/>
  <c r="G199" i="1"/>
  <c r="E199" i="1"/>
  <c r="E198" i="1"/>
  <c r="G198" i="1" s="1"/>
  <c r="G197" i="1"/>
  <c r="E196" i="1"/>
  <c r="G196" i="1" s="1"/>
  <c r="G188" i="1"/>
  <c r="E187" i="1"/>
  <c r="G187" i="1" s="1"/>
  <c r="G186" i="1"/>
  <c r="G185" i="1"/>
  <c r="G184" i="1"/>
  <c r="G183" i="1"/>
  <c r="G189" i="1" s="1"/>
  <c r="G179" i="1"/>
  <c r="E179" i="1"/>
  <c r="E191" i="1" s="1"/>
  <c r="G191" i="1" s="1"/>
  <c r="G192" i="1" s="1"/>
  <c r="E178" i="1"/>
  <c r="G178" i="1" s="1"/>
  <c r="E177" i="1"/>
  <c r="G177" i="1" s="1"/>
  <c r="G176" i="1"/>
  <c r="E176" i="1"/>
  <c r="G175" i="1"/>
  <c r="G180" i="1" s="1"/>
  <c r="E175" i="1"/>
  <c r="E240" i="1" s="1"/>
  <c r="G240" i="1" s="1"/>
  <c r="G241" i="1" s="1"/>
  <c r="G172" i="1"/>
  <c r="G171" i="1"/>
  <c r="G170" i="1"/>
  <c r="G169" i="1"/>
  <c r="G168" i="1"/>
  <c r="G167" i="1"/>
  <c r="G166" i="1"/>
  <c r="G165" i="1"/>
  <c r="G164" i="1"/>
  <c r="G163" i="1"/>
  <c r="G162" i="1"/>
  <c r="G158" i="1"/>
  <c r="G157" i="1"/>
  <c r="G156" i="1"/>
  <c r="G155" i="1"/>
  <c r="G154" i="1"/>
  <c r="G153" i="1"/>
  <c r="G152" i="1"/>
  <c r="G151" i="1"/>
  <c r="G150" i="1"/>
  <c r="G149" i="1"/>
  <c r="G148" i="1"/>
  <c r="G147" i="1"/>
  <c r="G146" i="1"/>
  <c r="G145" i="1"/>
  <c r="G143" i="1"/>
  <c r="G142" i="1"/>
  <c r="G141" i="1"/>
  <c r="G140" i="1"/>
  <c r="G139" i="1"/>
  <c r="G138" i="1"/>
  <c r="G137" i="1"/>
  <c r="G136" i="1"/>
  <c r="G135" i="1"/>
  <c r="G134" i="1"/>
  <c r="G133" i="1"/>
  <c r="G132" i="1"/>
  <c r="G131" i="1"/>
  <c r="G130" i="1"/>
  <c r="G129" i="1"/>
  <c r="G128" i="1"/>
  <c r="G127" i="1"/>
  <c r="G126" i="1"/>
  <c r="G125" i="1"/>
  <c r="G124" i="1"/>
  <c r="G123" i="1"/>
  <c r="G122" i="1"/>
  <c r="G121" i="1"/>
  <c r="G120" i="1"/>
  <c r="G118" i="1"/>
  <c r="G117" i="1"/>
  <c r="G116" i="1"/>
  <c r="G115" i="1"/>
  <c r="G114" i="1"/>
  <c r="G113" i="1"/>
  <c r="G112" i="1"/>
  <c r="G111" i="1"/>
  <c r="G110" i="1"/>
  <c r="G109" i="1"/>
  <c r="G108" i="1"/>
  <c r="G107" i="1"/>
  <c r="G106" i="1"/>
  <c r="G105" i="1"/>
  <c r="G104" i="1"/>
  <c r="G103" i="1"/>
  <c r="G102" i="1"/>
  <c r="G101" i="1"/>
  <c r="G100" i="1"/>
  <c r="G99" i="1"/>
  <c r="G98" i="1"/>
  <c r="G97" i="1"/>
  <c r="G96"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93" i="1" s="1"/>
  <c r="E56" i="1"/>
  <c r="G56" i="1" s="1"/>
  <c r="G55" i="1"/>
  <c r="E55" i="1"/>
  <c r="G54" i="1"/>
  <c r="G53" i="1"/>
  <c r="G52" i="1"/>
  <c r="G51" i="1"/>
  <c r="G50" i="1"/>
  <c r="G49" i="1"/>
  <c r="G48" i="1"/>
  <c r="G57" i="1" s="1"/>
  <c r="E48" i="1"/>
  <c r="E44" i="1"/>
  <c r="G44" i="1" s="1"/>
  <c r="G43" i="1"/>
  <c r="E43" i="1"/>
  <c r="G42" i="1"/>
  <c r="E42" i="1"/>
  <c r="E41" i="1"/>
  <c r="G41" i="1" s="1"/>
  <c r="E40" i="1"/>
  <c r="E195" i="1" s="1"/>
  <c r="G195" i="1" s="1"/>
  <c r="G203" i="1" s="1"/>
  <c r="G39" i="1"/>
  <c r="E39" i="1"/>
  <c r="E38" i="1"/>
  <c r="G38" i="1" s="1"/>
  <c r="E37" i="1"/>
  <c r="G34" i="1"/>
  <c r="G33" i="1"/>
  <c r="G32" i="1"/>
  <c r="E32" i="1"/>
  <c r="E31" i="1"/>
  <c r="G31" i="1" s="1"/>
  <c r="G35" i="1" s="1"/>
  <c r="G28" i="1"/>
  <c r="E28" i="1"/>
  <c r="G27" i="1"/>
  <c r="E27" i="1"/>
  <c r="E26" i="1"/>
  <c r="G26" i="1" s="1"/>
  <c r="G25" i="1"/>
  <c r="E25" i="1"/>
  <c r="G22" i="1"/>
  <c r="E22" i="1"/>
  <c r="G21" i="1"/>
  <c r="E20" i="1"/>
  <c r="G20" i="1" s="1"/>
  <c r="E19" i="1"/>
  <c r="G19" i="1" s="1"/>
  <c r="G23" i="1" s="1"/>
  <c r="G16" i="1"/>
  <c r="G15" i="1"/>
  <c r="G14" i="1"/>
  <c r="G13" i="1"/>
  <c r="E13" i="1"/>
  <c r="D17" i="1"/>
  <c r="G12" i="1"/>
  <c r="H107" i="3" l="1"/>
  <c r="H31" i="3"/>
  <c r="H14" i="3"/>
  <c r="H32" i="3"/>
  <c r="H50" i="3"/>
  <c r="H111" i="3"/>
  <c r="H185" i="3"/>
  <c r="H212" i="3"/>
  <c r="H253" i="3"/>
  <c r="H255" i="3" s="1"/>
  <c r="H15" i="3"/>
  <c r="H33" i="3"/>
  <c r="H51" i="3"/>
  <c r="H80" i="3"/>
  <c r="H112" i="3"/>
  <c r="H126" i="3"/>
  <c r="H140" i="3"/>
  <c r="H169" i="3"/>
  <c r="H214" i="3"/>
  <c r="H234" i="3"/>
  <c r="H254" i="3"/>
  <c r="H61" i="3"/>
  <c r="H93" i="3" s="1"/>
  <c r="H89" i="3"/>
  <c r="H123" i="3"/>
  <c r="H210" i="3"/>
  <c r="H34" i="3"/>
  <c r="H68" i="3"/>
  <c r="H81" i="3"/>
  <c r="H98" i="3"/>
  <c r="H113" i="3"/>
  <c r="H127" i="3"/>
  <c r="H141" i="3"/>
  <c r="H170" i="3"/>
  <c r="H218" i="3"/>
  <c r="H222" i="3" s="1"/>
  <c r="H235" i="3"/>
  <c r="H257" i="3"/>
  <c r="H261" i="3" s="1"/>
  <c r="H106" i="3"/>
  <c r="H122" i="3"/>
  <c r="H230" i="3"/>
  <c r="H78" i="3"/>
  <c r="H91" i="3"/>
  <c r="H124" i="3"/>
  <c r="H152" i="3"/>
  <c r="H184" i="3"/>
  <c r="H232" i="3"/>
  <c r="H44" i="3"/>
  <c r="H20" i="3"/>
  <c r="H53" i="3"/>
  <c r="H69" i="3"/>
  <c r="H99" i="3"/>
  <c r="H128" i="3"/>
  <c r="H142" i="3"/>
  <c r="H156" i="3"/>
  <c r="H171" i="3"/>
  <c r="H219" i="3"/>
  <c r="H236" i="3"/>
  <c r="H149" i="3"/>
  <c r="H70" i="3"/>
  <c r="H115" i="3"/>
  <c r="H220" i="3"/>
  <c r="H237" i="3"/>
  <c r="H55" i="3"/>
  <c r="H158" i="3"/>
  <c r="H221" i="3"/>
  <c r="H260" i="3"/>
  <c r="H248" i="3"/>
  <c r="H249" i="3" s="1"/>
  <c r="H183" i="3"/>
  <c r="H189" i="3" s="1"/>
  <c r="H116" i="3"/>
  <c r="H38" i="3"/>
  <c r="H146" i="3"/>
  <c r="H162" i="3"/>
  <c r="H176" i="3"/>
  <c r="H199" i="3"/>
  <c r="H225" i="3"/>
  <c r="H243" i="3"/>
  <c r="H263" i="3"/>
  <c r="H264" i="3" s="1"/>
  <c r="H177" i="3"/>
  <c r="H28" i="3"/>
  <c r="I8" i="2"/>
  <c r="I12" i="2"/>
  <c r="I11" i="2"/>
  <c r="I9" i="2"/>
  <c r="I14" i="2"/>
  <c r="I6" i="2"/>
  <c r="I10" i="2"/>
  <c r="L3" i="2"/>
  <c r="I7" i="2"/>
  <c r="H195" i="3"/>
  <c r="H178" i="3"/>
  <c r="I29" i="2"/>
  <c r="H191" i="3"/>
  <c r="H192" i="3" s="1"/>
  <c r="I42" i="2"/>
  <c r="H13" i="3"/>
  <c r="H26" i="3"/>
  <c r="H29" i="3" s="1"/>
  <c r="H39" i="3"/>
  <c r="H179" i="3"/>
  <c r="E240" i="3"/>
  <c r="H48" i="3"/>
  <c r="H187" i="3"/>
  <c r="H229" i="3"/>
  <c r="H56" i="3"/>
  <c r="H19" i="3"/>
  <c r="H27" i="3"/>
  <c r="H43" i="3"/>
  <c r="H40" i="3"/>
  <c r="H175" i="3"/>
  <c r="H196" i="3"/>
  <c r="H198" i="3"/>
  <c r="H244" i="3"/>
  <c r="H42" i="3"/>
  <c r="G29" i="1"/>
  <c r="G222" i="1"/>
  <c r="G261" i="1"/>
  <c r="G216" i="1"/>
  <c r="G173" i="1"/>
  <c r="G159" i="1"/>
  <c r="G238" i="1"/>
  <c r="G17" i="1"/>
  <c r="G37" i="1"/>
  <c r="G40" i="1"/>
  <c r="H159" i="3" l="1"/>
  <c r="H245" i="3"/>
  <c r="H173" i="3"/>
  <c r="H238" i="3"/>
  <c r="H23" i="3"/>
  <c r="H35" i="3"/>
  <c r="H216" i="3"/>
  <c r="H180" i="3"/>
  <c r="H203" i="3"/>
  <c r="H45" i="3"/>
  <c r="H57" i="3"/>
  <c r="H17" i="3"/>
  <c r="H240" i="3"/>
  <c r="H241" i="3" s="1"/>
  <c r="I15" i="2"/>
  <c r="I44" i="2" s="1"/>
  <c r="H44" i="2" s="1"/>
  <c r="H48" i="2" s="1"/>
  <c r="I48" i="2" s="1"/>
  <c r="I52" i="2" s="1"/>
  <c r="G45" i="1"/>
  <c r="G266" i="1" s="1"/>
  <c r="H266" i="3" l="1"/>
  <c r="H268" i="3" s="1"/>
  <c r="I54" i="2"/>
  <c r="I59" i="2" s="1"/>
  <c r="L5" i="2"/>
  <c r="G268" i="1"/>
  <c r="G270" i="1"/>
  <c r="G271" i="1" s="1"/>
  <c r="G269" i="1"/>
  <c r="H270" i="3" l="1"/>
  <c r="H271" i="3" s="1"/>
  <c r="H269" i="3"/>
  <c r="H272" i="3"/>
  <c r="H273" i="3" s="1"/>
  <c r="G272" i="1"/>
  <c r="G273" i="1" s="1"/>
</calcChain>
</file>

<file path=xl/sharedStrings.xml><?xml version="1.0" encoding="utf-8"?>
<sst xmlns="http://schemas.openxmlformats.org/spreadsheetml/2006/main" count="1695" uniqueCount="557">
  <si>
    <t xml:space="preserve">Formulario 1 - Propuesta económica  - Licitación de obra pública de infraestructura social </t>
  </si>
  <si>
    <t>Código</t>
  </si>
  <si>
    <t>CCE-EICP-FM-116</t>
  </si>
  <si>
    <t>Versión</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</si>
  <si>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</si>
  <si>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</si>
  <si>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ÍTEM DE PAGO</t>
  </si>
  <si>
    <t>DESCRIPCIÓN</t>
  </si>
  <si>
    <t>1</t>
  </si>
  <si>
    <t>ACTIVIDADES PRELIMINARES, DESMONTES Y DEMOLICIONES</t>
  </si>
  <si>
    <t>UND.</t>
  </si>
  <si>
    <t>CANTIDAD</t>
  </si>
  <si>
    <t>VALOR UNITARIO</t>
  </si>
  <si>
    <t xml:space="preserve">VALOR TOTAL                                </t>
  </si>
  <si>
    <t>1.01</t>
  </si>
  <si>
    <t>1.01.01</t>
  </si>
  <si>
    <t>1.01.03</t>
  </si>
  <si>
    <t>1.01.04</t>
  </si>
  <si>
    <t>1.01.05</t>
  </si>
  <si>
    <t>Total</t>
  </si>
  <si>
    <t>2</t>
  </si>
  <si>
    <t>MOVIMIENTO DE TIERRAS</t>
  </si>
  <si>
    <t>2.02</t>
  </si>
  <si>
    <t>2.04</t>
  </si>
  <si>
    <t>2.05</t>
  </si>
  <si>
    <t>2.06</t>
  </si>
  <si>
    <t>3</t>
  </si>
  <si>
    <t>CIMENTACIÓN</t>
  </si>
  <si>
    <t>3.01</t>
  </si>
  <si>
    <t>3.02</t>
  </si>
  <si>
    <t>3.04</t>
  </si>
  <si>
    <t>3.07</t>
  </si>
  <si>
    <t>4</t>
  </si>
  <si>
    <t>REFUERZO</t>
  </si>
  <si>
    <t>4.01</t>
  </si>
  <si>
    <t>4.02</t>
  </si>
  <si>
    <t>4.03</t>
  </si>
  <si>
    <t>4.04</t>
  </si>
  <si>
    <t>5</t>
  </si>
  <si>
    <t>ESTRUCTURAS EN CONCRETO</t>
  </si>
  <si>
    <t>5.03</t>
  </si>
  <si>
    <t>5.07</t>
  </si>
  <si>
    <t>5.09</t>
  </si>
  <si>
    <t>5.10</t>
  </si>
  <si>
    <t>5.11</t>
  </si>
  <si>
    <t>5.14</t>
  </si>
  <si>
    <t>5.18</t>
  </si>
  <si>
    <t>5.29</t>
  </si>
  <si>
    <t>6</t>
  </si>
  <si>
    <t>ESTRUCTURA METÁLICA Y MADERA</t>
  </si>
  <si>
    <t>6.01</t>
  </si>
  <si>
    <t>6.01.01</t>
  </si>
  <si>
    <t>6.02</t>
  </si>
  <si>
    <t>6.02.03</t>
  </si>
  <si>
    <t>6.02.05</t>
  </si>
  <si>
    <t>6.02.06</t>
  </si>
  <si>
    <t>6.02.07</t>
  </si>
  <si>
    <t>6.02.08</t>
  </si>
  <si>
    <t>6.02.13</t>
  </si>
  <si>
    <t>6.02.16</t>
  </si>
  <si>
    <t>7</t>
  </si>
  <si>
    <t>REDES HIDRÁULICAS, SANITARIAS, AGUAS DE RECOLECCIÓN Y RCI</t>
  </si>
  <si>
    <t>7.01</t>
  </si>
  <si>
    <t>7.01.01</t>
  </si>
  <si>
    <t>7.01.02</t>
  </si>
  <si>
    <t>7.01.03</t>
  </si>
  <si>
    <t>7.01.04</t>
  </si>
  <si>
    <t>7.01.05</t>
  </si>
  <si>
    <t>7.02</t>
  </si>
  <si>
    <t>7.02.02</t>
  </si>
  <si>
    <t>7.02.04</t>
  </si>
  <si>
    <t>7.02.05</t>
  </si>
  <si>
    <t>7.02.07</t>
  </si>
  <si>
    <t>7.02.08</t>
  </si>
  <si>
    <t>7.02.10</t>
  </si>
  <si>
    <t>7.02.18</t>
  </si>
  <si>
    <t>7.02.19</t>
  </si>
  <si>
    <t>7.03</t>
  </si>
  <si>
    <t>7.03.01</t>
  </si>
  <si>
    <t>7.03.08</t>
  </si>
  <si>
    <t>7.03.09</t>
  </si>
  <si>
    <t>7.03.10</t>
  </si>
  <si>
    <t>7.03.12</t>
  </si>
  <si>
    <t>7.03.13</t>
  </si>
  <si>
    <t>7.03.14</t>
  </si>
  <si>
    <t>7.03.20</t>
  </si>
  <si>
    <t>7.03.21</t>
  </si>
  <si>
    <t>7.03.22</t>
  </si>
  <si>
    <t>7.03.37</t>
  </si>
  <si>
    <t>7.04</t>
  </si>
  <si>
    <t>7.04.03</t>
  </si>
  <si>
    <t>7.04.04</t>
  </si>
  <si>
    <t>7.04.05</t>
  </si>
  <si>
    <t>7.05</t>
  </si>
  <si>
    <t>7.05.01</t>
  </si>
  <si>
    <t>7.05.02</t>
  </si>
  <si>
    <t>8</t>
  </si>
  <si>
    <t>INSTALACIONES ELÉCTRICAS E ILUMINACIÓN</t>
  </si>
  <si>
    <t>8.01</t>
  </si>
  <si>
    <t>8.01.02</t>
  </si>
  <si>
    <t>8.02</t>
  </si>
  <si>
    <t>8.02.01</t>
  </si>
  <si>
    <t>8.02.02</t>
  </si>
  <si>
    <t>8.02.03</t>
  </si>
  <si>
    <t>8.03</t>
  </si>
  <si>
    <t>8.03.01</t>
  </si>
  <si>
    <t>8.03.02</t>
  </si>
  <si>
    <t>8.03.03</t>
  </si>
  <si>
    <t>8.04</t>
  </si>
  <si>
    <t>8.04.01</t>
  </si>
  <si>
    <t>8.04.03</t>
  </si>
  <si>
    <t>8.04.05</t>
  </si>
  <si>
    <t>8.04.06</t>
  </si>
  <si>
    <t>8.05</t>
  </si>
  <si>
    <t>8.05.01</t>
  </si>
  <si>
    <t>8.05.02</t>
  </si>
  <si>
    <t>8.05.03</t>
  </si>
  <si>
    <t>8.05.06</t>
  </si>
  <si>
    <t>8.05.07</t>
  </si>
  <si>
    <t>8.05.08</t>
  </si>
  <si>
    <t>8.06</t>
  </si>
  <si>
    <t>8.06.01</t>
  </si>
  <si>
    <t>8.07</t>
  </si>
  <si>
    <t>8.07.01</t>
  </si>
  <si>
    <t>8.07.02</t>
  </si>
  <si>
    <t>8.07.03</t>
  </si>
  <si>
    <t>8.07.05</t>
  </si>
  <si>
    <t>8.07.06</t>
  </si>
  <si>
    <t>8.07.07</t>
  </si>
  <si>
    <t>8.07.09</t>
  </si>
  <si>
    <t>8.07.11</t>
  </si>
  <si>
    <t>8.07.12</t>
  </si>
  <si>
    <t>8.07.13</t>
  </si>
  <si>
    <t>8.07.15</t>
  </si>
  <si>
    <t>8.08</t>
  </si>
  <si>
    <t>8.08.02</t>
  </si>
  <si>
    <t>8.08.03</t>
  </si>
  <si>
    <t>8.08.04</t>
  </si>
  <si>
    <t>8.08.05</t>
  </si>
  <si>
    <t>8.08.07</t>
  </si>
  <si>
    <t>8.08.20</t>
  </si>
  <si>
    <t>8.09</t>
  </si>
  <si>
    <t>8.09.01</t>
  </si>
  <si>
    <t>8.09.02</t>
  </si>
  <si>
    <t>8.09.03</t>
  </si>
  <si>
    <t>8.09.04</t>
  </si>
  <si>
    <t>8.09.05</t>
  </si>
  <si>
    <t>8.10</t>
  </si>
  <si>
    <t>8.10.01</t>
  </si>
  <si>
    <t>8.10.03</t>
  </si>
  <si>
    <t>8.10.04</t>
  </si>
  <si>
    <t>8.10.05</t>
  </si>
  <si>
    <t>8.10.06</t>
  </si>
  <si>
    <t>8.10.07</t>
  </si>
  <si>
    <t>8.11</t>
  </si>
  <si>
    <t>8.11.01</t>
  </si>
  <si>
    <t>8.11.02</t>
  </si>
  <si>
    <t>8.12</t>
  </si>
  <si>
    <t>8.12.01</t>
  </si>
  <si>
    <t>8.12.02</t>
  </si>
  <si>
    <t>8.12.03</t>
  </si>
  <si>
    <t>8.12.04</t>
  </si>
  <si>
    <t>9</t>
  </si>
  <si>
    <t>REDES ESPECIALES</t>
  </si>
  <si>
    <t>9.01</t>
  </si>
  <si>
    <t>9.01.01</t>
  </si>
  <si>
    <t>9.01.02</t>
  </si>
  <si>
    <t>9.01.03</t>
  </si>
  <si>
    <t>9.01.04</t>
  </si>
  <si>
    <t>9.01.05</t>
  </si>
  <si>
    <t>9.01.06</t>
  </si>
  <si>
    <t>9.01.07</t>
  </si>
  <si>
    <t>9.01.08</t>
  </si>
  <si>
    <t>9.01.09</t>
  </si>
  <si>
    <t>9.01.10</t>
  </si>
  <si>
    <t>9.01.11</t>
  </si>
  <si>
    <t>10</t>
  </si>
  <si>
    <t>MAMPOSTERÍA</t>
  </si>
  <si>
    <t>10.01</t>
  </si>
  <si>
    <t>10.14</t>
  </si>
  <si>
    <t>10.15</t>
  </si>
  <si>
    <t>10.17</t>
  </si>
  <si>
    <t>10.26</t>
  </si>
  <si>
    <t>11</t>
  </si>
  <si>
    <t>CUBIERTAS Y CIELO RASOS</t>
  </si>
  <si>
    <t>11.01</t>
  </si>
  <si>
    <t>11.01.04</t>
  </si>
  <si>
    <t>11.01.08</t>
  </si>
  <si>
    <t>11.01.10</t>
  </si>
  <si>
    <t>11.02</t>
  </si>
  <si>
    <t>11.02.02</t>
  </si>
  <si>
    <t>12</t>
  </si>
  <si>
    <t>PAÑETES</t>
  </si>
  <si>
    <t>12.01</t>
  </si>
  <si>
    <t>13</t>
  </si>
  <si>
    <t>PISOS Y ENCHAPES</t>
  </si>
  <si>
    <t>13.01</t>
  </si>
  <si>
    <t>13.01.01</t>
  </si>
  <si>
    <t>13.01.04</t>
  </si>
  <si>
    <t>13.02</t>
  </si>
  <si>
    <t>13.02.02</t>
  </si>
  <si>
    <t>13.02.06</t>
  </si>
  <si>
    <t>13.05</t>
  </si>
  <si>
    <t>13.05.01</t>
  </si>
  <si>
    <t>13.05.03</t>
  </si>
  <si>
    <t>14</t>
  </si>
  <si>
    <t>CARPINTERIA EN MADERA</t>
  </si>
  <si>
    <t>14.02</t>
  </si>
  <si>
    <t>14.03</t>
  </si>
  <si>
    <t>15</t>
  </si>
  <si>
    <t>CARPINTERÍA METÁLICA</t>
  </si>
  <si>
    <t>15.01</t>
  </si>
  <si>
    <t>15.01.10</t>
  </si>
  <si>
    <t>15.02</t>
  </si>
  <si>
    <t>15.02.03</t>
  </si>
  <si>
    <t>15.03</t>
  </si>
  <si>
    <t>15.03.01</t>
  </si>
  <si>
    <t>16</t>
  </si>
  <si>
    <t>CERRADURAS</t>
  </si>
  <si>
    <t>16.02</t>
  </si>
  <si>
    <t>16.03</t>
  </si>
  <si>
    <t>16.05</t>
  </si>
  <si>
    <t>17</t>
  </si>
  <si>
    <t>DOTACIÓN DE BAÑOS, GRIFERÍAS Y ACCESORIOS</t>
  </si>
  <si>
    <t>17.01</t>
  </si>
  <si>
    <t>17.01.02</t>
  </si>
  <si>
    <t>17.01.04</t>
  </si>
  <si>
    <t>17.02</t>
  </si>
  <si>
    <t>17.02.01</t>
  </si>
  <si>
    <t>17.02.02</t>
  </si>
  <si>
    <t>17.02.03</t>
  </si>
  <si>
    <t>17.03</t>
  </si>
  <si>
    <t>17.03.01</t>
  </si>
  <si>
    <t>17.03.02</t>
  </si>
  <si>
    <t>17.03.03</t>
  </si>
  <si>
    <t>17.03.06</t>
  </si>
  <si>
    <t>17.03.07</t>
  </si>
  <si>
    <t>17.03.08</t>
  </si>
  <si>
    <t>18</t>
  </si>
  <si>
    <t>PINTURAS</t>
  </si>
  <si>
    <t>18.02</t>
  </si>
  <si>
    <t>19</t>
  </si>
  <si>
    <t>VIDRIOS Y ESPEJOS</t>
  </si>
  <si>
    <t>19.02</t>
  </si>
  <si>
    <t>19.03</t>
  </si>
  <si>
    <t>20</t>
  </si>
  <si>
    <t>EQUIPOS Y OTROS</t>
  </si>
  <si>
    <t>20.01</t>
  </si>
  <si>
    <t>20.02</t>
  </si>
  <si>
    <t>21</t>
  </si>
  <si>
    <t>OBRAS EXTERIORES</t>
  </si>
  <si>
    <t>21.01</t>
  </si>
  <si>
    <t>21.05</t>
  </si>
  <si>
    <t>21.08</t>
  </si>
  <si>
    <t>21.16</t>
  </si>
  <si>
    <t>22</t>
  </si>
  <si>
    <t>SEÑALIZACIÓN</t>
  </si>
  <si>
    <t>22.01</t>
  </si>
  <si>
    <t>22.02</t>
  </si>
  <si>
    <t>22.03</t>
  </si>
  <si>
    <t>22.04</t>
  </si>
  <si>
    <t>24</t>
  </si>
  <si>
    <t>ASEO</t>
  </si>
  <si>
    <t>24.01</t>
  </si>
  <si>
    <t>TOTAL COSTOS DIRECTOS</t>
  </si>
  <si>
    <t>ADMINISTRACIÓN</t>
  </si>
  <si>
    <t>%</t>
  </si>
  <si>
    <t>IMPREVISTOS</t>
  </si>
  <si>
    <t>UTILIDAD</t>
  </si>
  <si>
    <t>IVA SOBRE UTILIDAD</t>
  </si>
  <si>
    <t>SUBTOTAL COSTO INDIRECTO</t>
  </si>
  <si>
    <t>SUBTOTAL FASE OBRA</t>
  </si>
  <si>
    <t>VALOR presupuestado PROCESO</t>
  </si>
  <si>
    <t>COSTO DIRECTO</t>
  </si>
  <si>
    <t>ANALISIS DEL AIU</t>
  </si>
  <si>
    <t>COSTO INDIRECTO</t>
  </si>
  <si>
    <t>A1- IMPUESTOS Y PÓLIZAS</t>
  </si>
  <si>
    <t>Unidad</t>
  </si>
  <si>
    <t>Porcentaje</t>
  </si>
  <si>
    <t>Cantidad</t>
  </si>
  <si>
    <t xml:space="preserve">COSTO </t>
  </si>
  <si>
    <t>A1</t>
  </si>
  <si>
    <t xml:space="preserve">Retefuente </t>
  </si>
  <si>
    <t>Global</t>
  </si>
  <si>
    <t>Transacciones financieras (4 x 1000)</t>
  </si>
  <si>
    <t>Rete ICA 6.9/1000</t>
  </si>
  <si>
    <t>FIC</t>
  </si>
  <si>
    <t>Estampilla Pro Universidad Nacional</t>
  </si>
  <si>
    <t>Impuesto de Timbre</t>
  </si>
  <si>
    <t>Administración fiducia 1 SMMLV por mes de duración</t>
  </si>
  <si>
    <t>Mes</t>
  </si>
  <si>
    <t>Pólizas</t>
  </si>
  <si>
    <t>PORCENTAJE IMPUESTOS  Y OTROS SOBRE CONTRATO</t>
  </si>
  <si>
    <t>A2- PERSONAL</t>
  </si>
  <si>
    <t>VALOR BRUTO</t>
  </si>
  <si>
    <t>Carga Prestacional</t>
  </si>
  <si>
    <t>DEDICACION %</t>
  </si>
  <si>
    <t>Cantidad Y/O Turnos</t>
  </si>
  <si>
    <t>Plazo (mes)</t>
  </si>
  <si>
    <t>VALOR NETO</t>
  </si>
  <si>
    <t>A2</t>
  </si>
  <si>
    <t>Director de Diseños y Obra</t>
  </si>
  <si>
    <t>Residente de obra</t>
  </si>
  <si>
    <t>Profesional Social</t>
  </si>
  <si>
    <t>Especialista en geotecnia</t>
  </si>
  <si>
    <t>Especialista estructural</t>
  </si>
  <si>
    <t>Especialista Hidrosanitario</t>
  </si>
  <si>
    <t xml:space="preserve">Especialista eléctrico de iluminación y electrónico </t>
  </si>
  <si>
    <t>Profesional en Seguridad y Salud en el Trabajo, y medio ambiente</t>
  </si>
  <si>
    <t>PERSONAL</t>
  </si>
  <si>
    <t>GASTOS GENERALES</t>
  </si>
  <si>
    <t>UN</t>
  </si>
  <si>
    <t>A3</t>
  </si>
  <si>
    <t>PAPELERÍA, FOTOCOPIAS Y EQUIPOS</t>
  </si>
  <si>
    <t>mes</t>
  </si>
  <si>
    <t>EQUIPOS OFICINA (COMPUTADORES Y ESCANER) (3 UNIDADES)</t>
  </si>
  <si>
    <t>EQUIPOS DE COMUNICACIÓN</t>
  </si>
  <si>
    <t>SOFTWARE LICENCIADO</t>
  </si>
  <si>
    <t>ADECUACION ESPACIO PARA ALMACÉN, MUEBLES, BAÑOS (INCLUYE RETIRO AL FINALIZAR LA OBRA)</t>
  </si>
  <si>
    <t>IMPLEMENTACIÓN PLAN AMBIENTAL Y SEGURIDAD INDUSTRIAL - Elementos de seguridad Industrial, incluye trabajo de alturas, señalizacion y proteccion de zonas de trabajo</t>
  </si>
  <si>
    <t>ENSAYOS DE LABORATORIO (incluiye pueba de tintas, concretos, aceros, ferroscan)</t>
  </si>
  <si>
    <t>SERVICIOS PÚBLICOS</t>
  </si>
  <si>
    <t>IMPLEMENTACIÓN PLAN DE MANEJO DE TRANSITO - Elementos de seguridad Industrial, señalizacion y proteccion de zonas de trabajo</t>
  </si>
  <si>
    <t>VALLA INFORMATIVA DEL PROYECTO (2,00 X3,00MTS) BANNER CON OJALETES CON ESTRUCTURA METALICA DE  SOPORTE</t>
  </si>
  <si>
    <t>TOTAL ADMINISTRACIÓN</t>
  </si>
  <si>
    <t>PORCENTAJE</t>
  </si>
  <si>
    <t xml:space="preserve">COSTO DIRECTO </t>
  </si>
  <si>
    <t>VALOR TOTAL</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</si>
  <si>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</si>
  <si>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VALOR UNITARIO OFICIAL</t>
  </si>
  <si>
    <t>VALOR UNITARIO OFERTADO</t>
  </si>
  <si>
    <t/>
  </si>
  <si>
    <t>m</t>
  </si>
  <si>
    <r>
      <rPr>
        <b/>
        <sz val="9"/>
        <rFont val="Arial"/>
        <family val="2"/>
      </rPr>
      <t xml:space="preserve">NOTA 1: </t>
    </r>
    <r>
      <rPr>
        <sz val="9"/>
        <rFont val="Arial"/>
        <family val="2"/>
      </rPr>
      <t xml:space="preserve"> Se debe tener en cuenta que el PRECIO UNITARIO NO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</si>
  <si>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</si>
  <si>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</si>
  <si>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9"/>
        <rFont val="Arial"/>
        <family val="2"/>
      </rPr>
      <t>NOTA 3:</t>
    </r>
    <r>
      <rPr>
        <sz val="9"/>
        <rFont val="Arial"/>
        <family val="2"/>
      </rPr>
      <t xml:space="preserve"> El A.I.U y su discriminación deben estar en porcentaje (%). </t>
    </r>
  </si>
  <si>
    <t>IMPREVISTO</t>
  </si>
  <si>
    <t>I=</t>
  </si>
  <si>
    <t>U=</t>
  </si>
  <si>
    <t>TOTAL A.I.U</t>
  </si>
  <si>
    <t>A.I.U.=</t>
  </si>
  <si>
    <t xml:space="preserve">	Firma del Proponente o de su representante legal</t>
  </si>
  <si>
    <t>PRESUPUESTO OFICIAL ESTIMADO MC-LPO-0004-2025 CENTRO CULTURAL - CASA DE LOS SABERES MAGUI, NARIÑO</t>
  </si>
  <si>
    <t>MC-LPO-0004-2025 CENTRO CULTURAL - CASA DE LOS SABERES MAGUI, NARIÑO</t>
  </si>
  <si>
    <t>FORMULARIO 1 - MC-LPO-0004-2025 CENTRO CULTURAL - CASA DE LOS SABERES MAGUI, NARIÑO</t>
  </si>
  <si>
    <t>Preliminares</t>
  </si>
  <si>
    <t>CERRAMIENTO PROVISIONAL EN TELA VERDE H=2.20 m, Incluye postes en madera rolliza y/o guadua, poli sombra verde y todos los elementos, materiales y mano de obra requeridos para su correcta ejecución</t>
  </si>
  <si>
    <t>LOCALIZACIÓN TRAZADO Y REPLANTEO CON COMISIÓN TOPOGRÁFICA</t>
  </si>
  <si>
    <t>m2</t>
  </si>
  <si>
    <t>RED AGUA PROVISIONAL, longitud 50 m, incluye trámite de conexión y contador</t>
  </si>
  <si>
    <t>u</t>
  </si>
  <si>
    <t>RED ELÉCTRICA PROVISIONAL longitud 50 m, incluye trámite de conexión y contador</t>
  </si>
  <si>
    <t>CORTE Y/O EXCAVACIÓN MANUAL y/o MECÁNICA DE TERRENO, (Para elementos estructurales, redes, y todos los elementos constructivos que lo requieran, unidad medida en bloque en planos o en terreno, no se reconocerán sobreanchos ni sobre excavaciones) incluye selección, trasiego, almacenamiento en obra, disposición interna en el proyecto, profundidad hasta 2,00 m.</t>
  </si>
  <si>
    <t>m3</t>
  </si>
  <si>
    <t>RELLENO CON MATERIAL SELECCIONADO PRODUCTO DE LA EXCAVACIÓN, compactado al 95%, aplica también para rellenos de redes.</t>
  </si>
  <si>
    <t>RELLENO MANUAL CON ARENA DE PEÑA LAVADA, atraque para tuberías (ver diseño de conexiones) Incluye suministro, extendida de manera uniforme.</t>
  </si>
  <si>
    <t>RELLENO CON MATERIAL SELECCIONADO GRANULAR TIPO B-200 compactado al 95% según estudio de suelos, incluye suministro del material</t>
  </si>
  <si>
    <t>SOLADO DE LIMPIEZA e=0.05 m concreto f'c = 2000 psi, según recomendación estudio de suelos y planos estructurales</t>
  </si>
  <si>
    <t>CONCRETO CICLÓPEO (Según recomendación de estudio de suelos y diseño de cimentación), Incluye, mano de obra, herramienta, suministro de concreto y demás materiales necesarios para la realización de la actividad</t>
  </si>
  <si>
    <t>ZAPATAS EN CONCRETO IMPERMEABILIZADO, f'c = 3.500 PSI (Según recomendación de estudio de suelos y diseño de cimentación, no incluye acero de refuerzo), Incluye, formaleta, mano de obra, herramienta, suministro de concreto y demás materiales necesarios para la realización de la actividad</t>
  </si>
  <si>
    <t>VIGA DE AMARRE EN CONCRETO IMPERMEABILIZADO, f'c = 3.500 PSI (Según recomendación de estudio de suelos y diseño de cimentación, no incluye acero de refuerzo), Incluye formaleta, mano de obra, herramienta, suministro de concreto y demás materiales necesarios para la realización de la actividad. Incluye construcción de muesca para apoyo de placa de contrapiso según planos.</t>
  </si>
  <si>
    <t>Suministro e instalación de Acero De Refuerzo 60.000 PSI (Desperdicio incluido en el valor del APU)</t>
  </si>
  <si>
    <t>kg</t>
  </si>
  <si>
    <t>Suministro e instalación de refuerzo en MALLA ELECTROSOLDADA (Desperdicio incluido en el valor del APU)</t>
  </si>
  <si>
    <t>ANCLAJE MANUAL EMPLEANDO VARILLA Ø 3/8" PARA PERFORACIÓN Ø 1/2" PROF MAX 0,30 M FIJADO MEDIANTE EPÓXICO DE DOS COMPONENTES 100% SOLIDOS INSENSIBLE A LA HUMEDAD Y TIXOTRÓPICO</t>
  </si>
  <si>
    <t>ANCLAJE MANUAL EMPLEANDO VARILLA Ø 1/2" PARA PERFORACIÓN Ø 5/8" PROF MAX 0,30 M FIJADO MEDIANTE EPÓXICO DE DOS COMPONENTES 100% SOLIDOS INSENSIBLE A LA HUMEDAD Y TIXOTRÓPICO</t>
  </si>
  <si>
    <t>PLACA DE CONTRAPISO EN CONCRETO REFORZADO,  f´c=20,7 Mpa (3.000 PSI) e=0.10, según diseño de cimentación y diseño estructural, incluye formaleta, juntas de construcción y de dilatación ubicadas según detalle constructivo, mano de obra, herramienta, suministro de concreto y demás materiales necesarios para la realización de la actividad</t>
  </si>
  <si>
    <t>CONSTRUCCIÓN DE ESCALERA EN CONCRETO 20,7 Mpa (3.000 PSI) sobre terreno e = 0,12 m</t>
  </si>
  <si>
    <t>CORTE EN PLACA PARA DILATACIONES DE PISO, con máquina cortadora y disco diamantado h.=1/3 espesor de la placa de contrapiso / entrepiso Pf.&gt;4,1&lt;=7,0 cm (ver adicional el ítem de sellante).</t>
  </si>
  <si>
    <t>Suministro y aplicación de sellante elástico de poliuretano de alta resistencia química para juntas de dilatación de medidas Pf.&gt;4,1&lt;=10,0 mm a.&gt;6,1&lt;=10,0 mm, tipo Sika Flex Pro 3 WF de SIKA o equivalente de igual calidad o superior. Incluye limpieza en seco de las caras laterales de contacto, y perfil cilíndrico de espuma de polietileno de célula cerrada ø.=5/8" (16,0 mm) para limitar la profundidad a rellenar, tipo SikaRod de SIKA o equivalente.</t>
  </si>
  <si>
    <t>COLUMNA DE CONCRETO REFORZADO  f´c=28 Mpa (4.000 PSI), dimensiones según diseño, incluye formaleta metálica acabo liso, mano de obra, herramienta, suministro de concreto y demás materiales necesarios para la realización de la actividad</t>
  </si>
  <si>
    <t>VIGA AÉREA EN CONCRETO REFORZADO  f´c=28 Mpa (4.000 PSI), dimensiones según diseño, incluye formaleta metálica acabo liso, mano de obra, herramienta, suministro de concreto y demás materiales necesarios para la realización de la actividad</t>
  </si>
  <si>
    <t>LOSA DE ENTREPISO MACIZA EN CONCRETO REFORZADO f'c = 4000 PSI (e=0.10) Según diseños, dimensiones y detalles según diseño, incluye formaleta, mano de obra, herramienta, suministro de concreto y demás materiales necesarios para la realización de la actividad</t>
  </si>
  <si>
    <t>POYO EN CONCRETO REFORZADO  f´c=17,5 Mpa (2500 PSI), a=0.45; e=0.08. No incluye acero de refuerzo.</t>
  </si>
  <si>
    <t>Estructura Metálica</t>
  </si>
  <si>
    <t>SUMINISTRO E INSTALACIÓN DE ESTRUCTURA METÁLICA SEGÚN DISEÑO ESTRUCTURAL. ASTM A653 SS-GR 50, incluye instalación de pernos, soldadura, templetes, contravientos, pintura anticorrosiva, acabado según arquitectura, equipos y todo elemento necesario para la correcta instalación.</t>
  </si>
  <si>
    <t>Estructuras en Madera</t>
  </si>
  <si>
    <t>SUMINISTRO E INSTALACIÓN Platina Alumidi 120, con anclajes Vin fix ENTRE ESTRUCTURA DE CONCRETO Y CUBIERTA DE MADERA y pasadores STA  ROTHOBLASS O SIMILAR ENTRE LA PLATINA Y LA ESTRUCTURA DE MADERA, incluye anclajes epóxico entre concreto y platina, neopreno entre madera y concreto, arandelas, tuercas y todo los equipos y elementos necesarios para la correcta instalación.</t>
  </si>
  <si>
    <t>PLATINA CORREAS CUBIERTA EN MADERA, CON PLATINA WBO090 (según diseño estructural)  incluye la instalación, equipos y todo elemento necesario para la correcta instalación.</t>
  </si>
  <si>
    <t>CONECTOR TODO ROSCA VGS9160 ROTHOBLAAS</t>
  </si>
  <si>
    <t>VARILLA ROSCADA GALVANIZADA 3/8" 0.50m</t>
  </si>
  <si>
    <t>VARILLA ROSCADA GALVANIZADA 1/2" 0.50m</t>
  </si>
  <si>
    <t>ESTRUCTURA EN MADERA TIPO PINO AMARILLO 80 x 140 mm LAMINADO SEGÚN DISEÑO ESTRUCTURAL, incluye instalación de anclajes embebidos, acabado según arquitectura, equipos y todo elemento necesario para la correcta instalación.</t>
  </si>
  <si>
    <t>ESTRUCTURA EN MADERA TIPO PINO AMARILLO 80 x 225 mm (+ - 5mm) LAMINADA SEGÚN DISEÑO ESTRUCTURAL, incluye instalación de anclajes embebidos, acabado según arquitectura, equipos y todo elemento necesario para la correcta instalación.</t>
  </si>
  <si>
    <t>CAJAS, POZOS, CARCAMOS</t>
  </si>
  <si>
    <t>CAJA DE INSPECCIÓN EN MAMPOSTERÍA 80x80x150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</si>
  <si>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</si>
  <si>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 DE INSPECCIÓN EN MAMPOSTERÍA 60x60x80 cm (a x L x h) medidas internas útiles. Incluye base en concreto f'c=2000 PSI y malla electrosoldada, cañuela, ladrillo tolete recocido común, tapa en concreto f'c=3000 PSI con marco y contramarco metálico, pañetado liso impermeabilizado 1:4 interno completo. No incluye excavaciones ni rellenos.</t>
  </si>
  <si>
    <t>CAJAS CON REJILLA PERIMETRAL DE 0.40m*0.60 m, tipo sumidero (ver ubicación en planos) Incluye suministro, herramienta, mano de obra y demás materiales necesarios para su correcta instalación.</t>
  </si>
  <si>
    <t>CUNETA EN CONCRETO PREFABRICADAS TIPO A120 80x30x22 (ver ubicación en planos) Incluye suministro, herramienta, mano de obra y demás materiales necesarios para su correcta instalación.</t>
  </si>
  <si>
    <t>REDES SANITARIAS</t>
  </si>
  <si>
    <t>SUMINISTRO E INSTALACIÓN DE TUBERÍA SANITARIA PVC-S ø 4" (conexión hacia la acometida y cajas + incluye accesorios y todo lo necesario para su instalación)</t>
  </si>
  <si>
    <t>SUMINISTRO E INSTALACIÓN DE TUBERÍA SANITARIA PVC-S ø 2" (Incluye accesorios y todo lo necesario para su instalación)</t>
  </si>
  <si>
    <t>PUNTO SANITARIO PVCS ø 4" (Incluye 1,5 m de tubería desde la salida hasta la red +accesorios  y todo lo necesario para su instalación)</t>
  </si>
  <si>
    <t>PUNTO SANITARIO PVC-S  ø 2" (Incluye 1.5 m  tubería desde la salida hasta la red + accesorios y todo lo necesario para su instalación)</t>
  </si>
  <si>
    <t>SUMINISTRO E INSTALACIÓN DE PUNTO SANITARIOS Y SIFONES DE PISO 4" (incluye rejillas metálicas de piso y todos los materiales necesarios para su correcta instalación)</t>
  </si>
  <si>
    <t>SUMINISTRO E INSTALACIÓN DE PUNTO SANITARIOS Y SIFONES DE PISO 2" (incluye rejillas metálicas de piso y todos los materiales necesarios para su correcta instalación)</t>
  </si>
  <si>
    <t>SUMINISTRO E INSTALACIÓN DE TUBERÍA SANITARIA pared estructural ø 6" o 160 mm (tipo NOVAFORT o equivalente de igual calidad o superior). Incluye accesorios y todo lo necesario para su instalación y buen funcionamiento.</t>
  </si>
  <si>
    <t>SUMINISTRO E INSTALACIÓN DE TUBERÍA SANITARIA pared estructural ø 4" o 110 mm (tipo NOVAFORT o equivalente de igual calidad o superior). Incluye accesorios y todo lo necesario para su instalación y buen funcionamiento.</t>
  </si>
  <si>
    <t>REDES HIDRÁULICAS</t>
  </si>
  <si>
    <t>SUMINISTRO E INSTALACIÓN DE ACOMETIDA PVC-P 3/4" RDE 11 (400 psi). Comprende desde punto de salida del medidor hasta la conexión a la red principal. Incluye todos los accesorios (válvulas de corte, caja de medidor, medidor + tubería + accesorios) y materiales necesarios para su instalación.</t>
  </si>
  <si>
    <t>SUMINISTRO E INSTALACIÓN DE TUBERÍA PVC-P 1" RDE 13.5 (Incluye todos los accesorios y materiales necesarios para su instalación)</t>
  </si>
  <si>
    <t>SUMINISTRO E INSTALACIÓN DE TUBERÍA PVC-P 3/4" RDE 11 (Incluye todos los accesorios y materiales necesarios para su instalación)</t>
  </si>
  <si>
    <t>SUMINISTRO E INSTALACIÓN DE TUBERÍA PVC-P 1/2" RDE 9 (Incluye todos los accesorios y materiales necesarios para su instalación)</t>
  </si>
  <si>
    <t>PUNTO DE AGUA FRÍA 1" (instalado subterráneo y/o a nivel y/o en alturas hasta 10,00 m. Incluye cámara de aire, 1,5 m de tubería, accesorios, complementarios, regatas y resanes).</t>
  </si>
  <si>
    <t>PUNTO DE AGUA FRÍA 3/4" (instalado subterráneo y/o a nivel y/o en alturas hasta 10,00 m. Incluye cámara de aire, 1,5 m de tubería, accesorios, complementarios, regatas y resanes).</t>
  </si>
  <si>
    <t>PUNTO DE AGUA FRÍA 1/2" (instalado subterráneo y/o a nivel y/o en alturas hasta 10,00 m. Incluye cámara de aire, 1,5 m de tubería, accesorios, complementarios, regatas y resanes).</t>
  </si>
  <si>
    <t>SUMINISTRO E INSTALACIÓN DE VÁLVULA ó REGISTRO R/W DE 1" (Incluye todos los accesorios y materiales necesarios para su instalación)</t>
  </si>
  <si>
    <t>SUMINISTRO E INSTALACIÓN DE VÁLVULA ó REGISTRO R/W DE 3/4" (Incluye todos los accesorios y materiales necesarios para su instalación)</t>
  </si>
  <si>
    <t>SUMINISTRO E INSTALACIÓN DE VÁLVULA ó REGISTRO R/W DE 1/2" (Incluye todos los accesorios y materiales necesarios para su instalación)</t>
  </si>
  <si>
    <t>SUMINISTRO E INSTALACIÓN DE LLAVE TERMINAL 1/2" TIPO PESADO PARA MANGUERA.</t>
  </si>
  <si>
    <t>REDES VENTILACIÓN Y AGUAS LLUVIAS</t>
  </si>
  <si>
    <t>SUMINISTRO E INSTALACIÓN DE TUBERÍA DE VENTILACIÓN PVC L ø 2" (incluye accesorios y todo lo necesario para su instalación)</t>
  </si>
  <si>
    <t>SUMINISTRO E INSTALACIÓN DE BAJANTE CUADRADA  (SECCIÓN 62 x 64 mm) PARA CANAL AMAZONAS O SIMILAR (Incluye todos los accesorios y materiales necesarios para su instalación)</t>
  </si>
  <si>
    <t>PUNTO SANITARIO BAJANTE AGUAS LLUVIAS (Incluye tragante metálica 5x4, accesorios de conexión con la bajante y rebose lateral de la canal con accesorios según planos de diseño)</t>
  </si>
  <si>
    <t>TANQUES Y EQUIPOS</t>
  </si>
  <si>
    <t>SUMINISTRO E INSTALACIÓN DE TANQUE PLÁSTICO DE ALMACENAMIENTO  (volumen de 5000 lt + incluye transporte, anclajes, mano de obra, flotador, válvulas, herramienta y demás materiales necesarios para su correcta instalación y funcionamiento, incluye pruebas de estanqueidad)</t>
  </si>
  <si>
    <t>SUMINISTRO E INSTALACIÓN DE TANQUE PLÁSTICO DE ALMACENAMIENTO  BAJO (volumen de 2000 lt + incluye transporte, anclajes, mano de obra, flotador, válvulas, herramienta y demás materiales necesarios para su correcta instalación y funcionamiento, incluye pruebas de estanqueidad)</t>
  </si>
  <si>
    <t>EQUIPO DE MEDIDA</t>
  </si>
  <si>
    <t>Suministro e instalación de caja para medidor trifásico 3F+1N de acuerdo con especificación técnica del operador de red, incluye medidor con protocolos vigentes 10-100A</t>
  </si>
  <si>
    <t>REDES EXTERIORES EN BAJA TENSIÓN</t>
  </si>
  <si>
    <t>Suministro e instalación de tubo TDP 2"  PVC tipo pesado, incluye terminal tipo campana para conexión, accesorios y demás elementos para su correcta instalación</t>
  </si>
  <si>
    <t xml:space="preserve">Suministro de materiales y mano de obra para canalización en baja tensión, incluye excavación y retiro de material sobrante, arena de peña, banda plástica de señalización, compactación de material. Norma técnica Operador de Red </t>
  </si>
  <si>
    <t>Suministro e instalación de cámara de inspección BT CS274 o equivalente  según norma. incluye excavación, concreto, mortero, recebo compactado, ladrillo tolete recocido, grava, drenaje, herraje, marco, tapa, terminales tipo campana, pañete y demás accesorios necesarios para su adecuada instalación.</t>
  </si>
  <si>
    <t>TABLEROS DE DISTRIBUCIÓN Y PROTECCIONES</t>
  </si>
  <si>
    <t xml:space="preserve">Suministro e instalación de tablero en lámina cold rolled calibre 16, y acabado final en pintura electrostática RALL 7032 tipo poliéster, dimensiones aproximadas 100x80x30 cm, cierre bombín, puerta de una hoja, puerta frente muerta, tipo de protección: IP 55 incluye:  módulo #1 de totalizadores: un (1) interruptores de 2x80a de 25/15 KA SCHNEIDER, ABB. LEGRAND, un (1) barraje tipo bloque: neutro de 1/8x3/4, tierra de 1/8x3/4; montados sobre aisladores de resina, dos (2) interruptor de 2x40A de 25KA SCHNEIDER, ABB. LEGRAND, dos (2) interruptor de 2x30A de 25KA SCHNEIDER, ABB. LEGRAND, dos (2) interruptor de 1x30a de 20 KA SCHNEIDER, ABB. LEGRAND, un (1) DPS de 2 fases 220/120V. interruptores de normal: seis (6) interruptor de 1x20A de 10 KA riel din SCHNEIDER, ABB, LEGRAND módulo de regulada, un (1) conmutador de 3x60a merz o similar, un (1) barraje tipo peine, dos (2) interruptor de 1x20A de 20 KA   SCHNEIDER, ABB, LEGRAND todos estos elementos debidamente montados dentro del tablero según especificaciones y diagrama unifilar </t>
  </si>
  <si>
    <t xml:space="preserve">Materiales y mano para la instalación de tablero de distribución bifásico enchufable para 18 Circuitos con espacio para totalizador, incluye barraje de neutro, barraje de tierra, puerta y chapa, totalizado bifásico tipo DRX de 40A 2F 65 KA 208V; doce (12) interruptores 1x20A; (incluye elementos consumibles para su correcta instalación, empotrado).  </t>
  </si>
  <si>
    <t xml:space="preserve">Materiales y mano para la instalación de tablero de distribución monofásico de 6 Circuitos con  totalizador, incluye barraje de neutro, barraje de tierra, puerta y chapa, interruptor termomagnético 1x30A 10kA, cinco (5) interruptores 1x20A 10kA; (incluye elementos consumibles para su correcta instalación, empotrado). </t>
  </si>
  <si>
    <t>ACOMETIDAS INTERNAS BAJA TENSIÓN</t>
  </si>
  <si>
    <t>Suministro e instalación de acometida en cable de cobre 2F# 2+1N #2 + 1T #4AWG,  incluye termo encogible, terminales de ponchar, cinta y demás accesorios para su correcto funcionamiento, incluye conexión en los dos extremos.</t>
  </si>
  <si>
    <t xml:space="preserve">Suministro e instalación de acometida en cable de cobre 2F# 6+1N #6 + 1T #8AWG,  incluye termo encogible, terminales de ponchar, cinta y demás accesorios para su correcto funcionamiento, incluye conexión en los dos extremos. </t>
  </si>
  <si>
    <t xml:space="preserve">Suministro e instalación de acometida en cable de cobre 1F# 8+1N #8 + 1T #8AWG,  incluye termo encogible, terminales de ponchar, cinta y demás accesorios para su correcto funcionamiento, incluye conexión en los dos extremos. </t>
  </si>
  <si>
    <t>Suministro e instalación de acometida en cable de cobre encauchetado 1F# 10+1N #10 + 1T #10 AWG, LSZH,  incluye termo encogible, terminales de ponchar, cinta y demás accesorios para su correcto funcionamiento, incluye conexión en los dos extremos. Entrada y salida de UPS conexión borneras</t>
  </si>
  <si>
    <t>RED NORMAL Y REGULADA</t>
  </si>
  <si>
    <t>Suministro de materiales y mano de obra para Instalación de salida para tomacorriente normal 1F+N+T  15A 120V instalación embebida en muro; (incluye Tomacorriente doble blanca, tapa, cable de cobre trenzado  1F#12+1N#12+1T#12 AWG LSZH (Low Smoke, Zero Halogen), marcación de salida en acrílico, conectores de empalme para derivaciones de circuito, caja galvanizada , tubería PVC DE 3/4", accesorios PVC y demás elementos consumibles para su correcta instalación).</t>
  </si>
  <si>
    <t xml:space="preserve">Suministro de materiales y mano de obra para Instalación de   tomacorriente 15A 120V 1F+N+T DOBLE BLANCO CON TAPA  GFCI  instalación embebida en muro (incluye Tomacorriente doble 20 A 120V 1F+N+T GFCI blanca, tapa, cable de cobre trenzado   1F#12+1N#12+1T#12 AWG LSZH (Low Smoke, Zero Halogen) blanco-verde-azul marcación de salida en acrílico, conectores de empalme para derivaciones de circuito  caja galvanizada 2400, tubería PVC DE 3/4", accesorios PVC y demás elementos consumibles para su correcta instalación). </t>
  </si>
  <si>
    <t xml:space="preserve">Suministro de materiales y mano de obra para instalación de salida a 120V para tomacorriente regulada, 1F+N+T 15A 120V instalación embebida en muro; (incluye: tomacorriente color naranja con polo a tierra aislado, cableado en cable trenzado  1F#12+1N#12+1T#12 AWG, blanco-verde-rojo LSZH HF, CT, 600V, 80°C, tapa, conectores de empalme, marcación de salida,  caja galvanizada 2400, tubería PVC DE 3/4", accesorios PVC elementos de fijación y demás elementos consumibles para su correcta instalación).  </t>
  </si>
  <si>
    <t xml:space="preserve">Suministro de materiales y mano de obra para instalación de salida a 120V para tomacorriente regulada, 1F+N+T 15A 120V instalación en techo a la vista tubería EMT ; (incluye: tomacorriente color naranja con polo a tierra aislado, cableado en cable trenzado  1F#12+1N#12+1T#12 AWG, blanco-verde-rojo LSZH HF, CT, 600V, 80°C, tapa, conectores de empalme, marcación de salida,  caja galvanizada 2400, tubería EMT DE 3/4", accesorios EMT 3/4 elementos de fijación y demás elementos consumibles para su correcta instalación).  </t>
  </si>
  <si>
    <t xml:space="preserve">Suministro de materiales y mano de obra para instalación de salida a 120V para tomacorriente normal, 1F+N+T 15A 120V instalación en techo a la vista tubería EMT ; (incluye: tomacorriente color blanco con polo a tierra, cableado en cable trenzado  1F#12+1N#12+1T#12 AWG, blanco-verde-rojo LSZH HF, CT, 600V, 80°C, tapa, conectores de empalme, marcación de salida,  caja galvanizada 2400, tubería EMT DE 3/4", accesorios EMT 3/4 elementos de fijación y demás elementos consumibles para su correcta instalación).  </t>
  </si>
  <si>
    <t>Suministro e instalación de cable de cobre  1F#12+1N#12+1T#12 AWG, blanco-verde-(amarillo, azul o rojo) LSZH HF, CT, 600V, 80°C</t>
  </si>
  <si>
    <t>CANALIZACIONES PARA RED NORMAL Y REGULADA</t>
  </si>
  <si>
    <t>Suministro de materiales y mano de obra para Instalación de tubería Conduit PVC de 1 1/2"; instalación embebida (incluye cajas de paso, curvas, uniones, curvas, uniones,  regatas, resanes, conductor de continuidad y demás elementos consumibles para su correcta instalación y demás elementos consumibles para su correcta instalación).</t>
  </si>
  <si>
    <t>ILUMINACIÓN</t>
  </si>
  <si>
    <t xml:space="preserve">Suministro de materiales y mano de obra para instalación de salida para interruptor sencillo; (incluye interruptor, cableado en cable  2x12 AWG LSZH, conductor de continuidad, tubería Conduit PVC empotrada en muro hasta altura h=0.9m, tubería EMT de 3/4" en techo a la vista, accesorios de tubería, regatas, resanes, cajas de paso, conectores para empalme, soportería necesaria, perfiles riel Chanel donde se requiera, grapas, pernos de anclaje, abrazaderas, regatas y demás elementos consumibles para su correcta instalación).  Altura de instalación h=0.9 m  </t>
  </si>
  <si>
    <t xml:space="preserve">Suministro de materiales y mano de obra para instalación de salida para interruptor doble; (incluye interruptor, cableado en cable  3x12 AWG, tubería Conduit PVC empotrada  en muro hasta altura h=0.9m  y  tubería EMT de 3/4" en techo a la vista,  regatas, resanes, cajas de paso, conectores para empalme, soportería necesaria, perfiles riel Chanel donde se requiera, grapas, pernos de anclaje, abrazaderas y demás elementos consumibles para su correcta instalación). Altura de instalación h=0.9 m  </t>
  </si>
  <si>
    <t>Suministro de materiales y mano de obra para Instalación de salida de iluminación en techo a la vista en tubería EMT; (incluye tomacorriente  normal  15A 120V 1F+N+T, cableado en cable de cobre  3x12 AWG LSZH, conductor de continuidad en alambre desnudo N° 12 AWG, tubería EMT de 3/4"  con accesorios, cajas de paso, conectores para empalme, soportería necesaria, perfiles riel Chanel donde se requiera, grapas, pernos de anclaje, abrazaderas y demás elementos consumibles para su correcta instalación).</t>
  </si>
  <si>
    <t>Suministro de materiales y mano de obra para Instalación de salida de iluminación embebida en muro; (incluye, cableado en cable de cobre  3x12 AWG LSZH, conductor de continuidad en alambre desnudo N° 12 AWG, tubería PVC de 3/4"  con accesorios, cajas de paso, conectores para empalme, regatas y demás elementos consumibles para su correcta instalación).</t>
  </si>
  <si>
    <t>Suministro de materiales y mano de obra para instalación de salida de iluminación de emergencia; embebida en muro (incluye cableado en cable de cobre  3x12 AWG LSZH, conductor de continuidad en alambre desnudo N° 12 AWG, tubería PVC de 3/4"  con accesorios, cajas de paso, conectores para empalme y demás elementos consumibles para su correcta instalación).</t>
  </si>
  <si>
    <t>Suministro e instalación de Luminaria tipo panel LED LINEAL CONTINUUM 2,27m  montaje para descolgar , vida útil mínimo de 60.000 Horas, 60W,  5500 Lúmenes, de acuerdo con especificaciones del diseño de iluminación,  Incluye cable encauchetado y clavija para conexión,  kit de guayas aceradas para descolgar y demás elementos necesarios para su correcta instalación.</t>
  </si>
  <si>
    <t>Suministro e instalación de luminaria tipo bala LED de sobreponer 24W Flujo Luminoso mínimo 1680 Lúmenes Temperatura De Color 4000K CRI 120 Ángulo De Apertura 120°, 120 V, Vida Útil De 25.000 Horas.</t>
  </si>
  <si>
    <t>Suministro e instalación de luminaria hermética de 36W Flujo Luminoso mínimo 4500 Lúmenes Temperatura De Color 4000K CRI 80 Ángulo De Apertura 100°, 120 V, Vida Útil De 50.000 Horas.</t>
  </si>
  <si>
    <t xml:space="preserve">Suministro y montaje de sensor de presencia para control de iluminación Sensor 360º horizontal Voltaje 120V 60Hz Consumo estático 0.5W Distancia de transmisión 6 metros Material Pasta. Incluye: Cable 2x12AWG, Tubería 3/4 EMT, Caja 2400, elementos de fijación, tapa y demás elementos para su correcta instalación. </t>
  </si>
  <si>
    <t>Suministro e instalación de luminaria de emergencia tipo bala para montaje en cilindro 5w minimo 90 minutos de automia incluye guaya y soportes</t>
  </si>
  <si>
    <t>Suministro e instalación de aviso de salida  emergencia led rectangular 120-130v , 2 años de garantía</t>
  </si>
  <si>
    <t>ILUMINACIÓN EXTERIOR</t>
  </si>
  <si>
    <t>Suministro y montaje de Cajas de inspección de 540x540x4700 mm  (Norma técnica CODENSA AP280 o equivalente al operador de red de la zona)  Incluye excavación, concreto, mortero, recebo compactado, ladrillo tolete recocido, grava, drenaje, herraje, marco, tapa, terminales tipo campana, pañete y demás accesorios necesarios para su adecuada instalación.</t>
  </si>
  <si>
    <t>Suministro de materiales y mano de obra para canalización en baja tensión, incluye excavación y retiro de material sobrante, arena de peña, banda plástica de señalización, compactación de material. Norma técnica del Operador de red, canalización para zona verde o equivalente del operador de red de la zona</t>
  </si>
  <si>
    <t>Suministro e instalación de tubería PVC de 1 1/2" de diámetro, incluye terminales tipo campana para conexión a cajas de inspección, uniones, accesorios y demás elementos para su correcta instalación.</t>
  </si>
  <si>
    <t>Suministro e instalación de Luminaria tipo apique de pared UP DOWN 20W, vida útil mínimo de 50.000 Horas, 20W, temperatura de color máximo 3000K, mínimo 980 Lúmenes de acuerdo con especificaciones del diseño de iluminación</t>
  </si>
  <si>
    <t>Suministro e instalación de Luminaria de piso, vida útil mínimo de 20.000 Horas, 3W, mínimo 180, , temperatura de color máximo 3000K, lúmenes de acuerdo con especificaciones del diseño de iluminación</t>
  </si>
  <si>
    <t>Suministro e instalación de Luminaria LED STREET LIGHT SPRING G2 4000K Flujo Luminoso 5800 Lm C,  Vida Útil 100000 horas, montaje en poste, IP65 IK08  Alimentación 100-240V, certificada RETILAP, incluye cable 3x12 THHN/THWN-2, cable encauchetado 3x12 AWG, fotocelda para control, incluye alambre de cobre desnudo  1F#8 AWG, varilla 100% cobre de 2,4 m x 5/8"  y conector para varilla a tierra 2/8, incluye poste acabado galvanizado de 3 m base y refuerzo para soporte.</t>
  </si>
  <si>
    <t>SISTEMA DE PUESTA A TIERRA</t>
  </si>
  <si>
    <t>Suministro e instalación de cable conductor Cu desnudo nº 2/0 AWG, incluye excavación, mínimo 70 cm</t>
  </si>
  <si>
    <t>Suministro y aplicación de soldadura exotérmica de 115 g, incluye mecha y chispero.</t>
  </si>
  <si>
    <t>suministro y montaje de electrodo varilla 100% cobre de 2,4 m x 5/8", incluye excavación y retiro de material</t>
  </si>
  <si>
    <t>Suministro e instalación de caja de inspección de 30x30cm con marco y tapa, de acuerdo con norma del operador de red, marcación sistema de tierra general</t>
  </si>
  <si>
    <t>Suministro e instalación de tratamiento artificial</t>
  </si>
  <si>
    <t>APANTALLAMIENTO (SISTEMA DE CAPTACIÓN - BAJANTES -SPT)</t>
  </si>
  <si>
    <t>suministro e instalación de cable conductor Cu desnudo nº 1/0 AWG, incluye excavación, mínimo 70 cm</t>
  </si>
  <si>
    <t>Suministro y montaje de varilla 100% cobre de 2,4 m x 5/8", incluye excavación y retiro de material</t>
  </si>
  <si>
    <t>Suministro e instalación de caja de inspección de 30x30cm con marco y tapa, de acuerdo con norma del operador de red, marcación sistema de apantallamiento</t>
  </si>
  <si>
    <t>Suministro y montaje de terminal de captación en acero inoxidable incluye base en hormigón para cubierta plana, o soporte para fijación a la pared. Altura 1,2m, roscada en  diámetro 5/8.</t>
  </si>
  <si>
    <t>suministro y montaje de anillo superior para sistema de captación en alambrón de aluminio desnudo 8 mm de diámetro, incluye accesorios de conexión y soportes</t>
  </si>
  <si>
    <t>suministro e instalación de caja plástica para empalme SIPRA, IP 65 incluye caja plástica, conector bimetálico, platina en cobre, conector de cobre, accesorios de fijación y demás consumibles para su correcta instalación</t>
  </si>
  <si>
    <t>VENTILACIÓN Y EXTRACCIÓN</t>
  </si>
  <si>
    <t>Suministro e instalación salida eléctrica  en muro (2,0m aprox) embebida en muro para ventiladores a instalar en pared, incluye salida en tubería PVC 3/4 (instalación embebido), cable No 12 LSHF libre de halógenos, accesorios.</t>
  </si>
  <si>
    <t>Suministro e instalación de ventilador de pared, mínimo 3 velocidades, aspas mínimo de 12", sistema conexión a 120V</t>
  </si>
  <si>
    <t>CERTIFICACIONES Y TRAMITES</t>
  </si>
  <si>
    <t>Certificación RETIE expedido por organismo acreditado ante la ONAC</t>
  </si>
  <si>
    <t>Certificación RETILAP expedido por organismo acreditado ante  la ONAC.</t>
  </si>
  <si>
    <t xml:space="preserve">Ajuste al diseño eléctrico de acuerdo con las condiciones de conexión definitivas asignadas por el operador de red, incluye: medición de resistividad del terreno y elaboración de informe, diagnóstico del sistema de apantallamiento, y demás cálculos establecidos en el artículo 3.3.1.1. Diseño detallado del RETIE, la entidad entrega un pre diseño eléctrico que incluye un plano con distribución de circuitos, cuadro de cargas, cálculo de regulación. los demás cálculos que se requieran los debe completar el contratista, debe entregar memorias y planos firmados. </t>
  </si>
  <si>
    <t>Trámites ante el operador de red, incluye solicitar las condiciones de servicio para la conexión del proyecto, presentación del proyecto ante el operado de red y aprobación del proyecto, conexión.</t>
  </si>
  <si>
    <t>CABLEADO ESTRUCTURADO (SALIDAS, REDES, CANALETAS INCLUYE ACCESORIOS Y APARATOS ESPECIALES)</t>
  </si>
  <si>
    <t>Suministro e instalación de salida para  datos  CAT 6a,  Jack CAT 6A, faceplate y troquel y certificación del punto</t>
  </si>
  <si>
    <t>Suministro e instalación de cable UTP CAT 6A LSZH</t>
  </si>
  <si>
    <t>Suministro e instalación de patch panel de 24  puertos CAT 6A, incluye 24  JACKS</t>
  </si>
  <si>
    <t>Suministro e instalación de Swicth 24  puertos 10/100/1000</t>
  </si>
  <si>
    <t>Suministro e instalación de Patch Cord de 1 m CAT 6A, LSZH</t>
  </si>
  <si>
    <t>Suministro e instalación de gabinete de pared de nueve unidades 9U, color negro,  puerta en vidrio con perforaciones perimetrales, puertas laterales removibles, salida para ventilador, incluye ventilador y multitoma horizontal de una RU, de mínimo 5 salidas dobles. Incluye anclaje a la pared, un (1) Organizador Horizontal Formato 19" de 85 x 80 mm con tapa en PVC de 2 RU, una (1) Bandeja Sencilla Ventilada Formato 19" Profundidad 30CM de 1 RU</t>
  </si>
  <si>
    <t>Suministro e instalación de UPS monofásica de 3KVA, online doble conversión salida 120V AC, conexión bornera, incluye cable encauchetado 3x10 AWG para entrada y salida</t>
  </si>
  <si>
    <t>SUMINISTRO E INSTALACIÓN DE ACCES POINT DE USO INTERIOR (300 Mbps Access point inalámbrico , atheros, 2T2R, 2.4GHz, 802.11n/g/b, Poe pasivo soportado, Botón QSS push, AP/Cliente/Puente/Repetidor, Multi- SSID, WMM, Ping Wachdog, con 2 antenas desmontables de 4 DB)</t>
  </si>
  <si>
    <t>Suministro de materiales y mano de obra para instalación de tubería Conduit PVC de 3/4"; (incluye cajas de paso , curvas, uniones,  regatas, resanes, conductor de continuidad y demás elementos consumibles para su correcta instalación).</t>
  </si>
  <si>
    <t>Suministro de materiales y mano de obra para Instalación de tubería Conduit EMT de 3/4"; (incluye cajas de paso, curvas, uniones, soportería necesaria, perfiles riel Chanel donde se requiera, grapas, pernos de anclaje, abrazaderas, conductor de continuidad y demás elementos consumibles para su correcta instalación).</t>
  </si>
  <si>
    <t>Muros e.=12 cm en ladrillo arcilla bloque No. 5. Incluye mortero de pega, emboquille, grafiles. Según diseños.</t>
  </si>
  <si>
    <t xml:space="preserve">DILATACIONES EN ICOPOR E=20MM ENTRE FACHADA EXISTENTE Y FACHADA FLOTANTE  </t>
  </si>
  <si>
    <t xml:space="preserve">DINTEL EN CONCRETO REFORZADO a la vista f´c. 3.000 psi dimensiones: 0,15 m x 0,15 m. </t>
  </si>
  <si>
    <t>COLUMNETAS EN CONCRETO REFORZADO f´c. 3.000 PSI sección mínima de 180 cm2</t>
  </si>
  <si>
    <t>MURO EN LADRILLO ESTRUCTURAL A LA VISTA POR DOS CARAS DE 24x12x6,5cm (L x a x h) (o de proporción similar acorde a disponibilidad), superficie lisa, color natural tipo arcilla o equivalente, de igual calidad o superior. Incluye mortero de pega, emboquille, grafiles. NO incluye aceros de refuerzos, según diseños.</t>
  </si>
  <si>
    <t>Cubiertas</t>
  </si>
  <si>
    <t>CUBIERTA EN TEJA TERMOACÚSTICA TIPO UPVC 2.5mm, color a definir. incluye caballetes, remates perimetrales, amarres y todos los accesorios necesarios para su instalación</t>
  </si>
  <si>
    <t>SOLAPA O FLANCHE EN LÁMINA GALVANIZADA CAL. 20, desarrollo según diseño, incluye elementos de fijación, acabado con anticorrosivo Wash Primer y pintura en esmalte para exteriores, incluye todos los elementos y materiales necesarios para su correcta instalación</t>
  </si>
  <si>
    <t>SUMINISTRO E INSTALACIÓN DE CANAL EN LÁMINA GALVANIZADA C 20, longitud de desarrollo entre 1,00 y 1,20 m</t>
  </si>
  <si>
    <t>Cielo Rasos</t>
  </si>
  <si>
    <t xml:space="preserve">CIELO RASO PANEL YESO TIPO RH DE ½”  Incluye estructura metálica para armado y soporte, dilataciones, tratamiento de juntas con cinta malla. Pintura color blanco, 3 manos. </t>
  </si>
  <si>
    <t>PAÑETE LISO EN MORTERO 1:3, incluye filos, dilataciones, carteras de vanos, y medidas inferiores a un metro, incluye todos los demás materiales y elementos necesarios para su correcta aplicación</t>
  </si>
  <si>
    <t>Enchapes pisos y paredes</t>
  </si>
  <si>
    <t>ALISTADO DE PISO EN MORTERO 1:4, espesor 4 cm, incluye dilataciones en material flexible (según diseño), pendientado y todos los elementos y materiales necesarios para su correcta instalación</t>
  </si>
  <si>
    <t>ENCHAPE DE PISO/PARED EN CERÁMICA GRES NEW TABLÓN TRADICIÓN SAHARA (Dimensión mínima 30 cm X 30 cm) PARA USO INSTITUCIONAL. Trafico pesado, incluye pegante tipo PEGACOR o Alfa Listo Plus, boquilla blanca</t>
  </si>
  <si>
    <t>Guarda escobas y boca puertas</t>
  </si>
  <si>
    <t>GUARDA ESCOBA EN TABLETA CERÁMICA H = 10 cm, incluye material, mano de obra, remate superior, win en aluminio en las esquinas, herramienta y demás materiales necesarios para la correcta instalación.</t>
  </si>
  <si>
    <t>ZÓCALO EN MEDIACAÑA Vaciada en granito pulido, incluye dilataciones en t longitudinales.</t>
  </si>
  <si>
    <t>Varios</t>
  </si>
  <si>
    <t>MESÓN EN CONCRETO REFORZADO f'c = 2500 PSI, fundido en sitio, forma y dimensiones según diseño (a= +-0.60), incluye refuerzo y anclajes según planos; incluye enchape en granito pulido grano fino e = 2 cm, color A DEFINIR, con salpicadero de 10 cm tanto atrás como en los laterales y faldón de 12 cm; incluye formaleta y todos elementos, materiales, equipos y mano de obra requerida para su correcta ejecución</t>
  </si>
  <si>
    <t>POCETA DE ASEO EN CONCRETO IMPERMEABILIZADO F'C = 2500 PSI, fundido en sitio, forma y dimensiones según diseño, enchapada cerámica PRIMERA CALIDAD, incluye refuerzo con malla electrosoldada en aluminio en todos sus vértices, win de aluminio, mano de obra y todos los demás materiales y elementos necesarios para su correcta ejecución</t>
  </si>
  <si>
    <t>SUMINISTRO E INSTALACIÓN DE PANELES EN LATAS DE GUADUA INMUNIZADA entre 3 y 4 cm de ancho,  tapa interna en ángulo 1/2" x 2,5 mm, externa en platina de 2" x 1/8", marco en tubular metálico 2" x 4" calibre 18, varilla transversal de 1/2" lisa cada 30 cm, soldada, incluye elementos de sujeción, wash premier, y acabado en pintura esmalte, color según diseños o a definir.</t>
  </si>
  <si>
    <t>SUMINISTRO E INSTALACIÓN DE PUERTAS EN LATAS DE GUADUA INMUNIZADA entre 3 y 4 cm de ancho,  tapa interna en ángulo 1/2" x 2,5 mm, externa en platina de 2" x 1/8", marco en tubular metálico 2" x 4" calibre 18, varilla transversal de 1/2" lisa cada 30 cm, soldada, incluye elementos de sujeción, wash premier, y acabado en pintura esmalte, color según diseños o a definir.</t>
  </si>
  <si>
    <t>REJAS Y VENTANAS</t>
  </si>
  <si>
    <t>CERRAMIENTO CON PUERTA EN MALLA EXPANDIDA Cal 18, CON MARCO EN ANGULO DE 2" X 1/8" WASH PREMIER Y PINTURA ESMALTE, Incluye soldadura, puerta dos hojas, portacandado y manijas para la puerta, materiales, anclajes, mano de obra, herramienta y demás materiales necesarios para la correcta instalación.</t>
  </si>
  <si>
    <t>PUERTAS</t>
  </si>
  <si>
    <t>SUMINISTRO E INSTALACIÓN DE PUERTA ENTAMBORADA EN LAMINA CR CALIBRE 20, ESTRUCTURA TUBULAR DE 1 1/2" SEGÚN PLANOS, incluye marco en lamina CR calibre 16, pintura anticorrosiva pantone según planos y esmalte de protección ambientes salinos, anclaje tipo y, bisagras, soporte para cerradura, topes de caucho y todo lo necesario para su correcta fabricación e instalación.</t>
  </si>
  <si>
    <t>VARIOS</t>
  </si>
  <si>
    <t>SUMINISTRO E INSTALACIÓN DE ESCALERA METÁLICA TIPO GATO EN TUBO ESTRUCTURAL GALVANIZADO DE 1" PARA ACCESO A TANQUE DE AGUA, incluye pintura anticorrosiva y esmalte de protección ambientes salinos, pernos, topes de caucho y todo lo necesario para su correcta instalación</t>
  </si>
  <si>
    <t>16.01</t>
  </si>
  <si>
    <t>COMBO DE CERRADURA ANTIPÁNICO TAMPA, incluye 1 barra Antipánico con un punto de cierre, 1 barra Antipánico con 2 puntos de cierre, 1 Manija Eiffel, 2 Cierrapuertas Ref. 3005; incluye accesorios, materiales, mano de obra, herramientas y todos los elementos necesarios para su correcta instalación y funcionamiento</t>
  </si>
  <si>
    <t>CERRADURA MANIJA LISA PARA ENTRADA CAPRI CROMADO MATE, incluye tres llaves, montaje, accesorios, materiales, mano de obra, herramientas y todos los elementos necesarios para su correcta instalación y funcionamiento</t>
  </si>
  <si>
    <t>CERRADURA CERROJO SENCILLO MULTIPUNTO CROMADO MATE YALE, STANLEY O SCHLAGE, incluye tres llaves, montaje, accesorios, materiales, mano de obra, herramientas y todos los elementos necesarios para su correcta instalación y funcionamiento</t>
  </si>
  <si>
    <t>TIRADORES TIPO H, para puertas batientes y/o corredizas en acero inoxidable, incluye perforaciones y todos los elementos necesarios para su correcta instalación y funcionamiento.  </t>
  </si>
  <si>
    <t>APARATOS SANITARIOS</t>
  </si>
  <si>
    <t>SUMINISTRO E INSTALACIÓN SANITARIO ELONGADO DE TANQUE PARA PERSONAS CON MOVILIDAD REDUCIDA. Incluye transporte, material, tapa, asiento, mano de obra, herramienta y demás materiales necesarios para la correcta instalación y funcionamiento.</t>
  </si>
  <si>
    <t>SUMINISTRO E INSTALACIÓN DE ORINAL TIPO INSTITUCIONAL PARA ADULTOS Incluye transporte, material, mano de obra, herramienta y demás materiales necesarios para la correcta instalación y funcionamiento.</t>
  </si>
  <si>
    <t>GRIFERÍAS</t>
  </si>
  <si>
    <t>SUMINISTRO E INSTALACIÓN DE GRIFERÍA PARA LAVAMANOS DE MESA TIPO PUSH +ACCESORIOS Incluye desagüe, materiales, mano de obra, herramienta y demás materiales necesarios para la correcta instalación y funcionamiento.</t>
  </si>
  <si>
    <t>SUMINISTRO E INSTALACIÓN GRIFERÍA PARA ORINAL TIPO FLUXÓMETRO DE PALANCA+ ACCESORIOS Incluye desagüe, materiales, mano de obra, herramienta y demás materiales necesarios para la correcta instalación y funcionamiento.</t>
  </si>
  <si>
    <t>SUMINISTRO E INSTALACIÓN DE GRIFERÍA PARA LAVAPLATOS + ACCESORIOS (Tipo mono control alta y baja) Incluye desagüe, materiales, mano de obra, herramienta y demás materiales necesarios para la correcta instalación y funcionamiento.</t>
  </si>
  <si>
    <t>ACCESORIOS</t>
  </si>
  <si>
    <t>BARRA DE SEGURIDAD ABATIBLE EN "U" EN ACERO INOXIDABLE + BARRA FIJA 50 cm, incluye anclajes, materiales, mano de obra, herramienta y demás necesarios para la correcta instalación.</t>
  </si>
  <si>
    <t>SUMINISTRO E INSTALACIÓN GABINETE PARA TOALLAS DE PAPEL de sobreponer a la pared en acero inoxidable, para 450 toallas plegadas en C o 600 múltifold.</t>
  </si>
  <si>
    <t>SUMINISTRO E INSTALACIÓN DE DISPENSADOR DE PAPEL HIGIÉNICO EN ACERO INOXIDABLE, acabado satinado, incluye llave, anclajes, mano de obra, herramienta y todos los materiales y accesorios necesarios para su correcta instalación y funcionamiento</t>
  </si>
  <si>
    <t>SUMINISTRO E INSTALACIÓN PAPELERA PARA MODULO SANITARIO anclada a la división sanitaria durante el proceso de armado o anclada al muro dim: 0,40 mts x 0,31 mts x 0,13 mts en lámina de acero inoxidable SAE 304, Acabado satinado prelijado N.4, con soporte para bolsa plástica, capacidad 14,5 LTS. Incluye elementos de sujeción y anclaje.</t>
  </si>
  <si>
    <t>SUMINISTRO E INSTALACIÓN DE DISPENSADOR DE JABÓN LÍQUIDO EN ACERO INOXIDABLE 1000 Ml de 20x13 cm</t>
  </si>
  <si>
    <t>SUMINISTRO E INSTALACIÓN DE TAPA PLÁSTICA PARA REGISTRO 20*20 cms. Incluye material, mano de obra, herramienta y demás materiales necesarios para la correcta instalación.</t>
  </si>
  <si>
    <t>APLICACIÓN DE TRES MANOS DE PINTURA VINILO EXTERIOR TIPO KORAZA DOBLE VIDA 10 AÑOS; para muros interiores y exteriores color a definir, incluye filos, cortes, dilataciones y alturas menores a 1.00 m; incluye todos elementos, materiales, equipos y mano de obra requerida para su correcta ejecución</t>
  </si>
  <si>
    <t>SUMINISTRO E INSTALACIÓN DE ESPEJO PARA BAÑO DE PERSONAS CON MOVILIDAD REDUCIDA EN VIDRIO CRUDO DE 4 mm BISELADO, con marco en perfil cuadrado inclinado de aluminio colocado en la parte posterior en todo su contorno, fijado a muro con chazos arriba y abajo, incluye material, mano de obra, herramienta y demás materiales necesarios para su correcta instalación</t>
  </si>
  <si>
    <t>SUMINISTRO E INSTALACIÓN DE ESPEJO EN VIDRIO CRUDO DE 4 MM BISELADO, con marco en perfil cuadrado de aluminio colocado en la parte posterior en todo su contorno, fijado a muro con chazos arriba y abajo, incluye material, mano de obra, herramienta y demás materiales necesarios para su correcta instalación</t>
  </si>
  <si>
    <t>SUMINISTRO E INSTALACIÓN DE GABINETE PARA PRIMEROS AUXILIOS, incluye dotación acorde a normatividad vigente, soportes y aviso.</t>
  </si>
  <si>
    <t>SUMINISTRO E INSTALACIÓN DE EXTINTORES MULTIPROPÓSITO CAPACIDAD 10LIB - (incluye soporte y aviso señaletica)</t>
  </si>
  <si>
    <t>ANDENES Y RAMPAS EN CONCRETO ESCOBEADO f'c = 2500 PSI E= 0.10 m (incluye dilataciones cada 1,5 veces el ancho del anden) incluye material, mano de obra, herramienta y demás materiales necesarios para la correcta instalación.</t>
  </si>
  <si>
    <t>ACABADO DE PISO EN GRAVILLA FINA DE 1/2" esp 5 cm. Incluye base granular B200 de 15 cm.</t>
  </si>
  <si>
    <t>SUMINISTRO E INSTALACIÓN DE BORDILLO PREFABRICADO A80 (dimensiones: base 20 cm alto 35 cm), Incluye mortero de nivelación y pega, mano de obra, herramientas y demás materiales necesarios para la realización de la actividad.</t>
  </si>
  <si>
    <t>GAVIÓN EN MALLA DE 2x1x1 m, HUECO DE 6x8, ALAMBRE DE 2.4 mm (Cal, 13 o superior), RECUBRIMIENTO PVC, PIEDRA EN 4" Y 10", PERFILADA Y ORGANIZADA AL EXTERIOR.</t>
  </si>
  <si>
    <t>SUMINISTRO E INSTALACIÓN DE LETRAS CON EL TEXTO DEL NOMBRE DEL PROYECTO, UBICADO SEGÚN DISEÑO ARQUITECTÓNICO, Aviso ubicado sobre muro  (Viga de cimentación ítem 22,6, mampostería ítem 1,1, alfajía ítem 10,5 según planos)
Letras tipo NUNITO SANS o según diseño de 0.25 m de altura, profundidad de 0.01 m, fabricadas en aluminio fundido con acabado semimate y con laca transparente para metal, fijadas por medio de pernos soldados a puentes en el reverso de la letra, anclados al muro, incluye anclaje epóxico y todos los elementos, materiales, equipos y mano de obra requerida para su correcta ejecución e instalación</t>
  </si>
  <si>
    <t>SUMINISTRO E INSTALACIÓN DE SEÑALIZACIÓN E INFORMACIÓN - PORTA PLANO DE EVACUACIÓN DE 50 x 35 cm, elaborado en acrílico cristal Cal. 2 mm, soportado con cuatro (4) distanciadores pequeños en aluminio, indicando las salidas de emergencia, incluye plano a color, según diseño.</t>
  </si>
  <si>
    <t>SUMINISTRO E INSTALACIÓN DE SEÑALIZACIÓN E INFORMACIÓN - AVISOS ESPACIOS DE 20 x 20 cm, elaborado en acrílico cristal Cal. 2 mm, soportado con cuatro (4) distanciadores pequeños en aluminio, con vinilo al espejo (parte posterior) incluye imagen y texto, con sistema de relieve (braille) en la parte inferior, según diseño.</t>
  </si>
  <si>
    <t>SUMINISTRO E INSTALACIÓN DE SEÑALIZACIÓN E INFORMACIÓN - AVISOS SALIDAS DE EMERGENCIA DE 21 x 29,7 cm, elaborado en acrílico cristal Cal. 2 mm cuerpo reflectivo, soportado con cuatro (4) distanciadores pequeños en aluminio, con vinilo al espejo (parte posterior) incluye imagen y texto, según diseño.</t>
  </si>
  <si>
    <t>ASEO GENERAL DE OBRA</t>
  </si>
  <si>
    <t>Contribución contratos 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</si>
</sst>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0.0"/>
    <numFmt numFmtId="165" formatCode="&quot;$&quot;\ #,##0.00"/>
    <numFmt numFmtId="166" formatCode="_-* #,##0.00\ _P_t_s_-;\-* #,##0.00\ _P_t_s_-;_-* &quot;-&quot;??\ _P_t_s_-;_-@_-"/>
    <numFmt numFmtId="167" formatCode="_(&quot;$&quot;\ * #,##0.00_);_(&quot;$&quot;\ * \(#,##0.00\);_(&quot;$&quot;\ * &quot;-&quot;??_);_(@_)"/>
    <numFmt numFmtId="168" formatCode="#,##0.0000"/>
    <numFmt numFmtId="169" formatCode="_-* #,##0.00\ &quot;Pts&quot;_-;\-* #,##0.00\ &quot;Pts&quot;_-;_-* &quot;-&quot;??\ &quot;Pts&quot;_-;_-@_-"/>
    <numFmt numFmtId="170" formatCode="[$$-240A]\ #,##0.00"/>
    <numFmt numFmtId="171" formatCode="_-[$$-240A]\ * #,##0.00_-;\-[$$-240A]\ * #,##0.00_-;_-[$$-240A]\ * &quot;-&quot;??_-;_-@_-"/>
    <numFmt numFmtId="172" formatCode="_(* #,##0.00_);_(* \(#,##0.00\);_(* &quot;-&quot;??_);_(@_)"/>
    <numFmt numFmtId="173" formatCode="0.000%"/>
    <numFmt numFmtId="174" formatCode="_-[$$-2C0A]\ * #,##0.00_-;\-[$$-2C0A]\ * #,##0.00_-;_-[$$-2C0A]\ * &quot;-&quot;??_-;_-@_-"/>
    <numFmt numFmtId="175" formatCode="0.000000%"/>
    <numFmt numFmtId="176" formatCode="_-* #,##0.0000_-;\-* #,##0.0000_-;_-* &quot;-&quot;??_-;_-@_-"/>
    <numFmt numFmtId="177" formatCode="_-* #,##0.0000_-;\-* #,##0.0000_-;_-* &quot;-&quot;????_-;_-@_-"/>
    <numFmt numFmtId="178" formatCode="0.00000000%"/>
    <numFmt numFmtId="179" formatCode="0#.00\ \L\t"/>
    <numFmt numFmtId="180" formatCode="_-[$$-240A]\ * #,##0.00_ ;_-[$$-240A]\ * \-#,##0.00\ ;_-[$$-240A]\ * &quot;-&quot;??_ ;_-@_ "/>
  </numFmts>
  <fonts count="38" x14ac:knownFonts="1">
    <font>
      <sz val="11"/>
      <color theme="1"/>
      <name val="Calibri"/>
      <family val="2"/>
      <scheme val="minor"/>
    </font>
    <font>
      <sz val="11"/>
      <color theme="1"/>
      <name val="Calibri"/>
      <family val="2"/>
      <scheme val="minor"/>
    </font>
    <font>
      <sz val="11"/>
      <color rgb="FFFF0000"/>
      <name val="Calibri"/>
      <family val="2"/>
      <scheme val="minor"/>
    </font>
    <font>
      <sz val="10"/>
      <name val="Calibri"/>
      <family val="2"/>
      <scheme val="minor"/>
    </font>
    <font>
      <sz val="10"/>
      <color theme="1"/>
      <name val="Calibri"/>
      <family val="2"/>
      <scheme val="minor"/>
    </font>
    <font>
      <sz val="10"/>
      <color indexed="8"/>
      <name val="MS Sans Serif"/>
      <family val="2"/>
    </font>
    <font>
      <b/>
      <sz val="10"/>
      <name val="Calibri"/>
      <family val="2"/>
      <scheme val="minor"/>
    </font>
    <font>
      <b/>
      <sz val="10"/>
      <color theme="1" tint="0.499984740745262"/>
      <name val="Calibri"/>
      <family val="2"/>
      <scheme val="minor"/>
    </font>
    <font>
      <sz val="10"/>
      <color theme="0"/>
      <name val="Calibri"/>
      <family val="2"/>
      <scheme val="minor"/>
    </font>
    <font>
      <sz val="10"/>
      <name val="Arial"/>
      <family val="2"/>
    </font>
    <font>
      <b/>
      <sz val="10"/>
      <color theme="1"/>
      <name val="Calibri"/>
      <family val="2"/>
      <scheme val="minor"/>
    </font>
    <font>
      <sz val="11"/>
      <color indexed="8"/>
      <name val="Calibri"/>
      <family val="2"/>
    </font>
    <font>
      <sz val="10"/>
      <color rgb="FFF8F8F8"/>
      <name val="Calibri"/>
      <family val="2"/>
      <scheme val="minor"/>
    </font>
    <font>
      <sz val="10"/>
      <color rgb="FF000000"/>
      <name val="Calibri"/>
      <family val="2"/>
      <scheme val="minor"/>
    </font>
    <font>
      <b/>
      <sz val="10"/>
      <color theme="0" tint="-0.14999847407452621"/>
      <name val="Calibri"/>
      <family val="2"/>
      <scheme val="minor"/>
    </font>
    <font>
      <b/>
      <sz val="10"/>
      <color rgb="FFF8F8F8"/>
      <name val="Calibri"/>
      <family val="2"/>
      <scheme val="minor"/>
    </font>
    <font>
      <sz val="11"/>
      <color theme="1"/>
      <name val="Calibri"/>
      <family val="2"/>
    </font>
    <font>
      <u/>
      <sz val="11"/>
      <color theme="10"/>
      <name val="Calibri"/>
      <family val="2"/>
      <scheme val="minor"/>
    </font>
    <font>
      <b/>
      <sz val="16"/>
      <color theme="1"/>
      <name val="Calibri"/>
      <family val="2"/>
      <scheme val="minor"/>
    </font>
    <font>
      <b/>
      <sz val="10"/>
      <color theme="0"/>
      <name val="Arial"/>
      <family val="2"/>
    </font>
    <font>
      <b/>
      <sz val="14"/>
      <name val="Arial"/>
      <family val="2"/>
    </font>
    <font>
      <sz val="11"/>
      <color theme="0" tint="-0.34998626667073579"/>
      <name val="Calibri"/>
      <family val="2"/>
      <scheme val="minor"/>
    </font>
    <font>
      <u/>
      <sz val="10"/>
      <color theme="10"/>
      <name val="Arial"/>
      <family val="2"/>
    </font>
    <font>
      <b/>
      <u/>
      <sz val="20"/>
      <color theme="0"/>
      <name val="Arial"/>
      <family val="2"/>
    </font>
    <font>
      <sz val="10"/>
      <color theme="1"/>
      <name val="Arial"/>
      <family val="2"/>
    </font>
    <font>
      <sz val="11"/>
      <color theme="1"/>
      <name val="Arial Narrow"/>
      <family val="2"/>
    </font>
    <font>
      <b/>
      <sz val="11"/>
      <color theme="0"/>
      <name val="Calibri"/>
      <family val="2"/>
    </font>
    <font>
      <sz val="11"/>
      <color theme="0"/>
      <name val="Calibri"/>
      <family val="2"/>
    </font>
    <font>
      <b/>
      <sz val="10"/>
      <color theme="1"/>
      <name val="Arial"/>
      <family val="2"/>
    </font>
    <font>
      <b/>
      <u/>
      <sz val="24"/>
      <color theme="0"/>
      <name val="Arial"/>
      <family val="2"/>
    </font>
    <font>
      <sz val="10"/>
      <color theme="0"/>
      <name val="Arial"/>
      <family val="2"/>
    </font>
    <font>
      <b/>
      <u/>
      <sz val="28"/>
      <color theme="0"/>
      <name val="Arial"/>
      <family val="2"/>
    </font>
    <font>
      <b/>
      <sz val="9"/>
      <color theme="0"/>
      <name val="Arial"/>
      <family val="2"/>
    </font>
    <font>
      <sz val="9"/>
      <name val="Arial"/>
      <family val="2"/>
    </font>
    <font>
      <b/>
      <sz val="9"/>
      <name val="Arial"/>
      <family val="2"/>
    </font>
    <font>
      <b/>
      <sz val="11"/>
      <name val="Arial"/>
      <family val="2"/>
    </font>
    <font>
      <sz val="11"/>
      <name val="Arial"/>
      <family val="2"/>
    </font>
    <font>
      <b/>
      <sz val="10"/>
      <name val="Arial"/>
      <family val="2"/>
    </font>
  </fonts>
  <fills count="13">
    <fill>
      <patternFill patternType="none"/>
    </fill>
    <fill>
      <patternFill patternType="gray125"/>
    </fill>
    <fill>
      <patternFill patternType="solid">
        <fgColor theme="0" tint="-0.249977111117893"/>
        <bgColor indexed="64"/>
      </patternFill>
    </fill>
    <fill>
      <patternFill patternType="solid">
        <fgColor rgb="FFFFFF66"/>
        <bgColor indexed="64"/>
      </patternFill>
    </fill>
    <fill>
      <patternFill patternType="solid">
        <fgColor theme="0" tint="-0.34998626667073579"/>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3"/>
        <bgColor rgb="FFD8D8D8"/>
      </patternFill>
    </fill>
    <fill>
      <patternFill patternType="solid">
        <fgColor theme="3"/>
        <bgColor indexed="64"/>
      </patternFill>
    </fill>
    <fill>
      <patternFill patternType="solid">
        <fgColor rgb="FF0070C0"/>
        <bgColor indexed="64"/>
      </patternFill>
    </fill>
    <fill>
      <patternFill patternType="solid">
        <fgColor rgb="FF7030A0"/>
        <bgColor indexed="64"/>
      </patternFill>
    </fill>
    <fill>
      <patternFill patternType="solid">
        <fgColor theme="0"/>
        <bgColor indexed="64"/>
      </patternFill>
    </fill>
    <fill>
      <patternFill patternType="solid">
        <fgColor theme="9" tint="-0.249977111117893"/>
        <bgColor indexed="64"/>
      </patternFill>
    </fill>
  </fills>
  <borders count="6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top style="double">
        <color auto="1"/>
      </top>
      <bottom style="thin">
        <color indexed="64"/>
      </bottom>
      <diagonal/>
    </border>
    <border>
      <left style="double">
        <color auto="1"/>
      </left>
      <right style="double">
        <color indexed="64"/>
      </right>
      <top style="double">
        <color auto="1"/>
      </top>
      <bottom style="thin">
        <color indexed="64"/>
      </bottom>
      <diagonal/>
    </border>
    <border>
      <left/>
      <right style="double">
        <color auto="1"/>
      </right>
      <top/>
      <bottom/>
      <diagonal/>
    </border>
    <border>
      <left style="double">
        <color auto="1"/>
      </left>
      <right style="thin">
        <color indexed="64"/>
      </right>
      <top style="thin">
        <color indexed="64"/>
      </top>
      <bottom style="thin">
        <color indexed="64"/>
      </bottom>
      <diagonal/>
    </border>
    <border>
      <left/>
      <right style="double">
        <color auto="1"/>
      </right>
      <top style="thin">
        <color indexed="64"/>
      </top>
      <bottom style="thin">
        <color indexed="64"/>
      </bottom>
      <diagonal/>
    </border>
    <border>
      <left style="double">
        <color auto="1"/>
      </left>
      <right style="thin">
        <color indexed="64"/>
      </right>
      <top style="thin">
        <color indexed="64"/>
      </top>
      <bottom style="double">
        <color auto="1"/>
      </bottom>
      <diagonal/>
    </border>
    <border>
      <left/>
      <right style="double">
        <color auto="1"/>
      </right>
      <top/>
      <bottom style="double">
        <color auto="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1" tint="0.499984740745262"/>
      </top>
      <bottom style="thin">
        <color theme="1" tint="0.499984740745262"/>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style="thin">
        <color theme="4" tint="0.39997558519241921"/>
      </left>
      <right/>
      <top style="thin">
        <color theme="1" tint="0.499984740745262"/>
      </top>
      <bottom/>
      <diagonal/>
    </border>
    <border>
      <left style="thin">
        <color theme="4" tint="0.39997558519241921"/>
      </left>
      <right/>
      <top style="double">
        <color theme="4"/>
      </top>
      <bottom style="thin">
        <color theme="4" tint="0.39997558519241921"/>
      </bottom>
      <diagonal/>
    </border>
    <border>
      <left/>
      <right/>
      <top style="double">
        <color theme="4"/>
      </top>
      <bottom style="thin">
        <color theme="4" tint="0.39997558519241921"/>
      </bottom>
      <diagonal/>
    </border>
    <border>
      <left/>
      <right style="thin">
        <color theme="4" tint="0.39997558519241921"/>
      </right>
      <top style="double">
        <color theme="4"/>
      </top>
      <bottom style="thin">
        <color theme="4" tint="0.39997558519241921"/>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rgb="FF000000"/>
      </left>
      <right/>
      <top/>
      <bottom/>
      <diagonal/>
    </border>
    <border>
      <left/>
      <right style="medium">
        <color rgb="FF000000"/>
      </right>
      <top/>
      <bottom/>
      <diagonal/>
    </border>
    <border>
      <left style="thin">
        <color theme="0" tint="-0.499984740745262"/>
      </left>
      <right/>
      <top/>
      <bottom/>
      <diagonal/>
    </border>
    <border>
      <left style="thin">
        <color theme="0" tint="-0.499984740745262"/>
      </left>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rgb="FF8EA9DB"/>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8EA9DB"/>
      </left>
      <right/>
      <top style="thin">
        <color theme="4" tint="0.39997558519241921"/>
      </top>
      <bottom/>
      <diagonal/>
    </border>
    <border>
      <left/>
      <right/>
      <top style="thin">
        <color theme="4" tint="0.39997558519241921"/>
      </top>
      <bottom/>
      <diagonal/>
    </border>
    <border>
      <left/>
      <right style="thin">
        <color rgb="FF808080"/>
      </right>
      <top style="thin">
        <color theme="4" tint="0.39997558519241921"/>
      </top>
      <bottom/>
      <diagonal/>
    </border>
    <border>
      <left style="thin">
        <color rgb="FF8EA9DB"/>
      </left>
      <right/>
      <top style="double">
        <color theme="4"/>
      </top>
      <bottom style="thin">
        <color theme="4" tint="0.39997558519241921"/>
      </bottom>
      <diagonal/>
    </border>
    <border>
      <left/>
      <right style="thin">
        <color rgb="FF808080"/>
      </right>
      <top style="double">
        <color theme="4"/>
      </top>
      <bottom style="thin">
        <color theme="4" tint="0.39997558519241921"/>
      </bottom>
      <diagonal/>
    </border>
    <border>
      <left style="thin">
        <color theme="4" tint="0.39997558519241921"/>
      </left>
      <right/>
      <top style="thin">
        <color rgb="FF808080"/>
      </top>
      <bottom/>
      <diagonal/>
    </border>
    <border>
      <left/>
      <right style="thin">
        <color theme="4" tint="0.39997558519241921"/>
      </right>
      <top style="thin">
        <color rgb="FF808080"/>
      </top>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style="double">
        <color theme="4"/>
      </top>
      <bottom style="thin">
        <color rgb="FF808080"/>
      </bottom>
      <diagonal/>
    </border>
    <border>
      <left/>
      <right/>
      <top style="double">
        <color theme="4"/>
      </top>
      <bottom style="thin">
        <color rgb="FF808080"/>
      </bottom>
      <diagonal/>
    </border>
    <border>
      <left/>
      <right style="thin">
        <color rgb="FF808080"/>
      </right>
      <top style="double">
        <color theme="4"/>
      </top>
      <bottom style="thin">
        <color rgb="FF80808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9">
    <xf numFmtId="0" fontId="0" fillId="0" borderId="0"/>
    <xf numFmtId="0" fontId="5" fillId="0" borderId="0"/>
    <xf numFmtId="0" fontId="1" fillId="0" borderId="0"/>
    <xf numFmtId="0" fontId="9" fillId="0" borderId="0"/>
    <xf numFmtId="166" fontId="9" fillId="0" borderId="0" applyFont="0" applyFill="0" applyBorder="0" applyAlignment="0" applyProtection="0"/>
    <xf numFmtId="167" fontId="11" fillId="0" borderId="0" applyFont="0" applyFill="0" applyBorder="0" applyAlignment="0" applyProtection="0"/>
    <xf numFmtId="0" fontId="9" fillId="0" borderId="0"/>
    <xf numFmtId="169" fontId="9" fillId="0" borderId="0" applyFont="0" applyFill="0" applyBorder="0" applyAlignment="0" applyProtection="0"/>
    <xf numFmtId="0" fontId="9" fillId="0" borderId="0"/>
    <xf numFmtId="0" fontId="17" fillId="0" borderId="0" applyNumberFormat="0" applyFill="0" applyBorder="0" applyAlignment="0" applyProtection="0"/>
    <xf numFmtId="0" fontId="1" fillId="0" borderId="0"/>
    <xf numFmtId="0" fontId="9" fillId="0" borderId="0"/>
    <xf numFmtId="0" fontId="22" fillId="0" borderId="0" applyNumberFormat="0" applyFill="0" applyBorder="0" applyAlignment="0" applyProtection="0"/>
    <xf numFmtId="172" fontId="1"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0" borderId="0"/>
    <xf numFmtId="179" fontId="9" fillId="0" borderId="0" applyFont="0" applyFill="0" applyBorder="0" applyAlignment="0" applyProtection="0"/>
  </cellStyleXfs>
  <cellXfs count="343">
    <xf numFmtId="0" fontId="0" fillId="0" borderId="0" xfId="0"/>
    <xf numFmtId="0" fontId="3" fillId="0" borderId="1" xfId="0" applyFont="1" applyBorder="1" applyAlignment="1">
      <alignment vertical="center"/>
    </xf>
    <xf numFmtId="164" fontId="3" fillId="0" borderId="2" xfId="0" applyNumberFormat="1" applyFont="1" applyBorder="1" applyAlignment="1">
      <alignment horizontal="center" vertical="center"/>
    </xf>
    <xf numFmtId="0" fontId="3" fillId="0" borderId="2" xfId="0" applyFont="1" applyBorder="1" applyAlignment="1">
      <alignment horizontal="left" vertical="center"/>
    </xf>
    <xf numFmtId="0" fontId="3" fillId="0" borderId="2" xfId="0" applyFont="1" applyBorder="1" applyAlignment="1">
      <alignment horizontal="center" vertical="center"/>
    </xf>
    <xf numFmtId="4" fontId="3" fillId="0" borderId="2" xfId="0" applyNumberFormat="1" applyFont="1" applyBorder="1" applyAlignment="1">
      <alignment vertical="center"/>
    </xf>
    <xf numFmtId="165" fontId="3" fillId="0" borderId="2" xfId="0" applyNumberFormat="1" applyFont="1" applyBorder="1" applyAlignment="1">
      <alignment horizontal="right" vertical="center"/>
    </xf>
    <xf numFmtId="165" fontId="3" fillId="0" borderId="2" xfId="0" applyNumberFormat="1" applyFont="1" applyBorder="1" applyAlignment="1">
      <alignment vertical="center"/>
    </xf>
    <xf numFmtId="0" fontId="4" fillId="0" borderId="3" xfId="0" applyFont="1" applyBorder="1"/>
    <xf numFmtId="0" fontId="4" fillId="0" borderId="0" xfId="0" applyFont="1" applyAlignment="1">
      <alignment horizontal="center" vertical="center"/>
    </xf>
    <xf numFmtId="0" fontId="4" fillId="0" borderId="0" xfId="0" applyFont="1"/>
    <xf numFmtId="0" fontId="3" fillId="0" borderId="4" xfId="0" applyFont="1" applyBorder="1" applyAlignment="1">
      <alignment vertical="center"/>
    </xf>
    <xf numFmtId="0" fontId="3" fillId="0" borderId="0" xfId="0" applyFont="1" applyAlignment="1">
      <alignment horizontal="center" vertical="center"/>
    </xf>
    <xf numFmtId="165" fontId="4" fillId="0" borderId="0" xfId="0" applyNumberFormat="1" applyFont="1" applyAlignment="1">
      <alignment horizontal="right"/>
    </xf>
    <xf numFmtId="165" fontId="3" fillId="0" borderId="0" xfId="0" applyNumberFormat="1" applyFont="1" applyAlignment="1">
      <alignment vertical="center"/>
    </xf>
    <xf numFmtId="0" fontId="4" fillId="0" borderId="7" xfId="0" applyFont="1" applyBorder="1"/>
    <xf numFmtId="0" fontId="6" fillId="0" borderId="8" xfId="0" applyFont="1" applyBorder="1" applyAlignment="1">
      <alignment horizontal="left" vertical="center"/>
    </xf>
    <xf numFmtId="49" fontId="3" fillId="0" borderId="9" xfId="0" applyNumberFormat="1" applyFont="1" applyBorder="1" applyAlignment="1">
      <alignment horizontal="left" vertical="center"/>
    </xf>
    <xf numFmtId="0" fontId="6" fillId="0" borderId="10" xfId="0" applyFont="1" applyBorder="1" applyAlignment="1">
      <alignment horizontal="left" vertical="center"/>
    </xf>
    <xf numFmtId="0" fontId="3" fillId="0" borderId="11" xfId="0" applyFont="1" applyBorder="1" applyAlignment="1">
      <alignment horizontal="left" vertical="center"/>
    </xf>
    <xf numFmtId="0" fontId="3" fillId="0" borderId="0" xfId="0" applyFont="1" applyAlignment="1">
      <alignment vertical="center"/>
    </xf>
    <xf numFmtId="164" fontId="3" fillId="0" borderId="0" xfId="0" applyNumberFormat="1" applyFont="1" applyAlignment="1">
      <alignment horizontal="center" vertical="center"/>
    </xf>
    <xf numFmtId="0" fontId="3" fillId="0" borderId="0" xfId="0" applyFont="1" applyAlignment="1">
      <alignment horizontal="left" vertical="center"/>
    </xf>
    <xf numFmtId="4" fontId="7" fillId="0" borderId="0" xfId="2" applyNumberFormat="1" applyFont="1" applyAlignment="1">
      <alignment vertical="center"/>
    </xf>
    <xf numFmtId="165" fontId="3" fillId="0" borderId="0" xfId="0" applyNumberFormat="1" applyFont="1" applyAlignment="1">
      <alignment horizontal="right" vertical="center"/>
    </xf>
    <xf numFmtId="0" fontId="8" fillId="0" borderId="4" xfId="0" applyFont="1" applyBorder="1" applyAlignment="1">
      <alignment horizontal="center" vertical="center"/>
    </xf>
    <xf numFmtId="49" fontId="6" fillId="0" borderId="0" xfId="3" applyNumberFormat="1" applyFont="1" applyAlignment="1">
      <alignment horizontal="center" vertical="center" wrapText="1"/>
    </xf>
    <xf numFmtId="0" fontId="6" fillId="0" borderId="0" xfId="3" applyFont="1" applyAlignment="1">
      <alignment horizontal="center" vertical="center" wrapText="1"/>
    </xf>
    <xf numFmtId="4" fontId="6" fillId="0" borderId="0" xfId="3" applyNumberFormat="1" applyFont="1" applyAlignment="1">
      <alignment horizontal="center" vertical="center" wrapText="1"/>
    </xf>
    <xf numFmtId="165" fontId="6" fillId="0" borderId="0" xfId="3" applyNumberFormat="1" applyFont="1" applyAlignment="1">
      <alignment horizontal="right" vertical="center" wrapText="1"/>
    </xf>
    <xf numFmtId="165" fontId="6" fillId="0" borderId="0" xfId="3" applyNumberFormat="1" applyFont="1" applyAlignment="1">
      <alignment horizontal="center" vertical="center" wrapText="1"/>
    </xf>
    <xf numFmtId="3" fontId="6" fillId="4" borderId="0" xfId="0" applyNumberFormat="1" applyFont="1" applyFill="1" applyAlignment="1">
      <alignment horizontal="center" vertical="center" wrapText="1"/>
    </xf>
    <xf numFmtId="0" fontId="6" fillId="4" borderId="0" xfId="0" applyFont="1" applyFill="1" applyAlignment="1">
      <alignment horizontal="left" vertical="center" wrapText="1"/>
    </xf>
    <xf numFmtId="0" fontId="6" fillId="4" borderId="0" xfId="0" applyFont="1" applyFill="1" applyAlignment="1">
      <alignment horizontal="center" vertical="center" wrapText="1"/>
    </xf>
    <xf numFmtId="4" fontId="6" fillId="4" borderId="0" xfId="0" applyNumberFormat="1" applyFont="1" applyFill="1" applyAlignment="1">
      <alignment horizontal="center" vertical="center" wrapText="1"/>
    </xf>
    <xf numFmtId="165" fontId="6" fillId="4" borderId="0" xfId="0" applyNumberFormat="1" applyFont="1" applyFill="1" applyAlignment="1">
      <alignment horizontal="right" vertical="center" wrapText="1"/>
    </xf>
    <xf numFmtId="165" fontId="6" fillId="4" borderId="0" xfId="0" applyNumberFormat="1" applyFont="1" applyFill="1" applyAlignment="1">
      <alignment horizontal="center" vertical="center" wrapText="1"/>
    </xf>
    <xf numFmtId="0" fontId="10" fillId="0" borderId="0" xfId="0" applyFont="1" applyAlignment="1">
      <alignment horizontal="center" vertical="center"/>
    </xf>
    <xf numFmtId="0" fontId="6" fillId="0" borderId="0" xfId="0" applyFont="1" applyAlignment="1">
      <alignment horizontal="justify" vertical="center" wrapText="1"/>
    </xf>
    <xf numFmtId="0" fontId="3" fillId="0" borderId="0" xfId="0" applyFont="1" applyAlignment="1">
      <alignment horizontal="center" vertical="center" wrapText="1"/>
    </xf>
    <xf numFmtId="4" fontId="3" fillId="0" borderId="0" xfId="4" applyNumberFormat="1" applyFont="1" applyFill="1" applyBorder="1" applyAlignment="1" applyProtection="1">
      <alignment horizontal="center" vertical="center" wrapText="1"/>
    </xf>
    <xf numFmtId="165" fontId="3" fillId="0" borderId="0" xfId="0" applyNumberFormat="1" applyFont="1" applyAlignment="1">
      <alignment horizontal="right" vertical="center" wrapText="1"/>
    </xf>
    <xf numFmtId="165" fontId="3" fillId="0" borderId="0" xfId="5" applyNumberFormat="1" applyFont="1" applyFill="1" applyBorder="1" applyAlignment="1" applyProtection="1">
      <alignment vertical="center" wrapText="1"/>
    </xf>
    <xf numFmtId="10" fontId="4" fillId="0" borderId="0" xfId="0" applyNumberFormat="1" applyFont="1"/>
    <xf numFmtId="0" fontId="3" fillId="0" borderId="0" xfId="0" applyFont="1" applyAlignment="1">
      <alignment horizontal="justify" vertical="center" wrapText="1"/>
    </xf>
    <xf numFmtId="4" fontId="4" fillId="0" borderId="0" xfId="0" applyNumberFormat="1" applyFont="1"/>
    <xf numFmtId="0" fontId="12" fillId="0" borderId="0" xfId="0" applyFont="1" applyAlignment="1">
      <alignment horizontal="center" vertical="center" wrapText="1"/>
    </xf>
    <xf numFmtId="0" fontId="3" fillId="0" borderId="0" xfId="0" applyFont="1" applyAlignment="1">
      <alignment horizontal="right" vertical="center" wrapText="1"/>
    </xf>
    <xf numFmtId="165" fontId="3" fillId="0" borderId="0" xfId="0" applyNumberFormat="1" applyFont="1" applyAlignment="1">
      <alignment vertical="center" wrapText="1"/>
    </xf>
    <xf numFmtId="3" fontId="4" fillId="0" borderId="0" xfId="0" applyNumberFormat="1" applyFont="1" applyAlignment="1">
      <alignment horizontal="center" vertical="center"/>
    </xf>
    <xf numFmtId="0" fontId="3" fillId="0" borderId="0" xfId="0" applyFont="1" applyAlignment="1">
      <alignment horizontal="left" vertical="center" wrapText="1"/>
    </xf>
    <xf numFmtId="165" fontId="4" fillId="0" borderId="0" xfId="0" applyNumberFormat="1" applyFont="1"/>
    <xf numFmtId="165" fontId="3" fillId="0" borderId="0" xfId="5" applyNumberFormat="1" applyFont="1" applyFill="1" applyAlignment="1" applyProtection="1">
      <alignment vertical="center" wrapText="1"/>
    </xf>
    <xf numFmtId="3" fontId="6" fillId="0" borderId="0" xfId="0" applyNumberFormat="1" applyFont="1" applyAlignment="1">
      <alignment horizontal="center" vertical="center" wrapText="1"/>
    </xf>
    <xf numFmtId="0" fontId="6" fillId="0" borderId="0" xfId="0" applyFont="1" applyAlignment="1">
      <alignment horizontal="left" vertical="center" wrapText="1"/>
    </xf>
    <xf numFmtId="4" fontId="3" fillId="0" borderId="0" xfId="4" applyNumberFormat="1" applyFont="1" applyFill="1" applyAlignment="1" applyProtection="1">
      <alignment horizontal="center" vertical="center" wrapText="1"/>
    </xf>
    <xf numFmtId="3" fontId="3" fillId="0" borderId="0" xfId="0" applyNumberFormat="1" applyFont="1" applyAlignment="1">
      <alignment horizontal="center" vertical="center" wrapText="1"/>
    </xf>
    <xf numFmtId="4" fontId="3" fillId="0" borderId="12" xfId="4" applyNumberFormat="1" applyFont="1" applyFill="1" applyBorder="1" applyAlignment="1" applyProtection="1">
      <alignment horizontal="center" vertical="center" wrapText="1"/>
    </xf>
    <xf numFmtId="0" fontId="4" fillId="0" borderId="0" xfId="0" applyFont="1" applyAlignment="1">
      <alignment horizontal="center"/>
    </xf>
    <xf numFmtId="0" fontId="6" fillId="0" borderId="13" xfId="0" applyFont="1" applyBorder="1" applyAlignment="1">
      <alignment horizontal="center" vertical="center" wrapText="1"/>
    </xf>
    <xf numFmtId="0" fontId="4" fillId="0" borderId="12" xfId="0" applyFont="1" applyBorder="1" applyAlignment="1">
      <alignment horizontal="center" vertical="center"/>
    </xf>
    <xf numFmtId="0" fontId="10" fillId="0" borderId="12" xfId="0" applyFont="1" applyBorder="1" applyAlignment="1">
      <alignment horizontal="center" vertical="center"/>
    </xf>
    <xf numFmtId="0" fontId="6" fillId="0" borderId="14" xfId="0" applyFont="1" applyBorder="1" applyAlignment="1">
      <alignment horizontal="center" vertical="center" wrapText="1"/>
    </xf>
    <xf numFmtId="0" fontId="6" fillId="0" borderId="0" xfId="0" applyFont="1" applyAlignment="1">
      <alignment horizontal="justify" vertical="center"/>
    </xf>
    <xf numFmtId="0" fontId="3" fillId="0" borderId="0" xfId="0" applyFont="1" applyAlignment="1">
      <alignment horizontal="justify" vertical="center"/>
    </xf>
    <xf numFmtId="4" fontId="13" fillId="0" borderId="0" xfId="4"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xf>
    <xf numFmtId="165" fontId="3" fillId="0" borderId="0" xfId="5" applyNumberFormat="1" applyFont="1" applyAlignment="1" applyProtection="1">
      <alignment vertical="center" wrapText="1"/>
    </xf>
    <xf numFmtId="4" fontId="3" fillId="0" borderId="0" xfId="0" applyNumberFormat="1" applyFont="1" applyAlignment="1">
      <alignment horizontal="center" vertical="center" wrapText="1"/>
    </xf>
    <xf numFmtId="3" fontId="3" fillId="0" borderId="0" xfId="0" applyNumberFormat="1" applyFont="1" applyAlignment="1">
      <alignment horizontal="center" vertical="center"/>
    </xf>
    <xf numFmtId="165" fontId="3" fillId="0" borderId="0" xfId="5" applyNumberFormat="1" applyFont="1" applyFill="1" applyAlignment="1" applyProtection="1">
      <alignment horizontal="right" vertical="center" wrapText="1"/>
    </xf>
    <xf numFmtId="3" fontId="6" fillId="0" borderId="0" xfId="0" applyNumberFormat="1" applyFont="1" applyAlignment="1">
      <alignment horizontal="center" vertical="center"/>
    </xf>
    <xf numFmtId="3" fontId="3" fillId="0" borderId="13" xfId="0" applyNumberFormat="1" applyFont="1" applyBorder="1" applyAlignment="1">
      <alignment horizontal="center" vertical="center"/>
    </xf>
    <xf numFmtId="3" fontId="3" fillId="5" borderId="13" xfId="0" applyNumberFormat="1" applyFont="1" applyFill="1" applyBorder="1" applyAlignment="1">
      <alignment horizontal="center" vertical="center"/>
    </xf>
    <xf numFmtId="0" fontId="4" fillId="5" borderId="13" xfId="0" applyFont="1" applyFill="1" applyBorder="1" applyAlignment="1">
      <alignment horizontal="center" vertical="center"/>
    </xf>
    <xf numFmtId="0" fontId="4" fillId="0" borderId="13" xfId="0" applyFont="1" applyBorder="1" applyAlignment="1">
      <alignment horizontal="center" vertical="center"/>
    </xf>
    <xf numFmtId="0" fontId="4" fillId="0" borderId="4" xfId="0" applyFont="1" applyBorder="1"/>
    <xf numFmtId="168" fontId="3" fillId="0" borderId="0" xfId="4" applyNumberFormat="1" applyFont="1" applyFill="1" applyBorder="1" applyAlignment="1" applyProtection="1">
      <alignment horizontal="center" vertical="center" wrapText="1"/>
    </xf>
    <xf numFmtId="165" fontId="6" fillId="4" borderId="0" xfId="5" applyNumberFormat="1" applyFont="1" applyFill="1" applyBorder="1" applyAlignment="1" applyProtection="1">
      <alignment vertical="center" wrapText="1"/>
    </xf>
    <xf numFmtId="0" fontId="14" fillId="0" borderId="7" xfId="0" applyFont="1" applyBorder="1" applyAlignment="1">
      <alignment vertical="center"/>
    </xf>
    <xf numFmtId="0" fontId="4" fillId="6" borderId="0" xfId="0" applyFont="1" applyFill="1" applyAlignment="1">
      <alignment horizontal="center" vertical="center"/>
    </xf>
    <xf numFmtId="0" fontId="14" fillId="0" borderId="0" xfId="0" applyFont="1" applyAlignment="1">
      <alignment vertical="center"/>
    </xf>
    <xf numFmtId="4" fontId="3" fillId="0" borderId="16" xfId="6" applyNumberFormat="1" applyFont="1" applyBorder="1" applyAlignment="1">
      <alignment vertical="center" wrapText="1"/>
    </xf>
    <xf numFmtId="10" fontId="3" fillId="0" borderId="17" xfId="6" applyNumberFormat="1" applyFont="1" applyBorder="1" applyAlignment="1">
      <alignment horizontal="right" vertical="center" wrapText="1"/>
    </xf>
    <xf numFmtId="165" fontId="3" fillId="0" borderId="18" xfId="7" applyNumberFormat="1" applyFont="1" applyBorder="1" applyAlignment="1" applyProtection="1">
      <alignment vertical="center"/>
    </xf>
    <xf numFmtId="4" fontId="3" fillId="0" borderId="20" xfId="6" applyNumberFormat="1" applyFont="1" applyBorder="1" applyAlignment="1">
      <alignment vertical="center"/>
    </xf>
    <xf numFmtId="10" fontId="3" fillId="0" borderId="21" xfId="6" applyNumberFormat="1" applyFont="1" applyBorder="1" applyAlignment="1">
      <alignment horizontal="right" vertical="center" wrapText="1"/>
    </xf>
    <xf numFmtId="165" fontId="3" fillId="0" borderId="22" xfId="7" applyNumberFormat="1" applyFont="1" applyBorder="1" applyAlignment="1" applyProtection="1">
      <alignment vertical="center"/>
    </xf>
    <xf numFmtId="4" fontId="6" fillId="0" borderId="20" xfId="6" applyNumberFormat="1" applyFont="1" applyBorder="1" applyAlignment="1">
      <alignment vertical="center"/>
    </xf>
    <xf numFmtId="165" fontId="6" fillId="0" borderId="21" xfId="6" applyNumberFormat="1" applyFont="1" applyBorder="1" applyAlignment="1">
      <alignment horizontal="right" vertical="center"/>
    </xf>
    <xf numFmtId="165" fontId="6" fillId="0" borderId="23" xfId="7" applyNumberFormat="1" applyFont="1" applyBorder="1" applyAlignment="1" applyProtection="1">
      <alignment vertical="center"/>
    </xf>
    <xf numFmtId="4" fontId="6" fillId="0" borderId="25" xfId="6" applyNumberFormat="1" applyFont="1" applyBorder="1" applyAlignment="1">
      <alignment vertical="center"/>
    </xf>
    <xf numFmtId="165" fontId="6" fillId="0" borderId="26" xfId="6" applyNumberFormat="1" applyFont="1" applyBorder="1" applyAlignment="1">
      <alignment horizontal="right" vertical="center"/>
    </xf>
    <xf numFmtId="165" fontId="6" fillId="4" borderId="27" xfId="8" applyNumberFormat="1" applyFont="1" applyFill="1" applyBorder="1" applyAlignment="1">
      <alignment vertical="center"/>
    </xf>
    <xf numFmtId="165" fontId="4" fillId="0" borderId="0" xfId="0" applyNumberFormat="1" applyFont="1" applyAlignment="1">
      <alignment horizontal="center" vertical="center"/>
    </xf>
    <xf numFmtId="0" fontId="3" fillId="0" borderId="28" xfId="0" applyFont="1" applyBorder="1" applyAlignment="1">
      <alignment horizontal="left" vertical="center"/>
    </xf>
    <xf numFmtId="0" fontId="3" fillId="0" borderId="28" xfId="0" applyFont="1" applyBorder="1" applyAlignment="1">
      <alignment vertical="center"/>
    </xf>
    <xf numFmtId="4" fontId="3" fillId="0" borderId="28" xfId="0" applyNumberFormat="1" applyFont="1" applyBorder="1" applyAlignment="1">
      <alignment vertical="center"/>
    </xf>
    <xf numFmtId="165" fontId="3" fillId="0" borderId="28" xfId="0" applyNumberFormat="1" applyFont="1" applyBorder="1" applyAlignment="1">
      <alignment horizontal="right" vertical="center"/>
    </xf>
    <xf numFmtId="165" fontId="3" fillId="0" borderId="28" xfId="0" applyNumberFormat="1" applyFont="1" applyBorder="1" applyAlignment="1">
      <alignment vertical="center"/>
    </xf>
    <xf numFmtId="4" fontId="3" fillId="5" borderId="12" xfId="4" applyNumberFormat="1" applyFont="1" applyFill="1" applyBorder="1" applyAlignment="1" applyProtection="1">
      <alignment horizontal="center" vertical="center" wrapText="1"/>
    </xf>
    <xf numFmtId="0" fontId="1" fillId="0" borderId="0" xfId="10"/>
    <xf numFmtId="0" fontId="9" fillId="0" borderId="0" xfId="11"/>
    <xf numFmtId="4" fontId="19" fillId="7" borderId="34" xfId="10" applyNumberFormat="1" applyFont="1" applyFill="1" applyBorder="1" applyAlignment="1">
      <alignment horizontal="center" vertical="center" wrapText="1"/>
    </xf>
    <xf numFmtId="0" fontId="0" fillId="0" borderId="0" xfId="10" applyFont="1"/>
    <xf numFmtId="0" fontId="21" fillId="0" borderId="0" xfId="10" applyFont="1"/>
    <xf numFmtId="0" fontId="20" fillId="0" borderId="35" xfId="11" applyFont="1" applyBorder="1" applyAlignment="1">
      <alignment horizontal="center" vertical="center" wrapText="1"/>
    </xf>
    <xf numFmtId="0" fontId="19" fillId="8" borderId="34" xfId="10" applyFont="1" applyFill="1" applyBorder="1" applyAlignment="1">
      <alignment horizontal="left" vertical="center"/>
    </xf>
    <xf numFmtId="0" fontId="19" fillId="8" borderId="34" xfId="10" applyFont="1" applyFill="1" applyBorder="1" applyAlignment="1">
      <alignment horizontal="center" vertical="center"/>
    </xf>
    <xf numFmtId="4" fontId="19" fillId="8" borderId="34" xfId="10" applyNumberFormat="1" applyFont="1" applyFill="1" applyBorder="1" applyAlignment="1">
      <alignment horizontal="center" vertical="center" wrapText="1"/>
    </xf>
    <xf numFmtId="4" fontId="1" fillId="0" borderId="0" xfId="10" applyNumberFormat="1"/>
    <xf numFmtId="0" fontId="24" fillId="0" borderId="34" xfId="10" applyFont="1" applyBorder="1" applyAlignment="1">
      <alignment vertical="center" wrapText="1"/>
    </xf>
    <xf numFmtId="10" fontId="16" fillId="0" borderId="34" xfId="10" applyNumberFormat="1" applyFont="1" applyBorder="1" applyAlignment="1">
      <alignment horizontal="center" vertical="center"/>
    </xf>
    <xf numFmtId="170" fontId="24" fillId="0" borderId="34" xfId="10" applyNumberFormat="1" applyFont="1" applyBorder="1" applyAlignment="1">
      <alignment vertical="center"/>
    </xf>
    <xf numFmtId="171" fontId="21" fillId="0" borderId="0" xfId="10" applyNumberFormat="1" applyFont="1"/>
    <xf numFmtId="172" fontId="25" fillId="0" borderId="0" xfId="13" applyFont="1" applyBorder="1" applyAlignment="1">
      <alignment horizontal="left" vertical="center"/>
    </xf>
    <xf numFmtId="2" fontId="16" fillId="0" borderId="34" xfId="10" applyNumberFormat="1" applyFont="1" applyBorder="1" applyAlignment="1">
      <alignment horizontal="center" vertical="center"/>
    </xf>
    <xf numFmtId="0" fontId="19" fillId="7" borderId="37" xfId="10" applyFont="1" applyFill="1" applyBorder="1" applyAlignment="1">
      <alignment vertical="center" wrapText="1"/>
    </xf>
    <xf numFmtId="0" fontId="19" fillId="7" borderId="39" xfId="10" applyFont="1" applyFill="1" applyBorder="1" applyAlignment="1">
      <alignment vertical="center" wrapText="1"/>
    </xf>
    <xf numFmtId="10" fontId="27" fillId="7" borderId="39" xfId="10" applyNumberFormat="1" applyFont="1" applyFill="1" applyBorder="1" applyAlignment="1">
      <alignment horizontal="center" vertical="center"/>
    </xf>
    <xf numFmtId="9" fontId="19" fillId="7" borderId="39" xfId="10" applyNumberFormat="1" applyFont="1" applyFill="1" applyBorder="1" applyAlignment="1">
      <alignment horizontal="center" vertical="center"/>
    </xf>
    <xf numFmtId="170" fontId="19" fillId="7" borderId="34" xfId="10" applyNumberFormat="1" applyFont="1" applyFill="1" applyBorder="1" applyAlignment="1">
      <alignment horizontal="right" vertical="center"/>
    </xf>
    <xf numFmtId="0" fontId="24" fillId="0" borderId="0" xfId="10" applyFont="1" applyAlignment="1">
      <alignment vertical="center" wrapText="1"/>
    </xf>
    <xf numFmtId="0" fontId="24" fillId="0" borderId="0" xfId="10" applyFont="1" applyAlignment="1">
      <alignment vertical="center"/>
    </xf>
    <xf numFmtId="2" fontId="24" fillId="0" borderId="0" xfId="10" applyNumberFormat="1" applyFont="1" applyAlignment="1">
      <alignment vertical="center"/>
    </xf>
    <xf numFmtId="4" fontId="28" fillId="0" borderId="0" xfId="10" applyNumberFormat="1" applyFont="1" applyAlignment="1">
      <alignment vertical="center" wrapText="1"/>
    </xf>
    <xf numFmtId="0" fontId="19" fillId="8" borderId="37" xfId="10" applyFont="1" applyFill="1" applyBorder="1" applyAlignment="1">
      <alignment vertical="center" wrapText="1"/>
    </xf>
    <xf numFmtId="49" fontId="19" fillId="7" borderId="34" xfId="10" applyNumberFormat="1" applyFont="1" applyFill="1" applyBorder="1" applyAlignment="1">
      <alignment horizontal="center" vertical="center" wrapText="1"/>
    </xf>
    <xf numFmtId="0" fontId="24" fillId="0" borderId="40" xfId="10" applyFont="1" applyBorder="1" applyAlignment="1">
      <alignment horizontal="left" vertical="center" wrapText="1"/>
    </xf>
    <xf numFmtId="10" fontId="24" fillId="0" borderId="34" xfId="10" applyNumberFormat="1" applyFont="1" applyBorder="1" applyAlignment="1">
      <alignment horizontal="center" vertical="center" wrapText="1"/>
    </xf>
    <xf numFmtId="10" fontId="16" fillId="0" borderId="34" xfId="10" applyNumberFormat="1" applyFont="1" applyBorder="1" applyAlignment="1">
      <alignment horizontal="right" vertical="center" indent="2"/>
    </xf>
    <xf numFmtId="2" fontId="16" fillId="0" borderId="34" xfId="10" applyNumberFormat="1" applyFont="1" applyBorder="1" applyAlignment="1">
      <alignment horizontal="right" vertical="center" indent="3"/>
    </xf>
    <xf numFmtId="10" fontId="24" fillId="11" borderId="34" xfId="10" applyNumberFormat="1" applyFont="1" applyFill="1" applyBorder="1" applyAlignment="1">
      <alignment horizontal="center" vertical="center" wrapText="1"/>
    </xf>
    <xf numFmtId="0" fontId="19" fillId="7" borderId="37" xfId="10" applyFont="1" applyFill="1" applyBorder="1" applyAlignment="1">
      <alignment horizontal="left" vertical="center" wrapText="1"/>
    </xf>
    <xf numFmtId="0" fontId="19" fillId="7" borderId="39" xfId="10" applyFont="1" applyFill="1" applyBorder="1" applyAlignment="1">
      <alignment horizontal="left" vertical="center" wrapText="1"/>
    </xf>
    <xf numFmtId="171" fontId="30" fillId="7" borderId="39" xfId="10" applyNumberFormat="1" applyFont="1" applyFill="1" applyBorder="1" applyAlignment="1">
      <alignment vertical="center" wrapText="1"/>
    </xf>
    <xf numFmtId="170" fontId="19" fillId="7" borderId="38" xfId="10" applyNumberFormat="1" applyFont="1" applyFill="1" applyBorder="1" applyAlignment="1">
      <alignment vertical="center" wrapText="1"/>
    </xf>
    <xf numFmtId="172" fontId="1" fillId="0" borderId="0" xfId="10" applyNumberFormat="1"/>
    <xf numFmtId="0" fontId="24" fillId="0" borderId="41" xfId="10" applyFont="1" applyBorder="1" applyAlignment="1">
      <alignment vertical="center" wrapText="1"/>
    </xf>
    <xf numFmtId="0" fontId="24" fillId="0" borderId="42" xfId="10" applyFont="1" applyBorder="1" applyAlignment="1">
      <alignment vertical="center"/>
    </xf>
    <xf numFmtId="4" fontId="19" fillId="7" borderId="40" xfId="10" applyNumberFormat="1" applyFont="1" applyFill="1" applyBorder="1" applyAlignment="1">
      <alignment horizontal="center" vertical="center" wrapText="1"/>
    </xf>
    <xf numFmtId="0" fontId="17" fillId="0" borderId="34" xfId="9" applyBorder="1" applyAlignment="1">
      <alignment horizontal="left" vertical="center" wrapText="1"/>
    </xf>
    <xf numFmtId="170" fontId="24" fillId="0" borderId="34" xfId="10" applyNumberFormat="1" applyFont="1" applyBorder="1" applyAlignment="1">
      <alignment vertical="center" wrapText="1"/>
    </xf>
    <xf numFmtId="173" fontId="1" fillId="0" borderId="0" xfId="14" applyNumberFormat="1" applyFont="1"/>
    <xf numFmtId="0" fontId="24" fillId="0" borderId="34" xfId="10" applyFont="1" applyBorder="1" applyAlignment="1">
      <alignment horizontal="left" vertical="center" wrapText="1"/>
    </xf>
    <xf numFmtId="0" fontId="17" fillId="0" borderId="34" xfId="9" applyFill="1" applyBorder="1" applyAlignment="1">
      <alignment vertical="center" wrapText="1"/>
    </xf>
    <xf numFmtId="0" fontId="2" fillId="0" borderId="0" xfId="10" applyFont="1"/>
    <xf numFmtId="49" fontId="32" fillId="7" borderId="39" xfId="10" applyNumberFormat="1" applyFont="1" applyFill="1" applyBorder="1" applyAlignment="1">
      <alignment horizontal="left" vertical="center"/>
    </xf>
    <xf numFmtId="49" fontId="19" fillId="7" borderId="39" xfId="10" applyNumberFormat="1" applyFont="1" applyFill="1" applyBorder="1" applyAlignment="1">
      <alignment horizontal="center" vertical="center" wrapText="1"/>
    </xf>
    <xf numFmtId="10" fontId="32" fillId="7" borderId="39" xfId="10" applyNumberFormat="1" applyFont="1" applyFill="1" applyBorder="1" applyAlignment="1">
      <alignment horizontal="center" vertical="center" wrapText="1"/>
    </xf>
    <xf numFmtId="170" fontId="19" fillId="7" borderId="34" xfId="10" applyNumberFormat="1" applyFont="1" applyFill="1" applyBorder="1" applyAlignment="1">
      <alignment vertical="center" wrapText="1"/>
    </xf>
    <xf numFmtId="4" fontId="30" fillId="7" borderId="39" xfId="10" applyNumberFormat="1" applyFont="1" applyFill="1" applyBorder="1" applyAlignment="1">
      <alignment vertical="center" wrapText="1"/>
    </xf>
    <xf numFmtId="174" fontId="16" fillId="0" borderId="0" xfId="10" applyNumberFormat="1" applyFont="1"/>
    <xf numFmtId="0" fontId="28" fillId="0" borderId="37" xfId="10" applyFont="1" applyBorder="1" applyAlignment="1">
      <alignment horizontal="left" vertical="center" wrapText="1"/>
    </xf>
    <xf numFmtId="0" fontId="28" fillId="0" borderId="39" xfId="10" applyFont="1" applyBorder="1" applyAlignment="1">
      <alignment horizontal="left" vertical="center" wrapText="1"/>
    </xf>
    <xf numFmtId="0" fontId="28" fillId="0" borderId="39" xfId="10" applyFont="1" applyBorder="1" applyAlignment="1">
      <alignment horizontal="center" vertical="center"/>
    </xf>
    <xf numFmtId="175" fontId="24" fillId="0" borderId="39" xfId="10" applyNumberFormat="1" applyFont="1" applyBorder="1" applyAlignment="1">
      <alignment horizontal="center" vertical="center"/>
    </xf>
    <xf numFmtId="0" fontId="28" fillId="0" borderId="44" xfId="10" applyFont="1" applyBorder="1" applyAlignment="1">
      <alignment horizontal="left" vertical="center" wrapText="1"/>
    </xf>
    <xf numFmtId="0" fontId="28" fillId="0" borderId="35" xfId="10" applyFont="1" applyBorder="1" applyAlignment="1">
      <alignment horizontal="left" vertical="center" wrapText="1"/>
    </xf>
    <xf numFmtId="0" fontId="28" fillId="0" borderId="35" xfId="10" applyFont="1" applyBorder="1" applyAlignment="1">
      <alignment horizontal="center" vertical="center"/>
    </xf>
    <xf numFmtId="175" fontId="24" fillId="0" borderId="35" xfId="10" applyNumberFormat="1" applyFont="1" applyBorder="1" applyAlignment="1">
      <alignment horizontal="center" vertical="center"/>
    </xf>
    <xf numFmtId="176" fontId="1" fillId="0" borderId="0" xfId="15" applyNumberFormat="1"/>
    <xf numFmtId="10" fontId="24" fillId="0" borderId="35" xfId="10" applyNumberFormat="1" applyFont="1" applyBorder="1" applyAlignment="1">
      <alignment horizontal="center" vertical="center"/>
    </xf>
    <xf numFmtId="176" fontId="1" fillId="0" borderId="0" xfId="10" applyNumberFormat="1"/>
    <xf numFmtId="0" fontId="19" fillId="7" borderId="44" xfId="10" applyFont="1" applyFill="1" applyBorder="1" applyAlignment="1">
      <alignment horizontal="left" vertical="center" wrapText="1"/>
    </xf>
    <xf numFmtId="0" fontId="19" fillId="7" borderId="35" xfId="10" applyFont="1" applyFill="1" applyBorder="1" applyAlignment="1">
      <alignment horizontal="left" vertical="center" wrapText="1"/>
    </xf>
    <xf numFmtId="0" fontId="19" fillId="7" borderId="35" xfId="10" applyFont="1" applyFill="1" applyBorder="1" applyAlignment="1">
      <alignment horizontal="center" vertical="center"/>
    </xf>
    <xf numFmtId="10" fontId="19" fillId="7" borderId="35" xfId="10" applyNumberFormat="1" applyFont="1" applyFill="1" applyBorder="1" applyAlignment="1">
      <alignment horizontal="center" vertical="center"/>
    </xf>
    <xf numFmtId="170" fontId="19" fillId="7" borderId="45" xfId="10" applyNumberFormat="1" applyFont="1" applyFill="1" applyBorder="1" applyAlignment="1">
      <alignment vertical="center" wrapText="1"/>
    </xf>
    <xf numFmtId="0" fontId="19" fillId="7" borderId="39" xfId="10" applyFont="1" applyFill="1" applyBorder="1" applyAlignment="1">
      <alignment horizontal="center" vertical="center"/>
    </xf>
    <xf numFmtId="4" fontId="19" fillId="7" borderId="38" xfId="10" applyNumberFormat="1" applyFont="1" applyFill="1" applyBorder="1" applyAlignment="1">
      <alignment vertical="center"/>
    </xf>
    <xf numFmtId="171" fontId="1" fillId="0" borderId="0" xfId="10" applyNumberFormat="1"/>
    <xf numFmtId="170" fontId="1" fillId="0" borderId="0" xfId="10" applyNumberFormat="1"/>
    <xf numFmtId="177" fontId="1" fillId="0" borderId="0" xfId="10" applyNumberFormat="1"/>
    <xf numFmtId="178" fontId="1" fillId="0" borderId="0" xfId="16" applyNumberFormat="1"/>
    <xf numFmtId="3" fontId="6" fillId="4" borderId="46" xfId="0" applyNumberFormat="1" applyFont="1" applyFill="1" applyBorder="1" applyAlignment="1">
      <alignment horizontal="center" vertical="center" wrapText="1"/>
    </xf>
    <xf numFmtId="0" fontId="6" fillId="4" borderId="47" xfId="0" applyFont="1" applyFill="1" applyBorder="1" applyAlignment="1">
      <alignment horizontal="left" vertical="center" wrapText="1"/>
    </xf>
    <xf numFmtId="0" fontId="6" fillId="4" borderId="47" xfId="0" applyFont="1" applyFill="1" applyBorder="1" applyAlignment="1">
      <alignment horizontal="center" vertical="center" wrapText="1"/>
    </xf>
    <xf numFmtId="4" fontId="6" fillId="4" borderId="47" xfId="0" applyNumberFormat="1" applyFont="1" applyFill="1" applyBorder="1" applyAlignment="1">
      <alignment horizontal="center" vertical="center" wrapText="1"/>
    </xf>
    <xf numFmtId="165" fontId="6" fillId="4" borderId="47" xfId="0" applyNumberFormat="1" applyFont="1" applyFill="1" applyBorder="1" applyAlignment="1">
      <alignment horizontal="center" vertical="center" wrapText="1"/>
    </xf>
    <xf numFmtId="165" fontId="6" fillId="4" borderId="48" xfId="0" applyNumberFormat="1" applyFont="1" applyFill="1" applyBorder="1" applyAlignment="1">
      <alignment horizontal="center" vertical="center" wrapText="1"/>
    </xf>
    <xf numFmtId="0" fontId="10" fillId="5" borderId="49" xfId="0" applyFont="1" applyFill="1" applyBorder="1" applyAlignment="1">
      <alignment horizontal="center" vertical="center"/>
    </xf>
    <xf numFmtId="0" fontId="6" fillId="5" borderId="50" xfId="0" applyFont="1" applyFill="1" applyBorder="1" applyAlignment="1">
      <alignment horizontal="justify" vertical="center" wrapText="1"/>
    </xf>
    <xf numFmtId="0" fontId="3" fillId="5" borderId="50" xfId="0" applyFont="1" applyFill="1" applyBorder="1" applyAlignment="1">
      <alignment horizontal="center" vertical="center" wrapText="1"/>
    </xf>
    <xf numFmtId="4" fontId="3" fillId="5" borderId="50" xfId="4" applyNumberFormat="1" applyFont="1" applyFill="1" applyBorder="1" applyAlignment="1" applyProtection="1">
      <alignment horizontal="center" vertical="center" wrapText="1"/>
    </xf>
    <xf numFmtId="165" fontId="3" fillId="5" borderId="50" xfId="0" applyNumberFormat="1" applyFont="1" applyFill="1" applyBorder="1" applyAlignment="1">
      <alignment horizontal="right" vertical="center" wrapText="1"/>
    </xf>
    <xf numFmtId="165" fontId="3" fillId="5" borderId="51" xfId="5" applyNumberFormat="1" applyFont="1" applyFill="1" applyBorder="1" applyAlignment="1" applyProtection="1">
      <alignment vertical="center" wrapText="1"/>
    </xf>
    <xf numFmtId="0" fontId="4" fillId="0" borderId="49"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4" fontId="3" fillId="0" borderId="50" xfId="4" applyNumberFormat="1" applyFont="1" applyBorder="1" applyAlignment="1" applyProtection="1">
      <alignment horizontal="center" vertical="center" wrapText="1"/>
    </xf>
    <xf numFmtId="165" fontId="3" fillId="0" borderId="50" xfId="4" applyNumberFormat="1" applyFont="1" applyBorder="1" applyAlignment="1" applyProtection="1">
      <alignment horizontal="center" vertical="center" wrapText="1"/>
    </xf>
    <xf numFmtId="165" fontId="3" fillId="0" borderId="50" xfId="0" applyNumberFormat="1" applyFont="1" applyBorder="1" applyAlignment="1" applyProtection="1">
      <alignment horizontal="right" vertical="center" wrapText="1"/>
      <protection locked="0"/>
    </xf>
    <xf numFmtId="165" fontId="3" fillId="0" borderId="51" xfId="5" applyNumberFormat="1" applyFont="1" applyBorder="1" applyAlignment="1" applyProtection="1">
      <alignment vertical="center" wrapText="1"/>
    </xf>
    <xf numFmtId="0" fontId="4" fillId="5" borderId="49" xfId="0" applyFont="1" applyFill="1" applyBorder="1" applyAlignment="1">
      <alignment horizontal="center" vertical="center"/>
    </xf>
    <xf numFmtId="0" fontId="3" fillId="5" borderId="50" xfId="0" applyFont="1" applyFill="1" applyBorder="1" applyAlignment="1">
      <alignment horizontal="justify" vertical="center" wrapText="1"/>
    </xf>
    <xf numFmtId="165" fontId="3" fillId="5" borderId="50" xfId="4" applyNumberFormat="1" applyFont="1" applyFill="1" applyBorder="1" applyAlignment="1" applyProtection="1">
      <alignment horizontal="center" vertical="center" wrapText="1"/>
    </xf>
    <xf numFmtId="165" fontId="3" fillId="5" borderId="50" xfId="0" applyNumberFormat="1" applyFont="1" applyFill="1" applyBorder="1" applyAlignment="1" applyProtection="1">
      <alignment horizontal="right" vertical="center" wrapText="1"/>
      <protection locked="0"/>
    </xf>
    <xf numFmtId="0" fontId="10" fillId="0" borderId="52" xfId="0" applyFont="1" applyBorder="1" applyAlignment="1">
      <alignment horizontal="center" vertical="center"/>
    </xf>
    <xf numFmtId="0" fontId="6" fillId="0" borderId="31" xfId="0" applyFont="1" applyBorder="1" applyAlignment="1">
      <alignment horizontal="justify" vertical="center" wrapText="1"/>
    </xf>
    <xf numFmtId="0" fontId="15" fillId="0" borderId="31" xfId="0" applyFont="1" applyBorder="1" applyAlignment="1">
      <alignment horizontal="center" vertical="center" wrapText="1"/>
    </xf>
    <xf numFmtId="0" fontId="6" fillId="0" borderId="31" xfId="0" applyFont="1" applyBorder="1" applyAlignment="1">
      <alignment horizontal="center" vertical="center" wrapText="1"/>
    </xf>
    <xf numFmtId="165" fontId="6" fillId="0" borderId="31" xfId="0" applyNumberFormat="1" applyFont="1" applyBorder="1" applyAlignment="1">
      <alignment horizontal="center" vertical="center" wrapText="1"/>
    </xf>
    <xf numFmtId="0" fontId="6" fillId="0" borderId="31" xfId="0" applyFont="1" applyBorder="1" applyAlignment="1" applyProtection="1">
      <alignment horizontal="right" vertical="center" wrapText="1"/>
      <protection locked="0"/>
    </xf>
    <xf numFmtId="165" fontId="6" fillId="0" borderId="53" xfId="0" applyNumberFormat="1" applyFont="1" applyBorder="1" applyAlignment="1">
      <alignment vertical="center" wrapText="1"/>
    </xf>
    <xf numFmtId="3" fontId="6" fillId="4" borderId="54" xfId="0" applyNumberFormat="1" applyFont="1" applyFill="1" applyBorder="1" applyAlignment="1">
      <alignment horizontal="center" vertical="center" wrapText="1"/>
    </xf>
    <xf numFmtId="165" fontId="6" fillId="4" borderId="47" xfId="0" applyNumberFormat="1" applyFont="1" applyFill="1" applyBorder="1" applyAlignment="1" applyProtection="1">
      <alignment horizontal="center" vertical="center" wrapText="1"/>
      <protection locked="0"/>
    </xf>
    <xf numFmtId="165" fontId="6" fillId="4" borderId="55" xfId="0" applyNumberFormat="1" applyFont="1" applyFill="1" applyBorder="1" applyAlignment="1">
      <alignment horizontal="center" vertical="center" wrapText="1"/>
    </xf>
    <xf numFmtId="3" fontId="4" fillId="5" borderId="56" xfId="0" applyNumberFormat="1" applyFont="1" applyFill="1" applyBorder="1" applyAlignment="1">
      <alignment horizontal="center" vertical="center"/>
    </xf>
    <xf numFmtId="165" fontId="3" fillId="5" borderId="57" xfId="5" applyNumberFormat="1" applyFont="1" applyFill="1" applyBorder="1" applyAlignment="1" applyProtection="1">
      <alignment vertical="center" wrapText="1"/>
    </xf>
    <xf numFmtId="3" fontId="4" fillId="0" borderId="56" xfId="0" applyNumberFormat="1" applyFont="1" applyBorder="1" applyAlignment="1">
      <alignment horizontal="center" vertical="center"/>
    </xf>
    <xf numFmtId="165" fontId="3" fillId="0" borderId="57" xfId="5" applyNumberFormat="1" applyFont="1" applyBorder="1" applyAlignment="1" applyProtection="1">
      <alignment vertical="center" wrapText="1"/>
    </xf>
    <xf numFmtId="0" fontId="10" fillId="0" borderId="30" xfId="0" applyFont="1" applyBorder="1" applyAlignment="1">
      <alignment horizontal="center" vertical="center"/>
    </xf>
    <xf numFmtId="165" fontId="6" fillId="0" borderId="32" xfId="0" applyNumberFormat="1" applyFont="1" applyBorder="1" applyAlignment="1">
      <alignment vertical="center" wrapText="1"/>
    </xf>
    <xf numFmtId="0" fontId="4" fillId="5" borderId="56" xfId="0" applyFont="1" applyFill="1" applyBorder="1" applyAlignment="1">
      <alignment horizontal="center" vertical="center"/>
    </xf>
    <xf numFmtId="0" fontId="4" fillId="0" borderId="56" xfId="0" applyFont="1" applyBorder="1" applyAlignment="1">
      <alignment horizontal="center" vertical="center"/>
    </xf>
    <xf numFmtId="0" fontId="6" fillId="0" borderId="31" xfId="0" applyFont="1" applyBorder="1" applyAlignment="1">
      <alignment horizontal="left" vertical="center" wrapText="1"/>
    </xf>
    <xf numFmtId="0" fontId="10" fillId="0" borderId="31" xfId="0" applyFont="1" applyBorder="1"/>
    <xf numFmtId="165" fontId="10" fillId="0" borderId="31" xfId="0" applyNumberFormat="1" applyFont="1" applyBorder="1"/>
    <xf numFmtId="0" fontId="10" fillId="0" borderId="31" xfId="0" applyFont="1" applyBorder="1" applyProtection="1">
      <protection locked="0"/>
    </xf>
    <xf numFmtId="165" fontId="10" fillId="0" borderId="53" xfId="0" applyNumberFormat="1" applyFont="1" applyBorder="1"/>
    <xf numFmtId="3" fontId="6" fillId="5" borderId="56" xfId="0" applyNumberFormat="1" applyFont="1" applyFill="1" applyBorder="1" applyAlignment="1">
      <alignment horizontal="center" vertical="center" wrapText="1"/>
    </xf>
    <xf numFmtId="0" fontId="6" fillId="5" borderId="50" xfId="0" applyFont="1" applyFill="1" applyBorder="1" applyAlignment="1">
      <alignment horizontal="left" vertical="center" wrapText="1"/>
    </xf>
    <xf numFmtId="3" fontId="3" fillId="0" borderId="56" xfId="0" applyNumberFormat="1" applyFont="1" applyBorder="1" applyAlignment="1">
      <alignment horizontal="center" vertical="center" wrapText="1"/>
    </xf>
    <xf numFmtId="0" fontId="3" fillId="0" borderId="50" xfId="0" applyFont="1" applyBorder="1" applyAlignment="1">
      <alignment horizontal="left" vertical="center" wrapText="1"/>
    </xf>
    <xf numFmtId="3" fontId="3" fillId="5" borderId="56" xfId="0" applyNumberFormat="1" applyFont="1" applyFill="1" applyBorder="1" applyAlignment="1">
      <alignment horizontal="center" vertical="center" wrapText="1"/>
    </xf>
    <xf numFmtId="0" fontId="3" fillId="5" borderId="50" xfId="0" applyFont="1" applyFill="1" applyBorder="1" applyAlignment="1">
      <alignment horizontal="left" vertical="center" wrapText="1"/>
    </xf>
    <xf numFmtId="0" fontId="10" fillId="0" borderId="58" xfId="0" applyFont="1" applyBorder="1" applyAlignment="1">
      <alignment horizontal="center"/>
    </xf>
    <xf numFmtId="0" fontId="10" fillId="0" borderId="59" xfId="0" applyFont="1" applyBorder="1"/>
    <xf numFmtId="0" fontId="6" fillId="0" borderId="59" xfId="0" applyFont="1" applyBorder="1" applyAlignment="1">
      <alignment horizontal="center" vertical="center" wrapText="1"/>
    </xf>
    <xf numFmtId="165" fontId="6" fillId="0" borderId="59" xfId="0" applyNumberFormat="1" applyFont="1" applyBorder="1" applyAlignment="1">
      <alignment horizontal="center" vertical="center" wrapText="1"/>
    </xf>
    <xf numFmtId="0" fontId="6" fillId="0" borderId="59" xfId="0" applyFont="1" applyBorder="1" applyAlignment="1" applyProtection="1">
      <alignment horizontal="right" vertical="center" wrapText="1"/>
      <protection locked="0"/>
    </xf>
    <xf numFmtId="165" fontId="6" fillId="0" borderId="60" xfId="0" applyNumberFormat="1" applyFont="1" applyBorder="1" applyAlignment="1">
      <alignment vertical="center" wrapText="1"/>
    </xf>
    <xf numFmtId="0" fontId="6" fillId="5" borderId="56" xfId="0" applyFont="1" applyFill="1" applyBorder="1" applyAlignment="1">
      <alignment horizontal="center" vertical="center" wrapText="1"/>
    </xf>
    <xf numFmtId="0" fontId="10" fillId="5" borderId="56" xfId="0" applyFont="1" applyFill="1" applyBorder="1" applyAlignment="1">
      <alignment horizontal="center" vertical="center"/>
    </xf>
    <xf numFmtId="0" fontId="10" fillId="0" borderId="56" xfId="0" applyFont="1" applyBorder="1" applyAlignment="1">
      <alignment horizontal="center" vertical="center"/>
    </xf>
    <xf numFmtId="0" fontId="6" fillId="0" borderId="50" xfId="0" applyFont="1" applyBorder="1" applyAlignment="1">
      <alignment horizontal="justify" vertical="center" wrapText="1"/>
    </xf>
    <xf numFmtId="0" fontId="10" fillId="0" borderId="13" xfId="0" applyFont="1" applyBorder="1" applyAlignment="1">
      <alignment horizontal="center"/>
    </xf>
    <xf numFmtId="0" fontId="6" fillId="5" borderId="29" xfId="0" applyFont="1" applyFill="1" applyBorder="1" applyAlignment="1">
      <alignment horizontal="center" vertical="center" wrapText="1"/>
    </xf>
    <xf numFmtId="0" fontId="6" fillId="5" borderId="50" xfId="0" applyFont="1" applyFill="1" applyBorder="1" applyAlignment="1">
      <alignment horizontal="justify" vertical="center"/>
    </xf>
    <xf numFmtId="0" fontId="4" fillId="0" borderId="29" xfId="0" applyFont="1" applyBorder="1" applyAlignment="1">
      <alignment horizontal="center" vertical="center"/>
    </xf>
    <xf numFmtId="0" fontId="3" fillId="0" borderId="50" xfId="0" applyFont="1" applyBorder="1" applyAlignment="1">
      <alignment horizontal="justify" vertical="center"/>
    </xf>
    <xf numFmtId="4" fontId="13" fillId="0" borderId="50" xfId="4" applyNumberFormat="1" applyFont="1" applyBorder="1" applyAlignment="1" applyProtection="1">
      <alignment horizontal="center" vertical="center" wrapText="1"/>
    </xf>
    <xf numFmtId="165" fontId="13" fillId="0" borderId="50" xfId="4" applyNumberFormat="1" applyFont="1" applyBorder="1" applyAlignment="1" applyProtection="1">
      <alignment horizontal="center" vertical="center" wrapText="1"/>
    </xf>
    <xf numFmtId="0" fontId="6" fillId="5" borderId="50" xfId="0" applyFont="1" applyFill="1" applyBorder="1" applyAlignment="1">
      <alignment horizontal="center" vertical="center" wrapText="1"/>
    </xf>
    <xf numFmtId="4" fontId="13" fillId="5" borderId="50" xfId="4" applyNumberFormat="1" applyFont="1" applyFill="1" applyBorder="1" applyAlignment="1" applyProtection="1">
      <alignment horizontal="center" vertical="center" wrapText="1"/>
    </xf>
    <xf numFmtId="165" fontId="13" fillId="5" borderId="50" xfId="4" applyNumberFormat="1" applyFont="1" applyFill="1" applyBorder="1" applyAlignment="1" applyProtection="1">
      <alignment horizontal="center" vertical="center" wrapText="1"/>
    </xf>
    <xf numFmtId="0" fontId="6" fillId="5" borderId="50" xfId="0" applyFont="1" applyFill="1" applyBorder="1" applyAlignment="1">
      <alignment horizontal="left" vertical="center"/>
    </xf>
    <xf numFmtId="0" fontId="6" fillId="0" borderId="50" xfId="0" applyFont="1" applyBorder="1" applyAlignment="1">
      <alignment horizontal="left" vertical="center" wrapText="1"/>
    </xf>
    <xf numFmtId="165" fontId="3" fillId="5" borderId="50" xfId="0" applyNumberFormat="1" applyFont="1" applyFill="1" applyBorder="1" applyAlignment="1">
      <alignment horizontal="center" vertical="center" wrapText="1"/>
    </xf>
    <xf numFmtId="0" fontId="3" fillId="5" borderId="50" xfId="0" applyFont="1" applyFill="1" applyBorder="1" applyAlignment="1" applyProtection="1">
      <alignment horizontal="center" vertical="center" wrapText="1"/>
      <protection locked="0"/>
    </xf>
    <xf numFmtId="165" fontId="3" fillId="0" borderId="50" xfId="0" applyNumberFormat="1" applyFont="1" applyBorder="1" applyAlignment="1">
      <alignment horizontal="right" vertical="center" wrapText="1"/>
    </xf>
    <xf numFmtId="0" fontId="6" fillId="0" borderId="30" xfId="0" applyFont="1" applyBorder="1" applyAlignment="1">
      <alignment horizontal="center" vertical="center" wrapText="1"/>
    </xf>
    <xf numFmtId="4" fontId="3" fillId="0" borderId="50" xfId="0" applyNumberFormat="1" applyFont="1" applyBorder="1" applyAlignment="1">
      <alignment horizontal="center" vertical="center" wrapText="1"/>
    </xf>
    <xf numFmtId="165" fontId="3" fillId="0" borderId="50" xfId="0" applyNumberFormat="1" applyFont="1" applyBorder="1" applyAlignment="1">
      <alignment horizontal="center" vertical="center" wrapText="1"/>
    </xf>
    <xf numFmtId="4" fontId="3" fillId="5" borderId="50" xfId="0" applyNumberFormat="1" applyFont="1" applyFill="1" applyBorder="1" applyAlignment="1">
      <alignment horizontal="center" vertical="center" wrapText="1"/>
    </xf>
    <xf numFmtId="3" fontId="3" fillId="5" borderId="56" xfId="0" applyNumberFormat="1" applyFont="1" applyFill="1" applyBorder="1" applyAlignment="1">
      <alignment horizontal="center" vertical="center"/>
    </xf>
    <xf numFmtId="165" fontId="3" fillId="5" borderId="50" xfId="5" applyNumberFormat="1" applyFont="1" applyFill="1" applyBorder="1" applyAlignment="1" applyProtection="1">
      <alignment horizontal="right" vertical="center" wrapText="1"/>
      <protection locked="0"/>
    </xf>
    <xf numFmtId="3" fontId="3" fillId="0" borderId="56" xfId="0" applyNumberFormat="1" applyFont="1" applyBorder="1" applyAlignment="1">
      <alignment horizontal="center" vertical="center"/>
    </xf>
    <xf numFmtId="165" fontId="3" fillId="0" borderId="50" xfId="5" applyNumberFormat="1" applyFont="1" applyBorder="1" applyAlignment="1" applyProtection="1">
      <alignment horizontal="right" vertical="center" wrapText="1"/>
      <protection locked="0"/>
    </xf>
    <xf numFmtId="0" fontId="10" fillId="0" borderId="58" xfId="0" applyFont="1" applyBorder="1" applyAlignment="1">
      <alignment horizontal="center" vertical="center"/>
    </xf>
    <xf numFmtId="3" fontId="6" fillId="5" borderId="56" xfId="0" applyNumberFormat="1" applyFont="1" applyFill="1" applyBorder="1" applyAlignment="1">
      <alignment horizontal="center" vertical="center"/>
    </xf>
    <xf numFmtId="0" fontId="6" fillId="0" borderId="59" xfId="0" applyFont="1" applyBorder="1" applyAlignment="1">
      <alignment horizontal="left" vertical="center" wrapText="1"/>
    </xf>
    <xf numFmtId="0" fontId="6" fillId="0" borderId="59" xfId="0" applyFont="1" applyBorder="1" applyAlignment="1">
      <alignment horizontal="justify" vertical="center" wrapText="1"/>
    </xf>
    <xf numFmtId="3" fontId="6" fillId="4" borderId="56" xfId="0" applyNumberFormat="1" applyFont="1" applyFill="1" applyBorder="1" applyAlignment="1">
      <alignment horizontal="center" vertical="center" wrapText="1"/>
    </xf>
    <xf numFmtId="0" fontId="6" fillId="4" borderId="50" xfId="0" applyFont="1" applyFill="1" applyBorder="1" applyAlignment="1">
      <alignment horizontal="left" vertical="center" wrapText="1"/>
    </xf>
    <xf numFmtId="0" fontId="6" fillId="4" borderId="50" xfId="0" applyFont="1" applyFill="1" applyBorder="1" applyAlignment="1">
      <alignment horizontal="center" vertical="center" wrapText="1"/>
    </xf>
    <xf numFmtId="4" fontId="6" fillId="4" borderId="50" xfId="0" applyNumberFormat="1" applyFont="1" applyFill="1" applyBorder="1" applyAlignment="1">
      <alignment horizontal="center" vertical="center" wrapText="1"/>
    </xf>
    <xf numFmtId="165" fontId="6" fillId="4" borderId="51" xfId="0" applyNumberFormat="1" applyFont="1" applyFill="1" applyBorder="1" applyAlignment="1">
      <alignment horizontal="center" vertical="center" wrapText="1"/>
    </xf>
    <xf numFmtId="0" fontId="10" fillId="0" borderId="58" xfId="0" applyFont="1" applyBorder="1"/>
    <xf numFmtId="165" fontId="6" fillId="4" borderId="57" xfId="0" applyNumberFormat="1" applyFont="1" applyFill="1" applyBorder="1" applyAlignment="1">
      <alignment horizontal="center" vertical="center" wrapText="1"/>
    </xf>
    <xf numFmtId="0" fontId="10" fillId="0" borderId="13" xfId="0" applyFont="1" applyBorder="1" applyAlignment="1">
      <alignment horizontal="center" vertical="center"/>
    </xf>
    <xf numFmtId="0" fontId="6" fillId="0" borderId="29" xfId="0" applyFont="1" applyBorder="1" applyAlignment="1">
      <alignment horizontal="center" vertical="center" wrapText="1"/>
    </xf>
    <xf numFmtId="0" fontId="6" fillId="0" borderId="50" xfId="0" applyFont="1" applyBorder="1" applyAlignment="1">
      <alignment horizontal="left" vertical="center"/>
    </xf>
    <xf numFmtId="0" fontId="4" fillId="5" borderId="29" xfId="0" applyFont="1" applyFill="1" applyBorder="1" applyAlignment="1">
      <alignment horizontal="center" vertical="center"/>
    </xf>
    <xf numFmtId="0" fontId="10" fillId="0" borderId="30" xfId="0" applyFont="1" applyBorder="1"/>
    <xf numFmtId="165" fontId="10" fillId="0" borderId="32" xfId="0" applyNumberFormat="1" applyFont="1" applyBorder="1"/>
    <xf numFmtId="168" fontId="3" fillId="5" borderId="50" xfId="4" applyNumberFormat="1" applyFont="1" applyFill="1" applyBorder="1" applyAlignment="1" applyProtection="1">
      <alignment horizontal="center" vertical="center" wrapText="1"/>
    </xf>
    <xf numFmtId="0" fontId="6" fillId="0" borderId="31" xfId="0" applyFont="1" applyBorder="1" applyAlignment="1">
      <alignment horizontal="right" vertical="center" wrapText="1"/>
    </xf>
    <xf numFmtId="3" fontId="35" fillId="6" borderId="21" xfId="17" applyNumberFormat="1" applyFont="1" applyFill="1" applyBorder="1" applyAlignment="1">
      <alignment horizontal="center" vertical="center" wrapText="1"/>
    </xf>
    <xf numFmtId="180" fontId="35" fillId="6" borderId="22" xfId="18" applyNumberFormat="1" applyFont="1" applyFill="1" applyBorder="1" applyAlignment="1" applyProtection="1">
      <alignment horizontal="center" vertical="center"/>
    </xf>
    <xf numFmtId="3" fontId="35" fillId="6" borderId="21" xfId="17" applyNumberFormat="1" applyFont="1" applyFill="1" applyBorder="1" applyAlignment="1">
      <alignment horizontal="center" vertical="center"/>
    </xf>
    <xf numFmtId="180" fontId="35" fillId="6" borderId="62" xfId="18" applyNumberFormat="1" applyFont="1" applyFill="1" applyBorder="1" applyAlignment="1" applyProtection="1">
      <alignment horizontal="center" vertical="center"/>
    </xf>
    <xf numFmtId="10" fontId="36" fillId="2" borderId="23" xfId="0" applyNumberFormat="1" applyFont="1" applyFill="1" applyBorder="1" applyAlignment="1" applyProtection="1">
      <alignment horizontal="center" vertical="center"/>
      <protection locked="0"/>
    </xf>
    <xf numFmtId="0" fontId="35" fillId="6" borderId="21" xfId="17" applyFont="1" applyFill="1" applyBorder="1" applyAlignment="1">
      <alignment horizontal="center" vertical="center" wrapText="1"/>
    </xf>
    <xf numFmtId="10" fontId="36" fillId="2" borderId="23" xfId="0" applyNumberFormat="1" applyFont="1" applyFill="1" applyBorder="1" applyAlignment="1">
      <alignment horizontal="center" vertical="center"/>
    </xf>
    <xf numFmtId="0" fontId="4" fillId="0" borderId="0" xfId="0" applyFont="1" applyProtection="1">
      <protection locked="0"/>
    </xf>
    <xf numFmtId="165" fontId="4" fillId="0" borderId="0" xfId="0" applyNumberFormat="1" applyFont="1" applyAlignment="1" applyProtection="1">
      <alignment horizontal="right"/>
      <protection locked="0"/>
    </xf>
    <xf numFmtId="0" fontId="4" fillId="0" borderId="0" xfId="0" applyFont="1" applyAlignment="1">
      <alignment horizontal="center"/>
    </xf>
    <xf numFmtId="0" fontId="6" fillId="0" borderId="24" xfId="6" applyFont="1" applyBorder="1" applyAlignment="1">
      <alignment vertical="center"/>
    </xf>
    <xf numFmtId="0" fontId="6" fillId="0" borderId="25" xfId="6" applyFont="1" applyBorder="1" applyAlignment="1">
      <alignment vertical="center"/>
    </xf>
    <xf numFmtId="4" fontId="6" fillId="0" borderId="25" xfId="6" applyNumberFormat="1" applyFont="1" applyBorder="1" applyAlignment="1">
      <alignment vertical="center"/>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6" fillId="0" borderId="0" xfId="0" applyFont="1" applyAlignment="1">
      <alignment horizontal="center" vertical="center"/>
    </xf>
    <xf numFmtId="0" fontId="3" fillId="2" borderId="0" xfId="0" applyFont="1" applyFill="1" applyAlignment="1">
      <alignment horizontal="center" vertical="center" wrapText="1"/>
    </xf>
    <xf numFmtId="0" fontId="3" fillId="3" borderId="0" xfId="0" applyFont="1" applyFill="1" applyAlignment="1">
      <alignment horizontal="center" vertical="center" wrapText="1"/>
    </xf>
    <xf numFmtId="0" fontId="3" fillId="0" borderId="0" xfId="0" applyFont="1" applyAlignment="1">
      <alignment horizontal="center" vertical="center"/>
    </xf>
    <xf numFmtId="165" fontId="6" fillId="4" borderId="0" xfId="0" applyNumberFormat="1" applyFont="1" applyFill="1" applyAlignment="1">
      <alignment horizontal="right" vertical="center" wrapText="1"/>
    </xf>
    <xf numFmtId="3" fontId="3" fillId="0" borderId="15" xfId="6" applyNumberFormat="1" applyFont="1" applyBorder="1" applyAlignment="1">
      <alignment vertical="center" wrapText="1"/>
    </xf>
    <xf numFmtId="0" fontId="3" fillId="0" borderId="16" xfId="6" applyFont="1" applyBorder="1" applyAlignment="1">
      <alignment vertical="center" wrapText="1"/>
    </xf>
    <xf numFmtId="4" fontId="3" fillId="0" borderId="16" xfId="6" applyNumberFormat="1" applyFont="1" applyBorder="1" applyAlignment="1">
      <alignment vertical="center" wrapText="1"/>
    </xf>
    <xf numFmtId="0" fontId="3" fillId="0" borderId="19" xfId="6" applyFont="1" applyBorder="1" applyAlignment="1">
      <alignment vertical="center"/>
    </xf>
    <xf numFmtId="0" fontId="3" fillId="0" borderId="20" xfId="6" applyFont="1" applyBorder="1" applyAlignment="1">
      <alignment vertical="center"/>
    </xf>
    <xf numFmtId="4" fontId="3" fillId="0" borderId="20" xfId="6" applyNumberFormat="1" applyFont="1" applyBorder="1" applyAlignment="1">
      <alignment vertical="center"/>
    </xf>
    <xf numFmtId="3" fontId="3" fillId="0" borderId="19" xfId="6" applyNumberFormat="1" applyFont="1" applyBorder="1" applyAlignment="1">
      <alignment vertical="center"/>
    </xf>
    <xf numFmtId="0" fontId="6" fillId="0" borderId="19" xfId="6" applyFont="1" applyBorder="1" applyAlignment="1">
      <alignment vertical="center"/>
    </xf>
    <xf numFmtId="0" fontId="6" fillId="0" borderId="20" xfId="6" applyFont="1" applyBorder="1" applyAlignment="1">
      <alignment vertical="center"/>
    </xf>
    <xf numFmtId="4" fontId="6" fillId="0" borderId="20" xfId="6" applyNumberFormat="1" applyFont="1" applyBorder="1" applyAlignment="1">
      <alignment vertical="center"/>
    </xf>
    <xf numFmtId="0" fontId="23" fillId="9" borderId="34" xfId="12" applyFont="1" applyFill="1" applyBorder="1" applyAlignment="1">
      <alignment horizontal="center" vertical="center"/>
    </xf>
    <xf numFmtId="10" fontId="16" fillId="0" borderId="34" xfId="10" applyNumberFormat="1" applyFont="1" applyBorder="1" applyAlignment="1">
      <alignment horizontal="center" vertical="center"/>
    </xf>
    <xf numFmtId="1" fontId="16" fillId="0" borderId="34" xfId="10" applyNumberFormat="1" applyFont="1" applyBorder="1" applyAlignment="1">
      <alignment horizontal="center" vertical="center"/>
    </xf>
    <xf numFmtId="10" fontId="16" fillId="0" borderId="37" xfId="10" applyNumberFormat="1" applyFont="1" applyBorder="1" applyAlignment="1">
      <alignment horizontal="center" vertical="center"/>
    </xf>
    <xf numFmtId="10" fontId="16" fillId="0" borderId="38" xfId="10" applyNumberFormat="1" applyFont="1" applyBorder="1" applyAlignment="1">
      <alignment horizontal="center" vertical="center"/>
    </xf>
    <xf numFmtId="165" fontId="16" fillId="0" borderId="34" xfId="10" applyNumberFormat="1" applyFont="1" applyBorder="1" applyAlignment="1">
      <alignment horizontal="center" vertical="center"/>
    </xf>
    <xf numFmtId="0" fontId="18" fillId="0" borderId="0" xfId="10" applyFont="1" applyAlignment="1">
      <alignment horizontal="center" vertical="center"/>
    </xf>
    <xf numFmtId="0" fontId="18" fillId="0" borderId="33" xfId="10" applyFont="1" applyBorder="1" applyAlignment="1">
      <alignment horizontal="center" vertical="center"/>
    </xf>
    <xf numFmtId="0" fontId="18" fillId="0" borderId="35" xfId="10" applyFont="1" applyBorder="1" applyAlignment="1">
      <alignment horizontal="center" vertical="center"/>
    </xf>
    <xf numFmtId="0" fontId="18" fillId="0" borderId="36" xfId="10" applyFont="1" applyBorder="1" applyAlignment="1">
      <alignment horizontal="center" vertical="center"/>
    </xf>
    <xf numFmtId="0" fontId="20" fillId="0" borderId="34" xfId="11" applyFont="1" applyBorder="1" applyAlignment="1">
      <alignment horizontal="center" vertical="center" wrapText="1"/>
    </xf>
    <xf numFmtId="0" fontId="19" fillId="8" borderId="34" xfId="10" applyFont="1" applyFill="1" applyBorder="1" applyAlignment="1">
      <alignment horizontal="center" vertical="center"/>
    </xf>
    <xf numFmtId="9" fontId="24" fillId="0" borderId="34" xfId="10" applyNumberFormat="1" applyFont="1" applyBorder="1" applyAlignment="1">
      <alignment horizontal="center" vertical="center"/>
    </xf>
    <xf numFmtId="2" fontId="24" fillId="0" borderId="37" xfId="10" applyNumberFormat="1" applyFont="1" applyBorder="1" applyAlignment="1">
      <alignment horizontal="center" vertical="center"/>
    </xf>
    <xf numFmtId="2" fontId="24" fillId="0" borderId="38" xfId="10" applyNumberFormat="1" applyFont="1" applyBorder="1" applyAlignment="1">
      <alignment horizontal="center" vertical="center"/>
    </xf>
    <xf numFmtId="173" fontId="26" fillId="7" borderId="39" xfId="10" applyNumberFormat="1" applyFont="1" applyFill="1" applyBorder="1" applyAlignment="1">
      <alignment horizontal="center" vertical="center"/>
    </xf>
    <xf numFmtId="0" fontId="29" fillId="10" borderId="33" xfId="12" applyFont="1" applyFill="1" applyBorder="1" applyAlignment="1">
      <alignment horizontal="center" vertical="center"/>
    </xf>
    <xf numFmtId="49" fontId="19" fillId="7" borderId="43" xfId="10" applyNumberFormat="1" applyFont="1" applyFill="1" applyBorder="1" applyAlignment="1">
      <alignment horizontal="center" vertical="center" wrapText="1"/>
    </xf>
    <xf numFmtId="49" fontId="19" fillId="7" borderId="33" xfId="10" applyNumberFormat="1" applyFont="1" applyFill="1" applyBorder="1" applyAlignment="1">
      <alignment horizontal="center" vertical="center" wrapText="1"/>
    </xf>
    <xf numFmtId="49" fontId="19" fillId="7" borderId="37" xfId="10" applyNumberFormat="1" applyFont="1" applyFill="1" applyBorder="1" applyAlignment="1">
      <alignment horizontal="center" vertical="center" wrapText="1"/>
    </xf>
    <xf numFmtId="49" fontId="19" fillId="7" borderId="38" xfId="10" applyNumberFormat="1" applyFont="1" applyFill="1" applyBorder="1" applyAlignment="1">
      <alignment horizontal="center" vertical="center" wrapText="1"/>
    </xf>
    <xf numFmtId="0" fontId="31" fillId="12" borderId="33" xfId="12" applyFont="1" applyFill="1" applyBorder="1" applyAlignment="1">
      <alignment horizontal="center" vertical="center"/>
    </xf>
    <xf numFmtId="3" fontId="35" fillId="6" borderId="61" xfId="17" applyNumberFormat="1" applyFont="1" applyFill="1" applyBorder="1" applyAlignment="1">
      <alignment horizontal="center" vertical="center" wrapText="1"/>
    </xf>
    <xf numFmtId="3" fontId="35" fillId="6" borderId="21" xfId="17" applyNumberFormat="1" applyFont="1" applyFill="1" applyBorder="1" applyAlignment="1">
      <alignment horizontal="center" vertical="center" wrapText="1"/>
    </xf>
    <xf numFmtId="3" fontId="35" fillId="6" borderId="61" xfId="17" applyNumberFormat="1" applyFont="1" applyFill="1" applyBorder="1" applyAlignment="1">
      <alignment horizontal="center" vertical="center"/>
    </xf>
    <xf numFmtId="3" fontId="35" fillId="6" borderId="21" xfId="17" applyNumberFormat="1" applyFont="1" applyFill="1" applyBorder="1" applyAlignment="1">
      <alignment horizontal="center" vertical="center"/>
    </xf>
    <xf numFmtId="0" fontId="36" fillId="0" borderId="63" xfId="0" applyFont="1" applyBorder="1" applyAlignment="1" applyProtection="1">
      <alignment vertical="center" wrapText="1"/>
      <protection locked="0"/>
    </xf>
    <xf numFmtId="0" fontId="37" fillId="11" borderId="0" xfId="17" applyFont="1" applyFill="1" applyAlignment="1" applyProtection="1">
      <alignment horizontal="center" vertical="center" wrapText="1"/>
      <protection locked="0"/>
    </xf>
    <xf numFmtId="0" fontId="33" fillId="6" borderId="19" xfId="17" applyFont="1" applyFill="1" applyBorder="1" applyAlignment="1">
      <alignment vertical="center" wrapText="1"/>
    </xf>
    <xf numFmtId="0" fontId="33" fillId="6" borderId="21" xfId="17" applyFont="1" applyFill="1" applyBorder="1" applyAlignment="1">
      <alignment vertical="center" wrapText="1"/>
    </xf>
    <xf numFmtId="3" fontId="35" fillId="6" borderId="20" xfId="17" applyNumberFormat="1" applyFont="1" applyFill="1" applyBorder="1" applyAlignment="1">
      <alignment horizontal="center" vertical="center" wrapText="1"/>
    </xf>
    <xf numFmtId="0" fontId="35" fillId="6" borderId="61" xfId="17" applyFont="1" applyFill="1" applyBorder="1" applyAlignment="1">
      <alignment horizontal="center" vertical="center" wrapText="1"/>
    </xf>
    <xf numFmtId="0" fontId="35" fillId="6" borderId="21" xfId="17" applyFont="1" applyFill="1" applyBorder="1" applyAlignment="1">
      <alignment horizontal="center" vertical="center" wrapText="1"/>
    </xf>
  </cellXfs>
  <cellStyles count="19">
    <cellStyle name="Comma" xfId="15" xr:uid="{4B61847D-95A5-465B-839E-FE5DFE705568}"/>
    <cellStyle name="Hipervínculo" xfId="9" builtinId="8"/>
    <cellStyle name="Hipervínculo 3" xfId="12" xr:uid="{F59EAC09-7633-40BF-83D8-4E65313B17A2}"/>
    <cellStyle name="Millares 11" xfId="4" xr:uid="{362647D1-5D49-45E0-835A-A2689D1BDBEA}"/>
    <cellStyle name="Millares 2 77 2 3" xfId="13" xr:uid="{10CEB718-17E7-46B2-B98C-485881C8D90E}"/>
    <cellStyle name="Millares_FORMULARIO 4 - M-OFERENTE PPTA ECONOMICA" xfId="18" xr:uid="{B00EDD03-DA37-4334-B209-CD936BAC0075}"/>
    <cellStyle name="Moneda 2 2 2 2 2" xfId="7" xr:uid="{F963C493-08C7-444B-9338-EC74FFE909DD}"/>
    <cellStyle name="Moneda 2 4" xfId="5" xr:uid="{7E7D26FF-7F02-42E5-B43C-16C8FCDBC07D}"/>
    <cellStyle name="Normal" xfId="0" builtinId="0"/>
    <cellStyle name="Normal 10 2" xfId="10" xr:uid="{1CD0D1E2-90A0-468D-AA21-7A5DC4139B5F}"/>
    <cellStyle name="Normal 12 2 2" xfId="11" xr:uid="{E238D77F-6509-40EE-82A7-CB7FFD3C0F5C}"/>
    <cellStyle name="Normal 2" xfId="3" xr:uid="{FDA5D68A-132E-4205-8080-1F28B5E57498}"/>
    <cellStyle name="Normal 2 10 2 2" xfId="8" xr:uid="{5E0ABB39-7E48-490F-892E-C6D09DC975DF}"/>
    <cellStyle name="Normal 3" xfId="1" xr:uid="{3B5A3293-95DD-4D57-8209-9FB9EA5C6730}"/>
    <cellStyle name="Normal 3 11" xfId="17" xr:uid="{FA2DEAC2-2295-4337-BB82-6567CE87A96B}"/>
    <cellStyle name="Normal 3 2 2" xfId="6" xr:uid="{61C67F81-CB1D-4910-BDF8-3D059C303AEE}"/>
    <cellStyle name="Normal 4" xfId="2" xr:uid="{234945D1-8CDE-4098-87A1-AE5582849308}"/>
    <cellStyle name="Percent" xfId="16" xr:uid="{42F48347-2BA0-47DA-A5A4-F1CD4F01CD59}"/>
    <cellStyle name="Porcentaje 2 2" xfId="14" xr:uid="{537351E2-0E66-4C6E-AD68-8611B5699489}"/>
  </cellStyles>
  <dxfs count="37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8" formatCode="#,##0.0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numFmt numFmtId="165" formatCode="&quot;$&quot;\ #,##0.00"/>
      <protection locked="1" hidden="0"/>
    </dxf>
    <dxf>
      <font>
        <strike val="0"/>
        <outline val="0"/>
        <shadow val="0"/>
        <u val="none"/>
        <vertAlign val="baseline"/>
        <sz val="10"/>
        <name val="Calibri"/>
        <family val="2"/>
        <scheme val="minor"/>
      </font>
      <numFmt numFmtId="165" formatCode="&quot;$&quot;\ #,##0.0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165" formatCode="&quot;$&quot;\ #,##0.0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4" formatCode="#,##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3" formatCode="#,##0"/>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fill>
        <patternFill patternType="none"/>
      </fill>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0" formatCode="General"/>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border outline="0">
        <right style="thin">
          <color theme="1" tint="0.499984740745262"/>
        </right>
        <bottom style="thin">
          <color theme="1" tint="0.499984740745262"/>
        </bottom>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dxf>
    <dxf>
      <font>
        <strike val="0"/>
        <outline val="0"/>
        <shadow val="0"/>
        <u val="none"/>
        <vertAlign val="baseline"/>
        <sz val="10"/>
        <name val="Calibri"/>
        <family val="2"/>
        <scheme val="minor"/>
      </font>
      <fill>
        <patternFill patternType="none">
          <fgColor indexed="64"/>
          <bgColor auto="1"/>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fill>
        <patternFill patternType="none">
          <fgColor indexed="64"/>
          <bgColor auto="1"/>
        </patternFill>
      </fill>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auto="1"/>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auto="1"/>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fill>
        <patternFill patternType="none">
          <fgColor indexed="64"/>
          <bgColor auto="1"/>
        </patternFill>
      </fill>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numFmt numFmtId="165" formatCode="&quot;$&quot;\ #,##0.00"/>
      <protection locked="1" hidden="0"/>
    </dxf>
    <dxf>
      <font>
        <strike val="0"/>
        <outline val="0"/>
        <shadow val="0"/>
        <u val="none"/>
        <vertAlign val="baseline"/>
        <sz val="10"/>
        <name val="Calibri"/>
        <family val="2"/>
        <scheme val="minor"/>
      </font>
      <numFmt numFmtId="165" formatCode="&quot;$&quot;\ #,##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numFmt numFmtId="4" formatCode="#,##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alignment horizontal="center" vertical="bottom"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rder>
    </dxf>
    <dxf>
      <font>
        <strike val="0"/>
        <outline val="0"/>
        <shadow val="0"/>
        <u val="none"/>
        <vertAlign val="baseline"/>
        <sz val="10"/>
        <name val="Calibri"/>
        <family val="2"/>
        <scheme val="minor"/>
      </font>
      <fill>
        <patternFill patternType="none">
          <fgColor indexed="64"/>
          <bgColor auto="1"/>
        </patternFill>
      </fill>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numFmt numFmtId="165" formatCode="&quot;$&quot;\ #,##0.00"/>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color auto="1"/>
        <name val="Calibri"/>
        <family val="2"/>
        <scheme val="minor"/>
      </font>
      <numFmt numFmtId="4" formatCode="#,##0.00"/>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border outline="0">
        <left style="thin">
          <color theme="4" tint="0.39997558519241921"/>
        </left>
        <right style="thin">
          <color theme="1" tint="0.499984740745262"/>
        </right>
        <top style="thin">
          <color theme="1" tint="0.499984740745262"/>
        </top>
      </border>
    </dxf>
    <dxf>
      <font>
        <strike val="0"/>
        <outline val="0"/>
        <shadow val="0"/>
        <u val="none"/>
        <vertAlign val="baseline"/>
        <sz val="10"/>
        <name val="Calibri"/>
        <family val="2"/>
        <scheme val="minor"/>
      </font>
      <fill>
        <patternFill patternType="none">
          <fgColor indexed="64"/>
          <bgColor auto="1"/>
        </patternFill>
      </fill>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theme="1"/>
        <name val="Calibri"/>
        <family val="2"/>
        <scheme val="minor"/>
      </font>
      <alignment horizontal="center" vertical="bottom" textRotation="0" wrapText="0" indent="0" justifyLastLine="0" shrinkToFit="0" readingOrder="0"/>
      <protection locked="1" hidden="0"/>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border outline="0">
        <right style="thin">
          <color theme="1" tint="0.499984740745262"/>
        </right>
        <top style="thin">
          <color theme="1" tint="0.499984740745262"/>
        </top>
        <bottom style="thin">
          <color theme="1" tint="0.499984740745262"/>
        </bottom>
      </border>
    </dxf>
    <dxf>
      <font>
        <strike val="0"/>
        <outline val="0"/>
        <shadow val="0"/>
        <u val="none"/>
        <vertAlign val="baseline"/>
        <sz val="10"/>
        <name val="Calibri"/>
        <family val="2"/>
        <scheme val="minor"/>
      </font>
      <protection locked="1" hidden="0"/>
    </dxf>
    <dxf>
      <border outline="0">
        <bottom style="thin">
          <color theme="1" tint="0.499984740745262"/>
        </bottom>
      </border>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auto="1"/>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left"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
      <font>
        <b val="0"/>
        <i val="0"/>
        <strike val="0"/>
        <condense val="0"/>
        <extend val="0"/>
        <outline val="0"/>
        <shadow val="0"/>
        <u val="none"/>
        <vertAlign val="baseline"/>
        <sz val="10"/>
        <color auto="1"/>
        <name val="Calibri"/>
        <family val="2"/>
        <scheme val="minor"/>
      </font>
      <numFmt numFmtId="165" formatCode="&quot;$&quot;\ #,##0.00"/>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general"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165" formatCode="&quot;$&quot;\ #,##0.00"/>
      <fill>
        <patternFill patternType="none">
          <fgColor indexed="64"/>
          <bgColor indexed="65"/>
        </patternFill>
      </fill>
      <alignment horizontal="right"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4" formatCode="#,##0.00"/>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rgb="FFF8F8F8"/>
        <name val="Calibri"/>
        <family val="2"/>
        <scheme val="minor"/>
      </font>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none">
          <fgColor indexed="64"/>
          <bgColor indexed="65"/>
        </patternFill>
      </fill>
      <alignment horizontal="justify" vertical="center" textRotation="0" wrapText="1" indent="0" justifyLastLine="0" shrinkToFit="0" readingOrder="0"/>
      <protection locked="1" hidden="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protection locked="1" hidden="0"/>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Calibri"/>
        <family val="2"/>
        <scheme val="minor"/>
      </font>
      <protection locked="1" hidden="0"/>
    </dxf>
    <dxf>
      <border outline="0">
        <left style="thin">
          <color theme="4" tint="0.39997558519241921"/>
        </left>
        <right style="thin">
          <color theme="1" tint="0.499984740745262"/>
        </right>
        <top style="thin">
          <color theme="1" tint="0.499984740745262"/>
        </top>
      </border>
    </dxf>
    <dxf>
      <font>
        <strike val="0"/>
        <outline val="0"/>
        <shadow val="0"/>
        <u val="none"/>
        <vertAlign val="baseline"/>
        <sz val="10"/>
        <name val="Calibri"/>
        <family val="2"/>
        <scheme val="minor"/>
      </font>
      <protection locked="1" hidden="0"/>
    </dxf>
    <dxf>
      <font>
        <strike val="0"/>
        <outline val="0"/>
        <shadow val="0"/>
        <u val="none"/>
        <vertAlign val="baseline"/>
        <sz val="10"/>
        <name val="Calibri"/>
        <family val="2"/>
        <scheme val="minor"/>
      </font>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740228</xdr:colOff>
      <xdr:row>279</xdr:row>
      <xdr:rowOff>10886</xdr:rowOff>
    </xdr:from>
    <xdr:to>
      <xdr:col>5</xdr:col>
      <xdr:colOff>1273628</xdr:colOff>
      <xdr:row>283</xdr:row>
      <xdr:rowOff>76201</xdr:rowOff>
    </xdr:to>
    <xdr:pic>
      <xdr:nvPicPr>
        <xdr:cNvPr id="2" name="Imagen 1">
          <a:extLst>
            <a:ext uri="{FF2B5EF4-FFF2-40B4-BE49-F238E27FC236}">
              <a16:creationId xmlns:a16="http://schemas.microsoft.com/office/drawing/2014/main" id="{8384BCEB-37EA-4A3E-B8A9-38E188E7D636}"/>
            </a:ext>
          </a:extLst>
        </xdr:cNvPr>
        <xdr:cNvPicPr/>
      </xdr:nvPicPr>
      <xdr:blipFill>
        <a:blip xmlns:r="http://schemas.openxmlformats.org/officeDocument/2006/relationships" r:embed="rId1" cstate="print">
          <a:clrChange>
            <a:clrFrom>
              <a:srgbClr val="FFFFFD"/>
            </a:clrFrom>
            <a:clrTo>
              <a:srgbClr val="FFFFFD">
                <a:alpha val="0"/>
              </a:srgbClr>
            </a:clrTo>
          </a:clrChange>
          <a:extLst>
            <a:ext uri="{28A0092B-C50C-407E-A947-70E740481C1C}">
              <a14:useLocalDpi xmlns:a14="http://schemas.microsoft.com/office/drawing/2010/main" val="0"/>
            </a:ext>
          </a:extLst>
        </a:blip>
        <a:stretch>
          <a:fillRect/>
        </a:stretch>
      </xdr:blipFill>
      <xdr:spPr>
        <a:xfrm>
          <a:off x="8904514" y="109183715"/>
          <a:ext cx="1600200" cy="76200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C07E5CD-7134-4852-B6F6-8A30B48C19E0}" name="POE_PRELIMINARES" displayName="POE_PRELIMINARES" ref="B11:G17" totalsRowCount="1" headerRowDxfId="370" dataDxfId="369" totalsRowDxfId="367" tableBorderDxfId="368">
  <autoFilter ref="B11:G16" xr:uid="{9D3CDC7A-A081-44AD-A7C4-29312ECAE507}"/>
  <sortState xmlns:xlrd2="http://schemas.microsoft.com/office/spreadsheetml/2017/richdata2" ref="B12:G16">
    <sortCondition ref="B11:B16"/>
  </sortState>
  <tableColumns count="6">
    <tableColumn id="1" xr3:uid="{B79EF35F-48BB-4ADE-AAA1-859A7CE0330E}" name="1" totalsRowLabel="Total" dataDxfId="366" totalsRowDxfId="365"/>
    <tableColumn id="2" xr3:uid="{0545BB69-6B14-4504-8E37-B77ED702FEDB}" name="ACTIVIDADES PRELIMINARES, DESMONTES Y DEMOLICIONES" dataDxfId="364" totalsRowDxfId="363"/>
    <tableColumn id="3" xr3:uid="{1C42D150-6DAA-483D-8D7D-53F417F1CC58}" name="UND." totalsRowFunction="count" dataDxfId="362" totalsRowDxfId="361"/>
    <tableColumn id="4" xr3:uid="{FA70F009-D479-420B-93E3-8E3EF54D1AF0}" name="CANTIDAD" dataDxfId="360" totalsRowDxfId="359" dataCellStyle="Millares 11"/>
    <tableColumn id="5" xr3:uid="{57C2767F-AF1D-4F91-9D76-C3AD344524F1}" name="VALOR UNITARIO" dataDxfId="358" totalsRowDxfId="357"/>
    <tableColumn id="6" xr3:uid="{E480AE3B-C9DB-4E41-B689-0C6D61E64DB5}" name="VALOR TOTAL                                " totalsRowFunction="sum" dataDxfId="356" totalsRowDxfId="355" dataCellStyle="Moneda 2 4">
      <calculatedColumnFormula>IFERROR(ROUND((E12*F12),0),"")</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895ADE1-A21B-479D-9D2E-9D815FDF5111}" name="PE_MOVIMIENTO_TIERRAS" displayName="PE_MOVIMIENTO_TIERRAS" ref="B18:G23" totalsRowCount="1" headerRowDxfId="354" dataDxfId="353" totalsRowDxfId="351" tableBorderDxfId="352">
  <autoFilter ref="B18:G22" xr:uid="{A0DBE5BE-34F9-4DA6-8FD2-41A33BC43975}"/>
  <tableColumns count="6">
    <tableColumn id="1" xr3:uid="{EF957C2D-2A58-433F-98E9-C1F15A83D81A}" name="2" totalsRowLabel="Total" dataDxfId="350" totalsRowDxfId="349"/>
    <tableColumn id="2" xr3:uid="{8B3F8D63-7871-4012-A084-025B8AF27D64}" name="MOVIMIENTO DE TIERRAS" dataDxfId="348" totalsRowDxfId="347"/>
    <tableColumn id="3" xr3:uid="{1ECEB594-5774-4804-B329-242D4F48DD82}" name="UND." dataDxfId="346" totalsRowDxfId="345"/>
    <tableColumn id="4" xr3:uid="{59DA3CCD-9DFB-4101-9FC8-FFCCDD382C63}" name="CANTIDAD" dataDxfId="344" totalsRowDxfId="343" dataCellStyle="Millares 11">
      <calculatedColumnFormula>64.79+324.79</calculatedColumnFormula>
    </tableColumn>
    <tableColumn id="5" xr3:uid="{28742CE8-A262-4279-A9E6-B169109B60D4}" name="VALOR UNITARIO" dataDxfId="342" totalsRowDxfId="341" dataCellStyle="Moneda 2 4"/>
    <tableColumn id="6" xr3:uid="{32250892-5D25-4A2F-A662-AAEE8F9923C6}" name="VALOR TOTAL                                " totalsRowFunction="sum" dataDxfId="340" totalsRowDxfId="339" dataCellStyle="Moneda 2 4">
      <calculatedColumnFormula>IFERROR(ROUND($E19*$F19,0),"")</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1F8E1DB-A596-4951-90BE-6D42B04962B3}" name="POE_CIMENTACIÓN" displayName="POE_CIMENTACIÓN" ref="B24:G29" totalsRowCount="1" headerRowDxfId="338" dataDxfId="337" totalsRowDxfId="335" tableBorderDxfId="336">
  <autoFilter ref="B24:G28" xr:uid="{2A728037-4533-4778-BD4D-66F8DB509D95}"/>
  <tableColumns count="6">
    <tableColumn id="1" xr3:uid="{9010EE97-A711-4446-A713-C4190F8DD068}" name="3" totalsRowLabel="Total" dataDxfId="334" totalsRowDxfId="333"/>
    <tableColumn id="2" xr3:uid="{EC9362FE-EC7A-4E66-972F-0336BEEF1F05}" name="CIMENTACIÓN" dataDxfId="332" totalsRowDxfId="331"/>
    <tableColumn id="3" xr3:uid="{4CAD300C-0F81-4B6A-BD35-0957E2E3AC2A}" name="UND." dataDxfId="330" totalsRowDxfId="329"/>
    <tableColumn id="4" xr3:uid="{CD3EFE71-7C94-43B1-8A9A-0F0E02AB29AA}" name="CANTIDAD" dataDxfId="328" totalsRowDxfId="327" dataCellStyle="Millares 11"/>
    <tableColumn id="5" xr3:uid="{4CDFA16E-89B5-4789-AB1E-A410D305077B}" name="VALOR UNITARIO" dataDxfId="326" totalsRowDxfId="325" dataCellStyle="Moneda 2 4"/>
    <tableColumn id="6" xr3:uid="{519210D3-D092-451F-8AC1-C551D4BCE3FB}" name="VALOR TOTAL                                " totalsRowFunction="sum" dataDxfId="324" totalsRowDxfId="323" dataCellStyle="Moneda 2 4">
      <calculatedColumnFormula>IFERROR(ROUND($E25*$F25,0),"")</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DD84F51-E9A6-4C4C-AA57-81C66AC9BEBD}" name="POE_ESTRUCTURA_METÁLICA_Y_MADERA" displayName="POE_ESTRUCTURA_METÁLICA_Y_MADERA" ref="B46:G57" totalsRowCount="1" headerRowDxfId="322" dataDxfId="320" totalsRowDxfId="318" headerRowBorderDxfId="321" tableBorderDxfId="319">
  <autoFilter ref="B46:G56" xr:uid="{43E86410-F4D0-434E-B79B-A5CB19BA5E04}"/>
  <tableColumns count="6">
    <tableColumn id="1" xr3:uid="{F3194A8E-0AED-4A0F-B519-4D53FF5A06BB}" name="6" totalsRowLabel="Total" dataDxfId="317" totalsRowDxfId="316"/>
    <tableColumn id="2" xr3:uid="{93BE24B7-1CB8-4647-B58E-31268293D6FA}" name="ESTRUCTURA METÁLICA Y MADERA" dataDxfId="315" totalsRowDxfId="314"/>
    <tableColumn id="3" xr3:uid="{E2D939BB-392B-437F-A7AF-44A13929B388}" name="UND." dataDxfId="313" totalsRowDxfId="312"/>
    <tableColumn id="4" xr3:uid="{7517DB6B-10E2-42E7-AE6F-F9BCDD176827}" name="CANTIDAD" dataDxfId="311" totalsRowDxfId="310" dataCellStyle="Millares 11"/>
    <tableColumn id="5" xr3:uid="{1E4415D8-3B52-4393-B8B5-CB7348BF8B49}" name="VALOR UNITARIO" dataDxfId="309" totalsRowDxfId="308"/>
    <tableColumn id="6" xr3:uid="{73AFAF7E-7C7E-4E80-9EBA-5F604B263B45}" name="VALOR TOTAL                                " totalsRowFunction="sum" dataDxfId="307" totalsRowDxfId="306" dataCellStyle="Moneda 2 4">
      <calculatedColumnFormula>IFERROR(ROUND($E47*$F47,0),"")</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4407BF6-67E6-41E1-AD93-1010812E70B7}" name="POE_REFUERZO" displayName="POE_REFUERZO" ref="B30:G35" totalsRowCount="1" headerRowDxfId="305" dataDxfId="304" totalsRowDxfId="302" tableBorderDxfId="303">
  <autoFilter ref="B30:G34" xr:uid="{16945329-3BC1-4AE4-85CE-F08B43D97E68}"/>
  <tableColumns count="6">
    <tableColumn id="1" xr3:uid="{464B02CC-0D07-4279-835E-0F7C9E26D5DD}" name="4" totalsRowLabel="Total" dataDxfId="301" totalsRowDxfId="300"/>
    <tableColumn id="2" xr3:uid="{9971302A-8A02-4D45-AA9F-3F4747105D02}" name="REFUERZO" dataDxfId="299" totalsRowDxfId="298"/>
    <tableColumn id="3" xr3:uid="{E83B9A3A-A67D-4F39-A5B5-5768D2575D9B}" name="UND." dataDxfId="297" totalsRowDxfId="296"/>
    <tableColumn id="4" xr3:uid="{DDAA0470-7D42-43D9-B344-CEEDC866A84E}" name="CANTIDAD" dataDxfId="295" totalsRowDxfId="294"/>
    <tableColumn id="5" xr3:uid="{871BEE20-3632-49F6-91D4-6724AED6CDF5}" name="VALOR UNITARIO" dataDxfId="293" totalsRowDxfId="292"/>
    <tableColumn id="6" xr3:uid="{29486D1F-BC02-4E29-AF49-D025C283A9F0}" name="VALOR TOTAL                                " totalsRowFunction="sum" dataDxfId="291" totalsRowDxfId="290">
      <calculatedColumnFormula>IFERROR(ROUND($E31*$F31,0),"")</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5769EF7-F8F7-4A6E-AB0B-6FF42AA04E7B}" name="POE_ESTRUCTURAS_EN_CONCRETO" displayName="POE_ESTRUCTURAS_EN_CONCRETO" ref="B36:G45" totalsRowCount="1" headerRowDxfId="289" dataDxfId="288" totalsRowDxfId="286" tableBorderDxfId="287">
  <autoFilter ref="B36:G44" xr:uid="{0798501E-5B7E-4EF9-B5A9-3DB93244E55D}"/>
  <tableColumns count="6">
    <tableColumn id="1" xr3:uid="{A2BD17D9-98B2-4D74-A906-101AA0493D74}" name="5" totalsRowLabel="Total" dataDxfId="285" totalsRowDxfId="284"/>
    <tableColumn id="2" xr3:uid="{9523F568-ED95-4491-94CC-B8E56DC08596}" name="ESTRUCTURAS EN CONCRETO" dataDxfId="283" totalsRowDxfId="282"/>
    <tableColumn id="3" xr3:uid="{B74872BD-F2FA-4193-98B6-FB8FB41D94EA}" name="UND." dataDxfId="281" totalsRowDxfId="280"/>
    <tableColumn id="4" xr3:uid="{AA545DF4-C66A-459B-BF8D-CBA862B3F9C2}" name="CANTIDAD" dataDxfId="279" totalsRowDxfId="278" dataCellStyle="Millares 11"/>
    <tableColumn id="5" xr3:uid="{84A47116-B19E-4F05-AC46-44A547F1436E}" name="VALOR UNITARIO" dataDxfId="277" totalsRowDxfId="276"/>
    <tableColumn id="6" xr3:uid="{6408A235-4836-4B7E-B283-62991E0AFE6C}" name="VALOR TOTAL                                " totalsRowFunction="sum" dataDxfId="275" totalsRowDxfId="274" dataCellStyle="Moneda 2 4">
      <calculatedColumnFormula>IFERROR(ROUND($E37*$F37,0),"")</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41015E7-2DF1-4EB5-A0DB-087ECE876CF2}" name="POE_REDES_HIDROSANITARIAS" displayName="POE_REDES_HIDROSANITARIAS" ref="B58:G93" totalsRowCount="1" headerRowDxfId="273" dataDxfId="271" totalsRowDxfId="269" headerRowBorderDxfId="272" tableBorderDxfId="270">
  <autoFilter ref="B58:G92" xr:uid="{FC877E5C-9906-4C8E-9421-2901E4C76DF9}"/>
  <tableColumns count="6">
    <tableColumn id="1" xr3:uid="{975DF28B-D6D6-406D-8956-7F0C22840E78}" name="7" totalsRowLabel="Total" dataDxfId="268" totalsRowDxfId="267"/>
    <tableColumn id="2" xr3:uid="{0F7A24C3-DEBC-4BFD-9EAA-9270F64D0D2C}" name="REDES HIDRÁULICAS, SANITARIAS, AGUAS DE RECOLECCIÓN Y RCI" dataDxfId="266" totalsRowDxfId="265"/>
    <tableColumn id="3" xr3:uid="{C1612267-414D-4B71-90B6-34E76DBDB0D9}" name="UND." dataDxfId="264" totalsRowDxfId="263"/>
    <tableColumn id="4" xr3:uid="{85482B56-088D-492C-921C-2383A991651A}" name="CANTIDAD" dataDxfId="262" totalsRowDxfId="261"/>
    <tableColumn id="5" xr3:uid="{DC4064DC-D709-4322-A080-A5FA35B5BD75}" name="VALOR UNITARIO" dataDxfId="260" totalsRowDxfId="259"/>
    <tableColumn id="6" xr3:uid="{C35E7986-BEEB-4DF9-ABE1-66317678D907}" name="VALOR TOTAL                                " totalsRowFunction="sum" dataDxfId="258" totalsRowDxfId="257">
      <calculatedColumnFormula>IFERROR(ROUND($E59*$F59,0),"")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898A553-B9D6-48FE-ADFF-9F51E6C7A6B3}" name="POE_MAMPOSTERIA" displayName="POE_MAMPOSTERIA" ref="B174:G180" totalsRowCount="1" headerRowDxfId="256" dataDxfId="254" totalsRowDxfId="252" headerRowBorderDxfId="255" tableBorderDxfId="253">
  <autoFilter ref="B174:G179" xr:uid="{2E154977-7716-4FE6-9B9D-707B93F23E23}"/>
  <tableColumns count="6">
    <tableColumn id="1" xr3:uid="{096AEFC0-EEE4-40C3-8A49-8D7F648D46AB}" name="10" totalsRowLabel="Total" dataDxfId="251" totalsRowDxfId="250"/>
    <tableColumn id="2" xr3:uid="{E4E5F8CA-A922-422A-85E4-2CEE6F1F4046}" name="MAMPOSTERÍA" dataDxfId="249" totalsRowDxfId="248"/>
    <tableColumn id="3" xr3:uid="{5011AE4C-AA14-4ADC-9080-DD2B6E71DFE8}" name="UND." dataDxfId="247" totalsRowDxfId="246"/>
    <tableColumn id="4" xr3:uid="{9F75E985-7106-41BC-8506-AC0CD9DBC28C}" name="CANTIDAD" dataDxfId="245" totalsRowDxfId="244" dataCellStyle="Millares 11"/>
    <tableColumn id="5" xr3:uid="{643E3684-C78B-4202-935B-95B557C5301D}" name="VALOR UNITARIO" dataDxfId="243" totalsRowDxfId="242" dataCellStyle="Moneda 2 4"/>
    <tableColumn id="6" xr3:uid="{306E0CF0-CF52-4BCC-80B9-8D2A4FAF8139}" name="VALOR TOTAL                                " totalsRowFunction="sum" dataDxfId="241" totalsRowDxfId="240" dataCellStyle="Moneda 2 4">
      <calculatedColumnFormula>IFERROR(ROUND($E175*$F175,0),"")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3920CA1-A405-4ED7-83B7-6E0AF80A815E}" name="POE_CUBIERTAS_Y_CIELO_RASOS" displayName="POE_CUBIERTAS_Y_CIELO_RASOS" ref="B181:G189" totalsRowCount="1" headerRowDxfId="239" dataDxfId="237" totalsRowDxfId="235" headerRowBorderDxfId="238" tableBorderDxfId="236">
  <autoFilter ref="B181:G188" xr:uid="{0EF5FFC6-51B5-4EF1-88D6-1E594E139E11}"/>
  <tableColumns count="6">
    <tableColumn id="1" xr3:uid="{564B6A34-B530-43CA-A602-16C714F15CB5}" name="11" totalsRowLabel="Total" dataDxfId="234" totalsRowDxfId="233"/>
    <tableColumn id="2" xr3:uid="{3DF50F5F-7ACA-4C20-A518-90EDD4637BA7}" name="CUBIERTAS Y CIELO RASOS" dataDxfId="232" totalsRowDxfId="231"/>
    <tableColumn id="3" xr3:uid="{7214750F-20A4-4A96-BDF7-C308C45AC875}" name="UND." dataDxfId="230" totalsRowDxfId="229"/>
    <tableColumn id="4" xr3:uid="{D4E3D535-ACE1-416F-A7A7-8E56315D5DD7}" name="CANTIDAD" dataDxfId="228" totalsRowDxfId="227" dataCellStyle="Millares 11"/>
    <tableColumn id="5" xr3:uid="{8906539A-2088-4962-BBC1-0F74B56C3B58}" name="VALOR UNITARIO" dataDxfId="226" totalsRowDxfId="225" dataCellStyle="Moneda 2 4"/>
    <tableColumn id="6" xr3:uid="{100B80FC-D192-4871-9A1D-39487F4F7077}" name="VALOR TOTAL                                " totalsRowFunction="sum" dataDxfId="224" totalsRowDxfId="223" dataCellStyle="Moneda 2 4">
      <calculatedColumnFormula>IFERROR(ROUND($E182*$F182,0),"")</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B7BB859-E16D-4662-B35F-6700DA4C0D3C}" name="POE_INSTALACIONES_ELÉCTRICAS_E_ILUMINACIÓN" displayName="POE_INSTALACIONES_ELÉCTRICAS_E_ILUMINACIÓN" ref="B94:G159" totalsRowCount="1" headerRowDxfId="222" dataDxfId="221" totalsRowDxfId="219" tableBorderDxfId="220">
  <autoFilter ref="B94:G158" xr:uid="{892BD973-779C-4F2E-B6DC-5A8D81A148EB}"/>
  <tableColumns count="6">
    <tableColumn id="1" xr3:uid="{402DD71A-7C20-43F1-A650-0FF7C419C985}" name="8" totalsRowLabel="Total" dataDxfId="218" totalsRowDxfId="217"/>
    <tableColumn id="2" xr3:uid="{E6946583-04B9-4703-B1AE-38BD22C23D38}" name="INSTALACIONES ELÉCTRICAS E ILUMINACIÓN" dataDxfId="216" totalsRowDxfId="215"/>
    <tableColumn id="3" xr3:uid="{42368F3F-A18A-42A1-9339-D38C59FD660D}" name="UND." dataDxfId="214" totalsRowDxfId="213"/>
    <tableColumn id="4" xr3:uid="{1077E810-E582-4648-9975-B44ABF6CCB6A}" name="CANTIDAD" dataDxfId="212" totalsRowDxfId="211"/>
    <tableColumn id="5" xr3:uid="{5B3ED0E7-EDC7-4E1E-B021-BCAB00EE7F91}" name="VALOR UNITARIO" dataDxfId="210" totalsRowDxfId="209"/>
    <tableColumn id="6" xr3:uid="{5EC0BF0B-D114-4208-B284-B7A2C608A01D}" name="VALOR TOTAL                                " totalsRowFunction="sum" dataDxfId="208" totalsRowDxfId="207" dataCellStyle="Moneda 2 4">
      <calculatedColumnFormula>IFERROR(ROUND($E95*$F95,0),"")</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612702F-F652-4D25-9D4F-E09C08A6684A}" name="POE_REDES_ESPECIALES" displayName="POE_REDES_ESPECIALES" ref="B160:G173" totalsRowCount="1" headerRowDxfId="206" dataDxfId="205" totalsRowDxfId="203" tableBorderDxfId="204">
  <autoFilter ref="B160:G172" xr:uid="{4F285366-2201-418E-A004-93406E8DC660}"/>
  <tableColumns count="6">
    <tableColumn id="1" xr3:uid="{D9215175-BAC5-4410-B337-5F5BD910C9A6}" name="9" totalsRowLabel="Total" dataDxfId="202" totalsRowDxfId="201"/>
    <tableColumn id="2" xr3:uid="{0F7A765D-B566-4350-B424-452B3C72FC22}" name="REDES ESPECIALES" dataDxfId="200" totalsRowDxfId="199"/>
    <tableColumn id="3" xr3:uid="{60F87D18-EC60-4C43-8CDB-26A3B85E8D4E}" name="UND." dataDxfId="198" totalsRowDxfId="197"/>
    <tableColumn id="4" xr3:uid="{0E115789-18F7-46AC-8617-A982BACFB95E}" name="CANTIDAD" dataDxfId="196" totalsRowDxfId="195"/>
    <tableColumn id="5" xr3:uid="{F0CD6133-2941-4F1E-B1AA-1924C11859AD}" name="VALOR UNITARIO" dataDxfId="194" totalsRowDxfId="193"/>
    <tableColumn id="6" xr3:uid="{279D8062-6926-4CD8-AFDA-3634C54A114C}" name="VALOR TOTAL                                " totalsRowFunction="sum" dataDxfId="192" totalsRowDxfId="191" dataCellStyle="Moneda 2 4">
      <calculatedColumnFormula>IFERROR(ROUND($E161*$F161,0),"")</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86C6B292-E3C9-4480-B2C1-A8F6704B4786}" name="POE_PAÑETES" displayName="POE_PAÑETES" ref="B190:G192" totalsRowCount="1" headerRowDxfId="190" dataDxfId="188" totalsRowDxfId="186" headerRowBorderDxfId="189" tableBorderDxfId="187">
  <autoFilter ref="B190:G191" xr:uid="{E3AC9C1D-A66F-428D-A184-7D3F7509DA4B}"/>
  <tableColumns count="6">
    <tableColumn id="1" xr3:uid="{B6401690-677E-4083-9ECA-4B58FE484817}" name="12" totalsRowLabel="Total" dataDxfId="185" totalsRowDxfId="184"/>
    <tableColumn id="2" xr3:uid="{7C9448FB-1BBD-4B11-B78F-B5CCDE672D5D}" name="PAÑETES" dataDxfId="183" totalsRowDxfId="182"/>
    <tableColumn id="3" xr3:uid="{4E144434-796F-4023-8C75-F590E64E011D}" name="UND." dataDxfId="181" totalsRowDxfId="180"/>
    <tableColumn id="4" xr3:uid="{6AA951F5-8990-41A8-BA71-80F8375BCD5C}" name="CANTIDAD" dataDxfId="179" totalsRowDxfId="178" dataCellStyle="Millares 11">
      <calculatedColumnFormula>ROUND(((E179*2)+(1.18+7.12+2.22+3.05+5.4)),2)</calculatedColumnFormula>
    </tableColumn>
    <tableColumn id="5" xr3:uid="{4DE39AA5-BC53-42D5-8591-48BBF887AE1F}" name="VALOR UNITARIO" dataDxfId="177" totalsRowDxfId="176" dataCellStyle="Moneda 2 4"/>
    <tableColumn id="6" xr3:uid="{21E8F0D9-2571-4E24-B83E-63111B1E409A}" name="VALOR TOTAL                                " totalsRowFunction="sum" dataDxfId="175" totalsRowDxfId="174" dataCellStyle="Moneda 2 4">
      <calculatedColumnFormula>IFERROR(ROUND($E191*$F191,0),"")</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02CA9AF-783C-474E-A7F4-9FC013BD0CF0}" name="POE_PISOS_Y_ENCHAPES" displayName="POE_PISOS_Y_ENCHAPES" ref="B193:G203" totalsRowCount="1" headerRowDxfId="173" dataDxfId="172" totalsRowDxfId="170" tableBorderDxfId="171">
  <autoFilter ref="B193:G202" xr:uid="{1FD60CD3-4C4E-4C72-B5C2-D745E7DC9B4F}"/>
  <tableColumns count="6">
    <tableColumn id="1" xr3:uid="{A18E54F7-7E0F-4B28-B033-0A1154C215B7}" name="13" totalsRowLabel="Total" dataDxfId="169" totalsRowDxfId="168"/>
    <tableColumn id="2" xr3:uid="{8A70032C-8551-4E75-B9D2-AB6D13BFB018}" name="PISOS Y ENCHAPES" dataDxfId="167" totalsRowDxfId="166"/>
    <tableColumn id="3" xr3:uid="{8C734278-4887-4865-B4EC-AA01E20AD7CB}" name="UND." dataDxfId="165" totalsRowDxfId="164"/>
    <tableColumn id="4" xr3:uid="{F8812746-6D4F-40EE-8F06-198719C9F938}" name="CANTIDAD" dataDxfId="163" totalsRowDxfId="162" dataCellStyle="Millares 11"/>
    <tableColumn id="5" xr3:uid="{D6E3B340-A00F-409C-BF68-91B70C1F2C34}" name="VALOR UNITARIO" dataDxfId="161" totalsRowDxfId="160" dataCellStyle="Moneda 2 4"/>
    <tableColumn id="6" xr3:uid="{319537D7-DD48-455A-B1FB-2EF80B156DE5}" name="VALOR TOTAL                                " totalsRowFunction="sum" dataDxfId="159" totalsRowDxfId="158" dataCellStyle="Moneda 2 4">
      <calculatedColumnFormula>IFERROR(ROUND($E194*$F194,0),"")</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95B045A9-BB85-4A32-BC1C-E57A5EF8CCAC}" name="POE_CARPINTERIA_MADERA" displayName="POE_CARPINTERIA_MADERA" ref="B204:G207" totalsRowCount="1" headerRowDxfId="157" dataDxfId="156" totalsRowDxfId="155">
  <autoFilter ref="B204:G206" xr:uid="{A9C3B3C8-9DFD-4177-9336-DB7CAF82EA13}"/>
  <tableColumns count="6">
    <tableColumn id="1" xr3:uid="{CB104512-EB4F-4AA8-BF61-E1A45A5D37A4}" name="14" totalsRowLabel="Total" dataDxfId="154" totalsRowDxfId="153"/>
    <tableColumn id="2" xr3:uid="{E6059552-BBDD-4323-BC28-451673ED55EE}" name="CARPINTERIA EN MADERA" dataDxfId="152" totalsRowDxfId="151"/>
    <tableColumn id="3" xr3:uid="{B645CC38-FE99-492E-A022-0B878AE2873C}" name="UND." dataDxfId="150" totalsRowDxfId="149"/>
    <tableColumn id="4" xr3:uid="{8016616B-3933-4F9C-B551-FF6256E1D2DC}" name="CANTIDAD" dataDxfId="148" totalsRowDxfId="147" dataCellStyle="Millares 11"/>
    <tableColumn id="5" xr3:uid="{EE68F8BB-9664-4979-898A-F88E6E614102}" name="VALOR UNITARIO" dataDxfId="146" totalsRowDxfId="145" dataCellStyle="Moneda 2 4"/>
    <tableColumn id="6" xr3:uid="{FEA51DD0-8D8A-46BC-9CEA-B174EEFFA901}" name="VALOR TOTAL                                " totalsRowFunction="sum" dataDxfId="144" totalsRowDxfId="143" dataCellStyle="Moneda 2 4">
      <calculatedColumnFormula>IFERROR(ROUND($E205*$F205,0),"")</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965D6AE3-4D70-46AF-A9A9-00A12A604625}" name="POE_CARPINTERIA_METALICA" displayName="POE_CARPINTERIA_METALICA" ref="B208:G216" totalsRowCount="1" headerRowDxfId="142" dataDxfId="141" totalsRowDxfId="140">
  <autoFilter ref="B208:G215" xr:uid="{AAA939AF-4AF3-4388-AEFD-5F2185E50FBE}"/>
  <tableColumns count="6">
    <tableColumn id="1" xr3:uid="{5DA35765-E516-4067-83A2-D5C498B47106}" name="15" totalsRowLabel="Total" dataDxfId="139" totalsRowDxfId="138"/>
    <tableColumn id="2" xr3:uid="{4819C912-B0CA-404B-848B-3A6FDBCD8D15}" name="CARPINTERÍA METÁLICA" dataDxfId="137" totalsRowDxfId="136"/>
    <tableColumn id="3" xr3:uid="{716AA4B5-A4AD-46B6-B3CC-E610CB5014D1}" name="UND." dataDxfId="135" totalsRowDxfId="134"/>
    <tableColumn id="4" xr3:uid="{E05B0C94-8840-4EA3-A96B-1818E25FF5A8}" name="CANTIDAD" dataDxfId="133" totalsRowDxfId="132" dataCellStyle="Millares 11"/>
    <tableColumn id="5" xr3:uid="{57333EE8-139B-44DD-92F0-A8EBF907EB56}" name="VALOR UNITARIO" dataDxfId="131" totalsRowDxfId="130" dataCellStyle="Moneda 2 4"/>
    <tableColumn id="6" xr3:uid="{36A73417-FECD-4641-A109-BDC06D59B647}" name="VALOR TOTAL                                " totalsRowFunction="sum" dataDxfId="129" totalsRowDxfId="128" dataCellStyle="Moneda 2 4">
      <calculatedColumnFormula>IFERROR(ROUND($E209*$F209,0),"")</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13E3DBA8-3E20-4932-83F1-F0840B3F11F2}" name="POE_CERRADURAS" displayName="POE_CERRADURAS" ref="B217:G222" totalsRowCount="1" headerRowDxfId="127" dataDxfId="126" totalsRowDxfId="125">
  <autoFilter ref="B217:G221" xr:uid="{6DCB0B7A-3E97-4021-A274-D8A1FE81FB07}"/>
  <tableColumns count="6">
    <tableColumn id="1" xr3:uid="{F804F3AB-3C25-4B2E-ACF4-13B46B276BD1}" name="16" totalsRowLabel="Total" dataDxfId="124" totalsRowDxfId="123"/>
    <tableColumn id="2" xr3:uid="{43EDD82B-EEAE-43AA-8E67-D8A3A6A0DA83}" name="CERRADURAS" dataDxfId="122" totalsRowDxfId="121"/>
    <tableColumn id="3" xr3:uid="{68282B11-477C-4ACF-A1EC-4C18F901B569}" name="UND." dataDxfId="120" totalsRowDxfId="119"/>
    <tableColumn id="4" xr3:uid="{E796670D-C91C-4AD6-8155-B0C7D99C871A}" name="CANTIDAD" dataDxfId="118" totalsRowDxfId="117" dataCellStyle="Millares 11"/>
    <tableColumn id="5" xr3:uid="{DBEBBF5E-7A80-42C7-8962-010F26A0ACA6}" name="VALOR UNITARIO" dataDxfId="116" totalsRowDxfId="115" dataCellStyle="Moneda 2 4"/>
    <tableColumn id="6" xr3:uid="{ECF5F440-1EFD-4672-88B4-D0C5629354B1}" name="VALOR TOTAL                                " totalsRowFunction="sum" dataDxfId="114" totalsRowDxfId="113" dataCellStyle="Moneda 2 4">
      <calculatedColumnFormula>IFERROR(ROUND($E218*$F218,0),"")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298EC51-26EC-4530-B96B-A45522C3A3EC}" name="POE_DOTACIÓN_BAÑOS" displayName="POE_DOTACIÓN_BAÑOS" ref="B223:G238" totalsRowCount="1" headerRowDxfId="112" dataDxfId="111" totalsRowDxfId="110">
  <autoFilter ref="B223:G237" xr:uid="{E1861818-A16E-40B3-9D65-6AC813CC8014}"/>
  <tableColumns count="6">
    <tableColumn id="1" xr3:uid="{214B3688-9045-4512-A65E-7B20F4ED308F}" name="17" totalsRowLabel="Total" dataDxfId="109" totalsRowDxfId="108"/>
    <tableColumn id="2" xr3:uid="{01476E6E-D22E-46CF-B3F1-FE117A6430E3}" name="DOTACIÓN DE BAÑOS, GRIFERÍAS Y ACCESORIOS" dataDxfId="107" totalsRowDxfId="106"/>
    <tableColumn id="3" xr3:uid="{01B54A16-B533-4974-852D-20DF9718B550}" name="UND." dataDxfId="105" totalsRowDxfId="104"/>
    <tableColumn id="4" xr3:uid="{A670C23C-71EB-45F7-9996-56D9740B8A10}" name="CANTIDAD" dataDxfId="103" totalsRowDxfId="102" dataCellStyle="Millares 11"/>
    <tableColumn id="5" xr3:uid="{09C3DA03-DD7A-498C-B91D-26743BF04E91}" name="VALOR UNITARIO" dataDxfId="101" totalsRowDxfId="100" dataCellStyle="Moneda 2 4"/>
    <tableColumn id="6" xr3:uid="{5965E1DA-767D-4313-ADDB-B7CBF10A281F}" name="VALOR TOTAL                                " totalsRowFunction="sum" dataDxfId="99" totalsRowDxfId="98" dataCellStyle="Moneda 2 4">
      <calculatedColumnFormula>IFERROR(ROUND($E224*$F224,0),"")</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14531D3-C652-4713-8476-417FBAAFD135}" name="POE_PINTURAS" displayName="POE_PINTURAS" ref="B239:G241" totalsRowCount="1" headerRowDxfId="97" dataDxfId="96" totalsRowDxfId="95">
  <autoFilter ref="B239:G240" xr:uid="{E44406AC-E13E-464C-B73E-4F8B97CD5CA7}"/>
  <tableColumns count="6">
    <tableColumn id="1" xr3:uid="{4A9F5472-38F3-4D75-A436-D5F67DD0429E}" name="18" totalsRowLabel="Total" dataDxfId="94" totalsRowDxfId="93"/>
    <tableColumn id="2" xr3:uid="{78ED7775-1819-40D7-B678-4ED8AD8456CB}" name="PINTURAS" dataDxfId="92" totalsRowDxfId="91"/>
    <tableColumn id="3" xr3:uid="{F296C776-A692-4A2B-BAB8-42B070FBDC4A}" name="UND." dataDxfId="90" totalsRowDxfId="89"/>
    <tableColumn id="4" xr3:uid="{0B12DD65-EC95-4833-BBFB-B5ADE91E0FDF}" name="CANTIDAD" dataDxfId="88" totalsRowDxfId="87" dataCellStyle="Millares 11">
      <calculatedColumnFormula>ROUND(((E175*2)+(E179*2)),2)</calculatedColumnFormula>
    </tableColumn>
    <tableColumn id="5" xr3:uid="{A965B819-B2EE-4606-922F-E6A99A4F2A0A}" name="VALOR UNITARIO" dataDxfId="86" totalsRowDxfId="85" dataCellStyle="Moneda 2 4"/>
    <tableColumn id="6" xr3:uid="{938F04DC-ABDF-4333-AA2A-F485102373E8}" name="VALOR TOTAL                                " totalsRowFunction="sum" dataDxfId="84" totalsRowDxfId="83" dataCellStyle="Moneda 2 4">
      <calculatedColumnFormula>IFERROR(ROUND($E240*$F240,0),"")</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4923F40C-0F50-4759-A4BE-4A40452B007C}" name="POE_VIDRIOS_Y_ESPEJOS" displayName="POE_VIDRIOS_Y_ESPEJOS" ref="B242:G245" totalsRowCount="1" headerRowDxfId="82" dataDxfId="81" totalsRowDxfId="80">
  <autoFilter ref="B242:G244" xr:uid="{BAB067C8-0756-4E04-AFFD-3777616EDB77}"/>
  <tableColumns count="6">
    <tableColumn id="1" xr3:uid="{AD4F6A41-58DE-4868-A760-50528ED6F15B}" name="19" totalsRowLabel="Total" dataDxfId="79" totalsRowDxfId="78"/>
    <tableColumn id="2" xr3:uid="{E45E9C99-8A42-4656-B778-3ED578D13733}" name="VIDRIOS Y ESPEJOS" dataDxfId="77" totalsRowDxfId="76"/>
    <tableColumn id="3" xr3:uid="{45B94A94-4CBD-4485-8F9E-7200341A224C}" name="UND." dataDxfId="75" totalsRowDxfId="74"/>
    <tableColumn id="4" xr3:uid="{051E09AC-1CCF-4CE6-9C08-3677009B4DC8}" name="CANTIDAD" dataDxfId="73" totalsRowDxfId="72"/>
    <tableColumn id="5" xr3:uid="{FF40EE04-B370-4B18-A35A-97A2C25D4E41}" name="VALOR UNITARIO" dataDxfId="71" totalsRowDxfId="70"/>
    <tableColumn id="6" xr3:uid="{A888BDA2-07D5-45B1-B041-B2E628717113}" name="VALOR TOTAL                                " totalsRowFunction="sum" dataDxfId="69" totalsRowDxfId="68">
      <calculatedColumnFormula>IFERROR(ROUND($E243*$F243,0),"")</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37A6F8F3-DF88-4770-8190-79E885F26E18}" name="POE_EQUIPOS_Y_OTROS" displayName="POE_EQUIPOS_Y_OTROS" ref="B246:G249" totalsRowCount="1" headerRowDxfId="67" dataDxfId="66" totalsRowDxfId="65">
  <autoFilter ref="B246:G248" xr:uid="{541EA745-C21A-456F-8934-B1ED97BD23E5}"/>
  <tableColumns count="6">
    <tableColumn id="1" xr3:uid="{6F26B279-E70D-4EE6-B945-1DC4AE6B6DCD}" name="20" totalsRowLabel="Total" dataDxfId="64" totalsRowDxfId="63"/>
    <tableColumn id="2" xr3:uid="{16E63605-77FC-4047-BAB3-AE761D9B5B24}" name="EQUIPOS Y OTROS" dataDxfId="62" totalsRowDxfId="61"/>
    <tableColumn id="3" xr3:uid="{3061AEB8-14CF-489C-8954-204A9821F39C}" name="UND." dataDxfId="60" totalsRowDxfId="59"/>
    <tableColumn id="4" xr3:uid="{63619272-E6EB-4A2F-9E8E-C173FF5C6860}" name="CANTIDAD" dataDxfId="58" totalsRowDxfId="57" dataCellStyle="Millares 11"/>
    <tableColumn id="5" xr3:uid="{23C108D1-EBB2-46AE-ABC6-5CCC2D8C14C9}" name="VALOR UNITARIO" dataDxfId="56" totalsRowDxfId="55" dataCellStyle="Moneda 2 4"/>
    <tableColumn id="6" xr3:uid="{88343345-DC40-408E-8938-AF6EC412DAB9}" name="VALOR TOTAL                                " totalsRowFunction="sum" dataDxfId="54" totalsRowDxfId="53" dataCellStyle="Moneda 2 4">
      <calculatedColumnFormula>IFERROR(ROUND($E247*$F247,0),"")</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D9F1893A-9679-4B9D-8834-885967256E73}" name="POE_OBRAS_EXTERIORES" displayName="POE_OBRAS_EXTERIORES" ref="B250:G255" totalsRowCount="1" headerRowDxfId="52" dataDxfId="51" totalsRowDxfId="50">
  <autoFilter ref="B250:G254" xr:uid="{2903DF24-8510-476B-9F71-69D8830337FB}"/>
  <tableColumns count="6">
    <tableColumn id="1" xr3:uid="{1B8D939C-0669-4972-9991-8403095C21E3}" name="21" totalsRowLabel="Total" dataDxfId="49" totalsRowDxfId="48"/>
    <tableColumn id="2" xr3:uid="{1B92B3D1-FB06-4CC7-B724-9214A3DD1BA8}" name="OBRAS EXTERIORES" dataDxfId="47" totalsRowDxfId="46"/>
    <tableColumn id="3" xr3:uid="{849BC511-27AA-4BA0-81F5-7C3370DD8413}" name="UND." dataDxfId="45" totalsRowDxfId="44"/>
    <tableColumn id="4" xr3:uid="{580006B8-03F9-45C6-BE09-38FA3D375CE1}" name="CANTIDAD" dataDxfId="43" totalsRowDxfId="42" dataCellStyle="Millares 11"/>
    <tableColumn id="5" xr3:uid="{581E5F75-4FB0-4165-9BCF-123B8F24C833}" name="VALOR UNITARIO" dataDxfId="41" totalsRowDxfId="40" dataCellStyle="Moneda 2 4"/>
    <tableColumn id="6" xr3:uid="{4655A807-5639-447C-9E4F-A6D9B2430F52}" name="VALOR TOTAL                                " totalsRowFunction="sum" dataDxfId="39" totalsRowDxfId="38" dataCellStyle="Moneda 2 4">
      <calculatedColumnFormula>IFERROR(ROUND($E251*$F251,0),"")</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FC9E732B-F1E7-4708-A8FD-FFA90BFD607F}" name="POE_SEÑALIZACIÓN" displayName="POE_SEÑALIZACIÓN" ref="B256:G261" totalsRowCount="1" headerRowDxfId="37" dataDxfId="36" totalsRowDxfId="35">
  <autoFilter ref="B256:G260" xr:uid="{3E38AA94-F1F3-4C8B-97AD-B3285C3C24DE}"/>
  <tableColumns count="6">
    <tableColumn id="1" xr3:uid="{CB3395BD-DCC1-4616-AE03-4AE6C5B803BF}" name="22" totalsRowLabel="Total" dataDxfId="34" totalsRowDxfId="33"/>
    <tableColumn id="2" xr3:uid="{BF245093-5E58-4D29-BB66-4823EA84E3A8}" name="SEÑALIZACIÓN" dataDxfId="32" totalsRowDxfId="31"/>
    <tableColumn id="3" xr3:uid="{BEAC673F-2811-4547-8ECC-A3BAD8F8FA85}" name="UND." dataDxfId="30" totalsRowDxfId="29"/>
    <tableColumn id="4" xr3:uid="{503DAC84-0F53-4ABA-BF60-00F41B492E05}" name="CANTIDAD" dataDxfId="28" totalsRowDxfId="27" dataCellStyle="Millares 11"/>
    <tableColumn id="5" xr3:uid="{3E58BAE6-0BF8-4A86-A3E9-BDB23E5A0A61}" name="VALOR UNITARIO" dataDxfId="26" totalsRowDxfId="25" dataCellStyle="Moneda 2 4"/>
    <tableColumn id="6" xr3:uid="{1831FCD8-E63C-4701-9C9D-2AB88AB214A2}" name="VALOR TOTAL                                " totalsRowFunction="sum" dataDxfId="24" totalsRowDxfId="23" dataCellStyle="Moneda 2 4">
      <calculatedColumnFormula>IFERROR(ROUND($E257*$F257,0),"")</calculatedColumnFormula>
    </tableColumn>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A79307-9B21-471D-A18C-7893BBFE08B9}" name="POE_ASEO" displayName="POE_ASEO" ref="B262:G264" totalsRowCount="1" headerRowDxfId="22" dataDxfId="21" totalsRowDxfId="20">
  <autoFilter ref="B262:G263" xr:uid="{C9C6A0EA-B8AF-4B8B-87E8-124607168DD1}"/>
  <tableColumns count="6">
    <tableColumn id="1" xr3:uid="{E01367B0-101B-419D-A6BD-654C8BE44334}" name="24" totalsRowLabel="Total" dataDxfId="19" totalsRowDxfId="18"/>
    <tableColumn id="2" xr3:uid="{7DABFAEC-9B3A-4BE7-AFD5-C33A0445F5F4}" name="ASEO" dataDxfId="17" totalsRowDxfId="16"/>
    <tableColumn id="3" xr3:uid="{3C1EDA26-1D37-4707-8BED-9CC1C2C30837}" name="UND." dataDxfId="15" totalsRowDxfId="14"/>
    <tableColumn id="4" xr3:uid="{BFC239E1-6A15-43BA-9B0F-18F4D54638F2}" name="CANTIDAD" dataDxfId="13" totalsRowDxfId="12" dataCellStyle="Millares 11"/>
    <tableColumn id="5" xr3:uid="{FF12028D-C533-41DE-ADB5-E3AC6F4C70BE}" name="VALOR UNITARIO" dataDxfId="11" totalsRowDxfId="10" dataCellStyle="Moneda 2 4"/>
    <tableColumn id="6" xr3:uid="{CF96BF89-CBCC-4A01-8F3A-FD1E90668F31}" name="VALOR TOTAL                                " totalsRowFunction="sum" dataDxfId="9" totalsRowDxfId="8" dataCellStyle="Moneda 2 4">
      <calculatedColumnFormula>IFERROR(ROUND($E263*$F263,0),"")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21" Type="http://schemas.openxmlformats.org/officeDocument/2006/relationships/table" Target="../tables/table20.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1.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D31A4-638D-44BD-B5AE-5024581135E4}">
  <sheetPr codeName="Hoja11">
    <pageSetUpPr fitToPage="1"/>
  </sheetPr>
  <dimension ref="A1:K275"/>
  <sheetViews>
    <sheetView showGridLines="0" view="pageBreakPreview" topLeftCell="A257" zoomScale="85" zoomScaleNormal="100" zoomScaleSheetLayoutView="85" workbookViewId="0">
      <selection activeCell="F268" sqref="F268:F271"/>
    </sheetView>
  </sheetViews>
  <sheetFormatPr baseColWidth="10" defaultColWidth="11.5546875" defaultRowHeight="13.8" x14ac:dyDescent="0.3"/>
  <cols>
    <col min="1" max="1" width="2.6640625" style="10" customWidth="1"/>
    <col min="2" max="2" width="21.33203125" style="9" bestFit="1" customWidth="1"/>
    <col min="3" max="3" width="82.6640625" style="10" customWidth="1"/>
    <col min="4" max="4" width="12.33203125" style="10" customWidth="1"/>
    <col min="5" max="5" width="15.5546875" style="10" customWidth="1"/>
    <col min="6" max="6" width="20.88671875" style="13" customWidth="1"/>
    <col min="7" max="7" width="34.5546875" style="51" customWidth="1"/>
    <col min="8" max="8" width="2.6640625" style="10" customWidth="1"/>
    <col min="9" max="9" width="16.33203125" style="9" bestFit="1" customWidth="1"/>
    <col min="10" max="10" width="19.44140625" style="10" customWidth="1"/>
    <col min="11" max="16384" width="11.5546875" style="10"/>
  </cols>
  <sheetData>
    <row r="1" spans="1:11" ht="15" thickTop="1" thickBot="1" x14ac:dyDescent="0.35">
      <c r="A1" s="1"/>
      <c r="B1" s="2"/>
      <c r="C1" s="3"/>
      <c r="D1" s="4"/>
      <c r="E1" s="5"/>
      <c r="F1" s="6"/>
      <c r="G1" s="7"/>
      <c r="H1" s="8"/>
    </row>
    <row r="2" spans="1:11" ht="14.4" thickTop="1" x14ac:dyDescent="0.3">
      <c r="A2" s="11"/>
      <c r="B2" s="293" t="s">
        <v>0</v>
      </c>
      <c r="C2" s="294"/>
      <c r="D2" s="12"/>
      <c r="G2" s="14"/>
      <c r="H2" s="15"/>
    </row>
    <row r="3" spans="1:11" x14ac:dyDescent="0.3">
      <c r="A3" s="11"/>
      <c r="B3" s="16" t="s">
        <v>1</v>
      </c>
      <c r="C3" s="17" t="s">
        <v>2</v>
      </c>
      <c r="D3" s="12"/>
      <c r="G3" s="14"/>
      <c r="H3" s="15"/>
    </row>
    <row r="4" spans="1:11" ht="14.4" thickBot="1" x14ac:dyDescent="0.35">
      <c r="A4" s="11"/>
      <c r="B4" s="18" t="s">
        <v>3</v>
      </c>
      <c r="C4" s="19">
        <v>1</v>
      </c>
      <c r="D4" s="20"/>
      <c r="G4" s="14"/>
      <c r="H4" s="15"/>
    </row>
    <row r="5" spans="1:11" ht="14.4" thickTop="1" x14ac:dyDescent="0.3">
      <c r="A5" s="11"/>
      <c r="B5" s="21"/>
      <c r="C5" s="22"/>
      <c r="D5" s="12"/>
      <c r="E5" s="23"/>
      <c r="F5" s="24"/>
      <c r="G5" s="14"/>
      <c r="H5" s="15"/>
    </row>
    <row r="6" spans="1:11" x14ac:dyDescent="0.3">
      <c r="A6" s="11"/>
      <c r="B6" s="295" t="s">
        <v>343</v>
      </c>
      <c r="C6" s="295"/>
      <c r="D6" s="295"/>
      <c r="E6" s="295"/>
      <c r="F6" s="295"/>
      <c r="G6" s="295"/>
      <c r="H6" s="15"/>
    </row>
    <row r="7" spans="1:11" ht="26.25" customHeight="1" x14ac:dyDescent="0.3">
      <c r="A7" s="11"/>
      <c r="B7" s="296" t="s">
        <v>4</v>
      </c>
      <c r="C7" s="296"/>
      <c r="D7" s="296"/>
      <c r="E7" s="296"/>
      <c r="F7" s="296"/>
      <c r="G7" s="296"/>
      <c r="H7" s="15"/>
    </row>
    <row r="8" spans="1:11" ht="26.25" customHeight="1" x14ac:dyDescent="0.3">
      <c r="A8" s="11"/>
      <c r="B8" s="297" t="s">
        <v>5</v>
      </c>
      <c r="C8" s="297"/>
      <c r="D8" s="297"/>
      <c r="E8" s="297"/>
      <c r="F8" s="297"/>
      <c r="G8" s="297"/>
      <c r="H8" s="15"/>
    </row>
    <row r="9" spans="1:11" x14ac:dyDescent="0.3">
      <c r="A9" s="11"/>
      <c r="B9" s="298"/>
      <c r="C9" s="298"/>
      <c r="D9" s="298"/>
      <c r="E9" s="298"/>
      <c r="F9" s="298"/>
      <c r="G9" s="298"/>
      <c r="H9" s="15"/>
    </row>
    <row r="10" spans="1:11" x14ac:dyDescent="0.3">
      <c r="A10" s="25"/>
      <c r="B10" s="26" t="s">
        <v>6</v>
      </c>
      <c r="C10" s="26" t="s">
        <v>7</v>
      </c>
      <c r="D10" s="27"/>
      <c r="E10" s="28"/>
      <c r="F10" s="29"/>
      <c r="G10" s="30"/>
      <c r="H10" s="15"/>
    </row>
    <row r="11" spans="1:11" x14ac:dyDescent="0.3">
      <c r="A11" s="11"/>
      <c r="B11" s="31" t="s">
        <v>8</v>
      </c>
      <c r="C11" s="32" t="s">
        <v>9</v>
      </c>
      <c r="D11" s="33" t="s">
        <v>10</v>
      </c>
      <c r="E11" s="34" t="s">
        <v>11</v>
      </c>
      <c r="F11" s="35" t="s">
        <v>12</v>
      </c>
      <c r="G11" s="36" t="s">
        <v>13</v>
      </c>
      <c r="H11" s="15"/>
    </row>
    <row r="12" spans="1:11" x14ac:dyDescent="0.3">
      <c r="A12" s="11"/>
      <c r="B12" s="37" t="s">
        <v>14</v>
      </c>
      <c r="C12" s="38" t="s">
        <v>346</v>
      </c>
      <c r="D12" s="39"/>
      <c r="E12" s="40"/>
      <c r="F12" s="41" t="s">
        <v>331</v>
      </c>
      <c r="G12" s="42" t="str">
        <f t="shared" ref="G12:G16" si="0">IFERROR(ROUND((E12*F12),0),"")</f>
        <v/>
      </c>
      <c r="H12" s="15"/>
      <c r="J12" s="43"/>
      <c r="K12" s="43"/>
    </row>
    <row r="13" spans="1:11" ht="41.4" x14ac:dyDescent="0.3">
      <c r="A13" s="11"/>
      <c r="B13" s="9" t="s">
        <v>15</v>
      </c>
      <c r="C13" s="44" t="s">
        <v>347</v>
      </c>
      <c r="D13" s="39" t="s">
        <v>332</v>
      </c>
      <c r="E13" s="40">
        <f>ROUND((31.59+19.32+30.97+19.33),2)</f>
        <v>101.21</v>
      </c>
      <c r="F13" s="41">
        <v>19299</v>
      </c>
      <c r="G13" s="42">
        <f>IFERROR(ROUND((E13*F13),0),"")</f>
        <v>1953252</v>
      </c>
      <c r="H13" s="15"/>
      <c r="J13" s="43"/>
      <c r="K13" s="43"/>
    </row>
    <row r="14" spans="1:11" x14ac:dyDescent="0.3">
      <c r="A14" s="11"/>
      <c r="B14" s="9" t="s">
        <v>16</v>
      </c>
      <c r="C14" s="44" t="s">
        <v>348</v>
      </c>
      <c r="D14" s="39" t="s">
        <v>349</v>
      </c>
      <c r="E14" s="40">
        <v>322</v>
      </c>
      <c r="F14" s="41">
        <v>3854</v>
      </c>
      <c r="G14" s="42">
        <f t="shared" si="0"/>
        <v>1240988</v>
      </c>
      <c r="H14" s="15"/>
      <c r="J14" s="45"/>
    </row>
    <row r="15" spans="1:11" x14ac:dyDescent="0.3">
      <c r="A15" s="11"/>
      <c r="B15" s="9" t="s">
        <v>17</v>
      </c>
      <c r="C15" s="44" t="s">
        <v>350</v>
      </c>
      <c r="D15" s="39" t="s">
        <v>351</v>
      </c>
      <c r="E15" s="40">
        <v>1</v>
      </c>
      <c r="F15" s="41">
        <v>535959</v>
      </c>
      <c r="G15" s="42">
        <f t="shared" si="0"/>
        <v>535959</v>
      </c>
      <c r="H15" s="15"/>
      <c r="J15" s="45"/>
    </row>
    <row r="16" spans="1:11" x14ac:dyDescent="0.3">
      <c r="A16" s="11"/>
      <c r="B16" s="9" t="s">
        <v>18</v>
      </c>
      <c r="C16" s="44" t="s">
        <v>352</v>
      </c>
      <c r="D16" s="39" t="s">
        <v>351</v>
      </c>
      <c r="E16" s="40">
        <v>1</v>
      </c>
      <c r="F16" s="41">
        <v>1747136</v>
      </c>
      <c r="G16" s="42">
        <f t="shared" si="0"/>
        <v>1747136</v>
      </c>
      <c r="H16" s="15"/>
      <c r="J16" s="45"/>
    </row>
    <row r="17" spans="1:10" x14ac:dyDescent="0.3">
      <c r="A17" s="11"/>
      <c r="B17" s="9" t="s">
        <v>19</v>
      </c>
      <c r="C17" s="44"/>
      <c r="D17" s="46">
        <f>SUBTOTAL(103,POE_PRELIMINARES[UND.])</f>
        <v>4</v>
      </c>
      <c r="E17" s="39"/>
      <c r="F17" s="47"/>
      <c r="G17" s="48">
        <f>SUBTOTAL(109,POE_PRELIMINARES[[VALOR TOTAL                                ]])</f>
        <v>5477335</v>
      </c>
      <c r="H17" s="15"/>
      <c r="J17" s="45"/>
    </row>
    <row r="18" spans="1:10" x14ac:dyDescent="0.3">
      <c r="A18" s="11"/>
      <c r="B18" s="31" t="s">
        <v>20</v>
      </c>
      <c r="C18" s="32" t="s">
        <v>21</v>
      </c>
      <c r="D18" s="33" t="s">
        <v>10</v>
      </c>
      <c r="E18" s="34" t="s">
        <v>11</v>
      </c>
      <c r="F18" s="35" t="s">
        <v>12</v>
      </c>
      <c r="G18" s="36" t="s">
        <v>13</v>
      </c>
      <c r="H18" s="15"/>
      <c r="J18" s="45"/>
    </row>
    <row r="19" spans="1:10" ht="55.2" x14ac:dyDescent="0.3">
      <c r="A19" s="11"/>
      <c r="B19" s="49" t="s">
        <v>22</v>
      </c>
      <c r="C19" s="44" t="s">
        <v>353</v>
      </c>
      <c r="D19" s="39" t="s">
        <v>354</v>
      </c>
      <c r="E19" s="40">
        <f>ROUND((1.1*525.7),2)</f>
        <v>578.27</v>
      </c>
      <c r="F19" s="41">
        <v>48548</v>
      </c>
      <c r="G19" s="42">
        <f t="shared" ref="G19:G20" si="1">IFERROR(ROUND($E19*$F19,0),"")</f>
        <v>28073852</v>
      </c>
      <c r="H19" s="15"/>
      <c r="J19" s="45"/>
    </row>
    <row r="20" spans="1:10" ht="27.6" x14ac:dyDescent="0.3">
      <c r="A20" s="11"/>
      <c r="B20" s="49" t="s">
        <v>23</v>
      </c>
      <c r="C20" s="44" t="s">
        <v>355</v>
      </c>
      <c r="D20" s="39" t="s">
        <v>354</v>
      </c>
      <c r="E20" s="40">
        <f>ROUND((1.1*326.24),2)</f>
        <v>358.86</v>
      </c>
      <c r="F20" s="41">
        <v>27288</v>
      </c>
      <c r="G20" s="42">
        <f t="shared" si="1"/>
        <v>9792572</v>
      </c>
      <c r="H20" s="15"/>
      <c r="J20" s="45"/>
    </row>
    <row r="21" spans="1:10" ht="27.6" x14ac:dyDescent="0.3">
      <c r="A21" s="11"/>
      <c r="B21" s="49" t="s">
        <v>24</v>
      </c>
      <c r="C21" s="44" t="s">
        <v>356</v>
      </c>
      <c r="D21" s="39" t="s">
        <v>354</v>
      </c>
      <c r="E21" s="40">
        <v>30.6</v>
      </c>
      <c r="F21" s="41">
        <v>233993</v>
      </c>
      <c r="G21" s="42">
        <f>IFERROR(ROUND($E21*$F21,0),"")</f>
        <v>7160186</v>
      </c>
      <c r="H21" s="15"/>
      <c r="J21" s="45"/>
    </row>
    <row r="22" spans="1:10" ht="27.6" x14ac:dyDescent="0.3">
      <c r="A22" s="11"/>
      <c r="B22" s="49" t="s">
        <v>25</v>
      </c>
      <c r="C22" s="44" t="s">
        <v>357</v>
      </c>
      <c r="D22" s="39" t="s">
        <v>354</v>
      </c>
      <c r="E22" s="40">
        <f>ROUND((12.87*(1.5/2)),2)</f>
        <v>9.65</v>
      </c>
      <c r="F22" s="41">
        <v>78977</v>
      </c>
      <c r="G22" s="42">
        <f>IFERROR(ROUND($E22*$F22,0),"")</f>
        <v>762128</v>
      </c>
      <c r="H22" s="15"/>
      <c r="J22" s="45"/>
    </row>
    <row r="23" spans="1:10" x14ac:dyDescent="0.3">
      <c r="A23" s="11"/>
      <c r="B23" s="9" t="s">
        <v>19</v>
      </c>
      <c r="C23" s="44"/>
      <c r="D23" s="39"/>
      <c r="E23" s="39"/>
      <c r="F23" s="47"/>
      <c r="G23" s="48">
        <f>SUBTOTAL(109,PE_MOVIMIENTO_TIERRAS[[VALOR TOTAL                                ]])</f>
        <v>45788738</v>
      </c>
      <c r="H23" s="15"/>
      <c r="J23" s="45"/>
    </row>
    <row r="24" spans="1:10" x14ac:dyDescent="0.3">
      <c r="A24" s="11"/>
      <c r="B24" s="31" t="s">
        <v>26</v>
      </c>
      <c r="C24" s="32" t="s">
        <v>27</v>
      </c>
      <c r="D24" s="33" t="s">
        <v>10</v>
      </c>
      <c r="E24" s="34" t="s">
        <v>11</v>
      </c>
      <c r="F24" s="35" t="s">
        <v>12</v>
      </c>
      <c r="G24" s="36" t="s">
        <v>13</v>
      </c>
      <c r="H24" s="15"/>
      <c r="J24" s="45"/>
    </row>
    <row r="25" spans="1:10" ht="27.6" x14ac:dyDescent="0.3">
      <c r="A25" s="11"/>
      <c r="B25" s="9" t="s">
        <v>28</v>
      </c>
      <c r="C25" s="44" t="s">
        <v>358</v>
      </c>
      <c r="D25" s="39" t="s">
        <v>349</v>
      </c>
      <c r="E25" s="40">
        <f>ROUND(93,2)</f>
        <v>93</v>
      </c>
      <c r="F25" s="41">
        <v>34659</v>
      </c>
      <c r="G25" s="42">
        <f t="shared" ref="G25:G28" si="2">IFERROR(ROUND($E25*$F25,0),"")</f>
        <v>3223287</v>
      </c>
      <c r="H25" s="15"/>
      <c r="J25" s="45"/>
    </row>
    <row r="26" spans="1:10" ht="41.4" x14ac:dyDescent="0.3">
      <c r="A26" s="11"/>
      <c r="B26" s="9" t="s">
        <v>29</v>
      </c>
      <c r="C26" s="44" t="s">
        <v>359</v>
      </c>
      <c r="D26" s="39" t="s">
        <v>354</v>
      </c>
      <c r="E26" s="40">
        <f>ROUND(48.15,2)</f>
        <v>48.15</v>
      </c>
      <c r="F26" s="41">
        <v>368768</v>
      </c>
      <c r="G26" s="42">
        <f>IFERROR(ROUND($E26*$F26,0),"")</f>
        <v>17756179</v>
      </c>
      <c r="H26" s="15"/>
      <c r="J26" s="45"/>
    </row>
    <row r="27" spans="1:10" ht="41.4" x14ac:dyDescent="0.3">
      <c r="A27" s="11"/>
      <c r="B27" s="9" t="s">
        <v>30</v>
      </c>
      <c r="C27" s="44" t="s">
        <v>360</v>
      </c>
      <c r="D27" s="39" t="s">
        <v>354</v>
      </c>
      <c r="E27" s="40">
        <f>ROUND(30.34,2)</f>
        <v>30.34</v>
      </c>
      <c r="F27" s="41">
        <v>890012</v>
      </c>
      <c r="G27" s="42">
        <f t="shared" si="2"/>
        <v>27002964</v>
      </c>
      <c r="H27" s="15"/>
      <c r="J27" s="45"/>
    </row>
    <row r="28" spans="1:10" ht="55.2" x14ac:dyDescent="0.3">
      <c r="A28" s="11"/>
      <c r="B28" s="9" t="s">
        <v>31</v>
      </c>
      <c r="C28" s="44" t="s">
        <v>361</v>
      </c>
      <c r="D28" s="39" t="s">
        <v>354</v>
      </c>
      <c r="E28" s="40">
        <f>ROUND(18.45,2)</f>
        <v>18.45</v>
      </c>
      <c r="F28" s="41">
        <v>935528</v>
      </c>
      <c r="G28" s="42">
        <f t="shared" si="2"/>
        <v>17260492</v>
      </c>
      <c r="H28" s="15"/>
      <c r="J28" s="45"/>
    </row>
    <row r="29" spans="1:10" x14ac:dyDescent="0.3">
      <c r="A29" s="11"/>
      <c r="B29" s="9" t="s">
        <v>19</v>
      </c>
      <c r="C29" s="50"/>
      <c r="D29" s="39"/>
      <c r="E29" s="39"/>
      <c r="F29" s="47"/>
      <c r="G29" s="48">
        <f>SUBTOTAL(109,POE_CIMENTACIÓN[[VALOR TOTAL                                ]])</f>
        <v>65242922</v>
      </c>
      <c r="H29" s="15"/>
      <c r="J29" s="45"/>
    </row>
    <row r="30" spans="1:10" x14ac:dyDescent="0.3">
      <c r="A30" s="11"/>
      <c r="B30" s="31" t="s">
        <v>32</v>
      </c>
      <c r="C30" s="32" t="s">
        <v>33</v>
      </c>
      <c r="D30" s="33" t="s">
        <v>10</v>
      </c>
      <c r="E30" s="34" t="s">
        <v>11</v>
      </c>
      <c r="F30" s="35" t="s">
        <v>12</v>
      </c>
      <c r="G30" s="36" t="s">
        <v>13</v>
      </c>
      <c r="H30" s="15"/>
      <c r="J30" s="45"/>
    </row>
    <row r="31" spans="1:10" x14ac:dyDescent="0.3">
      <c r="A31" s="11"/>
      <c r="B31" s="9" t="s">
        <v>34</v>
      </c>
      <c r="C31" s="44" t="s">
        <v>362</v>
      </c>
      <c r="D31" s="39" t="s">
        <v>363</v>
      </c>
      <c r="E31" s="40">
        <f>ROUND(15170.67,2)</f>
        <v>15170.67</v>
      </c>
      <c r="F31" s="41">
        <v>8357</v>
      </c>
      <c r="G31" s="42">
        <f t="shared" ref="G31:G34" si="3">IFERROR(ROUND($E31*$F31,0),"")</f>
        <v>126781289</v>
      </c>
      <c r="H31" s="15"/>
      <c r="J31" s="45"/>
    </row>
    <row r="32" spans="1:10" ht="27.6" x14ac:dyDescent="0.3">
      <c r="A32" s="11"/>
      <c r="B32" s="9" t="s">
        <v>35</v>
      </c>
      <c r="C32" s="44" t="s">
        <v>364</v>
      </c>
      <c r="D32" s="39" t="s">
        <v>363</v>
      </c>
      <c r="E32" s="40">
        <f>ROUND(1987.6,2)</f>
        <v>1987.6</v>
      </c>
      <c r="F32" s="41">
        <v>8531</v>
      </c>
      <c r="G32" s="42">
        <f t="shared" si="3"/>
        <v>16956216</v>
      </c>
      <c r="H32" s="15"/>
      <c r="J32" s="45"/>
    </row>
    <row r="33" spans="1:10" ht="27.6" x14ac:dyDescent="0.3">
      <c r="A33" s="11"/>
      <c r="B33" s="9" t="s">
        <v>36</v>
      </c>
      <c r="C33" s="44" t="s">
        <v>365</v>
      </c>
      <c r="D33" s="39" t="s">
        <v>351</v>
      </c>
      <c r="E33" s="40">
        <v>50</v>
      </c>
      <c r="F33" s="41">
        <v>13178</v>
      </c>
      <c r="G33" s="42">
        <f t="shared" si="3"/>
        <v>658900</v>
      </c>
      <c r="H33" s="15"/>
      <c r="J33" s="45"/>
    </row>
    <row r="34" spans="1:10" ht="27.6" x14ac:dyDescent="0.3">
      <c r="A34" s="11"/>
      <c r="B34" s="9" t="s">
        <v>37</v>
      </c>
      <c r="C34" s="44" t="s">
        <v>366</v>
      </c>
      <c r="D34" s="39" t="s">
        <v>351</v>
      </c>
      <c r="E34" s="40">
        <v>40</v>
      </c>
      <c r="F34" s="41">
        <v>14708</v>
      </c>
      <c r="G34" s="42">
        <f t="shared" si="3"/>
        <v>588320</v>
      </c>
      <c r="H34" s="15"/>
      <c r="J34" s="45"/>
    </row>
    <row r="35" spans="1:10" x14ac:dyDescent="0.3">
      <c r="A35" s="11"/>
      <c r="B35" s="9" t="s">
        <v>19</v>
      </c>
      <c r="F35" s="10"/>
      <c r="G35" s="51">
        <f>SUBTOTAL(109,POE_REFUERZO[[VALOR TOTAL                                ]])</f>
        <v>144984725</v>
      </c>
      <c r="H35" s="15"/>
      <c r="J35" s="45"/>
    </row>
    <row r="36" spans="1:10" x14ac:dyDescent="0.3">
      <c r="A36" s="11"/>
      <c r="B36" s="31" t="s">
        <v>38</v>
      </c>
      <c r="C36" s="32" t="s">
        <v>39</v>
      </c>
      <c r="D36" s="33" t="s">
        <v>10</v>
      </c>
      <c r="E36" s="34" t="s">
        <v>11</v>
      </c>
      <c r="F36" s="35" t="s">
        <v>12</v>
      </c>
      <c r="G36" s="36" t="s">
        <v>13</v>
      </c>
      <c r="H36" s="15"/>
      <c r="J36" s="45"/>
    </row>
    <row r="37" spans="1:10" ht="55.2" x14ac:dyDescent="0.3">
      <c r="A37" s="11"/>
      <c r="B37" s="9" t="s">
        <v>40</v>
      </c>
      <c r="C37" s="44" t="s">
        <v>367</v>
      </c>
      <c r="D37" s="39" t="s">
        <v>349</v>
      </c>
      <c r="E37" s="40">
        <f>ROUND(279.02+11.505,2)</f>
        <v>290.52999999999997</v>
      </c>
      <c r="F37" s="41">
        <v>139882</v>
      </c>
      <c r="G37" s="52">
        <f t="shared" ref="G37:G40" si="4">IFERROR(ROUND($E37*$F37,0),"")</f>
        <v>40639917</v>
      </c>
      <c r="H37" s="15"/>
      <c r="J37" s="45"/>
    </row>
    <row r="38" spans="1:10" x14ac:dyDescent="0.3">
      <c r="A38" s="11"/>
      <c r="B38" s="9" t="s">
        <v>41</v>
      </c>
      <c r="C38" s="44" t="s">
        <v>368</v>
      </c>
      <c r="D38" s="39" t="s">
        <v>349</v>
      </c>
      <c r="E38" s="40">
        <f>ROUND((26.091+1.1),2)</f>
        <v>27.19</v>
      </c>
      <c r="F38" s="41">
        <v>125177</v>
      </c>
      <c r="G38" s="52">
        <f>IFERROR(ROUND($E38*$F38,0),"")</f>
        <v>3403563</v>
      </c>
      <c r="H38" s="15"/>
      <c r="J38" s="45"/>
    </row>
    <row r="39" spans="1:10" ht="27.6" x14ac:dyDescent="0.3">
      <c r="A39" s="11"/>
      <c r="B39" s="9" t="s">
        <v>42</v>
      </c>
      <c r="C39" s="44" t="s">
        <v>369</v>
      </c>
      <c r="D39" s="39" t="s">
        <v>332</v>
      </c>
      <c r="E39" s="40">
        <f>ROUND(34.4,2)</f>
        <v>34.4</v>
      </c>
      <c r="F39" s="41">
        <v>6499</v>
      </c>
      <c r="G39" s="42">
        <f t="shared" si="4"/>
        <v>223566</v>
      </c>
      <c r="H39" s="15"/>
      <c r="J39" s="45"/>
    </row>
    <row r="40" spans="1:10" ht="69" x14ac:dyDescent="0.3">
      <c r="A40" s="11"/>
      <c r="B40" s="9" t="s">
        <v>43</v>
      </c>
      <c r="C40" s="44" t="s">
        <v>370</v>
      </c>
      <c r="D40" s="39" t="s">
        <v>332</v>
      </c>
      <c r="E40" s="40">
        <f>ROUND(34.2,2)</f>
        <v>34.200000000000003</v>
      </c>
      <c r="F40" s="41">
        <v>19508</v>
      </c>
      <c r="G40" s="42">
        <f t="shared" si="4"/>
        <v>667174</v>
      </c>
      <c r="H40" s="15"/>
      <c r="J40" s="45"/>
    </row>
    <row r="41" spans="1:10" ht="41.4" x14ac:dyDescent="0.3">
      <c r="A41" s="11"/>
      <c r="B41" s="9" t="s">
        <v>44</v>
      </c>
      <c r="C41" s="44" t="s">
        <v>371</v>
      </c>
      <c r="D41" s="39" t="s">
        <v>354</v>
      </c>
      <c r="E41" s="40">
        <f>ROUND(14.27,2)</f>
        <v>14.27</v>
      </c>
      <c r="F41" s="41">
        <v>1093636</v>
      </c>
      <c r="G41" s="42">
        <f>IFERROR(ROUND($E41*$F41,0),"")</f>
        <v>15606186</v>
      </c>
      <c r="H41" s="15"/>
      <c r="J41" s="45"/>
    </row>
    <row r="42" spans="1:10" ht="41.4" x14ac:dyDescent="0.3">
      <c r="A42" s="11"/>
      <c r="B42" s="9" t="s">
        <v>45</v>
      </c>
      <c r="C42" s="44" t="s">
        <v>372</v>
      </c>
      <c r="D42" s="39" t="s">
        <v>354</v>
      </c>
      <c r="E42" s="40">
        <f>ROUND(33.77,2)</f>
        <v>33.770000000000003</v>
      </c>
      <c r="F42" s="41">
        <v>1166317</v>
      </c>
      <c r="G42" s="42">
        <f>IFERROR(ROUND($E42*$F42,0),"")</f>
        <v>39386525</v>
      </c>
      <c r="H42" s="15"/>
      <c r="J42" s="45"/>
    </row>
    <row r="43" spans="1:10" ht="41.4" x14ac:dyDescent="0.3">
      <c r="A43" s="11"/>
      <c r="B43" s="9" t="s">
        <v>46</v>
      </c>
      <c r="C43" s="44" t="s">
        <v>373</v>
      </c>
      <c r="D43" s="39" t="s">
        <v>349</v>
      </c>
      <c r="E43" s="40">
        <f>ROUND(10.5,2)</f>
        <v>10.5</v>
      </c>
      <c r="F43" s="41">
        <v>223392</v>
      </c>
      <c r="G43" s="42">
        <f t="shared" ref="G43" si="5">IFERROR(ROUND($E43*$F43,0),"")</f>
        <v>2345616</v>
      </c>
      <c r="H43" s="15"/>
      <c r="J43" s="45"/>
    </row>
    <row r="44" spans="1:10" ht="27.6" x14ac:dyDescent="0.3">
      <c r="A44" s="11"/>
      <c r="B44" s="9" t="s">
        <v>47</v>
      </c>
      <c r="C44" s="44" t="s">
        <v>374</v>
      </c>
      <c r="D44" s="39" t="s">
        <v>332</v>
      </c>
      <c r="E44" s="40">
        <f>6+2</f>
        <v>8</v>
      </c>
      <c r="F44" s="41">
        <v>58669</v>
      </c>
      <c r="G44" s="42">
        <f>IFERROR(ROUND($E44*$F44,0),"")</f>
        <v>469352</v>
      </c>
      <c r="H44" s="15"/>
      <c r="J44" s="45"/>
    </row>
    <row r="45" spans="1:10" x14ac:dyDescent="0.3">
      <c r="A45" s="11"/>
      <c r="B45" s="9" t="s">
        <v>19</v>
      </c>
      <c r="C45" s="44"/>
      <c r="D45" s="39"/>
      <c r="E45" s="39"/>
      <c r="F45" s="47"/>
      <c r="G45" s="48">
        <f>SUBTOTAL(109,POE_ESTRUCTURAS_EN_CONCRETO[[VALOR TOTAL                                ]])</f>
        <v>102741899</v>
      </c>
      <c r="H45" s="15"/>
      <c r="J45" s="45"/>
    </row>
    <row r="46" spans="1:10" x14ac:dyDescent="0.3">
      <c r="A46" s="11"/>
      <c r="B46" s="31" t="s">
        <v>48</v>
      </c>
      <c r="C46" s="32" t="s">
        <v>49</v>
      </c>
      <c r="D46" s="33" t="s">
        <v>10</v>
      </c>
      <c r="E46" s="34" t="s">
        <v>11</v>
      </c>
      <c r="F46" s="35" t="s">
        <v>12</v>
      </c>
      <c r="G46" s="36" t="s">
        <v>13</v>
      </c>
      <c r="H46" s="15"/>
      <c r="J46" s="45"/>
    </row>
    <row r="47" spans="1:10" x14ac:dyDescent="0.3">
      <c r="A47" s="11"/>
      <c r="B47" s="53" t="s">
        <v>50</v>
      </c>
      <c r="C47" s="54" t="s">
        <v>375</v>
      </c>
      <c r="D47" s="39"/>
      <c r="E47" s="55"/>
      <c r="F47" s="41"/>
      <c r="G47" s="52"/>
      <c r="H47" s="15"/>
      <c r="J47" s="45"/>
    </row>
    <row r="48" spans="1:10" ht="41.4" x14ac:dyDescent="0.3">
      <c r="A48" s="11"/>
      <c r="B48" s="56" t="s">
        <v>51</v>
      </c>
      <c r="C48" s="50" t="s">
        <v>376</v>
      </c>
      <c r="D48" s="39" t="s">
        <v>363</v>
      </c>
      <c r="E48" s="57">
        <f>ROUND((434.01*8.32),2)</f>
        <v>3610.96</v>
      </c>
      <c r="F48" s="41">
        <v>19775</v>
      </c>
      <c r="G48" s="52">
        <f t="shared" ref="G48:G56" si="6">IFERROR(ROUND($E48*$F48,0),"")</f>
        <v>71406734</v>
      </c>
      <c r="H48" s="15"/>
      <c r="J48" s="45"/>
    </row>
    <row r="49" spans="1:10" x14ac:dyDescent="0.3">
      <c r="A49" s="11"/>
      <c r="B49" s="53" t="s">
        <v>52</v>
      </c>
      <c r="C49" s="54" t="s">
        <v>377</v>
      </c>
      <c r="D49" s="39"/>
      <c r="E49" s="40"/>
      <c r="F49" s="41">
        <v>0</v>
      </c>
      <c r="G49" s="52">
        <f t="shared" si="6"/>
        <v>0</v>
      </c>
      <c r="H49" s="15"/>
      <c r="J49" s="45"/>
    </row>
    <row r="50" spans="1:10" ht="55.2" x14ac:dyDescent="0.3">
      <c r="A50" s="11"/>
      <c r="B50" s="56" t="s">
        <v>53</v>
      </c>
      <c r="C50" s="50" t="s">
        <v>378</v>
      </c>
      <c r="D50" s="39" t="s">
        <v>351</v>
      </c>
      <c r="E50" s="40">
        <v>10</v>
      </c>
      <c r="F50" s="41">
        <v>98903</v>
      </c>
      <c r="G50" s="52">
        <f t="shared" si="6"/>
        <v>989030</v>
      </c>
      <c r="H50" s="15"/>
      <c r="J50" s="45"/>
    </row>
    <row r="51" spans="1:10" ht="27.6" x14ac:dyDescent="0.3">
      <c r="A51" s="11"/>
      <c r="B51" s="56" t="s">
        <v>54</v>
      </c>
      <c r="C51" s="50" t="s">
        <v>379</v>
      </c>
      <c r="D51" s="39" t="s">
        <v>351</v>
      </c>
      <c r="E51" s="40">
        <v>170</v>
      </c>
      <c r="F51" s="41">
        <v>23320</v>
      </c>
      <c r="G51" s="52">
        <f t="shared" si="6"/>
        <v>3964400</v>
      </c>
      <c r="H51" s="15"/>
      <c r="J51" s="45"/>
    </row>
    <row r="52" spans="1:10" x14ac:dyDescent="0.3">
      <c r="A52" s="11"/>
      <c r="B52" s="56" t="s">
        <v>55</v>
      </c>
      <c r="C52" s="50" t="s">
        <v>380</v>
      </c>
      <c r="D52" s="39" t="s">
        <v>351</v>
      </c>
      <c r="E52" s="40">
        <v>1000</v>
      </c>
      <c r="F52" s="41">
        <v>5492</v>
      </c>
      <c r="G52" s="52">
        <f>IFERROR(ROUND($E52*$F52,0),"")</f>
        <v>5492000</v>
      </c>
      <c r="H52" s="15"/>
      <c r="J52" s="45"/>
    </row>
    <row r="53" spans="1:10" x14ac:dyDescent="0.3">
      <c r="A53" s="11"/>
      <c r="B53" s="56" t="s">
        <v>56</v>
      </c>
      <c r="C53" s="50" t="s">
        <v>381</v>
      </c>
      <c r="D53" s="39" t="s">
        <v>351</v>
      </c>
      <c r="E53" s="40">
        <v>55</v>
      </c>
      <c r="F53" s="41">
        <v>11322</v>
      </c>
      <c r="G53" s="52">
        <f t="shared" si="6"/>
        <v>622710</v>
      </c>
      <c r="H53" s="15"/>
      <c r="J53" s="45"/>
    </row>
    <row r="54" spans="1:10" x14ac:dyDescent="0.3">
      <c r="A54" s="11"/>
      <c r="B54" s="56" t="s">
        <v>57</v>
      </c>
      <c r="C54" s="50" t="s">
        <v>382</v>
      </c>
      <c r="D54" s="39" t="s">
        <v>351</v>
      </c>
      <c r="E54" s="40">
        <v>55</v>
      </c>
      <c r="F54" s="41">
        <v>15868</v>
      </c>
      <c r="G54" s="52">
        <f>IFERROR(ROUND($E54*$F54,0),"")</f>
        <v>872740</v>
      </c>
      <c r="H54" s="15"/>
      <c r="J54" s="45"/>
    </row>
    <row r="55" spans="1:10" ht="51.75" customHeight="1" x14ac:dyDescent="0.3">
      <c r="A55" s="11"/>
      <c r="B55" s="56" t="s">
        <v>58</v>
      </c>
      <c r="C55" s="50" t="s">
        <v>383</v>
      </c>
      <c r="D55" s="39" t="s">
        <v>332</v>
      </c>
      <c r="E55" s="40">
        <f>ROUND(74.91,2)</f>
        <v>74.91</v>
      </c>
      <c r="F55" s="41">
        <v>163537</v>
      </c>
      <c r="G55" s="52">
        <f t="shared" si="6"/>
        <v>12250557</v>
      </c>
      <c r="H55" s="15"/>
      <c r="J55" s="45"/>
    </row>
    <row r="56" spans="1:10" ht="48.75" customHeight="1" x14ac:dyDescent="0.3">
      <c r="A56" s="11"/>
      <c r="B56" s="56" t="s">
        <v>59</v>
      </c>
      <c r="C56" s="50" t="s">
        <v>384</v>
      </c>
      <c r="D56" s="39" t="s">
        <v>349</v>
      </c>
      <c r="E56" s="40">
        <f>ROUND(196.24,2)</f>
        <v>196.24</v>
      </c>
      <c r="F56" s="41">
        <v>232430</v>
      </c>
      <c r="G56" s="52">
        <f t="shared" si="6"/>
        <v>45612063</v>
      </c>
      <c r="H56" s="15"/>
      <c r="J56" s="45"/>
    </row>
    <row r="57" spans="1:10" x14ac:dyDescent="0.3">
      <c r="A57" s="11"/>
      <c r="B57" s="58" t="s">
        <v>19</v>
      </c>
      <c r="D57" s="39"/>
      <c r="E57" s="39"/>
      <c r="F57" s="47"/>
      <c r="G57" s="48">
        <f>SUBTOTAL(109,POE_ESTRUCTURA_METÁLICA_Y_MADERA[[VALOR TOTAL                                ]])</f>
        <v>141210234</v>
      </c>
      <c r="H57" s="15"/>
    </row>
    <row r="58" spans="1:10" x14ac:dyDescent="0.3">
      <c r="A58" s="11"/>
      <c r="B58" s="31" t="s">
        <v>60</v>
      </c>
      <c r="C58" s="32" t="s">
        <v>61</v>
      </c>
      <c r="D58" s="33" t="s">
        <v>10</v>
      </c>
      <c r="E58" s="34" t="s">
        <v>11</v>
      </c>
      <c r="F58" s="35" t="s">
        <v>12</v>
      </c>
      <c r="G58" s="36" t="s">
        <v>13</v>
      </c>
      <c r="H58" s="15"/>
    </row>
    <row r="59" spans="1:10" x14ac:dyDescent="0.3">
      <c r="A59" s="11"/>
      <c r="B59" s="59" t="s">
        <v>62</v>
      </c>
      <c r="C59" s="38" t="s">
        <v>385</v>
      </c>
      <c r="D59" s="39"/>
      <c r="E59" s="40"/>
      <c r="F59" s="41"/>
      <c r="G59" s="42"/>
      <c r="H59" s="15"/>
    </row>
    <row r="60" spans="1:10" ht="55.2" x14ac:dyDescent="0.3">
      <c r="A60" s="11"/>
      <c r="B60" s="60" t="s">
        <v>63</v>
      </c>
      <c r="C60" s="44" t="s">
        <v>386</v>
      </c>
      <c r="D60" s="39" t="s">
        <v>351</v>
      </c>
      <c r="E60" s="40">
        <v>1</v>
      </c>
      <c r="F60" s="41">
        <v>1206913</v>
      </c>
      <c r="G60" s="42">
        <f t="shared" ref="G60:G92" si="7">IFERROR(ROUND($E60*$F60,0),"")</f>
        <v>1206913</v>
      </c>
      <c r="H60" s="15"/>
    </row>
    <row r="61" spans="1:10" ht="55.2" x14ac:dyDescent="0.3">
      <c r="A61" s="11"/>
      <c r="B61" s="60" t="s">
        <v>64</v>
      </c>
      <c r="C61" s="44" t="s">
        <v>387</v>
      </c>
      <c r="D61" s="39" t="s">
        <v>351</v>
      </c>
      <c r="E61" s="40">
        <v>5</v>
      </c>
      <c r="F61" s="41">
        <v>807468</v>
      </c>
      <c r="G61" s="42">
        <f t="shared" si="7"/>
        <v>4037340</v>
      </c>
      <c r="H61" s="15"/>
    </row>
    <row r="62" spans="1:10" ht="55.2" x14ac:dyDescent="0.3">
      <c r="A62" s="11"/>
      <c r="B62" s="60" t="s">
        <v>65</v>
      </c>
      <c r="C62" s="44" t="s">
        <v>388</v>
      </c>
      <c r="D62" s="39" t="s">
        <v>351</v>
      </c>
      <c r="E62" s="40">
        <v>1</v>
      </c>
      <c r="F62" s="41">
        <v>634522</v>
      </c>
      <c r="G62" s="42">
        <f>IFERROR(ROUND($E62*$F62,0),"")</f>
        <v>634522</v>
      </c>
      <c r="H62" s="15"/>
    </row>
    <row r="63" spans="1:10" ht="27.6" x14ac:dyDescent="0.3">
      <c r="A63" s="11"/>
      <c r="B63" s="60" t="s">
        <v>66</v>
      </c>
      <c r="C63" s="44" t="s">
        <v>389</v>
      </c>
      <c r="D63" s="39" t="s">
        <v>351</v>
      </c>
      <c r="E63" s="40">
        <v>5</v>
      </c>
      <c r="F63" s="41">
        <v>558994</v>
      </c>
      <c r="G63" s="42">
        <f t="shared" si="7"/>
        <v>2794970</v>
      </c>
      <c r="H63" s="15"/>
    </row>
    <row r="64" spans="1:10" ht="27.6" x14ac:dyDescent="0.3">
      <c r="A64" s="11"/>
      <c r="B64" s="60" t="s">
        <v>67</v>
      </c>
      <c r="C64" s="44" t="s">
        <v>390</v>
      </c>
      <c r="D64" s="39" t="s">
        <v>332</v>
      </c>
      <c r="E64" s="40">
        <v>30</v>
      </c>
      <c r="F64" s="41">
        <v>114040</v>
      </c>
      <c r="G64" s="42">
        <f t="shared" si="7"/>
        <v>3421200</v>
      </c>
      <c r="H64" s="15"/>
    </row>
    <row r="65" spans="1:8" x14ac:dyDescent="0.3">
      <c r="A65" s="11"/>
      <c r="B65" s="61" t="s">
        <v>68</v>
      </c>
      <c r="C65" s="38" t="s">
        <v>391</v>
      </c>
      <c r="D65" s="39"/>
      <c r="E65" s="40"/>
      <c r="F65" s="41" t="s">
        <v>331</v>
      </c>
      <c r="G65" s="42" t="str">
        <f t="shared" si="7"/>
        <v/>
      </c>
      <c r="H65" s="15"/>
    </row>
    <row r="66" spans="1:8" ht="27.6" x14ac:dyDescent="0.3">
      <c r="A66" s="11"/>
      <c r="B66" s="60" t="s">
        <v>69</v>
      </c>
      <c r="C66" s="44" t="s">
        <v>392</v>
      </c>
      <c r="D66" s="39" t="s">
        <v>332</v>
      </c>
      <c r="E66" s="40">
        <v>57.5</v>
      </c>
      <c r="F66" s="41">
        <v>51131</v>
      </c>
      <c r="G66" s="42">
        <f t="shared" si="7"/>
        <v>2940033</v>
      </c>
      <c r="H66" s="15"/>
    </row>
    <row r="67" spans="1:8" ht="27.6" x14ac:dyDescent="0.3">
      <c r="A67" s="11"/>
      <c r="B67" s="60" t="s">
        <v>70</v>
      </c>
      <c r="C67" s="44" t="s">
        <v>393</v>
      </c>
      <c r="D67" s="39" t="s">
        <v>332</v>
      </c>
      <c r="E67" s="40">
        <v>10.6</v>
      </c>
      <c r="F67" s="41">
        <v>35559</v>
      </c>
      <c r="G67" s="42">
        <f t="shared" si="7"/>
        <v>376925</v>
      </c>
      <c r="H67" s="15"/>
    </row>
    <row r="68" spans="1:8" ht="27.6" x14ac:dyDescent="0.3">
      <c r="A68" s="11"/>
      <c r="B68" s="60" t="s">
        <v>71</v>
      </c>
      <c r="C68" s="44" t="s">
        <v>394</v>
      </c>
      <c r="D68" s="39" t="s">
        <v>351</v>
      </c>
      <c r="E68" s="40">
        <v>2</v>
      </c>
      <c r="F68" s="41">
        <v>85004</v>
      </c>
      <c r="G68" s="42">
        <f t="shared" si="7"/>
        <v>170008</v>
      </c>
      <c r="H68" s="15"/>
    </row>
    <row r="69" spans="1:8" ht="27.6" x14ac:dyDescent="0.3">
      <c r="A69" s="11"/>
      <c r="B69" s="60" t="s">
        <v>72</v>
      </c>
      <c r="C69" s="44" t="s">
        <v>395</v>
      </c>
      <c r="D69" s="39" t="s">
        <v>351</v>
      </c>
      <c r="E69" s="40">
        <v>4</v>
      </c>
      <c r="F69" s="41">
        <v>46403</v>
      </c>
      <c r="G69" s="42">
        <f t="shared" si="7"/>
        <v>185612</v>
      </c>
      <c r="H69" s="15"/>
    </row>
    <row r="70" spans="1:8" ht="27.6" x14ac:dyDescent="0.3">
      <c r="A70" s="11"/>
      <c r="B70" s="60" t="s">
        <v>73</v>
      </c>
      <c r="C70" s="44" t="s">
        <v>396</v>
      </c>
      <c r="D70" s="39" t="s">
        <v>351</v>
      </c>
      <c r="E70" s="40">
        <v>8</v>
      </c>
      <c r="F70" s="41">
        <v>134513</v>
      </c>
      <c r="G70" s="42">
        <f t="shared" si="7"/>
        <v>1076104</v>
      </c>
      <c r="H70" s="15"/>
    </row>
    <row r="71" spans="1:8" ht="27.6" x14ac:dyDescent="0.3">
      <c r="A71" s="11"/>
      <c r="B71" s="60" t="s">
        <v>74</v>
      </c>
      <c r="C71" s="44" t="s">
        <v>397</v>
      </c>
      <c r="D71" s="39" t="s">
        <v>351</v>
      </c>
      <c r="E71" s="40">
        <v>1</v>
      </c>
      <c r="F71" s="41">
        <v>71393</v>
      </c>
      <c r="G71" s="42">
        <f t="shared" si="7"/>
        <v>71393</v>
      </c>
      <c r="H71" s="15"/>
    </row>
    <row r="72" spans="1:8" ht="41.4" x14ac:dyDescent="0.3">
      <c r="A72" s="11"/>
      <c r="B72" s="60" t="s">
        <v>75</v>
      </c>
      <c r="C72" s="44" t="s">
        <v>398</v>
      </c>
      <c r="D72" s="39" t="s">
        <v>332</v>
      </c>
      <c r="E72" s="40">
        <v>12</v>
      </c>
      <c r="F72" s="41">
        <v>60006</v>
      </c>
      <c r="G72" s="42">
        <f t="shared" si="7"/>
        <v>720072</v>
      </c>
      <c r="H72" s="15"/>
    </row>
    <row r="73" spans="1:8" ht="41.4" x14ac:dyDescent="0.3">
      <c r="A73" s="11"/>
      <c r="B73" s="60" t="s">
        <v>76</v>
      </c>
      <c r="C73" s="44" t="s">
        <v>399</v>
      </c>
      <c r="D73" s="39" t="s">
        <v>332</v>
      </c>
      <c r="E73" s="40">
        <v>59.8</v>
      </c>
      <c r="F73" s="41">
        <v>42775</v>
      </c>
      <c r="G73" s="42">
        <f t="shared" si="7"/>
        <v>2557945</v>
      </c>
      <c r="H73" s="15"/>
    </row>
    <row r="74" spans="1:8" x14ac:dyDescent="0.3">
      <c r="A74" s="11"/>
      <c r="B74" s="61" t="s">
        <v>77</v>
      </c>
      <c r="C74" s="38" t="s">
        <v>400</v>
      </c>
      <c r="D74" s="39"/>
      <c r="E74" s="40"/>
      <c r="F74" s="41" t="s">
        <v>331</v>
      </c>
      <c r="G74" s="42" t="str">
        <f t="shared" si="7"/>
        <v/>
      </c>
      <c r="H74" s="15"/>
    </row>
    <row r="75" spans="1:8" ht="41.4" x14ac:dyDescent="0.3">
      <c r="A75" s="11"/>
      <c r="B75" s="60" t="s">
        <v>78</v>
      </c>
      <c r="C75" s="44" t="s">
        <v>401</v>
      </c>
      <c r="D75" s="39" t="s">
        <v>351</v>
      </c>
      <c r="E75" s="40">
        <v>1</v>
      </c>
      <c r="F75" s="41">
        <v>916589</v>
      </c>
      <c r="G75" s="42">
        <f t="shared" si="7"/>
        <v>916589</v>
      </c>
      <c r="H75" s="15"/>
    </row>
    <row r="76" spans="1:8" ht="27.6" x14ac:dyDescent="0.3">
      <c r="A76" s="11"/>
      <c r="B76" s="60" t="s">
        <v>79</v>
      </c>
      <c r="C76" s="44" t="s">
        <v>402</v>
      </c>
      <c r="D76" s="39" t="s">
        <v>332</v>
      </c>
      <c r="E76" s="40">
        <v>30.6</v>
      </c>
      <c r="F76" s="41">
        <v>18243</v>
      </c>
      <c r="G76" s="42">
        <f t="shared" si="7"/>
        <v>558236</v>
      </c>
      <c r="H76" s="15"/>
    </row>
    <row r="77" spans="1:8" ht="27.6" x14ac:dyDescent="0.3">
      <c r="A77" s="11"/>
      <c r="B77" s="60" t="s">
        <v>80</v>
      </c>
      <c r="C77" s="44" t="s">
        <v>403</v>
      </c>
      <c r="D77" s="39" t="s">
        <v>332</v>
      </c>
      <c r="E77" s="40">
        <v>64.5</v>
      </c>
      <c r="F77" s="41">
        <v>14705</v>
      </c>
      <c r="G77" s="42">
        <f t="shared" si="7"/>
        <v>948473</v>
      </c>
      <c r="H77" s="15"/>
    </row>
    <row r="78" spans="1:8" ht="27.6" x14ac:dyDescent="0.3">
      <c r="A78" s="11"/>
      <c r="B78" s="60" t="s">
        <v>81</v>
      </c>
      <c r="C78" s="44" t="s">
        <v>404</v>
      </c>
      <c r="D78" s="39" t="s">
        <v>332</v>
      </c>
      <c r="E78" s="40">
        <v>32.9</v>
      </c>
      <c r="F78" s="41">
        <v>12889</v>
      </c>
      <c r="G78" s="42">
        <f t="shared" si="7"/>
        <v>424048</v>
      </c>
      <c r="H78" s="15"/>
    </row>
    <row r="79" spans="1:8" ht="27.6" x14ac:dyDescent="0.3">
      <c r="A79" s="11"/>
      <c r="B79" s="60" t="s">
        <v>82</v>
      </c>
      <c r="C79" s="44" t="s">
        <v>405</v>
      </c>
      <c r="D79" s="39" t="s">
        <v>351</v>
      </c>
      <c r="E79" s="40">
        <v>4</v>
      </c>
      <c r="F79" s="41">
        <v>59355</v>
      </c>
      <c r="G79" s="42">
        <f t="shared" si="7"/>
        <v>237420</v>
      </c>
      <c r="H79" s="15"/>
    </row>
    <row r="80" spans="1:8" ht="27.6" x14ac:dyDescent="0.3">
      <c r="A80" s="11"/>
      <c r="B80" s="60" t="s">
        <v>83</v>
      </c>
      <c r="C80" s="44" t="s">
        <v>406</v>
      </c>
      <c r="D80" s="39" t="s">
        <v>351</v>
      </c>
      <c r="E80" s="40">
        <v>1</v>
      </c>
      <c r="F80" s="41">
        <v>47069</v>
      </c>
      <c r="G80" s="42">
        <f t="shared" si="7"/>
        <v>47069</v>
      </c>
      <c r="H80" s="15"/>
    </row>
    <row r="81" spans="1:8" ht="27.6" x14ac:dyDescent="0.3">
      <c r="A81" s="11"/>
      <c r="B81" s="60" t="s">
        <v>84</v>
      </c>
      <c r="C81" s="44" t="s">
        <v>407</v>
      </c>
      <c r="D81" s="39" t="s">
        <v>351</v>
      </c>
      <c r="E81" s="40">
        <v>10</v>
      </c>
      <c r="F81" s="41">
        <v>42513</v>
      </c>
      <c r="G81" s="42">
        <f t="shared" si="7"/>
        <v>425130</v>
      </c>
      <c r="H81" s="15"/>
    </row>
    <row r="82" spans="1:8" ht="27.6" x14ac:dyDescent="0.3">
      <c r="A82" s="11"/>
      <c r="B82" s="60" t="s">
        <v>85</v>
      </c>
      <c r="C82" s="44" t="s">
        <v>408</v>
      </c>
      <c r="D82" s="39" t="s">
        <v>351</v>
      </c>
      <c r="E82" s="40">
        <v>4</v>
      </c>
      <c r="F82" s="41">
        <v>203588</v>
      </c>
      <c r="G82" s="42">
        <f t="shared" si="7"/>
        <v>814352</v>
      </c>
      <c r="H82" s="15"/>
    </row>
    <row r="83" spans="1:8" ht="27.6" x14ac:dyDescent="0.3">
      <c r="A83" s="11"/>
      <c r="B83" s="60" t="s">
        <v>86</v>
      </c>
      <c r="C83" s="44" t="s">
        <v>409</v>
      </c>
      <c r="D83" s="39" t="s">
        <v>351</v>
      </c>
      <c r="E83" s="40">
        <v>3</v>
      </c>
      <c r="F83" s="41">
        <v>147468</v>
      </c>
      <c r="G83" s="42">
        <f t="shared" si="7"/>
        <v>442404</v>
      </c>
      <c r="H83" s="15"/>
    </row>
    <row r="84" spans="1:8" ht="27.6" x14ac:dyDescent="0.3">
      <c r="A84" s="11"/>
      <c r="B84" s="60" t="s">
        <v>87</v>
      </c>
      <c r="C84" s="44" t="s">
        <v>410</v>
      </c>
      <c r="D84" s="39" t="s">
        <v>351</v>
      </c>
      <c r="E84" s="40">
        <v>5</v>
      </c>
      <c r="F84" s="41">
        <v>121391</v>
      </c>
      <c r="G84" s="42">
        <f t="shared" si="7"/>
        <v>606955</v>
      </c>
      <c r="H84" s="15"/>
    </row>
    <row r="85" spans="1:8" x14ac:dyDescent="0.3">
      <c r="A85" s="11"/>
      <c r="B85" s="60" t="s">
        <v>88</v>
      </c>
      <c r="C85" s="44" t="s">
        <v>411</v>
      </c>
      <c r="D85" s="39" t="s">
        <v>351</v>
      </c>
      <c r="E85" s="40">
        <v>6</v>
      </c>
      <c r="F85" s="41">
        <v>58383</v>
      </c>
      <c r="G85" s="42">
        <f t="shared" si="7"/>
        <v>350298</v>
      </c>
      <c r="H85" s="15"/>
    </row>
    <row r="86" spans="1:8" x14ac:dyDescent="0.3">
      <c r="A86" s="11"/>
      <c r="B86" s="61" t="s">
        <v>89</v>
      </c>
      <c r="C86" s="38" t="s">
        <v>412</v>
      </c>
      <c r="D86" s="39"/>
      <c r="E86" s="40"/>
      <c r="F86" s="41" t="s">
        <v>331</v>
      </c>
      <c r="G86" s="42" t="str">
        <f t="shared" si="7"/>
        <v/>
      </c>
      <c r="H86" s="15"/>
    </row>
    <row r="87" spans="1:8" ht="27.6" x14ac:dyDescent="0.3">
      <c r="A87" s="11"/>
      <c r="B87" s="60" t="s">
        <v>90</v>
      </c>
      <c r="C87" s="44" t="s">
        <v>413</v>
      </c>
      <c r="D87" s="39" t="s">
        <v>332</v>
      </c>
      <c r="E87" s="40">
        <v>8.4</v>
      </c>
      <c r="F87" s="41">
        <v>33018</v>
      </c>
      <c r="G87" s="42">
        <f t="shared" si="7"/>
        <v>277351</v>
      </c>
      <c r="H87" s="15"/>
    </row>
    <row r="88" spans="1:8" ht="27.6" x14ac:dyDescent="0.3">
      <c r="A88" s="11"/>
      <c r="B88" s="60" t="s">
        <v>91</v>
      </c>
      <c r="C88" s="44" t="s">
        <v>414</v>
      </c>
      <c r="D88" s="39" t="s">
        <v>332</v>
      </c>
      <c r="E88" s="40">
        <v>13.6</v>
      </c>
      <c r="F88" s="41">
        <v>50787</v>
      </c>
      <c r="G88" s="42">
        <f t="shared" si="7"/>
        <v>690703</v>
      </c>
      <c r="H88" s="15"/>
    </row>
    <row r="89" spans="1:8" ht="27.6" x14ac:dyDescent="0.3">
      <c r="A89" s="11"/>
      <c r="B89" s="60" t="s">
        <v>92</v>
      </c>
      <c r="C89" s="44" t="s">
        <v>415</v>
      </c>
      <c r="D89" s="39" t="s">
        <v>351</v>
      </c>
      <c r="E89" s="40">
        <v>8</v>
      </c>
      <c r="F89" s="41">
        <v>202611</v>
      </c>
      <c r="G89" s="42">
        <f t="shared" si="7"/>
        <v>1620888</v>
      </c>
      <c r="H89" s="15"/>
    </row>
    <row r="90" spans="1:8" x14ac:dyDescent="0.3">
      <c r="A90" s="11"/>
      <c r="B90" s="61" t="s">
        <v>93</v>
      </c>
      <c r="C90" s="38" t="s">
        <v>416</v>
      </c>
      <c r="D90" s="39"/>
      <c r="E90" s="40"/>
      <c r="F90" s="41" t="s">
        <v>331</v>
      </c>
      <c r="G90" s="42" t="str">
        <f t="shared" si="7"/>
        <v/>
      </c>
      <c r="H90" s="15"/>
    </row>
    <row r="91" spans="1:8" ht="41.4" x14ac:dyDescent="0.3">
      <c r="A91" s="11"/>
      <c r="B91" s="60" t="s">
        <v>94</v>
      </c>
      <c r="C91" s="44" t="s">
        <v>417</v>
      </c>
      <c r="D91" s="39" t="s">
        <v>351</v>
      </c>
      <c r="E91" s="40">
        <v>1</v>
      </c>
      <c r="F91" s="41">
        <v>4869004</v>
      </c>
      <c r="G91" s="42">
        <f t="shared" si="7"/>
        <v>4869004</v>
      </c>
      <c r="H91" s="15"/>
    </row>
    <row r="92" spans="1:8" ht="41.4" x14ac:dyDescent="0.3">
      <c r="A92" s="11"/>
      <c r="B92" s="60" t="s">
        <v>95</v>
      </c>
      <c r="C92" s="44" t="s">
        <v>418</v>
      </c>
      <c r="D92" s="39" t="s">
        <v>351</v>
      </c>
      <c r="E92" s="40">
        <v>2</v>
      </c>
      <c r="F92" s="41">
        <v>2083366</v>
      </c>
      <c r="G92" s="42">
        <f t="shared" si="7"/>
        <v>4166732</v>
      </c>
      <c r="H92" s="15"/>
    </row>
    <row r="93" spans="1:8" x14ac:dyDescent="0.3">
      <c r="A93" s="11"/>
      <c r="B93" s="58" t="s">
        <v>19</v>
      </c>
      <c r="F93" s="10"/>
      <c r="G93" s="51">
        <f>SUBTOTAL(109,POE_REDES_HIDROSANITARIAS[[VALOR TOTAL                                ]])</f>
        <v>37588689</v>
      </c>
      <c r="H93" s="15"/>
    </row>
    <row r="94" spans="1:8" x14ac:dyDescent="0.3">
      <c r="A94" s="11"/>
      <c r="B94" s="31" t="s">
        <v>96</v>
      </c>
      <c r="C94" s="32" t="s">
        <v>97</v>
      </c>
      <c r="D94" s="33" t="s">
        <v>10</v>
      </c>
      <c r="E94" s="34" t="s">
        <v>11</v>
      </c>
      <c r="F94" s="35" t="s">
        <v>12</v>
      </c>
      <c r="G94" s="36" t="s">
        <v>13</v>
      </c>
      <c r="H94" s="15"/>
    </row>
    <row r="95" spans="1:8" x14ac:dyDescent="0.3">
      <c r="A95" s="11"/>
      <c r="B95" s="62" t="s">
        <v>98</v>
      </c>
      <c r="C95" s="63" t="s">
        <v>419</v>
      </c>
      <c r="D95" s="39"/>
      <c r="E95" s="40"/>
      <c r="F95" s="41"/>
      <c r="G95" s="42"/>
      <c r="H95" s="15"/>
    </row>
    <row r="96" spans="1:8" ht="27.6" x14ac:dyDescent="0.3">
      <c r="A96" s="11"/>
      <c r="B96" s="9" t="s">
        <v>99</v>
      </c>
      <c r="C96" s="64" t="s">
        <v>420</v>
      </c>
      <c r="D96" s="39" t="s">
        <v>351</v>
      </c>
      <c r="E96" s="65">
        <v>1</v>
      </c>
      <c r="F96" s="41">
        <v>495129</v>
      </c>
      <c r="G96" s="42">
        <f t="shared" ref="G96:G158" si="8">IFERROR(ROUND($E96*$F96,0),"")</f>
        <v>495129</v>
      </c>
      <c r="H96" s="15"/>
    </row>
    <row r="97" spans="1:8" x14ac:dyDescent="0.3">
      <c r="A97" s="11"/>
      <c r="B97" s="62" t="s">
        <v>100</v>
      </c>
      <c r="C97" s="63" t="s">
        <v>421</v>
      </c>
      <c r="D97" s="66"/>
      <c r="E97" s="65"/>
      <c r="F97" s="41">
        <v>0</v>
      </c>
      <c r="G97" s="42">
        <f t="shared" si="8"/>
        <v>0</v>
      </c>
      <c r="H97" s="15"/>
    </row>
    <row r="98" spans="1:8" ht="27.6" x14ac:dyDescent="0.3">
      <c r="A98" s="11"/>
      <c r="B98" s="9" t="s">
        <v>101</v>
      </c>
      <c r="C98" s="50" t="s">
        <v>422</v>
      </c>
      <c r="D98" s="39" t="s">
        <v>332</v>
      </c>
      <c r="E98" s="65">
        <v>80</v>
      </c>
      <c r="F98" s="41">
        <v>38205</v>
      </c>
      <c r="G98" s="42">
        <f t="shared" si="8"/>
        <v>3056400</v>
      </c>
      <c r="H98" s="15"/>
    </row>
    <row r="99" spans="1:8" ht="41.4" x14ac:dyDescent="0.3">
      <c r="A99" s="11"/>
      <c r="B99" s="9" t="s">
        <v>102</v>
      </c>
      <c r="C99" s="50" t="s">
        <v>423</v>
      </c>
      <c r="D99" s="39" t="s">
        <v>332</v>
      </c>
      <c r="E99" s="65">
        <v>40</v>
      </c>
      <c r="F99" s="41">
        <v>46078</v>
      </c>
      <c r="G99" s="42">
        <f t="shared" si="8"/>
        <v>1843120</v>
      </c>
      <c r="H99" s="15"/>
    </row>
    <row r="100" spans="1:8" ht="55.2" x14ac:dyDescent="0.3">
      <c r="A100" s="11"/>
      <c r="B100" s="9" t="s">
        <v>103</v>
      </c>
      <c r="C100" s="50" t="s">
        <v>424</v>
      </c>
      <c r="D100" s="39" t="s">
        <v>351</v>
      </c>
      <c r="E100" s="65">
        <v>4</v>
      </c>
      <c r="F100" s="41">
        <v>1087143</v>
      </c>
      <c r="G100" s="42">
        <f t="shared" si="8"/>
        <v>4348572</v>
      </c>
      <c r="H100" s="15"/>
    </row>
    <row r="101" spans="1:8" x14ac:dyDescent="0.3">
      <c r="A101" s="11"/>
      <c r="B101" s="62" t="s">
        <v>104</v>
      </c>
      <c r="C101" s="67" t="s">
        <v>425</v>
      </c>
      <c r="D101" s="39"/>
      <c r="E101" s="40"/>
      <c r="F101" s="41">
        <v>0</v>
      </c>
      <c r="G101" s="42">
        <f t="shared" si="8"/>
        <v>0</v>
      </c>
      <c r="H101" s="15"/>
    </row>
    <row r="102" spans="1:8" ht="151.80000000000001" x14ac:dyDescent="0.3">
      <c r="A102" s="11"/>
      <c r="B102" s="9" t="s">
        <v>105</v>
      </c>
      <c r="C102" s="50" t="s">
        <v>426</v>
      </c>
      <c r="D102" s="39" t="s">
        <v>351</v>
      </c>
      <c r="E102" s="65">
        <v>1</v>
      </c>
      <c r="F102" s="41">
        <v>7928516</v>
      </c>
      <c r="G102" s="42">
        <f t="shared" si="8"/>
        <v>7928516</v>
      </c>
      <c r="H102" s="15"/>
    </row>
    <row r="103" spans="1:8" ht="55.2" x14ac:dyDescent="0.3">
      <c r="A103" s="11"/>
      <c r="B103" s="9" t="s">
        <v>106</v>
      </c>
      <c r="C103" s="50" t="s">
        <v>427</v>
      </c>
      <c r="D103" s="39" t="s">
        <v>351</v>
      </c>
      <c r="E103" s="65">
        <v>1</v>
      </c>
      <c r="F103" s="41">
        <v>1316006</v>
      </c>
      <c r="G103" s="42">
        <f t="shared" si="8"/>
        <v>1316006</v>
      </c>
      <c r="H103" s="15"/>
    </row>
    <row r="104" spans="1:8" ht="55.2" x14ac:dyDescent="0.3">
      <c r="A104" s="11"/>
      <c r="B104" s="9" t="s">
        <v>107</v>
      </c>
      <c r="C104" s="50" t="s">
        <v>428</v>
      </c>
      <c r="D104" s="39" t="s">
        <v>351</v>
      </c>
      <c r="E104" s="40">
        <v>1</v>
      </c>
      <c r="F104" s="41">
        <v>446682</v>
      </c>
      <c r="G104" s="42">
        <f t="shared" si="8"/>
        <v>446682</v>
      </c>
      <c r="H104" s="15"/>
    </row>
    <row r="105" spans="1:8" x14ac:dyDescent="0.3">
      <c r="A105" s="11"/>
      <c r="B105" s="37" t="s">
        <v>108</v>
      </c>
      <c r="C105" s="54" t="s">
        <v>429</v>
      </c>
      <c r="D105" s="39"/>
      <c r="E105" s="65"/>
      <c r="F105" s="41" t="s">
        <v>331</v>
      </c>
      <c r="G105" s="42" t="str">
        <f t="shared" si="8"/>
        <v/>
      </c>
      <c r="H105" s="15"/>
    </row>
    <row r="106" spans="1:8" ht="41.4" x14ac:dyDescent="0.3">
      <c r="A106" s="11"/>
      <c r="B106" s="9" t="s">
        <v>109</v>
      </c>
      <c r="C106" s="50" t="s">
        <v>430</v>
      </c>
      <c r="D106" s="39" t="s">
        <v>332</v>
      </c>
      <c r="E106" s="40">
        <v>50</v>
      </c>
      <c r="F106" s="41">
        <v>177622</v>
      </c>
      <c r="G106" s="42">
        <f t="shared" si="8"/>
        <v>8881100</v>
      </c>
      <c r="H106" s="15"/>
    </row>
    <row r="107" spans="1:8" ht="41.4" x14ac:dyDescent="0.3">
      <c r="A107" s="11"/>
      <c r="B107" s="9" t="s">
        <v>110</v>
      </c>
      <c r="C107" s="50" t="s">
        <v>431</v>
      </c>
      <c r="D107" s="39" t="s">
        <v>332</v>
      </c>
      <c r="E107" s="40">
        <v>15</v>
      </c>
      <c r="F107" s="41">
        <v>71125</v>
      </c>
      <c r="G107" s="42">
        <f t="shared" si="8"/>
        <v>1066875</v>
      </c>
      <c r="H107" s="15"/>
    </row>
    <row r="108" spans="1:8" ht="41.4" x14ac:dyDescent="0.3">
      <c r="A108" s="11"/>
      <c r="B108" s="9" t="s">
        <v>111</v>
      </c>
      <c r="C108" s="50" t="s">
        <v>432</v>
      </c>
      <c r="D108" s="39" t="s">
        <v>332</v>
      </c>
      <c r="E108" s="40">
        <v>15</v>
      </c>
      <c r="F108" s="41">
        <v>40109</v>
      </c>
      <c r="G108" s="42">
        <f t="shared" si="8"/>
        <v>601635</v>
      </c>
      <c r="H108" s="15"/>
    </row>
    <row r="109" spans="1:8" ht="41.4" x14ac:dyDescent="0.3">
      <c r="A109" s="11"/>
      <c r="B109" s="9" t="s">
        <v>112</v>
      </c>
      <c r="C109" s="50" t="s">
        <v>433</v>
      </c>
      <c r="D109" s="39" t="s">
        <v>332</v>
      </c>
      <c r="E109" s="40">
        <v>10</v>
      </c>
      <c r="F109" s="41">
        <v>34312</v>
      </c>
      <c r="G109" s="42">
        <f t="shared" si="8"/>
        <v>343120</v>
      </c>
      <c r="H109" s="15"/>
    </row>
    <row r="110" spans="1:8" x14ac:dyDescent="0.3">
      <c r="A110" s="11"/>
      <c r="B110" s="37" t="s">
        <v>113</v>
      </c>
      <c r="C110" s="54" t="s">
        <v>434</v>
      </c>
      <c r="D110" s="39"/>
      <c r="E110" s="40"/>
      <c r="F110" s="41" t="s">
        <v>331</v>
      </c>
      <c r="G110" s="42" t="str">
        <f t="shared" si="8"/>
        <v/>
      </c>
      <c r="H110" s="15"/>
    </row>
    <row r="111" spans="1:8" ht="69" x14ac:dyDescent="0.3">
      <c r="A111" s="11"/>
      <c r="B111" s="9" t="s">
        <v>114</v>
      </c>
      <c r="C111" s="50" t="s">
        <v>435</v>
      </c>
      <c r="D111" s="39" t="s">
        <v>351</v>
      </c>
      <c r="E111" s="40">
        <v>5</v>
      </c>
      <c r="F111" s="41">
        <v>123372</v>
      </c>
      <c r="G111" s="42">
        <f t="shared" si="8"/>
        <v>616860</v>
      </c>
      <c r="H111" s="15"/>
    </row>
    <row r="112" spans="1:8" ht="82.8" x14ac:dyDescent="0.3">
      <c r="A112" s="11"/>
      <c r="B112" s="9" t="s">
        <v>115</v>
      </c>
      <c r="C112" s="50" t="s">
        <v>436</v>
      </c>
      <c r="D112" s="39" t="s">
        <v>351</v>
      </c>
      <c r="E112" s="40">
        <v>5</v>
      </c>
      <c r="F112" s="41">
        <v>181365</v>
      </c>
      <c r="G112" s="42">
        <f t="shared" si="8"/>
        <v>906825</v>
      </c>
      <c r="H112" s="15"/>
    </row>
    <row r="113" spans="1:8" ht="82.8" x14ac:dyDescent="0.3">
      <c r="A113" s="11"/>
      <c r="B113" s="9" t="s">
        <v>116</v>
      </c>
      <c r="C113" s="50" t="s">
        <v>437</v>
      </c>
      <c r="D113" s="39" t="s">
        <v>351</v>
      </c>
      <c r="E113" s="40">
        <v>10</v>
      </c>
      <c r="F113" s="41">
        <v>149917</v>
      </c>
      <c r="G113" s="42">
        <f t="shared" si="8"/>
        <v>1499170</v>
      </c>
      <c r="H113" s="15"/>
    </row>
    <row r="114" spans="1:8" ht="82.8" x14ac:dyDescent="0.3">
      <c r="A114" s="11"/>
      <c r="B114" s="9" t="s">
        <v>117</v>
      </c>
      <c r="C114" s="50" t="s">
        <v>438</v>
      </c>
      <c r="D114" s="39" t="s">
        <v>351</v>
      </c>
      <c r="E114" s="65">
        <v>2</v>
      </c>
      <c r="F114" s="41">
        <v>201147</v>
      </c>
      <c r="G114" s="42">
        <f t="shared" si="8"/>
        <v>402294</v>
      </c>
      <c r="H114" s="15"/>
    </row>
    <row r="115" spans="1:8" ht="82.8" x14ac:dyDescent="0.3">
      <c r="A115" s="11"/>
      <c r="B115" s="9" t="s">
        <v>118</v>
      </c>
      <c r="C115" s="50" t="s">
        <v>439</v>
      </c>
      <c r="D115" s="39" t="s">
        <v>351</v>
      </c>
      <c r="E115" s="40">
        <v>8</v>
      </c>
      <c r="F115" s="41">
        <v>180268</v>
      </c>
      <c r="G115" s="42">
        <f>IFERROR(ROUND($E115*$F115,0),"")</f>
        <v>1442144</v>
      </c>
      <c r="H115" s="15"/>
    </row>
    <row r="116" spans="1:8" ht="27.6" x14ac:dyDescent="0.3">
      <c r="A116" s="11"/>
      <c r="B116" s="9" t="s">
        <v>119</v>
      </c>
      <c r="C116" s="50" t="s">
        <v>440</v>
      </c>
      <c r="D116" s="39" t="s">
        <v>332</v>
      </c>
      <c r="E116" s="40">
        <v>180</v>
      </c>
      <c r="F116" s="41">
        <v>19234</v>
      </c>
      <c r="G116" s="42">
        <f t="shared" si="8"/>
        <v>3462120</v>
      </c>
      <c r="H116" s="15"/>
    </row>
    <row r="117" spans="1:8" x14ac:dyDescent="0.3">
      <c r="A117" s="11"/>
      <c r="B117" s="37" t="s">
        <v>120</v>
      </c>
      <c r="C117" s="54" t="s">
        <v>441</v>
      </c>
      <c r="D117" s="39"/>
      <c r="E117" s="39"/>
      <c r="F117" s="39"/>
      <c r="G117" s="42">
        <f t="shared" si="8"/>
        <v>0</v>
      </c>
      <c r="H117" s="15"/>
    </row>
    <row r="118" spans="1:8" ht="55.2" x14ac:dyDescent="0.3">
      <c r="A118" s="11"/>
      <c r="B118" s="9" t="s">
        <v>121</v>
      </c>
      <c r="C118" s="50" t="s">
        <v>442</v>
      </c>
      <c r="D118" s="39" t="s">
        <v>332</v>
      </c>
      <c r="E118" s="40">
        <v>90</v>
      </c>
      <c r="F118" s="41">
        <v>26480</v>
      </c>
      <c r="G118" s="42">
        <f t="shared" si="8"/>
        <v>2383200</v>
      </c>
      <c r="H118" s="15"/>
    </row>
    <row r="119" spans="1:8" x14ac:dyDescent="0.3">
      <c r="A119" s="11"/>
      <c r="B119" s="9" t="s">
        <v>122</v>
      </c>
      <c r="C119" s="54" t="s">
        <v>443</v>
      </c>
      <c r="D119" s="39"/>
      <c r="E119" s="41"/>
      <c r="F119" s="41"/>
      <c r="G119" s="42"/>
      <c r="H119" s="15"/>
    </row>
    <row r="120" spans="1:8" ht="82.8" x14ac:dyDescent="0.3">
      <c r="A120" s="11"/>
      <c r="B120" s="9" t="s">
        <v>123</v>
      </c>
      <c r="C120" s="50" t="s">
        <v>444</v>
      </c>
      <c r="D120" s="39" t="s">
        <v>351</v>
      </c>
      <c r="E120" s="40">
        <v>9</v>
      </c>
      <c r="F120" s="41">
        <v>159528</v>
      </c>
      <c r="G120" s="42">
        <f t="shared" si="8"/>
        <v>1435752</v>
      </c>
      <c r="H120" s="15"/>
    </row>
    <row r="121" spans="1:8" ht="82.8" x14ac:dyDescent="0.3">
      <c r="A121" s="11"/>
      <c r="B121" s="9" t="s">
        <v>124</v>
      </c>
      <c r="C121" s="50" t="s">
        <v>445</v>
      </c>
      <c r="D121" s="39" t="s">
        <v>351</v>
      </c>
      <c r="E121" s="40">
        <v>5</v>
      </c>
      <c r="F121" s="41">
        <v>192999</v>
      </c>
      <c r="G121" s="42">
        <f t="shared" si="8"/>
        <v>964995</v>
      </c>
      <c r="H121" s="15"/>
    </row>
    <row r="122" spans="1:8" ht="82.8" x14ac:dyDescent="0.3">
      <c r="A122" s="11"/>
      <c r="B122" s="9" t="s">
        <v>125</v>
      </c>
      <c r="C122" s="50" t="s">
        <v>446</v>
      </c>
      <c r="D122" s="39" t="s">
        <v>351</v>
      </c>
      <c r="E122" s="40">
        <v>44</v>
      </c>
      <c r="F122" s="41">
        <v>184747</v>
      </c>
      <c r="G122" s="42">
        <f t="shared" si="8"/>
        <v>8128868</v>
      </c>
      <c r="H122" s="15"/>
    </row>
    <row r="123" spans="1:8" ht="55.2" x14ac:dyDescent="0.3">
      <c r="A123" s="11"/>
      <c r="B123" s="9" t="s">
        <v>126</v>
      </c>
      <c r="C123" s="50" t="s">
        <v>447</v>
      </c>
      <c r="D123" s="39" t="s">
        <v>351</v>
      </c>
      <c r="E123" s="55">
        <v>35</v>
      </c>
      <c r="F123" s="41">
        <v>123175</v>
      </c>
      <c r="G123" s="68">
        <f>IFERROR(ROUND($E123*$F123,0),"")</f>
        <v>4311125</v>
      </c>
      <c r="H123" s="15"/>
    </row>
    <row r="124" spans="1:8" ht="55.2" x14ac:dyDescent="0.3">
      <c r="A124" s="11"/>
      <c r="B124" s="9" t="s">
        <v>127</v>
      </c>
      <c r="C124" s="50" t="s">
        <v>448</v>
      </c>
      <c r="D124" s="39" t="s">
        <v>351</v>
      </c>
      <c r="E124" s="55">
        <v>18</v>
      </c>
      <c r="F124" s="41">
        <v>156167</v>
      </c>
      <c r="G124" s="68">
        <f>IFERROR(ROUND($E124*$F124,0),"")</f>
        <v>2811006</v>
      </c>
      <c r="H124" s="15"/>
    </row>
    <row r="125" spans="1:8" ht="55.2" x14ac:dyDescent="0.3">
      <c r="A125" s="11"/>
      <c r="B125" s="9" t="s">
        <v>128</v>
      </c>
      <c r="C125" s="50" t="s">
        <v>449</v>
      </c>
      <c r="D125" s="39" t="s">
        <v>351</v>
      </c>
      <c r="E125" s="40">
        <v>16</v>
      </c>
      <c r="F125" s="41">
        <v>808154</v>
      </c>
      <c r="G125" s="42">
        <f t="shared" si="8"/>
        <v>12930464</v>
      </c>
      <c r="H125" s="15"/>
    </row>
    <row r="126" spans="1:8" ht="41.4" x14ac:dyDescent="0.3">
      <c r="A126" s="11"/>
      <c r="B126" s="9" t="s">
        <v>129</v>
      </c>
      <c r="C126" s="50" t="s">
        <v>450</v>
      </c>
      <c r="D126" s="39" t="s">
        <v>351</v>
      </c>
      <c r="E126" s="40">
        <v>5</v>
      </c>
      <c r="F126" s="41">
        <v>103599</v>
      </c>
      <c r="G126" s="42">
        <f t="shared" si="8"/>
        <v>517995</v>
      </c>
      <c r="H126" s="15"/>
    </row>
    <row r="127" spans="1:8" ht="27.6" x14ac:dyDescent="0.3">
      <c r="A127" s="11"/>
      <c r="B127" s="9" t="s">
        <v>130</v>
      </c>
      <c r="C127" s="50" t="s">
        <v>451</v>
      </c>
      <c r="D127" s="39" t="s">
        <v>351</v>
      </c>
      <c r="E127" s="40">
        <v>4</v>
      </c>
      <c r="F127" s="41">
        <v>184604</v>
      </c>
      <c r="G127" s="42">
        <f t="shared" si="8"/>
        <v>738416</v>
      </c>
      <c r="H127" s="15"/>
    </row>
    <row r="128" spans="1:8" ht="55.2" x14ac:dyDescent="0.3">
      <c r="A128" s="11"/>
      <c r="B128" s="9" t="s">
        <v>131</v>
      </c>
      <c r="C128" s="50" t="s">
        <v>452</v>
      </c>
      <c r="D128" s="39" t="s">
        <v>351</v>
      </c>
      <c r="E128" s="40">
        <v>4</v>
      </c>
      <c r="F128" s="41">
        <v>262479</v>
      </c>
      <c r="G128" s="42">
        <f t="shared" si="8"/>
        <v>1049916</v>
      </c>
      <c r="H128" s="15"/>
    </row>
    <row r="129" spans="1:8" ht="27.6" x14ac:dyDescent="0.3">
      <c r="A129" s="11"/>
      <c r="B129" s="9" t="s">
        <v>132</v>
      </c>
      <c r="C129" s="50" t="s">
        <v>453</v>
      </c>
      <c r="D129" s="39" t="s">
        <v>351</v>
      </c>
      <c r="E129" s="40">
        <v>18</v>
      </c>
      <c r="F129" s="41">
        <v>452924</v>
      </c>
      <c r="G129" s="42">
        <f t="shared" si="8"/>
        <v>8152632</v>
      </c>
      <c r="H129" s="15"/>
    </row>
    <row r="130" spans="1:8" x14ac:dyDescent="0.3">
      <c r="A130" s="11"/>
      <c r="B130" s="9" t="s">
        <v>133</v>
      </c>
      <c r="C130" s="50" t="s">
        <v>454</v>
      </c>
      <c r="D130" s="39" t="s">
        <v>351</v>
      </c>
      <c r="E130" s="40">
        <v>4</v>
      </c>
      <c r="F130" s="41">
        <v>157351</v>
      </c>
      <c r="G130" s="42">
        <f t="shared" si="8"/>
        <v>629404</v>
      </c>
      <c r="H130" s="15"/>
    </row>
    <row r="131" spans="1:8" x14ac:dyDescent="0.3">
      <c r="A131" s="11"/>
      <c r="B131" s="37" t="s">
        <v>134</v>
      </c>
      <c r="C131" s="54" t="s">
        <v>455</v>
      </c>
      <c r="D131" s="39"/>
      <c r="E131" s="39"/>
      <c r="F131" s="41"/>
      <c r="G131" s="42">
        <f t="shared" si="8"/>
        <v>0</v>
      </c>
      <c r="H131" s="15"/>
    </row>
    <row r="132" spans="1:8" ht="55.2" x14ac:dyDescent="0.3">
      <c r="A132" s="11"/>
      <c r="B132" s="9" t="s">
        <v>135</v>
      </c>
      <c r="C132" s="50" t="s">
        <v>456</v>
      </c>
      <c r="D132" s="39" t="s">
        <v>351</v>
      </c>
      <c r="E132" s="40">
        <v>4</v>
      </c>
      <c r="F132" s="41">
        <v>560106</v>
      </c>
      <c r="G132" s="42">
        <f t="shared" si="8"/>
        <v>2240424</v>
      </c>
      <c r="H132" s="15"/>
    </row>
    <row r="133" spans="1:8" ht="41.4" x14ac:dyDescent="0.3">
      <c r="A133" s="11"/>
      <c r="B133" s="9" t="s">
        <v>136</v>
      </c>
      <c r="C133" s="50" t="s">
        <v>457</v>
      </c>
      <c r="D133" s="39" t="s">
        <v>332</v>
      </c>
      <c r="E133" s="40">
        <v>40</v>
      </c>
      <c r="F133" s="41">
        <v>59618</v>
      </c>
      <c r="G133" s="42">
        <f t="shared" si="8"/>
        <v>2384720</v>
      </c>
      <c r="H133" s="15"/>
    </row>
    <row r="134" spans="1:8" ht="27.6" x14ac:dyDescent="0.3">
      <c r="A134" s="11"/>
      <c r="B134" s="9" t="s">
        <v>137</v>
      </c>
      <c r="C134" s="50" t="s">
        <v>458</v>
      </c>
      <c r="D134" s="39" t="s">
        <v>332</v>
      </c>
      <c r="E134" s="40">
        <v>40</v>
      </c>
      <c r="F134" s="41">
        <v>26480</v>
      </c>
      <c r="G134" s="42">
        <f t="shared" si="8"/>
        <v>1059200</v>
      </c>
      <c r="H134" s="15"/>
    </row>
    <row r="135" spans="1:8" ht="41.4" x14ac:dyDescent="0.3">
      <c r="A135" s="11"/>
      <c r="B135" s="9" t="s">
        <v>138</v>
      </c>
      <c r="C135" s="50" t="s">
        <v>459</v>
      </c>
      <c r="D135" s="39" t="s">
        <v>351</v>
      </c>
      <c r="E135" s="40">
        <v>14</v>
      </c>
      <c r="F135" s="41">
        <v>136322</v>
      </c>
      <c r="G135" s="42">
        <f t="shared" si="8"/>
        <v>1908508</v>
      </c>
      <c r="H135" s="15"/>
    </row>
    <row r="136" spans="1:8" ht="41.4" x14ac:dyDescent="0.3">
      <c r="A136" s="11"/>
      <c r="B136" s="9" t="s">
        <v>139</v>
      </c>
      <c r="C136" s="50" t="s">
        <v>460</v>
      </c>
      <c r="D136" s="39" t="s">
        <v>351</v>
      </c>
      <c r="E136" s="40">
        <v>21</v>
      </c>
      <c r="F136" s="41">
        <v>159440</v>
      </c>
      <c r="G136" s="42">
        <f t="shared" si="8"/>
        <v>3348240</v>
      </c>
      <c r="H136" s="15"/>
    </row>
    <row r="137" spans="1:8" ht="69" x14ac:dyDescent="0.3">
      <c r="A137" s="11"/>
      <c r="B137" s="9" t="s">
        <v>140</v>
      </c>
      <c r="C137" s="50" t="s">
        <v>461</v>
      </c>
      <c r="D137" s="39" t="s">
        <v>351</v>
      </c>
      <c r="E137" s="40">
        <v>4</v>
      </c>
      <c r="F137" s="41">
        <v>2584465</v>
      </c>
      <c r="G137" s="42">
        <f>IFERROR(ROUND($E137*$F137,0),"")</f>
        <v>10337860</v>
      </c>
      <c r="H137" s="15"/>
    </row>
    <row r="138" spans="1:8" x14ac:dyDescent="0.3">
      <c r="A138" s="11"/>
      <c r="B138" s="37" t="s">
        <v>141</v>
      </c>
      <c r="C138" s="54" t="s">
        <v>462</v>
      </c>
      <c r="D138" s="39"/>
      <c r="E138" s="40"/>
      <c r="F138" s="41"/>
      <c r="G138" s="42">
        <f t="shared" si="8"/>
        <v>0</v>
      </c>
      <c r="H138" s="15"/>
    </row>
    <row r="139" spans="1:8" ht="27.6" x14ac:dyDescent="0.3">
      <c r="A139" s="11"/>
      <c r="B139" s="9" t="s">
        <v>142</v>
      </c>
      <c r="C139" s="50" t="s">
        <v>463</v>
      </c>
      <c r="D139" s="39" t="s">
        <v>332</v>
      </c>
      <c r="E139" s="40">
        <v>30</v>
      </c>
      <c r="F139" s="41">
        <v>75329</v>
      </c>
      <c r="G139" s="42">
        <f t="shared" si="8"/>
        <v>2259870</v>
      </c>
      <c r="H139" s="15"/>
    </row>
    <row r="140" spans="1:8" x14ac:dyDescent="0.3">
      <c r="A140" s="11"/>
      <c r="B140" s="9" t="s">
        <v>143</v>
      </c>
      <c r="C140" s="50" t="s">
        <v>464</v>
      </c>
      <c r="D140" s="39" t="s">
        <v>351</v>
      </c>
      <c r="E140" s="40">
        <v>10</v>
      </c>
      <c r="F140" s="41">
        <v>38862</v>
      </c>
      <c r="G140" s="42">
        <f t="shared" si="8"/>
        <v>388620</v>
      </c>
      <c r="H140" s="15"/>
    </row>
    <row r="141" spans="1:8" ht="27.6" x14ac:dyDescent="0.3">
      <c r="A141" s="11"/>
      <c r="B141" s="9" t="s">
        <v>144</v>
      </c>
      <c r="C141" s="50" t="s">
        <v>465</v>
      </c>
      <c r="D141" s="39" t="s">
        <v>351</v>
      </c>
      <c r="E141" s="40">
        <v>4</v>
      </c>
      <c r="F141" s="41">
        <v>289713</v>
      </c>
      <c r="G141" s="42">
        <f t="shared" si="8"/>
        <v>1158852</v>
      </c>
      <c r="H141" s="15"/>
    </row>
    <row r="142" spans="1:8" ht="27.6" x14ac:dyDescent="0.3">
      <c r="A142" s="11"/>
      <c r="B142" s="9" t="s">
        <v>145</v>
      </c>
      <c r="C142" s="50" t="s">
        <v>466</v>
      </c>
      <c r="D142" s="39" t="s">
        <v>351</v>
      </c>
      <c r="E142" s="40">
        <v>1</v>
      </c>
      <c r="F142" s="41">
        <v>162379</v>
      </c>
      <c r="G142" s="42">
        <f t="shared" si="8"/>
        <v>162379</v>
      </c>
      <c r="H142" s="15"/>
    </row>
    <row r="143" spans="1:8" x14ac:dyDescent="0.3">
      <c r="A143" s="11"/>
      <c r="B143" s="9" t="s">
        <v>146</v>
      </c>
      <c r="C143" s="50" t="s">
        <v>467</v>
      </c>
      <c r="D143" s="39" t="s">
        <v>351</v>
      </c>
      <c r="E143" s="40">
        <v>4</v>
      </c>
      <c r="F143" s="41">
        <v>119381</v>
      </c>
      <c r="G143" s="42">
        <f t="shared" si="8"/>
        <v>477524</v>
      </c>
      <c r="H143" s="15"/>
    </row>
    <row r="144" spans="1:8" x14ac:dyDescent="0.3">
      <c r="A144" s="11"/>
      <c r="B144" s="37" t="s">
        <v>147</v>
      </c>
      <c r="C144" s="54" t="s">
        <v>468</v>
      </c>
      <c r="D144" s="39"/>
      <c r="E144" s="41"/>
      <c r="F144" s="41"/>
      <c r="G144" s="42"/>
      <c r="H144" s="15"/>
    </row>
    <row r="145" spans="1:8" ht="27.6" x14ac:dyDescent="0.3">
      <c r="A145" s="11"/>
      <c r="B145" s="9" t="s">
        <v>148</v>
      </c>
      <c r="C145" s="50" t="s">
        <v>469</v>
      </c>
      <c r="D145" s="39" t="s">
        <v>332</v>
      </c>
      <c r="E145" s="40">
        <v>110</v>
      </c>
      <c r="F145" s="41">
        <v>66352</v>
      </c>
      <c r="G145" s="42">
        <f t="shared" si="8"/>
        <v>7298720</v>
      </c>
      <c r="H145" s="15"/>
    </row>
    <row r="146" spans="1:8" x14ac:dyDescent="0.3">
      <c r="A146" s="11"/>
      <c r="B146" s="9" t="s">
        <v>149</v>
      </c>
      <c r="C146" s="50" t="s">
        <v>470</v>
      </c>
      <c r="D146" s="39" t="s">
        <v>351</v>
      </c>
      <c r="E146" s="40">
        <v>6</v>
      </c>
      <c r="F146" s="41">
        <v>289713</v>
      </c>
      <c r="G146" s="42">
        <f t="shared" si="8"/>
        <v>1738278</v>
      </c>
      <c r="H146" s="15"/>
    </row>
    <row r="147" spans="1:8" ht="27.6" x14ac:dyDescent="0.3">
      <c r="A147" s="11"/>
      <c r="B147" s="9" t="s">
        <v>150</v>
      </c>
      <c r="C147" s="50" t="s">
        <v>471</v>
      </c>
      <c r="D147" s="39" t="s">
        <v>351</v>
      </c>
      <c r="E147" s="40">
        <v>6</v>
      </c>
      <c r="F147" s="41">
        <v>162379</v>
      </c>
      <c r="G147" s="42">
        <f t="shared" si="8"/>
        <v>974274</v>
      </c>
      <c r="H147" s="15"/>
    </row>
    <row r="148" spans="1:8" ht="27.6" x14ac:dyDescent="0.3">
      <c r="A148" s="11"/>
      <c r="B148" s="9" t="s">
        <v>151</v>
      </c>
      <c r="C148" s="50" t="s">
        <v>472</v>
      </c>
      <c r="D148" s="39" t="s">
        <v>351</v>
      </c>
      <c r="E148" s="40">
        <v>6</v>
      </c>
      <c r="F148" s="41">
        <v>164289</v>
      </c>
      <c r="G148" s="42">
        <f t="shared" si="8"/>
        <v>985734</v>
      </c>
      <c r="H148" s="15"/>
    </row>
    <row r="149" spans="1:8" ht="27.6" x14ac:dyDescent="0.3">
      <c r="A149" s="11"/>
      <c r="B149" s="9" t="s">
        <v>152</v>
      </c>
      <c r="C149" s="50" t="s">
        <v>473</v>
      </c>
      <c r="D149" s="39" t="s">
        <v>332</v>
      </c>
      <c r="E149" s="40">
        <v>240</v>
      </c>
      <c r="F149" s="41">
        <v>47907</v>
      </c>
      <c r="G149" s="42">
        <f t="shared" si="8"/>
        <v>11497680</v>
      </c>
      <c r="H149" s="15"/>
    </row>
    <row r="150" spans="1:8" ht="41.4" x14ac:dyDescent="0.3">
      <c r="A150" s="11"/>
      <c r="B150" s="9" t="s">
        <v>153</v>
      </c>
      <c r="C150" s="50" t="s">
        <v>474</v>
      </c>
      <c r="D150" s="39" t="s">
        <v>351</v>
      </c>
      <c r="E150" s="40">
        <v>6</v>
      </c>
      <c r="F150" s="41">
        <v>138347</v>
      </c>
      <c r="G150" s="42">
        <f t="shared" si="8"/>
        <v>830082</v>
      </c>
      <c r="H150" s="15"/>
    </row>
    <row r="151" spans="1:8" x14ac:dyDescent="0.3">
      <c r="A151" s="11"/>
      <c r="B151" s="37" t="s">
        <v>154</v>
      </c>
      <c r="C151" s="54" t="s">
        <v>475</v>
      </c>
      <c r="D151" s="39"/>
      <c r="E151" s="41"/>
      <c r="F151" s="41"/>
      <c r="G151" s="42">
        <f t="shared" si="8"/>
        <v>0</v>
      </c>
      <c r="H151" s="15"/>
    </row>
    <row r="152" spans="1:8" ht="41.4" x14ac:dyDescent="0.3">
      <c r="A152" s="11"/>
      <c r="B152" s="9" t="s">
        <v>155</v>
      </c>
      <c r="C152" s="50" t="s">
        <v>476</v>
      </c>
      <c r="D152" s="39" t="s">
        <v>351</v>
      </c>
      <c r="E152" s="40">
        <v>4</v>
      </c>
      <c r="F152" s="41">
        <v>174188</v>
      </c>
      <c r="G152" s="42">
        <f t="shared" si="8"/>
        <v>696752</v>
      </c>
      <c r="H152" s="15"/>
    </row>
    <row r="153" spans="1:8" ht="27.6" x14ac:dyDescent="0.3">
      <c r="A153" s="11"/>
      <c r="B153" s="9" t="s">
        <v>156</v>
      </c>
      <c r="C153" s="50" t="s">
        <v>477</v>
      </c>
      <c r="D153" s="39" t="s">
        <v>351</v>
      </c>
      <c r="E153" s="40">
        <v>4</v>
      </c>
      <c r="F153" s="41">
        <v>468615</v>
      </c>
      <c r="G153" s="42">
        <f t="shared" si="8"/>
        <v>1874460</v>
      </c>
      <c r="H153" s="15"/>
    </row>
    <row r="154" spans="1:8" x14ac:dyDescent="0.3">
      <c r="A154" s="11"/>
      <c r="B154" s="37" t="s">
        <v>157</v>
      </c>
      <c r="C154" s="54" t="s">
        <v>478</v>
      </c>
      <c r="D154" s="41" t="s">
        <v>331</v>
      </c>
      <c r="E154" s="41"/>
      <c r="F154" s="41" t="s">
        <v>331</v>
      </c>
      <c r="G154" s="42" t="str">
        <f t="shared" si="8"/>
        <v/>
      </c>
      <c r="H154" s="15"/>
    </row>
    <row r="155" spans="1:8" x14ac:dyDescent="0.3">
      <c r="A155" s="11"/>
      <c r="B155" s="9" t="s">
        <v>158</v>
      </c>
      <c r="C155" s="50" t="s">
        <v>479</v>
      </c>
      <c r="D155" s="39" t="s">
        <v>351</v>
      </c>
      <c r="E155" s="40">
        <v>1</v>
      </c>
      <c r="F155" s="41">
        <v>4500000</v>
      </c>
      <c r="G155" s="42">
        <f t="shared" si="8"/>
        <v>4500000</v>
      </c>
      <c r="H155" s="15"/>
    </row>
    <row r="156" spans="1:8" x14ac:dyDescent="0.3">
      <c r="A156" s="11"/>
      <c r="B156" s="9" t="s">
        <v>159</v>
      </c>
      <c r="C156" s="50" t="s">
        <v>480</v>
      </c>
      <c r="D156" s="39" t="s">
        <v>351</v>
      </c>
      <c r="E156" s="40">
        <v>1</v>
      </c>
      <c r="F156" s="41">
        <v>4480000</v>
      </c>
      <c r="G156" s="42">
        <f t="shared" si="8"/>
        <v>4480000</v>
      </c>
      <c r="H156" s="15"/>
    </row>
    <row r="157" spans="1:8" ht="82.8" x14ac:dyDescent="0.3">
      <c r="A157" s="11"/>
      <c r="B157" s="9" t="s">
        <v>160</v>
      </c>
      <c r="C157" s="50" t="s">
        <v>481</v>
      </c>
      <c r="D157" s="39" t="s">
        <v>351</v>
      </c>
      <c r="E157" s="40">
        <v>1</v>
      </c>
      <c r="F157" s="41">
        <v>2609392</v>
      </c>
      <c r="G157" s="42">
        <f t="shared" si="8"/>
        <v>2609392</v>
      </c>
      <c r="H157" s="15"/>
    </row>
    <row r="158" spans="1:8" ht="27.6" x14ac:dyDescent="0.3">
      <c r="A158" s="11"/>
      <c r="B158" s="9" t="s">
        <v>161</v>
      </c>
      <c r="C158" s="50" t="s">
        <v>482</v>
      </c>
      <c r="D158" s="39" t="s">
        <v>351</v>
      </c>
      <c r="E158" s="40">
        <v>1</v>
      </c>
      <c r="F158" s="41">
        <v>2323892</v>
      </c>
      <c r="G158" s="42">
        <f t="shared" si="8"/>
        <v>2323892</v>
      </c>
      <c r="H158" s="15"/>
    </row>
    <row r="159" spans="1:8" x14ac:dyDescent="0.3">
      <c r="A159" s="11"/>
      <c r="B159" s="39" t="s">
        <v>19</v>
      </c>
      <c r="C159" s="50"/>
      <c r="D159" s="39"/>
      <c r="E159" s="39"/>
      <c r="F159" s="47"/>
      <c r="G159" s="48">
        <f>SUBTOTAL(109,POE_INSTALACIONES_ELÉCTRICAS_E_ILUMINACIÓN[[VALOR TOTAL                                ]])</f>
        <v>148245802</v>
      </c>
      <c r="H159" s="15"/>
    </row>
    <row r="160" spans="1:8" x14ac:dyDescent="0.3">
      <c r="A160" s="11"/>
      <c r="B160" s="31" t="s">
        <v>162</v>
      </c>
      <c r="C160" s="32" t="s">
        <v>163</v>
      </c>
      <c r="D160" s="33" t="s">
        <v>10</v>
      </c>
      <c r="E160" s="34" t="s">
        <v>11</v>
      </c>
      <c r="F160" s="35" t="s">
        <v>12</v>
      </c>
      <c r="G160" s="36" t="s">
        <v>13</v>
      </c>
      <c r="H160" s="15"/>
    </row>
    <row r="161" spans="1:8" ht="27.6" x14ac:dyDescent="0.3">
      <c r="A161" s="11"/>
      <c r="B161" s="53" t="s">
        <v>164</v>
      </c>
      <c r="C161" s="38" t="s">
        <v>483</v>
      </c>
      <c r="D161" s="39"/>
      <c r="E161" s="40"/>
      <c r="F161" s="41"/>
      <c r="G161" s="42"/>
      <c r="H161" s="15"/>
    </row>
    <row r="162" spans="1:8" ht="27.6" x14ac:dyDescent="0.3">
      <c r="A162" s="11"/>
      <c r="B162" s="56" t="s">
        <v>165</v>
      </c>
      <c r="C162" s="44" t="s">
        <v>484</v>
      </c>
      <c r="D162" s="39" t="s">
        <v>351</v>
      </c>
      <c r="E162" s="69">
        <v>10</v>
      </c>
      <c r="F162" s="41">
        <v>107329</v>
      </c>
      <c r="G162" s="42">
        <f t="shared" ref="G162:G167" si="9">IFERROR(ROUND($E162*$F162,0),"")</f>
        <v>1073290</v>
      </c>
      <c r="H162" s="15"/>
    </row>
    <row r="163" spans="1:8" x14ac:dyDescent="0.3">
      <c r="A163" s="11"/>
      <c r="B163" s="56" t="s">
        <v>166</v>
      </c>
      <c r="C163" s="44" t="s">
        <v>485</v>
      </c>
      <c r="D163" s="39" t="s">
        <v>332</v>
      </c>
      <c r="E163" s="69">
        <v>570</v>
      </c>
      <c r="F163" s="41">
        <v>9686</v>
      </c>
      <c r="G163" s="42">
        <f t="shared" si="9"/>
        <v>5521020</v>
      </c>
      <c r="H163" s="15"/>
    </row>
    <row r="164" spans="1:8" x14ac:dyDescent="0.3">
      <c r="A164" s="11"/>
      <c r="B164" s="56" t="s">
        <v>167</v>
      </c>
      <c r="C164" s="44" t="s">
        <v>486</v>
      </c>
      <c r="D164" s="39" t="s">
        <v>351</v>
      </c>
      <c r="E164" s="69">
        <v>1</v>
      </c>
      <c r="F164" s="41">
        <v>1039450</v>
      </c>
      <c r="G164" s="42">
        <f t="shared" si="9"/>
        <v>1039450</v>
      </c>
      <c r="H164" s="15"/>
    </row>
    <row r="165" spans="1:8" x14ac:dyDescent="0.3">
      <c r="A165" s="11"/>
      <c r="B165" s="56" t="s">
        <v>168</v>
      </c>
      <c r="C165" s="44" t="s">
        <v>487</v>
      </c>
      <c r="D165" s="39" t="s">
        <v>351</v>
      </c>
      <c r="E165" s="69">
        <v>1</v>
      </c>
      <c r="F165" s="41">
        <v>436507</v>
      </c>
      <c r="G165" s="42">
        <f t="shared" si="9"/>
        <v>436507</v>
      </c>
      <c r="H165" s="15"/>
    </row>
    <row r="166" spans="1:8" x14ac:dyDescent="0.3">
      <c r="A166" s="11"/>
      <c r="B166" s="56" t="s">
        <v>169</v>
      </c>
      <c r="C166" s="44" t="s">
        <v>488</v>
      </c>
      <c r="D166" s="39" t="s">
        <v>351</v>
      </c>
      <c r="E166" s="69">
        <v>10</v>
      </c>
      <c r="F166" s="41">
        <v>42123</v>
      </c>
      <c r="G166" s="42">
        <f t="shared" si="9"/>
        <v>421230</v>
      </c>
      <c r="H166" s="15"/>
    </row>
    <row r="167" spans="1:8" ht="69" x14ac:dyDescent="0.3">
      <c r="A167" s="11"/>
      <c r="B167" s="56" t="s">
        <v>170</v>
      </c>
      <c r="C167" s="44" t="s">
        <v>489</v>
      </c>
      <c r="D167" s="39" t="s">
        <v>351</v>
      </c>
      <c r="E167" s="69">
        <v>1</v>
      </c>
      <c r="F167" s="41">
        <v>1033095</v>
      </c>
      <c r="G167" s="42">
        <f t="shared" si="9"/>
        <v>1033095</v>
      </c>
      <c r="H167" s="15"/>
    </row>
    <row r="168" spans="1:8" ht="27.6" x14ac:dyDescent="0.3">
      <c r="A168" s="11"/>
      <c r="B168" s="56" t="s">
        <v>171</v>
      </c>
      <c r="C168" s="50" t="s">
        <v>490</v>
      </c>
      <c r="D168" s="39" t="s">
        <v>351</v>
      </c>
      <c r="E168" s="69">
        <v>1</v>
      </c>
      <c r="F168" s="41">
        <v>3280516</v>
      </c>
      <c r="G168" s="42">
        <f>IFERROR(ROUND($E168*$F168,0),"")</f>
        <v>3280516</v>
      </c>
      <c r="H168" s="15"/>
    </row>
    <row r="169" spans="1:8" ht="41.4" x14ac:dyDescent="0.3">
      <c r="A169" s="11"/>
      <c r="B169" s="56" t="s">
        <v>172</v>
      </c>
      <c r="C169" s="50" t="s">
        <v>491</v>
      </c>
      <c r="D169" s="39" t="s">
        <v>351</v>
      </c>
      <c r="E169" s="69">
        <v>2</v>
      </c>
      <c r="F169" s="41">
        <v>119664</v>
      </c>
      <c r="G169" s="42">
        <f>IFERROR(ROUND($E169*$F169,0),"")</f>
        <v>239328</v>
      </c>
      <c r="H169" s="15"/>
    </row>
    <row r="170" spans="1:8" ht="41.4" x14ac:dyDescent="0.3">
      <c r="A170" s="11"/>
      <c r="B170" s="56" t="s">
        <v>173</v>
      </c>
      <c r="C170" s="50" t="s">
        <v>492</v>
      </c>
      <c r="D170" s="39" t="s">
        <v>332</v>
      </c>
      <c r="E170" s="69">
        <v>120</v>
      </c>
      <c r="F170" s="41">
        <v>13483</v>
      </c>
      <c r="G170" s="42">
        <f>IFERROR(ROUND($E170*$F170,0),"")</f>
        <v>1617960</v>
      </c>
      <c r="H170" s="15"/>
    </row>
    <row r="171" spans="1:8" ht="55.2" x14ac:dyDescent="0.3">
      <c r="A171" s="11"/>
      <c r="B171" s="56" t="s">
        <v>174</v>
      </c>
      <c r="C171" s="50" t="s">
        <v>493</v>
      </c>
      <c r="D171" s="39" t="s">
        <v>332</v>
      </c>
      <c r="E171" s="69">
        <v>36</v>
      </c>
      <c r="F171" s="41">
        <v>29167</v>
      </c>
      <c r="G171" s="42">
        <f>IFERROR(ROUND($E171*$F171,0),"")</f>
        <v>1050012</v>
      </c>
      <c r="H171" s="15"/>
    </row>
    <row r="172" spans="1:8" ht="55.2" x14ac:dyDescent="0.3">
      <c r="A172" s="11"/>
      <c r="B172" s="56" t="s">
        <v>175</v>
      </c>
      <c r="C172" s="50" t="s">
        <v>442</v>
      </c>
      <c r="D172" s="39" t="s">
        <v>332</v>
      </c>
      <c r="E172" s="69">
        <v>60</v>
      </c>
      <c r="F172" s="41">
        <v>26480</v>
      </c>
      <c r="G172" s="42">
        <f>IFERROR(ROUND($E172*$F172,0),"")</f>
        <v>1588800</v>
      </c>
      <c r="H172" s="15"/>
    </row>
    <row r="173" spans="1:8" x14ac:dyDescent="0.3">
      <c r="A173" s="11"/>
      <c r="B173" s="39" t="s">
        <v>19</v>
      </c>
      <c r="C173" s="50"/>
      <c r="D173" s="39"/>
      <c r="E173" s="39"/>
      <c r="F173" s="47"/>
      <c r="G173" s="48">
        <f>SUBTOTAL(109,POE_REDES_ESPECIALES[[VALOR TOTAL                                ]])</f>
        <v>17301208</v>
      </c>
      <c r="H173" s="15"/>
    </row>
    <row r="174" spans="1:8" x14ac:dyDescent="0.3">
      <c r="A174" s="11"/>
      <c r="B174" s="31" t="s">
        <v>176</v>
      </c>
      <c r="C174" s="32" t="s">
        <v>177</v>
      </c>
      <c r="D174" s="33" t="s">
        <v>10</v>
      </c>
      <c r="E174" s="34" t="s">
        <v>11</v>
      </c>
      <c r="F174" s="35" t="s">
        <v>12</v>
      </c>
      <c r="G174" s="36" t="s">
        <v>13</v>
      </c>
      <c r="H174" s="15"/>
    </row>
    <row r="175" spans="1:8" ht="27.6" x14ac:dyDescent="0.3">
      <c r="A175" s="11"/>
      <c r="B175" s="70" t="s">
        <v>178</v>
      </c>
      <c r="C175" s="44" t="s">
        <v>494</v>
      </c>
      <c r="D175" s="39" t="s">
        <v>349</v>
      </c>
      <c r="E175" s="40">
        <f>ROUND((38+0.156*11),2)</f>
        <v>39.72</v>
      </c>
      <c r="F175" s="71">
        <v>76263</v>
      </c>
      <c r="G175" s="42">
        <f t="shared" ref="G175" si="10">IFERROR(ROUND($E175*$F175,0),"")</f>
        <v>3029166</v>
      </c>
      <c r="H175" s="15"/>
    </row>
    <row r="176" spans="1:8" x14ac:dyDescent="0.3">
      <c r="A176" s="11"/>
      <c r="B176" s="70" t="s">
        <v>179</v>
      </c>
      <c r="C176" s="44" t="s">
        <v>495</v>
      </c>
      <c r="D176" s="39" t="s">
        <v>332</v>
      </c>
      <c r="E176" s="40">
        <f>ROUND((2.4*16),0)</f>
        <v>38</v>
      </c>
      <c r="F176" s="71">
        <v>6798</v>
      </c>
      <c r="G176" s="42">
        <f>IFERROR(ROUND($E176*$F176,0),"")</f>
        <v>258324</v>
      </c>
      <c r="H176" s="15"/>
    </row>
    <row r="177" spans="1:8" x14ac:dyDescent="0.3">
      <c r="A177" s="11"/>
      <c r="B177" s="70" t="s">
        <v>180</v>
      </c>
      <c r="C177" s="44" t="s">
        <v>496</v>
      </c>
      <c r="D177" s="39" t="s">
        <v>332</v>
      </c>
      <c r="E177" s="40">
        <f>28</f>
        <v>28</v>
      </c>
      <c r="F177" s="71">
        <v>108713</v>
      </c>
      <c r="G177" s="42">
        <f>IFERROR(ROUND($E177*$F177,0),"")</f>
        <v>3043964</v>
      </c>
      <c r="H177" s="15"/>
    </row>
    <row r="178" spans="1:8" x14ac:dyDescent="0.3">
      <c r="A178" s="11"/>
      <c r="B178" s="70" t="s">
        <v>181</v>
      </c>
      <c r="C178" s="44" t="s">
        <v>497</v>
      </c>
      <c r="D178" s="39" t="s">
        <v>332</v>
      </c>
      <c r="E178" s="40">
        <f>+E176</f>
        <v>38</v>
      </c>
      <c r="F178" s="71">
        <v>108008</v>
      </c>
      <c r="G178" s="42">
        <f>IFERROR(ROUND($E178*$F178,0),"")</f>
        <v>4104304</v>
      </c>
      <c r="H178" s="15"/>
    </row>
    <row r="179" spans="1:8" ht="55.2" x14ac:dyDescent="0.3">
      <c r="A179" s="11"/>
      <c r="B179" s="70" t="s">
        <v>182</v>
      </c>
      <c r="C179" s="44" t="s">
        <v>498</v>
      </c>
      <c r="D179" s="39" t="s">
        <v>349</v>
      </c>
      <c r="E179" s="40">
        <f>ROUND(68,2)</f>
        <v>68</v>
      </c>
      <c r="F179" s="71">
        <v>142136</v>
      </c>
      <c r="G179" s="42">
        <f>IFERROR(ROUND($E179*$F179,0),"")</f>
        <v>9665248</v>
      </c>
      <c r="H179" s="15"/>
    </row>
    <row r="180" spans="1:8" x14ac:dyDescent="0.3">
      <c r="A180" s="11"/>
      <c r="B180" s="9" t="s">
        <v>19</v>
      </c>
      <c r="D180" s="39"/>
      <c r="E180" s="39"/>
      <c r="F180" s="47"/>
      <c r="G180" s="48">
        <f>SUBTOTAL(109,POE_MAMPOSTERIA[[VALOR TOTAL                                ]])</f>
        <v>20101006</v>
      </c>
      <c r="H180" s="15"/>
    </row>
    <row r="181" spans="1:8" x14ac:dyDescent="0.3">
      <c r="A181" s="11"/>
      <c r="B181" s="31" t="s">
        <v>183</v>
      </c>
      <c r="C181" s="32" t="s">
        <v>184</v>
      </c>
      <c r="D181" s="33" t="s">
        <v>10</v>
      </c>
      <c r="E181" s="34" t="s">
        <v>11</v>
      </c>
      <c r="F181" s="35" t="s">
        <v>12</v>
      </c>
      <c r="G181" s="36" t="s">
        <v>13</v>
      </c>
      <c r="H181" s="15"/>
    </row>
    <row r="182" spans="1:8" x14ac:dyDescent="0.3">
      <c r="A182" s="11"/>
      <c r="B182" s="72" t="s">
        <v>185</v>
      </c>
      <c r="C182" s="38" t="s">
        <v>499</v>
      </c>
      <c r="D182" s="39"/>
      <c r="E182" s="40"/>
      <c r="F182" s="41"/>
      <c r="G182" s="42"/>
      <c r="H182" s="15"/>
    </row>
    <row r="183" spans="1:8" ht="27.6" x14ac:dyDescent="0.3">
      <c r="A183" s="11"/>
      <c r="B183" s="73" t="s">
        <v>186</v>
      </c>
      <c r="C183" s="50" t="s">
        <v>500</v>
      </c>
      <c r="D183" s="39" t="s">
        <v>349</v>
      </c>
      <c r="E183" s="40">
        <v>313.02</v>
      </c>
      <c r="F183" s="71">
        <v>118954</v>
      </c>
      <c r="G183" s="42">
        <f t="shared" ref="G183:G188" si="11">IFERROR(ROUND($E183*$F183,0),"")</f>
        <v>37234981</v>
      </c>
      <c r="H183" s="15"/>
    </row>
    <row r="184" spans="1:8" ht="41.4" x14ac:dyDescent="0.3">
      <c r="A184" s="11"/>
      <c r="B184" s="74" t="s">
        <v>187</v>
      </c>
      <c r="C184" s="50" t="s">
        <v>501</v>
      </c>
      <c r="D184" s="39" t="s">
        <v>332</v>
      </c>
      <c r="E184" s="40">
        <v>50.05</v>
      </c>
      <c r="F184" s="71">
        <v>63797</v>
      </c>
      <c r="G184" s="42">
        <f t="shared" si="11"/>
        <v>3193040</v>
      </c>
      <c r="H184" s="15"/>
    </row>
    <row r="185" spans="1:8" ht="27.6" x14ac:dyDescent="0.3">
      <c r="A185" s="11"/>
      <c r="B185" s="73" t="s">
        <v>188</v>
      </c>
      <c r="C185" s="50" t="s">
        <v>502</v>
      </c>
      <c r="D185" s="39" t="s">
        <v>332</v>
      </c>
      <c r="E185" s="40">
        <v>25.53</v>
      </c>
      <c r="F185" s="71">
        <v>113452</v>
      </c>
      <c r="G185" s="42">
        <f>IFERROR(ROUND($E185*$F185,0),"")</f>
        <v>2896430</v>
      </c>
      <c r="H185" s="15"/>
    </row>
    <row r="186" spans="1:8" x14ac:dyDescent="0.3">
      <c r="A186" s="11"/>
      <c r="B186" s="74" t="s">
        <v>189</v>
      </c>
      <c r="C186" s="50" t="s">
        <v>503</v>
      </c>
      <c r="D186" s="39"/>
      <c r="E186" s="40"/>
      <c r="F186" s="71" t="s">
        <v>331</v>
      </c>
      <c r="G186" s="42" t="str">
        <f>IFERROR(ROUND($E186*$F186,0),"")</f>
        <v/>
      </c>
      <c r="H186" s="15"/>
    </row>
    <row r="187" spans="1:8" ht="27.6" x14ac:dyDescent="0.3">
      <c r="A187" s="11"/>
      <c r="B187" s="73" t="s">
        <v>190</v>
      </c>
      <c r="C187" s="50" t="s">
        <v>504</v>
      </c>
      <c r="D187" s="39" t="s">
        <v>349</v>
      </c>
      <c r="E187" s="40">
        <f>ROUND(2.29,2)</f>
        <v>2.29</v>
      </c>
      <c r="F187" s="71">
        <v>107950</v>
      </c>
      <c r="G187" s="42">
        <f>IFERROR(ROUND($E187*$F187,0),"")</f>
        <v>247206</v>
      </c>
      <c r="H187" s="15"/>
    </row>
    <row r="188" spans="1:8" x14ac:dyDescent="0.3">
      <c r="A188" s="11"/>
      <c r="B188" s="70"/>
      <c r="C188" s="54" t="s">
        <v>331</v>
      </c>
      <c r="D188" s="39"/>
      <c r="E188" s="40"/>
      <c r="F188" s="71" t="s">
        <v>331</v>
      </c>
      <c r="G188" s="42" t="str">
        <f t="shared" si="11"/>
        <v/>
      </c>
      <c r="H188" s="15"/>
    </row>
    <row r="189" spans="1:8" x14ac:dyDescent="0.3">
      <c r="A189" s="11"/>
      <c r="B189" s="9" t="s">
        <v>19</v>
      </c>
      <c r="C189" s="50"/>
      <c r="D189" s="39"/>
      <c r="E189" s="39"/>
      <c r="F189" s="47"/>
      <c r="G189" s="48">
        <f>SUBTOTAL(109,POE_CUBIERTAS_Y_CIELO_RASOS[[VALOR TOTAL                                ]])</f>
        <v>43571657</v>
      </c>
      <c r="H189" s="15"/>
    </row>
    <row r="190" spans="1:8" x14ac:dyDescent="0.3">
      <c r="A190" s="11"/>
      <c r="B190" s="31" t="s">
        <v>191</v>
      </c>
      <c r="C190" s="32" t="s">
        <v>192</v>
      </c>
      <c r="D190" s="33" t="s">
        <v>10</v>
      </c>
      <c r="E190" s="34" t="s">
        <v>11</v>
      </c>
      <c r="F190" s="35" t="s">
        <v>12</v>
      </c>
      <c r="G190" s="36" t="s">
        <v>13</v>
      </c>
      <c r="H190" s="15"/>
    </row>
    <row r="191" spans="1:8" ht="27.6" x14ac:dyDescent="0.3">
      <c r="A191" s="11"/>
      <c r="B191" s="9" t="s">
        <v>193</v>
      </c>
      <c r="C191" s="44" t="s">
        <v>505</v>
      </c>
      <c r="D191" s="39" t="s">
        <v>349</v>
      </c>
      <c r="E191" s="40">
        <f>ROUND(((E179*2)+(1.18+7.12+2.22+3.05+5.4)),2)</f>
        <v>154.97</v>
      </c>
      <c r="F191" s="41">
        <v>34392</v>
      </c>
      <c r="G191" s="42">
        <f>IFERROR(ROUND($E191*$F191,0),"")</f>
        <v>5329728</v>
      </c>
      <c r="H191" s="15"/>
    </row>
    <row r="192" spans="1:8" x14ac:dyDescent="0.3">
      <c r="A192" s="11"/>
      <c r="B192" s="9" t="s">
        <v>19</v>
      </c>
      <c r="C192" s="44"/>
      <c r="D192" s="39"/>
      <c r="E192" s="39"/>
      <c r="F192" s="47"/>
      <c r="G192" s="48">
        <f>SUBTOTAL(109,POE_PAÑETES[[VALOR TOTAL                                ]])</f>
        <v>5329728</v>
      </c>
      <c r="H192" s="15"/>
    </row>
    <row r="193" spans="1:8" x14ac:dyDescent="0.3">
      <c r="A193" s="11"/>
      <c r="B193" s="31" t="s">
        <v>194</v>
      </c>
      <c r="C193" s="32" t="s">
        <v>195</v>
      </c>
      <c r="D193" s="33" t="s">
        <v>10</v>
      </c>
      <c r="E193" s="34" t="s">
        <v>11</v>
      </c>
      <c r="F193" s="35" t="s">
        <v>12</v>
      </c>
      <c r="G193" s="36" t="s">
        <v>13</v>
      </c>
      <c r="H193" s="15"/>
    </row>
    <row r="194" spans="1:8" x14ac:dyDescent="0.3">
      <c r="A194" s="11"/>
      <c r="B194" s="72" t="s">
        <v>196</v>
      </c>
      <c r="C194" s="54" t="s">
        <v>506</v>
      </c>
      <c r="D194" s="66"/>
      <c r="E194" s="55"/>
      <c r="F194" s="71"/>
      <c r="G194" s="52"/>
      <c r="H194" s="15"/>
    </row>
    <row r="195" spans="1:8" ht="27.6" x14ac:dyDescent="0.3">
      <c r="A195" s="11"/>
      <c r="B195" s="9" t="s">
        <v>197</v>
      </c>
      <c r="C195" s="50" t="s">
        <v>507</v>
      </c>
      <c r="D195" s="39" t="s">
        <v>349</v>
      </c>
      <c r="E195" s="55">
        <f>ROUND(E40,2)</f>
        <v>34.200000000000003</v>
      </c>
      <c r="F195" s="71">
        <v>43989</v>
      </c>
      <c r="G195" s="52">
        <f t="shared" ref="G195:G202" si="12">IFERROR(ROUND($E195*$F195,0),"")</f>
        <v>1504424</v>
      </c>
      <c r="H195" s="15"/>
    </row>
    <row r="196" spans="1:8" ht="41.4" x14ac:dyDescent="0.3">
      <c r="A196" s="11"/>
      <c r="B196" s="9" t="s">
        <v>198</v>
      </c>
      <c r="C196" s="50" t="s">
        <v>508</v>
      </c>
      <c r="D196" s="39" t="s">
        <v>349</v>
      </c>
      <c r="E196" s="55">
        <f>ROUND((49+140.18),2)</f>
        <v>189.18</v>
      </c>
      <c r="F196" s="71">
        <v>115904</v>
      </c>
      <c r="G196" s="52">
        <f t="shared" si="12"/>
        <v>21926719</v>
      </c>
      <c r="H196" s="15"/>
    </row>
    <row r="197" spans="1:8" x14ac:dyDescent="0.3">
      <c r="A197" s="11"/>
      <c r="B197" s="37" t="s">
        <v>199</v>
      </c>
      <c r="C197" s="54" t="s">
        <v>509</v>
      </c>
      <c r="D197" s="39"/>
      <c r="E197" s="55"/>
      <c r="F197" s="71" t="s">
        <v>331</v>
      </c>
      <c r="G197" s="52" t="str">
        <f>IFERROR(ROUND($E197*$F197,0),"")</f>
        <v/>
      </c>
      <c r="H197" s="15"/>
    </row>
    <row r="198" spans="1:8" ht="41.4" x14ac:dyDescent="0.3">
      <c r="A198" s="11"/>
      <c r="B198" s="9" t="s">
        <v>200</v>
      </c>
      <c r="C198" s="50" t="s">
        <v>510</v>
      </c>
      <c r="D198" s="39" t="s">
        <v>332</v>
      </c>
      <c r="E198" s="55">
        <f>ROUND((66.59*1.05),2)</f>
        <v>69.92</v>
      </c>
      <c r="F198" s="71">
        <v>33207</v>
      </c>
      <c r="G198" s="52">
        <f>IFERROR(ROUND($E198*$F198,0),"")</f>
        <v>2321833</v>
      </c>
      <c r="H198" s="15"/>
    </row>
    <row r="199" spans="1:8" x14ac:dyDescent="0.3">
      <c r="A199" s="11"/>
      <c r="B199" s="9" t="s">
        <v>201</v>
      </c>
      <c r="C199" s="50" t="s">
        <v>511</v>
      </c>
      <c r="D199" s="39" t="s">
        <v>332</v>
      </c>
      <c r="E199" s="55">
        <f>ROUND(24.03,2)</f>
        <v>24.03</v>
      </c>
      <c r="F199" s="71">
        <v>61971</v>
      </c>
      <c r="G199" s="52">
        <f t="shared" si="12"/>
        <v>1489163</v>
      </c>
      <c r="H199" s="15"/>
    </row>
    <row r="200" spans="1:8" x14ac:dyDescent="0.3">
      <c r="A200" s="11"/>
      <c r="B200" s="37" t="s">
        <v>202</v>
      </c>
      <c r="C200" s="54" t="s">
        <v>512</v>
      </c>
      <c r="D200" s="39"/>
      <c r="E200" s="55"/>
      <c r="F200" s="71" t="s">
        <v>331</v>
      </c>
      <c r="G200" s="52" t="str">
        <f t="shared" si="12"/>
        <v/>
      </c>
      <c r="H200" s="15"/>
    </row>
    <row r="201" spans="1:8" ht="69" x14ac:dyDescent="0.3">
      <c r="A201" s="11"/>
      <c r="B201" s="9" t="s">
        <v>203</v>
      </c>
      <c r="C201" s="50" t="s">
        <v>513</v>
      </c>
      <c r="D201" s="39" t="s">
        <v>332</v>
      </c>
      <c r="E201" s="55">
        <f>ROUND((4.99+2.04+1.09+1.8),2)</f>
        <v>9.92</v>
      </c>
      <c r="F201" s="71">
        <v>344782</v>
      </c>
      <c r="G201" s="52">
        <f t="shared" si="12"/>
        <v>3420237</v>
      </c>
      <c r="H201" s="15"/>
    </row>
    <row r="202" spans="1:8" ht="55.2" x14ac:dyDescent="0.3">
      <c r="A202" s="11"/>
      <c r="B202" s="9" t="s">
        <v>204</v>
      </c>
      <c r="C202" s="50" t="s">
        <v>514</v>
      </c>
      <c r="D202" s="39" t="s">
        <v>351</v>
      </c>
      <c r="E202" s="55">
        <v>1</v>
      </c>
      <c r="F202" s="71">
        <v>310526</v>
      </c>
      <c r="G202" s="52">
        <f t="shared" si="12"/>
        <v>310526</v>
      </c>
      <c r="H202" s="15"/>
    </row>
    <row r="203" spans="1:8" x14ac:dyDescent="0.3">
      <c r="A203" s="11"/>
      <c r="B203" s="10" t="s">
        <v>19</v>
      </c>
      <c r="E203" s="39"/>
      <c r="F203" s="47"/>
      <c r="G203" s="48">
        <f>SUBTOTAL(109,POE_PISOS_Y_ENCHAPES[[VALOR TOTAL                                ]])</f>
        <v>30972902</v>
      </c>
      <c r="H203" s="15"/>
    </row>
    <row r="204" spans="1:8" x14ac:dyDescent="0.3">
      <c r="A204" s="11"/>
      <c r="B204" s="31" t="s">
        <v>205</v>
      </c>
      <c r="C204" s="32" t="s">
        <v>206</v>
      </c>
      <c r="D204" s="33" t="s">
        <v>10</v>
      </c>
      <c r="E204" s="34" t="s">
        <v>11</v>
      </c>
      <c r="F204" s="35" t="s">
        <v>12</v>
      </c>
      <c r="G204" s="36" t="s">
        <v>13</v>
      </c>
      <c r="H204" s="15"/>
    </row>
    <row r="205" spans="1:8" ht="55.2" x14ac:dyDescent="0.3">
      <c r="A205" s="11"/>
      <c r="B205" s="75" t="s">
        <v>207</v>
      </c>
      <c r="C205" s="44" t="s">
        <v>515</v>
      </c>
      <c r="D205" s="39" t="s">
        <v>349</v>
      </c>
      <c r="E205" s="40">
        <v>143</v>
      </c>
      <c r="F205" s="41">
        <v>311137</v>
      </c>
      <c r="G205" s="42">
        <f>IFERROR(ROUND($E205*$F205,0),"")</f>
        <v>44492591</v>
      </c>
      <c r="H205" s="15"/>
    </row>
    <row r="206" spans="1:8" ht="55.2" x14ac:dyDescent="0.3">
      <c r="A206" s="11"/>
      <c r="B206" s="76" t="s">
        <v>208</v>
      </c>
      <c r="C206" s="44" t="s">
        <v>516</v>
      </c>
      <c r="D206" s="39" t="s">
        <v>349</v>
      </c>
      <c r="E206" s="40">
        <v>19.8</v>
      </c>
      <c r="F206" s="41">
        <v>374222</v>
      </c>
      <c r="G206" s="42">
        <f t="shared" ref="G206" si="13">IFERROR(ROUND($E206*$F206,0),"")</f>
        <v>7409596</v>
      </c>
      <c r="H206" s="15"/>
    </row>
    <row r="207" spans="1:8" x14ac:dyDescent="0.3">
      <c r="A207" s="11"/>
      <c r="B207" s="9" t="s">
        <v>19</v>
      </c>
      <c r="D207" s="39"/>
      <c r="E207" s="39"/>
      <c r="F207" s="47"/>
      <c r="G207" s="48">
        <f>SUBTOTAL(109,POE_CARPINTERIA_MADERA[[VALOR TOTAL                                ]])</f>
        <v>51902187</v>
      </c>
      <c r="H207" s="15"/>
    </row>
    <row r="208" spans="1:8" x14ac:dyDescent="0.3">
      <c r="A208" s="11"/>
      <c r="B208" s="31" t="s">
        <v>209</v>
      </c>
      <c r="C208" s="32" t="s">
        <v>210</v>
      </c>
      <c r="D208" s="33" t="s">
        <v>10</v>
      </c>
      <c r="E208" s="34" t="s">
        <v>11</v>
      </c>
      <c r="F208" s="35" t="s">
        <v>12</v>
      </c>
      <c r="G208" s="36" t="s">
        <v>13</v>
      </c>
      <c r="H208" s="15"/>
    </row>
    <row r="209" spans="1:8" x14ac:dyDescent="0.3">
      <c r="A209" s="11"/>
      <c r="B209" s="72" t="s">
        <v>211</v>
      </c>
      <c r="C209" s="54" t="s">
        <v>517</v>
      </c>
      <c r="D209" s="39"/>
      <c r="E209" s="55"/>
      <c r="F209" s="71"/>
      <c r="G209" s="52">
        <f t="shared" ref="G209:G213" si="14">IFERROR(ROUND($E209*$F209,0),"")</f>
        <v>0</v>
      </c>
      <c r="H209" s="15"/>
    </row>
    <row r="210" spans="1:8" ht="55.2" x14ac:dyDescent="0.3">
      <c r="A210" s="11"/>
      <c r="B210" s="70" t="s">
        <v>212</v>
      </c>
      <c r="C210" s="50" t="s">
        <v>518</v>
      </c>
      <c r="D210" s="39" t="s">
        <v>349</v>
      </c>
      <c r="E210" s="55">
        <f>ROUND(((3.83+3*2)*6),2)</f>
        <v>58.98</v>
      </c>
      <c r="F210" s="71">
        <v>381168</v>
      </c>
      <c r="G210" s="52">
        <f t="shared" si="14"/>
        <v>22481289</v>
      </c>
      <c r="H210" s="15"/>
    </row>
    <row r="211" spans="1:8" x14ac:dyDescent="0.3">
      <c r="A211" s="11"/>
      <c r="B211" s="37" t="s">
        <v>213</v>
      </c>
      <c r="C211" s="54" t="s">
        <v>519</v>
      </c>
      <c r="D211" s="39"/>
      <c r="E211" s="40"/>
      <c r="F211" s="71" t="s">
        <v>331</v>
      </c>
      <c r="G211" s="42" t="str">
        <f t="shared" si="14"/>
        <v/>
      </c>
      <c r="H211" s="15"/>
    </row>
    <row r="212" spans="1:8" ht="55.2" x14ac:dyDescent="0.3">
      <c r="A212" s="11"/>
      <c r="B212" s="9" t="s">
        <v>214</v>
      </c>
      <c r="C212" s="50" t="s">
        <v>520</v>
      </c>
      <c r="D212" s="39" t="s">
        <v>349</v>
      </c>
      <c r="E212" s="40">
        <f>ROUND((((2.35*7)+(2.35*0.9*2))),2)</f>
        <v>20.68</v>
      </c>
      <c r="F212" s="71">
        <v>440650</v>
      </c>
      <c r="G212" s="42">
        <f>IFERROR(ROUND($E212*$F212,0),"")</f>
        <v>9112642</v>
      </c>
      <c r="H212" s="15"/>
    </row>
    <row r="213" spans="1:8" x14ac:dyDescent="0.3">
      <c r="A213" s="11"/>
      <c r="B213" s="37" t="s">
        <v>215</v>
      </c>
      <c r="C213" s="54" t="s">
        <v>521</v>
      </c>
      <c r="D213" s="39"/>
      <c r="E213" s="40"/>
      <c r="F213" s="71" t="s">
        <v>331</v>
      </c>
      <c r="G213" s="42" t="str">
        <f t="shared" si="14"/>
        <v/>
      </c>
      <c r="H213" s="15"/>
    </row>
    <row r="214" spans="1:8" ht="41.4" x14ac:dyDescent="0.3">
      <c r="A214" s="11"/>
      <c r="B214" s="9" t="s">
        <v>216</v>
      </c>
      <c r="C214" s="50" t="s">
        <v>522</v>
      </c>
      <c r="D214" s="39" t="s">
        <v>351</v>
      </c>
      <c r="E214" s="40">
        <v>1</v>
      </c>
      <c r="F214" s="71">
        <v>316989</v>
      </c>
      <c r="G214" s="42">
        <f>IFERROR(ROUND($E214*$F214,0),"")</f>
        <v>316989</v>
      </c>
      <c r="H214" s="15"/>
    </row>
    <row r="215" spans="1:8" x14ac:dyDescent="0.3">
      <c r="A215" s="11"/>
      <c r="C215" s="50" t="s">
        <v>331</v>
      </c>
      <c r="D215" s="39"/>
      <c r="E215" s="40"/>
      <c r="F215" s="71" t="s">
        <v>331</v>
      </c>
      <c r="G215" s="42" t="str">
        <f>IFERROR(ROUND($E215*$F215,0),"")</f>
        <v/>
      </c>
      <c r="H215" s="15"/>
    </row>
    <row r="216" spans="1:8" x14ac:dyDescent="0.3">
      <c r="A216" s="11"/>
      <c r="B216" s="9" t="s">
        <v>19</v>
      </c>
      <c r="C216" s="50"/>
      <c r="D216" s="39"/>
      <c r="E216" s="39"/>
      <c r="F216" s="47"/>
      <c r="G216" s="48">
        <f>SUBTOTAL(109,POE_CARPINTERIA_METALICA[[VALOR TOTAL                                ]])</f>
        <v>31910920</v>
      </c>
      <c r="H216" s="15"/>
    </row>
    <row r="217" spans="1:8" x14ac:dyDescent="0.3">
      <c r="A217" s="11"/>
      <c r="B217" s="31" t="s">
        <v>217</v>
      </c>
      <c r="C217" s="32" t="s">
        <v>218</v>
      </c>
      <c r="D217" s="33" t="s">
        <v>10</v>
      </c>
      <c r="E217" s="34" t="s">
        <v>11</v>
      </c>
      <c r="F217" s="35" t="s">
        <v>12</v>
      </c>
      <c r="G217" s="36" t="s">
        <v>13</v>
      </c>
      <c r="H217" s="15"/>
    </row>
    <row r="218" spans="1:8" ht="55.2" x14ac:dyDescent="0.3">
      <c r="A218" s="11"/>
      <c r="B218" s="9" t="s">
        <v>523</v>
      </c>
      <c r="C218" s="44" t="s">
        <v>524</v>
      </c>
      <c r="D218" s="39" t="s">
        <v>351</v>
      </c>
      <c r="E218" s="40">
        <v>2</v>
      </c>
      <c r="F218" s="41">
        <v>2288260</v>
      </c>
      <c r="G218" s="42">
        <f t="shared" ref="G218:G219" si="15">IFERROR(ROUND($E218*$F218,0),"")</f>
        <v>4576520</v>
      </c>
      <c r="H218" s="15"/>
    </row>
    <row r="219" spans="1:8" ht="41.4" x14ac:dyDescent="0.3">
      <c r="A219" s="11"/>
      <c r="B219" s="9" t="s">
        <v>219</v>
      </c>
      <c r="C219" s="44" t="s">
        <v>525</v>
      </c>
      <c r="D219" s="39" t="s">
        <v>351</v>
      </c>
      <c r="E219" s="40">
        <v>8</v>
      </c>
      <c r="F219" s="41">
        <v>186433</v>
      </c>
      <c r="G219" s="42">
        <f t="shared" si="15"/>
        <v>1491464</v>
      </c>
      <c r="H219" s="15"/>
    </row>
    <row r="220" spans="1:8" ht="41.4" x14ac:dyDescent="0.3">
      <c r="A220" s="11"/>
      <c r="B220" s="9" t="s">
        <v>220</v>
      </c>
      <c r="C220" s="50" t="s">
        <v>526</v>
      </c>
      <c r="D220" s="39" t="s">
        <v>351</v>
      </c>
      <c r="E220" s="40">
        <v>3</v>
      </c>
      <c r="F220" s="71">
        <v>96099</v>
      </c>
      <c r="G220" s="42">
        <f>IFERROR(ROUND($E220*$F220,0),"")</f>
        <v>288297</v>
      </c>
      <c r="H220" s="15"/>
    </row>
    <row r="221" spans="1:8" ht="27.6" x14ac:dyDescent="0.3">
      <c r="A221" s="11"/>
      <c r="B221" s="9" t="s">
        <v>221</v>
      </c>
      <c r="C221" s="50" t="s">
        <v>527</v>
      </c>
      <c r="D221" s="39" t="s">
        <v>351</v>
      </c>
      <c r="E221" s="40">
        <v>2</v>
      </c>
      <c r="F221" s="71">
        <v>91927</v>
      </c>
      <c r="G221" s="42">
        <f>IFERROR(ROUND($E221*$F221,0),"")</f>
        <v>183854</v>
      </c>
      <c r="H221" s="15"/>
    </row>
    <row r="222" spans="1:8" x14ac:dyDescent="0.3">
      <c r="A222" s="11"/>
      <c r="B222" s="9" t="s">
        <v>19</v>
      </c>
      <c r="C222" s="50"/>
      <c r="D222" s="39"/>
      <c r="E222" s="39"/>
      <c r="F222" s="47"/>
      <c r="G222" s="48">
        <f>SUBTOTAL(109,POE_CERRADURAS[[VALOR TOTAL                                ]])</f>
        <v>6540135</v>
      </c>
      <c r="H222" s="15"/>
    </row>
    <row r="223" spans="1:8" x14ac:dyDescent="0.3">
      <c r="A223" s="11"/>
      <c r="B223" s="31" t="s">
        <v>222</v>
      </c>
      <c r="C223" s="32" t="s">
        <v>223</v>
      </c>
      <c r="D223" s="33" t="s">
        <v>10</v>
      </c>
      <c r="E223" s="34" t="s">
        <v>11</v>
      </c>
      <c r="F223" s="35" t="s">
        <v>12</v>
      </c>
      <c r="G223" s="36" t="s">
        <v>13</v>
      </c>
      <c r="H223" s="15"/>
    </row>
    <row r="224" spans="1:8" x14ac:dyDescent="0.3">
      <c r="A224" s="11"/>
      <c r="B224" s="62" t="s">
        <v>224</v>
      </c>
      <c r="C224" s="63" t="s">
        <v>528</v>
      </c>
      <c r="D224" s="39"/>
      <c r="E224" s="40"/>
      <c r="F224" s="41"/>
      <c r="G224" s="42"/>
      <c r="H224" s="15"/>
    </row>
    <row r="225" spans="1:8" ht="41.4" x14ac:dyDescent="0.3">
      <c r="A225" s="11"/>
      <c r="B225" s="9" t="s">
        <v>225</v>
      </c>
      <c r="C225" s="50" t="s">
        <v>529</v>
      </c>
      <c r="D225" s="39" t="s">
        <v>351</v>
      </c>
      <c r="E225" s="40">
        <v>1</v>
      </c>
      <c r="F225" s="71">
        <v>938837</v>
      </c>
      <c r="G225" s="42">
        <f>IFERROR(ROUND($E225*$F225,0),"")</f>
        <v>938837</v>
      </c>
      <c r="H225" s="15"/>
    </row>
    <row r="226" spans="1:8" ht="41.4" x14ac:dyDescent="0.3">
      <c r="A226" s="11"/>
      <c r="B226" s="9" t="s">
        <v>226</v>
      </c>
      <c r="C226" s="50" t="s">
        <v>530</v>
      </c>
      <c r="D226" s="39" t="s">
        <v>351</v>
      </c>
      <c r="E226" s="40">
        <v>1</v>
      </c>
      <c r="F226" s="71">
        <v>473247</v>
      </c>
      <c r="G226" s="42">
        <f t="shared" ref="G226:G232" si="16">IFERROR(ROUND($E226*$F226,0),"")</f>
        <v>473247</v>
      </c>
      <c r="H226" s="15"/>
    </row>
    <row r="227" spans="1:8" x14ac:dyDescent="0.3">
      <c r="A227" s="11"/>
      <c r="B227" s="62" t="s">
        <v>227</v>
      </c>
      <c r="C227" s="67" t="s">
        <v>531</v>
      </c>
      <c r="D227" s="39"/>
      <c r="E227" s="40"/>
      <c r="F227" s="71" t="s">
        <v>331</v>
      </c>
      <c r="G227" s="42" t="str">
        <f t="shared" si="16"/>
        <v/>
      </c>
      <c r="H227" s="15"/>
    </row>
    <row r="228" spans="1:8" ht="41.4" x14ac:dyDescent="0.3">
      <c r="A228" s="11"/>
      <c r="B228" s="9" t="s">
        <v>228</v>
      </c>
      <c r="C228" s="50" t="s">
        <v>532</v>
      </c>
      <c r="D228" s="39" t="s">
        <v>351</v>
      </c>
      <c r="E228" s="40">
        <v>3</v>
      </c>
      <c r="F228" s="71">
        <v>346131</v>
      </c>
      <c r="G228" s="42">
        <f t="shared" si="16"/>
        <v>1038393</v>
      </c>
      <c r="H228" s="15"/>
    </row>
    <row r="229" spans="1:8" ht="41.4" x14ac:dyDescent="0.3">
      <c r="A229" s="11"/>
      <c r="B229" s="9" t="s">
        <v>229</v>
      </c>
      <c r="C229" s="50" t="s">
        <v>533</v>
      </c>
      <c r="D229" s="39" t="s">
        <v>351</v>
      </c>
      <c r="E229" s="40">
        <f>E226</f>
        <v>1</v>
      </c>
      <c r="F229" s="71">
        <v>1268609</v>
      </c>
      <c r="G229" s="42">
        <f t="shared" si="16"/>
        <v>1268609</v>
      </c>
      <c r="H229" s="15"/>
    </row>
    <row r="230" spans="1:8" ht="41.4" x14ac:dyDescent="0.3">
      <c r="A230" s="11"/>
      <c r="B230" s="9" t="s">
        <v>230</v>
      </c>
      <c r="C230" s="50" t="s">
        <v>534</v>
      </c>
      <c r="D230" s="39" t="s">
        <v>351</v>
      </c>
      <c r="E230" s="40">
        <v>1</v>
      </c>
      <c r="F230" s="71">
        <v>186190</v>
      </c>
      <c r="G230" s="42">
        <f t="shared" si="16"/>
        <v>186190</v>
      </c>
      <c r="H230" s="15"/>
    </row>
    <row r="231" spans="1:8" x14ac:dyDescent="0.3">
      <c r="A231" s="11"/>
      <c r="B231" s="62" t="s">
        <v>231</v>
      </c>
      <c r="C231" s="67" t="s">
        <v>535</v>
      </c>
      <c r="D231" s="39"/>
      <c r="E231" s="40"/>
      <c r="F231" s="71" t="s">
        <v>331</v>
      </c>
      <c r="G231" s="42" t="str">
        <f t="shared" si="16"/>
        <v/>
      </c>
      <c r="H231" s="15"/>
    </row>
    <row r="232" spans="1:8" ht="27.6" x14ac:dyDescent="0.3">
      <c r="A232" s="11"/>
      <c r="B232" s="9" t="s">
        <v>232</v>
      </c>
      <c r="C232" s="50" t="s">
        <v>536</v>
      </c>
      <c r="D232" s="39" t="s">
        <v>351</v>
      </c>
      <c r="E232" s="40">
        <v>1</v>
      </c>
      <c r="F232" s="71">
        <v>476834</v>
      </c>
      <c r="G232" s="42">
        <f t="shared" si="16"/>
        <v>476834</v>
      </c>
      <c r="H232" s="15"/>
    </row>
    <row r="233" spans="1:8" ht="27.6" x14ac:dyDescent="0.3">
      <c r="A233" s="11"/>
      <c r="B233" s="9" t="s">
        <v>233</v>
      </c>
      <c r="C233" s="50" t="s">
        <v>537</v>
      </c>
      <c r="D233" s="39" t="s">
        <v>351</v>
      </c>
      <c r="E233" s="40">
        <v>1</v>
      </c>
      <c r="F233" s="71">
        <v>282959</v>
      </c>
      <c r="G233" s="42">
        <f>IFERROR(ROUND($E233*$F233,0),"")</f>
        <v>282959</v>
      </c>
      <c r="H233" s="15"/>
    </row>
    <row r="234" spans="1:8" ht="41.4" x14ac:dyDescent="0.3">
      <c r="A234" s="11"/>
      <c r="B234" s="9" t="s">
        <v>234</v>
      </c>
      <c r="C234" s="50" t="s">
        <v>538</v>
      </c>
      <c r="D234" s="39" t="s">
        <v>351</v>
      </c>
      <c r="E234" s="40">
        <v>1</v>
      </c>
      <c r="F234" s="71">
        <v>153029</v>
      </c>
      <c r="G234" s="42">
        <f t="shared" ref="G234" si="17">IFERROR(ROUND($E234*$F234,0),"")</f>
        <v>153029</v>
      </c>
      <c r="H234" s="15"/>
    </row>
    <row r="235" spans="1:8" ht="55.2" x14ac:dyDescent="0.3">
      <c r="A235" s="11"/>
      <c r="B235" s="9" t="s">
        <v>235</v>
      </c>
      <c r="C235" s="50" t="s">
        <v>539</v>
      </c>
      <c r="D235" s="39" t="s">
        <v>351</v>
      </c>
      <c r="E235" s="40">
        <v>1</v>
      </c>
      <c r="F235" s="71">
        <v>189474</v>
      </c>
      <c r="G235" s="42">
        <f>IFERROR(ROUND($E235*$F235,0),"")</f>
        <v>189474</v>
      </c>
      <c r="H235" s="15"/>
    </row>
    <row r="236" spans="1:8" ht="27.6" x14ac:dyDescent="0.3">
      <c r="A236" s="11"/>
      <c r="B236" s="9" t="s">
        <v>236</v>
      </c>
      <c r="C236" s="50" t="s">
        <v>540</v>
      </c>
      <c r="D236" s="39" t="s">
        <v>351</v>
      </c>
      <c r="E236" s="40">
        <v>2</v>
      </c>
      <c r="F236" s="71">
        <v>84656</v>
      </c>
      <c r="G236" s="42">
        <f>IFERROR(ROUND($E236*$F236,0),"")</f>
        <v>169312</v>
      </c>
      <c r="H236" s="15"/>
    </row>
    <row r="237" spans="1:8" ht="27.6" x14ac:dyDescent="0.3">
      <c r="A237" s="11"/>
      <c r="B237" s="9" t="s">
        <v>237</v>
      </c>
      <c r="C237" s="50" t="s">
        <v>541</v>
      </c>
      <c r="D237" s="39" t="s">
        <v>351</v>
      </c>
      <c r="E237" s="40">
        <v>2</v>
      </c>
      <c r="F237" s="71">
        <v>30121</v>
      </c>
      <c r="G237" s="42">
        <f t="shared" ref="G237" si="18">IFERROR(ROUND($E237*$F237,0),"")</f>
        <v>60242</v>
      </c>
      <c r="H237" s="15"/>
    </row>
    <row r="238" spans="1:8" x14ac:dyDescent="0.3">
      <c r="A238" s="11"/>
      <c r="B238" s="9" t="s">
        <v>19</v>
      </c>
      <c r="C238" s="50"/>
      <c r="D238" s="39"/>
      <c r="E238" s="39"/>
      <c r="F238" s="47"/>
      <c r="G238" s="48">
        <f>SUBTOTAL(109,POE_DOTACIÓN_BAÑOS[[VALOR TOTAL                                ]])</f>
        <v>5237126</v>
      </c>
      <c r="H238" s="15"/>
    </row>
    <row r="239" spans="1:8" x14ac:dyDescent="0.3">
      <c r="A239" s="11"/>
      <c r="B239" s="31" t="s">
        <v>238</v>
      </c>
      <c r="C239" s="32" t="s">
        <v>239</v>
      </c>
      <c r="D239" s="33" t="s">
        <v>10</v>
      </c>
      <c r="E239" s="34" t="s">
        <v>11</v>
      </c>
      <c r="F239" s="35" t="s">
        <v>12</v>
      </c>
      <c r="G239" s="36" t="s">
        <v>13</v>
      </c>
      <c r="H239" s="15"/>
    </row>
    <row r="240" spans="1:8" ht="41.4" x14ac:dyDescent="0.3">
      <c r="A240" s="11"/>
      <c r="B240" s="70" t="s">
        <v>240</v>
      </c>
      <c r="C240" s="44" t="s">
        <v>542</v>
      </c>
      <c r="D240" s="39" t="s">
        <v>349</v>
      </c>
      <c r="E240" s="40">
        <f>ROUND(((E175*2)+(E179*2)),2)</f>
        <v>215.44</v>
      </c>
      <c r="F240" s="41">
        <v>20975</v>
      </c>
      <c r="G240" s="42">
        <f t="shared" ref="G240" si="19">IFERROR(ROUND($E240*$F240,0),"")</f>
        <v>4518854</v>
      </c>
      <c r="H240" s="15"/>
    </row>
    <row r="241" spans="1:8" x14ac:dyDescent="0.3">
      <c r="A241" s="11"/>
      <c r="B241" s="9" t="s">
        <v>19</v>
      </c>
      <c r="D241" s="39"/>
      <c r="E241" s="39"/>
      <c r="F241" s="47"/>
      <c r="G241" s="48">
        <f>SUBTOTAL(109,POE_PINTURAS[[VALOR TOTAL                                ]])</f>
        <v>4518854</v>
      </c>
      <c r="H241" s="15"/>
    </row>
    <row r="242" spans="1:8" x14ac:dyDescent="0.3">
      <c r="A242" s="11"/>
      <c r="B242" s="31" t="s">
        <v>241</v>
      </c>
      <c r="C242" s="32" t="s">
        <v>242</v>
      </c>
      <c r="D242" s="33" t="s">
        <v>10</v>
      </c>
      <c r="E242" s="34" t="s">
        <v>11</v>
      </c>
      <c r="F242" s="35" t="s">
        <v>12</v>
      </c>
      <c r="G242" s="36" t="s">
        <v>13</v>
      </c>
      <c r="H242" s="15"/>
    </row>
    <row r="243" spans="1:8" ht="55.2" x14ac:dyDescent="0.3">
      <c r="A243" s="11"/>
      <c r="B243" s="70" t="s">
        <v>243</v>
      </c>
      <c r="C243" s="44" t="s">
        <v>543</v>
      </c>
      <c r="D243" s="39" t="s">
        <v>349</v>
      </c>
      <c r="E243" s="40">
        <f>ROUND((1.2*0.7),2)</f>
        <v>0.84</v>
      </c>
      <c r="F243" s="41">
        <v>494668</v>
      </c>
      <c r="G243" s="42">
        <f t="shared" ref="G243:G244" si="20">IFERROR(ROUND($E243*$F243,0),"")</f>
        <v>415521</v>
      </c>
      <c r="H243" s="15"/>
    </row>
    <row r="244" spans="1:8" ht="55.2" x14ac:dyDescent="0.3">
      <c r="A244" s="11"/>
      <c r="B244" s="70" t="s">
        <v>244</v>
      </c>
      <c r="C244" s="44" t="s">
        <v>544</v>
      </c>
      <c r="D244" s="39" t="s">
        <v>349</v>
      </c>
      <c r="E244" s="40">
        <f>ROUND(((0.7*1.2)*2),2)</f>
        <v>1.68</v>
      </c>
      <c r="F244" s="41">
        <v>384197</v>
      </c>
      <c r="G244" s="42">
        <f t="shared" si="20"/>
        <v>645451</v>
      </c>
      <c r="H244" s="15"/>
    </row>
    <row r="245" spans="1:8" x14ac:dyDescent="0.3">
      <c r="A245" s="11"/>
      <c r="B245" s="10" t="s">
        <v>19</v>
      </c>
      <c r="F245" s="10"/>
      <c r="G245" s="51">
        <f>SUBTOTAL(109,POE_VIDRIOS_Y_ESPEJOS[[VALOR TOTAL                                ]])</f>
        <v>1060972</v>
      </c>
      <c r="H245" s="15"/>
    </row>
    <row r="246" spans="1:8" x14ac:dyDescent="0.3">
      <c r="A246" s="11"/>
      <c r="B246" s="31" t="s">
        <v>245</v>
      </c>
      <c r="C246" s="32" t="s">
        <v>246</v>
      </c>
      <c r="D246" s="33" t="s">
        <v>10</v>
      </c>
      <c r="E246" s="34" t="s">
        <v>11</v>
      </c>
      <c r="F246" s="35" t="s">
        <v>12</v>
      </c>
      <c r="G246" s="36" t="s">
        <v>13</v>
      </c>
      <c r="H246" s="15"/>
    </row>
    <row r="247" spans="1:8" ht="27.6" x14ac:dyDescent="0.3">
      <c r="A247" s="11"/>
      <c r="B247" s="9" t="s">
        <v>247</v>
      </c>
      <c r="C247" s="44" t="s">
        <v>545</v>
      </c>
      <c r="D247" s="39" t="s">
        <v>351</v>
      </c>
      <c r="E247" s="40">
        <v>2</v>
      </c>
      <c r="F247" s="41">
        <v>134172</v>
      </c>
      <c r="G247" s="42">
        <f t="shared" ref="G247" si="21">IFERROR(ROUND($E247*$F247,0),"")</f>
        <v>268344</v>
      </c>
      <c r="H247" s="15"/>
    </row>
    <row r="248" spans="1:8" ht="27.6" x14ac:dyDescent="0.3">
      <c r="A248" s="11"/>
      <c r="B248" s="9" t="s">
        <v>248</v>
      </c>
      <c r="C248" s="44" t="s">
        <v>546</v>
      </c>
      <c r="D248" s="39" t="s">
        <v>351</v>
      </c>
      <c r="E248" s="40">
        <v>3</v>
      </c>
      <c r="F248" s="71">
        <v>81615</v>
      </c>
      <c r="G248" s="42">
        <f>IFERROR(ROUND($E248*$F248,0),"")</f>
        <v>244845</v>
      </c>
      <c r="H248" s="15"/>
    </row>
    <row r="249" spans="1:8" x14ac:dyDescent="0.3">
      <c r="A249" s="11"/>
      <c r="B249" s="9" t="s">
        <v>19</v>
      </c>
      <c r="C249" s="50"/>
      <c r="D249" s="39"/>
      <c r="E249" s="39"/>
      <c r="F249" s="47"/>
      <c r="G249" s="48">
        <f>SUBTOTAL(109,POE_EQUIPOS_Y_OTROS[[VALOR TOTAL                                ]])</f>
        <v>513189</v>
      </c>
      <c r="H249" s="15"/>
    </row>
    <row r="250" spans="1:8" x14ac:dyDescent="0.3">
      <c r="A250" s="11"/>
      <c r="B250" s="31" t="s">
        <v>249</v>
      </c>
      <c r="C250" s="32" t="s">
        <v>250</v>
      </c>
      <c r="D250" s="33" t="s">
        <v>10</v>
      </c>
      <c r="E250" s="34" t="s">
        <v>11</v>
      </c>
      <c r="F250" s="35" t="s">
        <v>12</v>
      </c>
      <c r="G250" s="36" t="s">
        <v>13</v>
      </c>
      <c r="H250" s="15"/>
    </row>
    <row r="251" spans="1:8" ht="41.4" x14ac:dyDescent="0.3">
      <c r="A251" s="11"/>
      <c r="B251" s="9" t="s">
        <v>251</v>
      </c>
      <c r="C251" s="50" t="s">
        <v>547</v>
      </c>
      <c r="D251" s="39" t="s">
        <v>349</v>
      </c>
      <c r="E251" s="40">
        <f>ROUND((279.02-200),2)</f>
        <v>79.02</v>
      </c>
      <c r="F251" s="71">
        <v>151343</v>
      </c>
      <c r="G251" s="42">
        <f t="shared" ref="G251:G252" si="22">IFERROR(ROUND($E251*$F251,0),"")</f>
        <v>11959124</v>
      </c>
      <c r="H251" s="15"/>
    </row>
    <row r="252" spans="1:8" x14ac:dyDescent="0.3">
      <c r="A252" s="11"/>
      <c r="B252" s="9" t="s">
        <v>252</v>
      </c>
      <c r="C252" s="50" t="s">
        <v>548</v>
      </c>
      <c r="D252" s="39" t="s">
        <v>349</v>
      </c>
      <c r="E252" s="40">
        <v>53.79</v>
      </c>
      <c r="F252" s="71">
        <v>53772</v>
      </c>
      <c r="G252" s="42">
        <f t="shared" si="22"/>
        <v>2892396</v>
      </c>
      <c r="H252" s="15"/>
    </row>
    <row r="253" spans="1:8" ht="41.4" x14ac:dyDescent="0.3">
      <c r="A253" s="11"/>
      <c r="B253" s="9" t="s">
        <v>253</v>
      </c>
      <c r="C253" s="50" t="s">
        <v>549</v>
      </c>
      <c r="D253" s="39" t="s">
        <v>332</v>
      </c>
      <c r="E253" s="40">
        <f>ROUND(((1.88*2)+2.29+1.8+3.2+9.7),2)</f>
        <v>20.75</v>
      </c>
      <c r="F253" s="71">
        <v>99407</v>
      </c>
      <c r="G253" s="42">
        <f>IFERROR(ROUND($E253*$F253,0),"")</f>
        <v>2062695</v>
      </c>
      <c r="H253" s="15"/>
    </row>
    <row r="254" spans="1:8" ht="27.6" x14ac:dyDescent="0.3">
      <c r="A254" s="11"/>
      <c r="B254" s="9" t="s">
        <v>254</v>
      </c>
      <c r="C254" s="50" t="s">
        <v>550</v>
      </c>
      <c r="D254" s="39" t="s">
        <v>354</v>
      </c>
      <c r="E254" s="40">
        <f>7.52</f>
        <v>7.52</v>
      </c>
      <c r="F254" s="71">
        <v>326927</v>
      </c>
      <c r="G254" s="42">
        <f>IFERROR(ROUND($E254*$F254,0),"")</f>
        <v>2458491</v>
      </c>
      <c r="H254" s="15"/>
    </row>
    <row r="255" spans="1:8" x14ac:dyDescent="0.3">
      <c r="A255" s="11"/>
      <c r="B255" s="9" t="s">
        <v>19</v>
      </c>
      <c r="C255" s="50"/>
      <c r="D255" s="39"/>
      <c r="E255" s="39"/>
      <c r="F255" s="47"/>
      <c r="G255" s="48">
        <f>SUBTOTAL(109,POE_OBRAS_EXTERIORES[[VALOR TOTAL                                ]])</f>
        <v>19372706</v>
      </c>
      <c r="H255" s="15"/>
    </row>
    <row r="256" spans="1:8" x14ac:dyDescent="0.3">
      <c r="A256" s="11"/>
      <c r="B256" s="31" t="s">
        <v>255</v>
      </c>
      <c r="C256" s="32" t="s">
        <v>256</v>
      </c>
      <c r="D256" s="33" t="s">
        <v>10</v>
      </c>
      <c r="E256" s="34" t="s">
        <v>11</v>
      </c>
      <c r="F256" s="35" t="s">
        <v>12</v>
      </c>
      <c r="G256" s="36" t="s">
        <v>13</v>
      </c>
      <c r="H256" s="15"/>
    </row>
    <row r="257" spans="1:9" ht="110.4" x14ac:dyDescent="0.3">
      <c r="A257" s="11"/>
      <c r="B257" s="9" t="s">
        <v>257</v>
      </c>
      <c r="C257" s="50" t="s">
        <v>551</v>
      </c>
      <c r="D257" s="39" t="s">
        <v>351</v>
      </c>
      <c r="E257" s="55">
        <v>46</v>
      </c>
      <c r="F257" s="71">
        <v>57367</v>
      </c>
      <c r="G257" s="52">
        <f>IFERROR(ROUND($E257*$F257,0),"")</f>
        <v>2638882</v>
      </c>
      <c r="H257" s="15"/>
    </row>
    <row r="258" spans="1:9" ht="41.4" x14ac:dyDescent="0.3">
      <c r="A258" s="11"/>
      <c r="B258" s="9" t="s">
        <v>258</v>
      </c>
      <c r="C258" s="50" t="s">
        <v>552</v>
      </c>
      <c r="D258" s="39" t="s">
        <v>351</v>
      </c>
      <c r="E258" s="40">
        <v>1</v>
      </c>
      <c r="F258" s="71">
        <v>377247</v>
      </c>
      <c r="G258" s="42">
        <f>IFERROR(ROUND($E258*$F258,0),"")</f>
        <v>377247</v>
      </c>
      <c r="H258" s="15"/>
    </row>
    <row r="259" spans="1:9" ht="55.2" x14ac:dyDescent="0.3">
      <c r="A259" s="11"/>
      <c r="B259" s="9" t="s">
        <v>259</v>
      </c>
      <c r="C259" s="50" t="s">
        <v>553</v>
      </c>
      <c r="D259" s="39" t="s">
        <v>351</v>
      </c>
      <c r="E259" s="40">
        <v>8</v>
      </c>
      <c r="F259" s="71">
        <v>217445</v>
      </c>
      <c r="G259" s="42">
        <f>IFERROR(ROUND($E259*$F259,0),"")</f>
        <v>1739560</v>
      </c>
      <c r="H259" s="15"/>
    </row>
    <row r="260" spans="1:9" ht="55.2" x14ac:dyDescent="0.3">
      <c r="A260" s="11"/>
      <c r="B260" s="9" t="s">
        <v>260</v>
      </c>
      <c r="C260" s="50" t="s">
        <v>554</v>
      </c>
      <c r="D260" s="39" t="s">
        <v>351</v>
      </c>
      <c r="E260" s="40">
        <v>1</v>
      </c>
      <c r="F260" s="71">
        <v>261377</v>
      </c>
      <c r="G260" s="42">
        <f>IFERROR(ROUND($E260*$F260,0),"")</f>
        <v>261377</v>
      </c>
      <c r="H260" s="15"/>
    </row>
    <row r="261" spans="1:9" x14ac:dyDescent="0.3">
      <c r="A261" s="77"/>
      <c r="B261" s="9" t="s">
        <v>19</v>
      </c>
      <c r="C261" s="50"/>
      <c r="D261" s="39"/>
      <c r="E261" s="39"/>
      <c r="F261" s="47"/>
      <c r="G261" s="48">
        <f>SUBTOTAL(109,POE_SEÑALIZACIÓN[[VALOR TOTAL                                ]])</f>
        <v>5017066</v>
      </c>
      <c r="H261" s="15"/>
    </row>
    <row r="262" spans="1:9" x14ac:dyDescent="0.3">
      <c r="A262" s="77"/>
      <c r="B262" s="31" t="s">
        <v>261</v>
      </c>
      <c r="C262" s="32" t="s">
        <v>262</v>
      </c>
      <c r="D262" s="33" t="s">
        <v>10</v>
      </c>
      <c r="E262" s="34" t="s">
        <v>11</v>
      </c>
      <c r="F262" s="35" t="s">
        <v>12</v>
      </c>
      <c r="G262" s="36" t="s">
        <v>13</v>
      </c>
      <c r="H262" s="15"/>
    </row>
    <row r="263" spans="1:9" x14ac:dyDescent="0.3">
      <c r="A263" s="77"/>
      <c r="B263" s="9" t="s">
        <v>263</v>
      </c>
      <c r="C263" s="44" t="s">
        <v>555</v>
      </c>
      <c r="D263" s="39" t="s">
        <v>349</v>
      </c>
      <c r="E263" s="78">
        <v>267.15289999999999</v>
      </c>
      <c r="F263" s="41">
        <v>4923</v>
      </c>
      <c r="G263" s="42">
        <f t="shared" ref="G263" si="23">IFERROR(ROUND($E263*$F263,0),"")</f>
        <v>1315194</v>
      </c>
      <c r="H263" s="15"/>
    </row>
    <row r="264" spans="1:9" x14ac:dyDescent="0.3">
      <c r="A264" s="77"/>
      <c r="B264" s="9" t="s">
        <v>19</v>
      </c>
      <c r="C264" s="50"/>
      <c r="D264" s="39"/>
      <c r="E264" s="39"/>
      <c r="F264" s="47"/>
      <c r="G264" s="48">
        <f>SUBTOTAL(109,POE_ASEO[[VALOR TOTAL                                ]])</f>
        <v>1315194</v>
      </c>
      <c r="H264" s="15"/>
    </row>
    <row r="265" spans="1:9" x14ac:dyDescent="0.3">
      <c r="A265" s="77"/>
      <c r="C265" s="50"/>
      <c r="D265" s="39"/>
      <c r="E265" s="39"/>
      <c r="F265" s="47"/>
      <c r="G265" s="48"/>
      <c r="H265" s="15"/>
    </row>
    <row r="266" spans="1:9" x14ac:dyDescent="0.3">
      <c r="A266" s="77"/>
      <c r="B266" s="299" t="s">
        <v>264</v>
      </c>
      <c r="C266" s="299"/>
      <c r="D266" s="299"/>
      <c r="E266" s="299"/>
      <c r="F266" s="299"/>
      <c r="G266" s="79">
        <f>SUBTOTAL(9,G11:G265)</f>
        <v>935945194</v>
      </c>
      <c r="H266" s="80"/>
      <c r="I266" s="81"/>
    </row>
    <row r="267" spans="1:9" ht="14.4" thickBot="1" x14ac:dyDescent="0.35">
      <c r="A267" s="77"/>
      <c r="B267" s="82"/>
      <c r="C267" s="82"/>
      <c r="D267" s="82"/>
      <c r="E267" s="82"/>
      <c r="F267" s="82"/>
      <c r="G267" s="82"/>
      <c r="H267" s="15"/>
    </row>
    <row r="268" spans="1:9" x14ac:dyDescent="0.3">
      <c r="A268" s="77"/>
      <c r="B268" s="82"/>
      <c r="C268" s="300" t="s">
        <v>265</v>
      </c>
      <c r="D268" s="301" t="s">
        <v>266</v>
      </c>
      <c r="E268" s="302">
        <v>0.215</v>
      </c>
      <c r="F268" s="84">
        <v>0.29599999999999999</v>
      </c>
      <c r="G268" s="85">
        <f>ROUND((G266*F268),0)</f>
        <v>277039777</v>
      </c>
      <c r="H268" s="15"/>
    </row>
    <row r="269" spans="1:9" x14ac:dyDescent="0.3">
      <c r="A269" s="77"/>
      <c r="B269" s="82"/>
      <c r="C269" s="303" t="s">
        <v>267</v>
      </c>
      <c r="D269" s="304" t="s">
        <v>266</v>
      </c>
      <c r="E269" s="305">
        <v>0.01</v>
      </c>
      <c r="F269" s="87">
        <v>5.0000000000000001E-3</v>
      </c>
      <c r="G269" s="88">
        <f>ROUND((+G266*F269),0)</f>
        <v>4679726</v>
      </c>
      <c r="H269" s="15"/>
    </row>
    <row r="270" spans="1:9" x14ac:dyDescent="0.3">
      <c r="A270" s="77"/>
      <c r="B270" s="82"/>
      <c r="C270" s="306" t="s">
        <v>268</v>
      </c>
      <c r="D270" s="304" t="s">
        <v>266</v>
      </c>
      <c r="E270" s="305">
        <v>0.05</v>
      </c>
      <c r="F270" s="87">
        <v>0.05</v>
      </c>
      <c r="G270" s="88">
        <f>ROUND((+G266*F270),0)</f>
        <v>46797260</v>
      </c>
      <c r="H270" s="15"/>
    </row>
    <row r="271" spans="1:9" x14ac:dyDescent="0.3">
      <c r="A271" s="77"/>
      <c r="B271" s="82"/>
      <c r="C271" s="306" t="s">
        <v>269</v>
      </c>
      <c r="D271" s="304" t="s">
        <v>266</v>
      </c>
      <c r="E271" s="305">
        <v>0.19</v>
      </c>
      <c r="F271" s="87">
        <v>0.19</v>
      </c>
      <c r="G271" s="88">
        <f>ROUND((+G270*F271),0)</f>
        <v>8891479</v>
      </c>
      <c r="H271" s="15"/>
    </row>
    <row r="272" spans="1:9" ht="14.4" thickBot="1" x14ac:dyDescent="0.35">
      <c r="A272" s="77"/>
      <c r="B272" s="82"/>
      <c r="C272" s="307" t="s">
        <v>270</v>
      </c>
      <c r="D272" s="308"/>
      <c r="E272" s="309"/>
      <c r="F272" s="90"/>
      <c r="G272" s="91">
        <f>SUM(G268:G271)</f>
        <v>337408242</v>
      </c>
      <c r="H272" s="15"/>
    </row>
    <row r="273" spans="1:10" ht="14.4" thickBot="1" x14ac:dyDescent="0.35">
      <c r="A273" s="289"/>
      <c r="B273" s="289"/>
      <c r="C273" s="290" t="s">
        <v>271</v>
      </c>
      <c r="D273" s="291"/>
      <c r="E273" s="292"/>
      <c r="F273" s="93"/>
      <c r="G273" s="94">
        <f>+G266+G272</f>
        <v>1273353436</v>
      </c>
      <c r="I273" s="95"/>
      <c r="J273" s="51"/>
    </row>
    <row r="274" spans="1:10" ht="14.4" thickBot="1" x14ac:dyDescent="0.35">
      <c r="A274" s="289"/>
      <c r="B274" s="289"/>
      <c r="C274" s="96"/>
      <c r="D274" s="97"/>
      <c r="E274" s="98"/>
      <c r="F274" s="99"/>
      <c r="G274" s="100"/>
    </row>
    <row r="275" spans="1:10" ht="14.4" thickTop="1" x14ac:dyDescent="0.3"/>
  </sheetData>
  <sheetProtection algorithmName="SHA-512" hashValue="NJyEw/CqxJb0XN8jT4M9UFTO/Qpa6ev0dB7qxJMxsBg7k+Tet/WidB1gRLuL4K87q8nkkQZe/RziQdzl7Szfqw==" saltValue="bbUuK8Z3MZCLuL90OmhPhQ==" spinCount="100000" sheet="1" objects="1" scenarios="1"/>
  <mergeCells count="13">
    <mergeCell ref="A273:B274"/>
    <mergeCell ref="C273:E273"/>
    <mergeCell ref="B2:C2"/>
    <mergeCell ref="B6:G6"/>
    <mergeCell ref="B7:G7"/>
    <mergeCell ref="B8:G8"/>
    <mergeCell ref="B9:G9"/>
    <mergeCell ref="B266:F266"/>
    <mergeCell ref="C268:E268"/>
    <mergeCell ref="C269:E269"/>
    <mergeCell ref="C270:E270"/>
    <mergeCell ref="C271:E271"/>
    <mergeCell ref="C272:E272"/>
  </mergeCells>
  <conditionalFormatting sqref="C10">
    <cfRule type="containsText" dxfId="7" priority="3" operator="containsText" text="escari">
      <formula>NOT(ISERROR(SEARCH("escari",C10)))</formula>
    </cfRule>
    <cfRule type="containsText" dxfId="6" priority="4" operator="containsText" text="escarificación">
      <formula>NOT(ISERROR(SEARCH("escarificación",C10)))</formula>
    </cfRule>
  </conditionalFormatting>
  <conditionalFormatting sqref="C268:C273">
    <cfRule type="containsText" dxfId="5" priority="1" operator="containsText" text="escari">
      <formula>NOT(ISERROR(SEARCH("escari",C268)))</formula>
    </cfRule>
    <cfRule type="containsText" dxfId="4" priority="2" operator="containsText" text="escarificación">
      <formula>NOT(ISERROR(SEARCH("escarificación",C268)))</formula>
    </cfRule>
  </conditionalFormatting>
  <pageMargins left="0.7" right="0.7" top="0.75" bottom="0.75" header="0.3" footer="0.3"/>
  <pageSetup paperSize="9" scale="45" fitToHeight="0" orientation="portrait" r:id="rId1"/>
  <rowBreaks count="2" manualBreakCount="2">
    <brk id="109" max="7" man="1"/>
    <brk id="143" max="7" man="1"/>
  </rowBreaks>
  <tableParts count="23">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9C561-E5B1-4FFE-996B-568383628EA4}">
  <sheetPr codeName="Hoja8">
    <tabColor rgb="FF002060"/>
    <pageSetUpPr fitToPage="1"/>
  </sheetPr>
  <dimension ref="A1:M60"/>
  <sheetViews>
    <sheetView showGridLines="0" view="pageBreakPreview" zoomScaleNormal="100" zoomScaleSheetLayoutView="100" workbookViewId="0">
      <selection activeCell="B1" sqref="B1:I2"/>
    </sheetView>
  </sheetViews>
  <sheetFormatPr baseColWidth="10" defaultColWidth="14.44140625" defaultRowHeight="15" customHeight="1" x14ac:dyDescent="0.3"/>
  <cols>
    <col min="1" max="1" width="8" style="102" customWidth="1"/>
    <col min="2" max="2" width="1" style="103" customWidth="1"/>
    <col min="3" max="3" width="61.6640625" style="102" customWidth="1"/>
    <col min="4" max="4" width="15.44140625" style="102" bestFit="1" customWidth="1"/>
    <col min="5" max="5" width="13.44140625" style="102" customWidth="1"/>
    <col min="6" max="6" width="16.5546875" style="102" bestFit="1" customWidth="1"/>
    <col min="7" max="7" width="10.33203125" style="102" customWidth="1"/>
    <col min="8" max="8" width="17.88671875" style="102" customWidth="1"/>
    <col min="9" max="9" width="24.5546875" style="102" customWidth="1"/>
    <col min="10" max="10" width="1" style="102" customWidth="1"/>
    <col min="11" max="11" width="19.44140625" style="102" bestFit="1" customWidth="1"/>
    <col min="12" max="12" width="17.44140625" style="102" customWidth="1"/>
    <col min="13" max="13" width="19.6640625" style="102" customWidth="1"/>
    <col min="14" max="14" width="36.5546875" style="102" customWidth="1"/>
    <col min="15" max="15" width="21.88671875" style="102" customWidth="1"/>
    <col min="16" max="25" width="10.6640625" style="102" customWidth="1"/>
    <col min="26" max="16384" width="14.44140625" style="102"/>
  </cols>
  <sheetData>
    <row r="1" spans="1:13" ht="17.25" customHeight="1" x14ac:dyDescent="0.3">
      <c r="C1" s="316" t="s">
        <v>344</v>
      </c>
      <c r="D1" s="316"/>
      <c r="E1" s="316"/>
      <c r="F1" s="316"/>
      <c r="G1" s="316"/>
      <c r="H1" s="316"/>
      <c r="I1" s="317"/>
      <c r="L1" s="104">
        <v>1264461957</v>
      </c>
      <c r="M1" s="105" t="s">
        <v>272</v>
      </c>
    </row>
    <row r="2" spans="1:13" ht="17.25" customHeight="1" x14ac:dyDescent="0.3">
      <c r="C2" s="318"/>
      <c r="D2" s="318"/>
      <c r="E2" s="318"/>
      <c r="F2" s="318"/>
      <c r="G2" s="318"/>
      <c r="H2" s="318"/>
      <c r="I2" s="319"/>
      <c r="L2" s="104">
        <v>935945194</v>
      </c>
      <c r="M2" s="102" t="s">
        <v>273</v>
      </c>
    </row>
    <row r="3" spans="1:13" ht="27" customHeight="1" x14ac:dyDescent="0.3">
      <c r="C3" s="320" t="s">
        <v>274</v>
      </c>
      <c r="D3" s="320"/>
      <c r="E3" s="320"/>
      <c r="F3" s="320"/>
      <c r="G3" s="320"/>
      <c r="H3" s="320"/>
      <c r="I3" s="320"/>
      <c r="J3" s="106"/>
      <c r="L3" s="104">
        <f>+L1-L2</f>
        <v>328516763</v>
      </c>
      <c r="M3" s="102" t="s">
        <v>275</v>
      </c>
    </row>
    <row r="4" spans="1:13" ht="5.25" customHeight="1" x14ac:dyDescent="0.3">
      <c r="C4" s="107"/>
      <c r="D4" s="107"/>
      <c r="E4" s="107"/>
      <c r="F4" s="107"/>
      <c r="G4" s="107"/>
      <c r="H4" s="107"/>
      <c r="I4" s="107"/>
      <c r="J4" s="106"/>
    </row>
    <row r="5" spans="1:13" ht="14.25" customHeight="1" x14ac:dyDescent="0.3">
      <c r="C5" s="108" t="s">
        <v>276</v>
      </c>
      <c r="D5" s="109" t="s">
        <v>277</v>
      </c>
      <c r="E5" s="321" t="s">
        <v>278</v>
      </c>
      <c r="F5" s="321"/>
      <c r="G5" s="321" t="s">
        <v>279</v>
      </c>
      <c r="H5" s="321"/>
      <c r="I5" s="110" t="s">
        <v>280</v>
      </c>
      <c r="L5" s="111" t="b">
        <f>L3=I52</f>
        <v>0</v>
      </c>
    </row>
    <row r="6" spans="1:13" ht="14.25" customHeight="1" x14ac:dyDescent="0.3">
      <c r="A6" s="310" t="s">
        <v>281</v>
      </c>
      <c r="C6" s="112" t="s">
        <v>282</v>
      </c>
      <c r="D6" s="113" t="s">
        <v>283</v>
      </c>
      <c r="E6" s="311">
        <v>0.02</v>
      </c>
      <c r="F6" s="311"/>
      <c r="G6" s="312">
        <v>1</v>
      </c>
      <c r="H6" s="312"/>
      <c r="I6" s="114">
        <f t="shared" ref="I6:I12" si="0">ROUND(($L$1-$I$51)*G6*E6,0)</f>
        <v>25111410</v>
      </c>
    </row>
    <row r="7" spans="1:13" ht="14.25" customHeight="1" x14ac:dyDescent="0.3">
      <c r="A7" s="310"/>
      <c r="C7" s="112" t="s">
        <v>556</v>
      </c>
      <c r="D7" s="113" t="s">
        <v>283</v>
      </c>
      <c r="E7" s="311">
        <v>0.05</v>
      </c>
      <c r="F7" s="311"/>
      <c r="G7" s="312">
        <v>1</v>
      </c>
      <c r="H7" s="312"/>
      <c r="I7" s="114">
        <f t="shared" si="0"/>
        <v>62778524</v>
      </c>
    </row>
    <row r="8" spans="1:13" ht="14.25" customHeight="1" x14ac:dyDescent="0.3">
      <c r="A8" s="310"/>
      <c r="C8" s="112" t="s">
        <v>284</v>
      </c>
      <c r="D8" s="113" t="s">
        <v>283</v>
      </c>
      <c r="E8" s="311">
        <v>4.0000000000000001E-3</v>
      </c>
      <c r="F8" s="311"/>
      <c r="G8" s="312">
        <v>1</v>
      </c>
      <c r="H8" s="312"/>
      <c r="I8" s="114">
        <f t="shared" si="0"/>
        <v>5022282</v>
      </c>
      <c r="J8" s="115"/>
    </row>
    <row r="9" spans="1:13" ht="14.25" customHeight="1" x14ac:dyDescent="0.3">
      <c r="A9" s="310"/>
      <c r="C9" s="112" t="s">
        <v>285</v>
      </c>
      <c r="D9" s="113" t="s">
        <v>283</v>
      </c>
      <c r="E9" s="311">
        <v>6.9000000000000008E-3</v>
      </c>
      <c r="F9" s="311"/>
      <c r="G9" s="312">
        <v>1</v>
      </c>
      <c r="H9" s="312"/>
      <c r="I9" s="114">
        <f t="shared" si="0"/>
        <v>8663436</v>
      </c>
      <c r="J9" s="115"/>
    </row>
    <row r="10" spans="1:13" ht="14.25" customHeight="1" x14ac:dyDescent="0.3">
      <c r="A10" s="310"/>
      <c r="C10" s="112" t="s">
        <v>286</v>
      </c>
      <c r="D10" s="113" t="s">
        <v>283</v>
      </c>
      <c r="E10" s="311">
        <v>2.5000000000000001E-3</v>
      </c>
      <c r="F10" s="311"/>
      <c r="G10" s="312">
        <v>1</v>
      </c>
      <c r="H10" s="312"/>
      <c r="I10" s="114">
        <f t="shared" si="0"/>
        <v>3138926</v>
      </c>
      <c r="J10" s="115"/>
    </row>
    <row r="11" spans="1:13" ht="14.25" customHeight="1" x14ac:dyDescent="0.3">
      <c r="A11" s="310"/>
      <c r="C11" s="112" t="s">
        <v>287</v>
      </c>
      <c r="D11" s="113" t="s">
        <v>283</v>
      </c>
      <c r="E11" s="311">
        <v>5.0000000000000001E-3</v>
      </c>
      <c r="F11" s="311"/>
      <c r="G11" s="312">
        <v>1</v>
      </c>
      <c r="H11" s="312"/>
      <c r="I11" s="114">
        <f t="shared" si="0"/>
        <v>6277852</v>
      </c>
      <c r="J11" s="115"/>
      <c r="K11" s="116"/>
      <c r="L11" s="116"/>
    </row>
    <row r="12" spans="1:13" ht="14.25" customHeight="1" x14ac:dyDescent="0.3">
      <c r="A12" s="310"/>
      <c r="C12" s="112" t="s">
        <v>288</v>
      </c>
      <c r="D12" s="113" t="s">
        <v>283</v>
      </c>
      <c r="E12" s="313">
        <v>5.0000000000000001E-3</v>
      </c>
      <c r="F12" s="314"/>
      <c r="G12" s="312">
        <v>1</v>
      </c>
      <c r="H12" s="312"/>
      <c r="I12" s="114">
        <f t="shared" si="0"/>
        <v>6277852</v>
      </c>
      <c r="J12" s="115"/>
      <c r="K12" s="116"/>
      <c r="L12" s="116"/>
    </row>
    <row r="13" spans="1:13" ht="14.25" customHeight="1" x14ac:dyDescent="0.3">
      <c r="A13" s="310"/>
      <c r="C13" s="112" t="s">
        <v>289</v>
      </c>
      <c r="D13" s="117" t="s">
        <v>290</v>
      </c>
      <c r="E13" s="315">
        <v>1488981</v>
      </c>
      <c r="F13" s="315"/>
      <c r="G13" s="312">
        <v>3</v>
      </c>
      <c r="H13" s="312"/>
      <c r="I13" s="114">
        <f>ROUND(G13*E13,0)</f>
        <v>4466943</v>
      </c>
      <c r="J13" s="115"/>
      <c r="K13" s="116"/>
      <c r="L13" s="116"/>
    </row>
    <row r="14" spans="1:13" ht="14.25" customHeight="1" x14ac:dyDescent="0.3">
      <c r="A14" s="310"/>
      <c r="C14" s="112" t="s">
        <v>291</v>
      </c>
      <c r="D14" s="113" t="s">
        <v>283</v>
      </c>
      <c r="E14" s="311">
        <v>1.252E-2</v>
      </c>
      <c r="F14" s="311"/>
      <c r="G14" s="312">
        <v>1</v>
      </c>
      <c r="H14" s="312"/>
      <c r="I14" s="114">
        <f t="shared" ref="I14" si="1">ROUND($L$1*G14*E14,0)</f>
        <v>15831064</v>
      </c>
      <c r="J14" s="115"/>
    </row>
    <row r="15" spans="1:13" ht="14.25" customHeight="1" x14ac:dyDescent="0.3">
      <c r="C15" s="118" t="s">
        <v>292</v>
      </c>
      <c r="D15" s="119"/>
      <c r="E15" s="325">
        <f>SUM(E6:E14)</f>
        <v>1488981.10592</v>
      </c>
      <c r="F15" s="325"/>
      <c r="G15" s="120"/>
      <c r="H15" s="121"/>
      <c r="I15" s="122">
        <f>SUM(I6:I14)</f>
        <v>137568289</v>
      </c>
      <c r="J15" s="115"/>
    </row>
    <row r="16" spans="1:13" ht="14.25" customHeight="1" x14ac:dyDescent="0.3">
      <c r="C16" s="123"/>
      <c r="D16" s="123"/>
      <c r="E16" s="124"/>
      <c r="F16" s="124"/>
      <c r="G16" s="124"/>
      <c r="H16" s="125"/>
      <c r="I16" s="126"/>
      <c r="J16" s="115"/>
    </row>
    <row r="17" spans="1:10" ht="39.6" x14ac:dyDescent="0.3">
      <c r="C17" s="127" t="s">
        <v>293</v>
      </c>
      <c r="D17" s="104" t="s">
        <v>294</v>
      </c>
      <c r="E17" s="128" t="s">
        <v>295</v>
      </c>
      <c r="F17" s="128" t="s">
        <v>296</v>
      </c>
      <c r="G17" s="128" t="s">
        <v>297</v>
      </c>
      <c r="H17" s="128" t="s">
        <v>298</v>
      </c>
      <c r="I17" s="104" t="s">
        <v>299</v>
      </c>
    </row>
    <row r="18" spans="1:10" ht="14.25" customHeight="1" x14ac:dyDescent="0.3">
      <c r="A18" s="326" t="s">
        <v>300</v>
      </c>
      <c r="C18" s="129" t="s">
        <v>301</v>
      </c>
      <c r="D18" s="114">
        <v>7415424</v>
      </c>
      <c r="E18" s="130">
        <v>1.6019000000000001</v>
      </c>
      <c r="F18" s="131">
        <v>0.3</v>
      </c>
      <c r="G18" s="117">
        <v>1</v>
      </c>
      <c r="H18" s="132">
        <v>6</v>
      </c>
      <c r="I18" s="114">
        <f t="shared" ref="I18:I28" si="2">IFERROR(ROUND(E18*D18*G18*F18*H18,0),"")</f>
        <v>21381782</v>
      </c>
    </row>
    <row r="19" spans="1:10" ht="14.25" customHeight="1" x14ac:dyDescent="0.3">
      <c r="A19" s="326"/>
      <c r="C19" s="112" t="s">
        <v>302</v>
      </c>
      <c r="D19" s="114">
        <v>5372002</v>
      </c>
      <c r="E19" s="130">
        <v>1.6019000000000001</v>
      </c>
      <c r="F19" s="131">
        <v>1</v>
      </c>
      <c r="G19" s="117">
        <v>1</v>
      </c>
      <c r="H19" s="132">
        <v>6</v>
      </c>
      <c r="I19" s="114">
        <f t="shared" si="2"/>
        <v>51632460</v>
      </c>
    </row>
    <row r="20" spans="1:10" ht="14.25" customHeight="1" x14ac:dyDescent="0.3">
      <c r="A20" s="326"/>
      <c r="C20" s="112" t="s">
        <v>303</v>
      </c>
      <c r="D20" s="114">
        <v>4500046</v>
      </c>
      <c r="E20" s="130">
        <v>1.6019000000000001</v>
      </c>
      <c r="F20" s="131">
        <v>0.3</v>
      </c>
      <c r="G20" s="117">
        <v>1</v>
      </c>
      <c r="H20" s="132">
        <v>6</v>
      </c>
      <c r="I20" s="114">
        <f t="shared" si="2"/>
        <v>12975523</v>
      </c>
    </row>
    <row r="21" spans="1:10" ht="14.25" customHeight="1" x14ac:dyDescent="0.3">
      <c r="A21" s="326"/>
      <c r="C21" s="129" t="s">
        <v>304</v>
      </c>
      <c r="D21" s="114">
        <v>4500046</v>
      </c>
      <c r="E21" s="130">
        <v>1.6019000000000001</v>
      </c>
      <c r="F21" s="131">
        <v>0.2</v>
      </c>
      <c r="G21" s="117">
        <v>1</v>
      </c>
      <c r="H21" s="132">
        <v>2</v>
      </c>
      <c r="I21" s="114">
        <f t="shared" si="2"/>
        <v>2883449</v>
      </c>
    </row>
    <row r="22" spans="1:10" ht="14.25" customHeight="1" x14ac:dyDescent="0.3">
      <c r="A22" s="326"/>
      <c r="C22" s="129" t="s">
        <v>305</v>
      </c>
      <c r="D22" s="114">
        <v>4500046</v>
      </c>
      <c r="E22" s="130">
        <v>1.6019000000000001</v>
      </c>
      <c r="F22" s="131">
        <v>0.2</v>
      </c>
      <c r="G22" s="117">
        <v>1</v>
      </c>
      <c r="H22" s="132">
        <v>3</v>
      </c>
      <c r="I22" s="114">
        <f t="shared" si="2"/>
        <v>4325174</v>
      </c>
    </row>
    <row r="23" spans="1:10" ht="14.25" customHeight="1" x14ac:dyDescent="0.3">
      <c r="A23" s="326"/>
      <c r="C23" s="112" t="s">
        <v>306</v>
      </c>
      <c r="D23" s="114">
        <v>4500046</v>
      </c>
      <c r="E23" s="130">
        <v>1.6019000000000001</v>
      </c>
      <c r="F23" s="131">
        <v>0.15</v>
      </c>
      <c r="G23" s="117">
        <v>1</v>
      </c>
      <c r="H23" s="132">
        <v>3</v>
      </c>
      <c r="I23" s="114">
        <f t="shared" si="2"/>
        <v>3243881</v>
      </c>
    </row>
    <row r="24" spans="1:10" ht="14.25" customHeight="1" x14ac:dyDescent="0.3">
      <c r="A24" s="326"/>
      <c r="C24" s="112" t="s">
        <v>307</v>
      </c>
      <c r="D24" s="114">
        <v>4500046</v>
      </c>
      <c r="E24" s="130">
        <v>1.6019000000000001</v>
      </c>
      <c r="F24" s="131">
        <v>0.15</v>
      </c>
      <c r="G24" s="117">
        <v>1</v>
      </c>
      <c r="H24" s="132">
        <v>3</v>
      </c>
      <c r="I24" s="114">
        <f t="shared" si="2"/>
        <v>3243881</v>
      </c>
    </row>
    <row r="25" spans="1:10" ht="14.25" customHeight="1" x14ac:dyDescent="0.3">
      <c r="A25" s="326"/>
      <c r="C25" s="112" t="s">
        <v>308</v>
      </c>
      <c r="D25" s="114">
        <v>4500046</v>
      </c>
      <c r="E25" s="130">
        <v>1.6019000000000001</v>
      </c>
      <c r="F25" s="131">
        <v>0.5</v>
      </c>
      <c r="G25" s="117">
        <v>1</v>
      </c>
      <c r="H25" s="132">
        <v>6</v>
      </c>
      <c r="I25" s="114">
        <f t="shared" si="2"/>
        <v>21625871</v>
      </c>
    </row>
    <row r="26" spans="1:10" ht="14.25" customHeight="1" x14ac:dyDescent="0.3">
      <c r="A26" s="326"/>
      <c r="C26" s="112"/>
      <c r="D26" s="114"/>
      <c r="E26" s="130"/>
      <c r="F26" s="131"/>
      <c r="G26" s="117"/>
      <c r="H26" s="132"/>
      <c r="I26" s="114">
        <f t="shared" si="2"/>
        <v>0</v>
      </c>
    </row>
    <row r="27" spans="1:10" ht="14.25" customHeight="1" x14ac:dyDescent="0.3">
      <c r="A27" s="326"/>
      <c r="C27" s="112"/>
      <c r="D27" s="114"/>
      <c r="E27" s="133"/>
      <c r="F27" s="131"/>
      <c r="G27" s="117"/>
      <c r="H27" s="132"/>
      <c r="I27" s="114">
        <f t="shared" si="2"/>
        <v>0</v>
      </c>
    </row>
    <row r="28" spans="1:10" ht="14.25" customHeight="1" x14ac:dyDescent="0.3">
      <c r="A28" s="326"/>
      <c r="C28" s="112"/>
      <c r="D28" s="114"/>
      <c r="E28" s="133"/>
      <c r="F28" s="131"/>
      <c r="G28" s="117"/>
      <c r="H28" s="132"/>
      <c r="I28" s="114">
        <f t="shared" si="2"/>
        <v>0</v>
      </c>
    </row>
    <row r="29" spans="1:10" ht="14.25" customHeight="1" x14ac:dyDescent="0.3">
      <c r="C29" s="134" t="s">
        <v>309</v>
      </c>
      <c r="D29" s="135"/>
      <c r="E29" s="120"/>
      <c r="F29" s="120"/>
      <c r="G29" s="120"/>
      <c r="H29" s="136"/>
      <c r="I29" s="137">
        <f>SUM(I18:I28)</f>
        <v>121312021</v>
      </c>
      <c r="J29" s="138"/>
    </row>
    <row r="30" spans="1:10" ht="14.25" customHeight="1" x14ac:dyDescent="0.3">
      <c r="C30" s="139"/>
      <c r="D30" s="123"/>
      <c r="E30" s="124"/>
      <c r="F30" s="124"/>
      <c r="G30" s="124"/>
      <c r="H30" s="124"/>
      <c r="I30" s="140"/>
    </row>
    <row r="31" spans="1:10" ht="14.25" customHeight="1" x14ac:dyDescent="0.3">
      <c r="C31" s="127" t="s">
        <v>310</v>
      </c>
      <c r="D31" s="327" t="s">
        <v>311</v>
      </c>
      <c r="E31" s="328"/>
      <c r="F31" s="329" t="s">
        <v>11</v>
      </c>
      <c r="G31" s="330"/>
      <c r="H31" s="141" t="s">
        <v>294</v>
      </c>
      <c r="I31" s="141" t="s">
        <v>299</v>
      </c>
    </row>
    <row r="32" spans="1:10" ht="14.25" customHeight="1" x14ac:dyDescent="0.3">
      <c r="A32" s="331" t="s">
        <v>312</v>
      </c>
      <c r="C32" s="142" t="s">
        <v>313</v>
      </c>
      <c r="D32" s="322" t="s">
        <v>314</v>
      </c>
      <c r="E32" s="322"/>
      <c r="F32" s="323">
        <v>6</v>
      </c>
      <c r="G32" s="324"/>
      <c r="H32" s="114">
        <v>12680.784206349301</v>
      </c>
      <c r="I32" s="143">
        <f>ROUND(H32*F32,0)</f>
        <v>76085</v>
      </c>
      <c r="J32" s="144"/>
    </row>
    <row r="33" spans="1:10" ht="14.25" customHeight="1" x14ac:dyDescent="0.3">
      <c r="A33" s="331"/>
      <c r="C33" s="142" t="s">
        <v>315</v>
      </c>
      <c r="D33" s="322" t="s">
        <v>314</v>
      </c>
      <c r="E33" s="322"/>
      <c r="F33" s="323">
        <v>6</v>
      </c>
      <c r="G33" s="324"/>
      <c r="H33" s="114">
        <v>339150</v>
      </c>
      <c r="I33" s="143">
        <f t="shared" ref="I33:I41" si="3">ROUND(H33*F33,0)</f>
        <v>2034900</v>
      </c>
    </row>
    <row r="34" spans="1:10" ht="14.25" customHeight="1" x14ac:dyDescent="0.3">
      <c r="A34" s="331"/>
      <c r="C34" s="142" t="s">
        <v>316</v>
      </c>
      <c r="D34" s="322" t="s">
        <v>314</v>
      </c>
      <c r="E34" s="322"/>
      <c r="F34" s="323">
        <v>6</v>
      </c>
      <c r="G34" s="324"/>
      <c r="H34" s="114">
        <v>82699.588033332999</v>
      </c>
      <c r="I34" s="143">
        <f>ROUND(H34*F34,0)</f>
        <v>496198</v>
      </c>
    </row>
    <row r="35" spans="1:10" ht="14.25" customHeight="1" x14ac:dyDescent="0.3">
      <c r="A35" s="331"/>
      <c r="C35" s="142" t="s">
        <v>317</v>
      </c>
      <c r="D35" s="322" t="s">
        <v>283</v>
      </c>
      <c r="E35" s="322"/>
      <c r="F35" s="323">
        <v>1</v>
      </c>
      <c r="G35" s="324"/>
      <c r="H35" s="114">
        <v>608687</v>
      </c>
      <c r="I35" s="143">
        <f t="shared" si="3"/>
        <v>608687</v>
      </c>
    </row>
    <row r="36" spans="1:10" ht="24.75" customHeight="1" x14ac:dyDescent="0.3">
      <c r="A36" s="331"/>
      <c r="C36" s="145" t="s">
        <v>318</v>
      </c>
      <c r="D36" s="322" t="s">
        <v>283</v>
      </c>
      <c r="E36" s="322"/>
      <c r="F36" s="323">
        <v>1</v>
      </c>
      <c r="G36" s="324"/>
      <c r="H36" s="114">
        <v>1351000</v>
      </c>
      <c r="I36" s="143">
        <f t="shared" si="3"/>
        <v>1351000</v>
      </c>
      <c r="J36" s="138"/>
    </row>
    <row r="37" spans="1:10" ht="43.2" x14ac:dyDescent="0.3">
      <c r="A37" s="331"/>
      <c r="C37" s="146" t="s">
        <v>319</v>
      </c>
      <c r="D37" s="322" t="s">
        <v>283</v>
      </c>
      <c r="E37" s="322"/>
      <c r="F37" s="323">
        <v>1</v>
      </c>
      <c r="G37" s="324"/>
      <c r="H37" s="114">
        <v>4267205</v>
      </c>
      <c r="I37" s="143">
        <f t="shared" si="3"/>
        <v>4267205</v>
      </c>
    </row>
    <row r="38" spans="1:10" ht="27" customHeight="1" x14ac:dyDescent="0.3">
      <c r="A38" s="331"/>
      <c r="C38" s="112" t="s">
        <v>320</v>
      </c>
      <c r="D38" s="322" t="s">
        <v>283</v>
      </c>
      <c r="E38" s="322"/>
      <c r="F38" s="323">
        <v>1</v>
      </c>
      <c r="G38" s="324"/>
      <c r="H38" s="114">
        <f>4672000-24400</f>
        <v>4647600</v>
      </c>
      <c r="I38" s="143">
        <f t="shared" si="3"/>
        <v>4647600</v>
      </c>
      <c r="J38" s="147"/>
    </row>
    <row r="39" spans="1:10" ht="14.25" customHeight="1" x14ac:dyDescent="0.3">
      <c r="A39" s="331"/>
      <c r="C39" s="112" t="s">
        <v>321</v>
      </c>
      <c r="D39" s="322" t="s">
        <v>314</v>
      </c>
      <c r="E39" s="322"/>
      <c r="F39" s="323">
        <v>6</v>
      </c>
      <c r="G39" s="324"/>
      <c r="H39" s="114">
        <f>120000+50000+200000</f>
        <v>370000</v>
      </c>
      <c r="I39" s="143">
        <f t="shared" si="3"/>
        <v>2220000</v>
      </c>
    </row>
    <row r="40" spans="1:10" ht="27" customHeight="1" x14ac:dyDescent="0.3">
      <c r="A40" s="331"/>
      <c r="C40" s="146" t="s">
        <v>322</v>
      </c>
      <c r="D40" s="322" t="s">
        <v>283</v>
      </c>
      <c r="E40" s="322"/>
      <c r="F40" s="323">
        <v>1</v>
      </c>
      <c r="G40" s="324"/>
      <c r="H40" s="114">
        <v>569340.941886905</v>
      </c>
      <c r="I40" s="143">
        <f t="shared" si="3"/>
        <v>569341</v>
      </c>
      <c r="J40" s="138"/>
    </row>
    <row r="41" spans="1:10" ht="29.25" customHeight="1" x14ac:dyDescent="0.3">
      <c r="A41" s="331"/>
      <c r="C41" s="112" t="s">
        <v>323</v>
      </c>
      <c r="D41" s="322" t="s">
        <v>283</v>
      </c>
      <c r="E41" s="322"/>
      <c r="F41" s="323">
        <v>1</v>
      </c>
      <c r="G41" s="324"/>
      <c r="H41" s="114">
        <v>1843657</v>
      </c>
      <c r="I41" s="143">
        <f t="shared" si="3"/>
        <v>1843657</v>
      </c>
      <c r="J41" s="138"/>
    </row>
    <row r="42" spans="1:10" ht="14.25" customHeight="1" x14ac:dyDescent="0.3">
      <c r="C42" s="134" t="s">
        <v>310</v>
      </c>
      <c r="D42" s="135"/>
      <c r="E42" s="120"/>
      <c r="F42" s="120"/>
      <c r="G42" s="120"/>
      <c r="H42" s="136"/>
      <c r="I42" s="137">
        <f>SUM(I32:I41)</f>
        <v>18114673</v>
      </c>
    </row>
    <row r="43" spans="1:10" ht="8.25" customHeight="1" x14ac:dyDescent="0.3">
      <c r="B43" s="102"/>
    </row>
    <row r="44" spans="1:10" ht="18" customHeight="1" x14ac:dyDescent="0.3">
      <c r="C44" s="118" t="s">
        <v>324</v>
      </c>
      <c r="D44" s="119"/>
      <c r="E44" s="148" t="s">
        <v>325</v>
      </c>
      <c r="F44" s="149"/>
      <c r="G44" s="149"/>
      <c r="H44" s="150">
        <f>+I44/I46</f>
        <v>0.29595213990702962</v>
      </c>
      <c r="I44" s="151">
        <f>+I42+I29+I15</f>
        <v>276994983</v>
      </c>
    </row>
    <row r="45" spans="1:10" ht="12" customHeight="1" x14ac:dyDescent="0.3">
      <c r="B45" s="102"/>
    </row>
    <row r="46" spans="1:10" ht="19.5" customHeight="1" x14ac:dyDescent="0.3">
      <c r="C46" s="118" t="s">
        <v>326</v>
      </c>
      <c r="D46" s="119"/>
      <c r="E46" s="149"/>
      <c r="F46" s="149"/>
      <c r="G46" s="149"/>
      <c r="H46" s="152"/>
      <c r="I46" s="151">
        <v>935945194</v>
      </c>
      <c r="J46" s="153"/>
    </row>
    <row r="47" spans="1:10" ht="6" customHeight="1" x14ac:dyDescent="0.3">
      <c r="B47" s="102"/>
    </row>
    <row r="48" spans="1:10" ht="14.25" customHeight="1" x14ac:dyDescent="0.3">
      <c r="C48" s="154" t="s">
        <v>265</v>
      </c>
      <c r="D48" s="155"/>
      <c r="E48" s="156"/>
      <c r="F48" s="156"/>
      <c r="G48" s="156"/>
      <c r="H48" s="157">
        <f>ROUND(+H44,4)</f>
        <v>0.29599999999999999</v>
      </c>
      <c r="I48" s="143">
        <f>ROUND(($I$46*H48),0)</f>
        <v>277039777</v>
      </c>
      <c r="J48" s="153"/>
    </row>
    <row r="49" spans="2:13" ht="14.25" customHeight="1" x14ac:dyDescent="0.3">
      <c r="C49" s="158" t="s">
        <v>267</v>
      </c>
      <c r="D49" s="159"/>
      <c r="E49" s="160"/>
      <c r="F49" s="160"/>
      <c r="G49" s="160"/>
      <c r="H49" s="161">
        <v>5.0000000000000001E-3</v>
      </c>
      <c r="I49" s="143">
        <f>ROUND(($I$46*H49),0)</f>
        <v>4679726</v>
      </c>
      <c r="J49" s="153"/>
      <c r="K49" s="162"/>
    </row>
    <row r="50" spans="2:13" ht="14.25" customHeight="1" x14ac:dyDescent="0.3">
      <c r="C50" s="158" t="s">
        <v>268</v>
      </c>
      <c r="D50" s="159"/>
      <c r="E50" s="160"/>
      <c r="F50" s="160"/>
      <c r="G50" s="160"/>
      <c r="H50" s="161">
        <v>0.05</v>
      </c>
      <c r="I50" s="143">
        <f>ROUND(($I$46*H50),0)</f>
        <v>46797260</v>
      </c>
      <c r="J50" s="153"/>
      <c r="K50" s="162"/>
    </row>
    <row r="51" spans="2:13" ht="14.25" customHeight="1" x14ac:dyDescent="0.3">
      <c r="C51" s="158" t="s">
        <v>269</v>
      </c>
      <c r="D51" s="159"/>
      <c r="E51" s="160"/>
      <c r="F51" s="160"/>
      <c r="G51" s="160"/>
      <c r="H51" s="163">
        <v>0.19</v>
      </c>
      <c r="I51" s="143">
        <f>ROUND(($I$50*H51),0)</f>
        <v>8891479</v>
      </c>
      <c r="J51" s="153"/>
      <c r="K51" s="162"/>
      <c r="L51" s="164"/>
    </row>
    <row r="52" spans="2:13" ht="14.25" customHeight="1" x14ac:dyDescent="0.3">
      <c r="C52" s="165" t="s">
        <v>275</v>
      </c>
      <c r="D52" s="166"/>
      <c r="E52" s="167"/>
      <c r="F52" s="167"/>
      <c r="G52" s="167"/>
      <c r="H52" s="168"/>
      <c r="I52" s="169">
        <f>ROUND(SUM(I48:I51),0)</f>
        <v>337408242</v>
      </c>
      <c r="J52" s="153"/>
    </row>
    <row r="53" spans="2:13" ht="5.25" customHeight="1" x14ac:dyDescent="0.3">
      <c r="B53" s="102"/>
    </row>
    <row r="54" spans="2:13" ht="14.25" customHeight="1" x14ac:dyDescent="0.3">
      <c r="C54" s="134" t="s">
        <v>327</v>
      </c>
      <c r="D54" s="135"/>
      <c r="E54" s="170"/>
      <c r="F54" s="170"/>
      <c r="G54" s="170"/>
      <c r="H54" s="171"/>
      <c r="I54" s="151">
        <f>ROUND(I46+I52,0)</f>
        <v>1273353436</v>
      </c>
      <c r="J54" s="172"/>
      <c r="K54" s="111"/>
    </row>
    <row r="55" spans="2:13" ht="14.25" customHeight="1" x14ac:dyDescent="0.3"/>
    <row r="58" spans="2:13" ht="15" customHeight="1" x14ac:dyDescent="0.3">
      <c r="I58" s="111">
        <v>1224971446</v>
      </c>
    </row>
    <row r="59" spans="2:13" ht="15" customHeight="1" x14ac:dyDescent="0.3">
      <c r="I59" s="173">
        <f>+I58-I54</f>
        <v>-48381990</v>
      </c>
      <c r="K59" s="173"/>
      <c r="L59" s="174"/>
      <c r="M59" s="175"/>
    </row>
    <row r="60" spans="2:13" ht="15" customHeight="1" x14ac:dyDescent="0.3">
      <c r="K60" s="173"/>
    </row>
  </sheetData>
  <sheetProtection algorithmName="SHA-512" hashValue="s84/kQbXkE+jJW4CmO1LnJIipVa8PZP4TG77Ke0MV+Dlk7tXV4BxHh5IfENSHqE3Ksbdz/yiLTxIRUQVpPICIQ==" saltValue="6dpcEiGpQzN8GVsVV9NiQQ==" spinCount="100000" sheet="1" objects="1" scenarios="1"/>
  <mergeCells count="48">
    <mergeCell ref="D38:E38"/>
    <mergeCell ref="F38:G38"/>
    <mergeCell ref="D39:E39"/>
    <mergeCell ref="F39:G39"/>
    <mergeCell ref="D40:E40"/>
    <mergeCell ref="F40:G40"/>
    <mergeCell ref="A18:A28"/>
    <mergeCell ref="D31:E31"/>
    <mergeCell ref="F31:G31"/>
    <mergeCell ref="A32:A41"/>
    <mergeCell ref="D32:E32"/>
    <mergeCell ref="F32:G32"/>
    <mergeCell ref="D33:E33"/>
    <mergeCell ref="F33:G33"/>
    <mergeCell ref="D34:E34"/>
    <mergeCell ref="F34:G34"/>
    <mergeCell ref="D35:E35"/>
    <mergeCell ref="F35:G35"/>
    <mergeCell ref="D36:E36"/>
    <mergeCell ref="F36:G36"/>
    <mergeCell ref="D41:E41"/>
    <mergeCell ref="F41:G41"/>
    <mergeCell ref="E14:F14"/>
    <mergeCell ref="G14:H14"/>
    <mergeCell ref="D37:E37"/>
    <mergeCell ref="F37:G37"/>
    <mergeCell ref="E15:F15"/>
    <mergeCell ref="C1:I2"/>
    <mergeCell ref="C3:I3"/>
    <mergeCell ref="E5:F5"/>
    <mergeCell ref="G5:H5"/>
    <mergeCell ref="G8:H8"/>
    <mergeCell ref="A6:A14"/>
    <mergeCell ref="E6:F6"/>
    <mergeCell ref="G6:H6"/>
    <mergeCell ref="E7:F7"/>
    <mergeCell ref="G7:H7"/>
    <mergeCell ref="E8:F8"/>
    <mergeCell ref="E11:F11"/>
    <mergeCell ref="G11:H11"/>
    <mergeCell ref="E9:F9"/>
    <mergeCell ref="G9:H9"/>
    <mergeCell ref="E10:F10"/>
    <mergeCell ref="G10:H10"/>
    <mergeCell ref="E12:F12"/>
    <mergeCell ref="G12:H12"/>
    <mergeCell ref="E13:F13"/>
    <mergeCell ref="G13:H13"/>
  </mergeCells>
  <hyperlinks>
    <hyperlink ref="A6:A14" location="'A1-Impuestos y Pólizas'!A1" display="Ver" xr:uid="{9A66810C-46A8-4C27-B398-C9CBAD207D2E}"/>
    <hyperlink ref="A18:A28" location="'A2-Personal'!A1" display="Ver" xr:uid="{0CB2AE04-023A-4F27-85F5-CF3B27A6A5C1}"/>
    <hyperlink ref="A32:A41" location="'A3-Costos G.'!A1" display="A3" xr:uid="{AC78D8CF-B5F4-4BBB-81E3-FE8FF847E9B1}"/>
    <hyperlink ref="C32" location="'A3-Costos G.'!A1" display="PAPELERÍA, FOTOCOPIAS Y EQUIPOS" xr:uid="{AF564317-A6EC-4C1B-8DFD-8E98F418ADE0}"/>
    <hyperlink ref="C33" location="'A3-Costos G.'!A22" display="EQUIPOS OFICINA (COMPUTADORES Y ESCANER)" xr:uid="{611673AA-E6C0-4E6C-B31A-3D6A9160A31E}"/>
    <hyperlink ref="C34" location="'A3-Costos G.'!A28" display="EQUIPOS DE COMUNICACIÓN" xr:uid="{99D14C9F-EAF0-4107-88A5-19F423496A77}"/>
    <hyperlink ref="C35" location="'A3-Costos G.'!A34" display="SOFTWARE LICENCIADO" xr:uid="{F4111B19-1934-4CAA-98B8-EE67A7405021}"/>
    <hyperlink ref="C37" location="'A3-Costos G.'!A40" display="IMPLEMENTACIÓN PLAN AMBIENTAL Y SEGURIDAD INDUSTRIAL - Elementos de seguridad Industrial, incluye trabajo de alturas, señalizacion y proteccion de zonas de trabajo" xr:uid="{9D197CE5-E9C4-4A63-8340-9C91D2955C7C}"/>
    <hyperlink ref="C40" location="'A3-Costos G.'!A54" display="IMPLEMENTACIÓN PLAN DE MANEJO DE TRANSITO - Elementos de seguridad Industrial, señalizacion y proteccion de zonas de trabajo" xr:uid="{EAF1F5EE-45D9-4018-A6DE-FEDDA71652D7}"/>
  </hyperlinks>
  <pageMargins left="0.74803149606299213" right="0.74803149606299213" top="0.98425196850393704" bottom="0.98425196850393704" header="0" footer="0"/>
  <pageSetup paperSize="9" scale="5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EBAC2-4EFF-4041-BC86-07D7B57485CC}">
  <sheetPr codeName="Hoja44">
    <pageSetUpPr fitToPage="1"/>
  </sheetPr>
  <dimension ref="A1:L291"/>
  <sheetViews>
    <sheetView showGridLines="0" tabSelected="1" view="pageBreakPreview" topLeftCell="D268" zoomScaleNormal="100" zoomScaleSheetLayoutView="100" workbookViewId="0">
      <selection activeCell="H273" sqref="H273"/>
    </sheetView>
  </sheetViews>
  <sheetFormatPr baseColWidth="10" defaultColWidth="11.5546875" defaultRowHeight="13.8" x14ac:dyDescent="0.3"/>
  <cols>
    <col min="1" max="1" width="2.6640625" style="10" customWidth="1"/>
    <col min="2" max="2" width="21.33203125" style="9" bestFit="1" customWidth="1"/>
    <col min="3" max="3" width="82.6640625" style="10" customWidth="1"/>
    <col min="4" max="4" width="12.33203125" style="10" customWidth="1"/>
    <col min="5" max="5" width="15.5546875" style="10" customWidth="1"/>
    <col min="6" max="6" width="22.33203125" style="10" customWidth="1"/>
    <col min="7" max="7" width="20.88671875" style="13" customWidth="1"/>
    <col min="8" max="8" width="34.5546875" style="51" customWidth="1"/>
    <col min="9" max="9" width="2.6640625" style="10" customWidth="1"/>
    <col min="10" max="10" width="16.33203125" style="9" bestFit="1" customWidth="1"/>
    <col min="11" max="11" width="19.44140625" style="10" customWidth="1"/>
    <col min="12" max="16384" width="11.5546875" style="10"/>
  </cols>
  <sheetData>
    <row r="1" spans="1:12" ht="15" thickTop="1" thickBot="1" x14ac:dyDescent="0.35">
      <c r="A1" s="1"/>
      <c r="B1" s="2"/>
      <c r="C1" s="3"/>
      <c r="D1" s="4"/>
      <c r="E1" s="5"/>
      <c r="F1" s="5"/>
      <c r="G1" s="6"/>
      <c r="H1" s="7"/>
      <c r="I1" s="8"/>
    </row>
    <row r="2" spans="1:12" ht="14.4" thickTop="1" x14ac:dyDescent="0.3">
      <c r="A2" s="11"/>
      <c r="B2" s="293" t="s">
        <v>0</v>
      </c>
      <c r="C2" s="294"/>
      <c r="D2" s="12"/>
      <c r="H2" s="14"/>
      <c r="I2" s="15"/>
    </row>
    <row r="3" spans="1:12" x14ac:dyDescent="0.3">
      <c r="A3" s="11"/>
      <c r="B3" s="16" t="s">
        <v>1</v>
      </c>
      <c r="C3" s="17" t="s">
        <v>2</v>
      </c>
      <c r="D3" s="12"/>
      <c r="H3" s="14"/>
      <c r="I3" s="15"/>
    </row>
    <row r="4" spans="1:12" ht="14.4" thickBot="1" x14ac:dyDescent="0.35">
      <c r="A4" s="11"/>
      <c r="B4" s="18" t="s">
        <v>3</v>
      </c>
      <c r="C4" s="19">
        <v>1</v>
      </c>
      <c r="D4" s="20"/>
      <c r="H4" s="14"/>
      <c r="I4" s="15"/>
    </row>
    <row r="5" spans="1:12" ht="14.4" thickTop="1" x14ac:dyDescent="0.3">
      <c r="A5" s="11"/>
      <c r="B5" s="21"/>
      <c r="C5" s="22"/>
      <c r="D5" s="12"/>
      <c r="E5" s="23"/>
      <c r="F5" s="23"/>
      <c r="G5" s="24"/>
      <c r="H5" s="14"/>
      <c r="I5" s="15"/>
    </row>
    <row r="6" spans="1:12" x14ac:dyDescent="0.3">
      <c r="A6" s="11"/>
      <c r="B6" s="295" t="s">
        <v>345</v>
      </c>
      <c r="C6" s="295"/>
      <c r="D6" s="295"/>
      <c r="E6" s="295"/>
      <c r="F6" s="295"/>
      <c r="G6" s="295"/>
      <c r="H6" s="295"/>
      <c r="I6" s="15"/>
    </row>
    <row r="7" spans="1:12" ht="26.25" customHeight="1" x14ac:dyDescent="0.3">
      <c r="A7" s="11"/>
      <c r="B7" s="296" t="s">
        <v>328</v>
      </c>
      <c r="C7" s="296"/>
      <c r="D7" s="296"/>
      <c r="E7" s="296"/>
      <c r="F7" s="296"/>
      <c r="G7" s="296"/>
      <c r="H7" s="296"/>
      <c r="I7" s="15"/>
    </row>
    <row r="8" spans="1:12" ht="26.25" customHeight="1" x14ac:dyDescent="0.3">
      <c r="A8" s="11"/>
      <c r="B8" s="297" t="s">
        <v>5</v>
      </c>
      <c r="C8" s="297"/>
      <c r="D8" s="297"/>
      <c r="E8" s="297"/>
      <c r="F8" s="297"/>
      <c r="G8" s="297"/>
      <c r="H8" s="297"/>
      <c r="I8" s="15"/>
    </row>
    <row r="9" spans="1:12" x14ac:dyDescent="0.3">
      <c r="A9" s="11"/>
      <c r="B9" s="298"/>
      <c r="C9" s="298"/>
      <c r="D9" s="298"/>
      <c r="E9" s="298"/>
      <c r="F9" s="298"/>
      <c r="G9" s="298"/>
      <c r="H9" s="298"/>
      <c r="I9" s="15"/>
    </row>
    <row r="10" spans="1:12" x14ac:dyDescent="0.3">
      <c r="A10" s="25"/>
      <c r="B10" s="26" t="s">
        <v>6</v>
      </c>
      <c r="C10" s="26" t="s">
        <v>7</v>
      </c>
      <c r="D10" s="27"/>
      <c r="E10" s="28"/>
      <c r="F10" s="28"/>
      <c r="G10" s="29"/>
      <c r="H10" s="30"/>
      <c r="I10" s="15"/>
    </row>
    <row r="11" spans="1:12" ht="27.6" x14ac:dyDescent="0.3">
      <c r="A11" s="11"/>
      <c r="B11" s="176" t="s">
        <v>8</v>
      </c>
      <c r="C11" s="177" t="s">
        <v>9</v>
      </c>
      <c r="D11" s="178" t="s">
        <v>10</v>
      </c>
      <c r="E11" s="179" t="s">
        <v>11</v>
      </c>
      <c r="F11" s="179" t="s">
        <v>329</v>
      </c>
      <c r="G11" s="180" t="s">
        <v>330</v>
      </c>
      <c r="H11" s="181" t="s">
        <v>13</v>
      </c>
      <c r="I11" s="15"/>
    </row>
    <row r="12" spans="1:12" x14ac:dyDescent="0.3">
      <c r="A12" s="11"/>
      <c r="B12" s="182" t="s">
        <v>14</v>
      </c>
      <c r="C12" s="183" t="s">
        <v>346</v>
      </c>
      <c r="D12" s="184"/>
      <c r="E12" s="185"/>
      <c r="F12" s="185" t="s">
        <v>331</v>
      </c>
      <c r="G12" s="186" t="s">
        <v>331</v>
      </c>
      <c r="H12" s="187" t="str">
        <f t="shared" ref="H12:H16" si="0">IFERROR(ROUND((E12*G12),0),"")</f>
        <v/>
      </c>
      <c r="I12" s="15"/>
      <c r="K12" s="43"/>
      <c r="L12" s="43"/>
    </row>
    <row r="13" spans="1:12" ht="41.4" x14ac:dyDescent="0.3">
      <c r="A13" s="11"/>
      <c r="B13" s="188" t="s">
        <v>15</v>
      </c>
      <c r="C13" s="189" t="s">
        <v>347</v>
      </c>
      <c r="D13" s="190" t="s">
        <v>332</v>
      </c>
      <c r="E13" s="191">
        <f>ROUND((31.59+19.32+30.97+19.33),2)</f>
        <v>101.21</v>
      </c>
      <c r="F13" s="192">
        <v>19299</v>
      </c>
      <c r="G13" s="193">
        <v>17614.2</v>
      </c>
      <c r="H13" s="194">
        <f>IFERROR(ROUND((E13*G13),0),"")</f>
        <v>1782733</v>
      </c>
      <c r="I13" s="15"/>
      <c r="K13" s="43"/>
      <c r="L13" s="43"/>
    </row>
    <row r="14" spans="1:12" x14ac:dyDescent="0.3">
      <c r="A14" s="11"/>
      <c r="B14" s="195" t="s">
        <v>16</v>
      </c>
      <c r="C14" s="196" t="s">
        <v>348</v>
      </c>
      <c r="D14" s="184" t="s">
        <v>349</v>
      </c>
      <c r="E14" s="185">
        <v>322</v>
      </c>
      <c r="F14" s="197">
        <v>3854</v>
      </c>
      <c r="G14" s="198">
        <v>3517.55</v>
      </c>
      <c r="H14" s="187">
        <f t="shared" si="0"/>
        <v>1132651</v>
      </c>
      <c r="I14" s="15"/>
      <c r="K14" s="43"/>
    </row>
    <row r="15" spans="1:12" x14ac:dyDescent="0.3">
      <c r="A15" s="11"/>
      <c r="B15" s="188" t="s">
        <v>17</v>
      </c>
      <c r="C15" s="189" t="s">
        <v>350</v>
      </c>
      <c r="D15" s="190" t="s">
        <v>351</v>
      </c>
      <c r="E15" s="191">
        <v>1</v>
      </c>
      <c r="F15" s="192">
        <v>535959</v>
      </c>
      <c r="G15" s="193">
        <v>489169.78</v>
      </c>
      <c r="H15" s="194">
        <f t="shared" si="0"/>
        <v>489170</v>
      </c>
      <c r="I15" s="15"/>
      <c r="K15" s="43"/>
    </row>
    <row r="16" spans="1:12" ht="14.4" thickBot="1" x14ac:dyDescent="0.35">
      <c r="A16" s="11"/>
      <c r="B16" s="195" t="s">
        <v>18</v>
      </c>
      <c r="C16" s="196" t="s">
        <v>352</v>
      </c>
      <c r="D16" s="184" t="s">
        <v>351</v>
      </c>
      <c r="E16" s="185">
        <v>1</v>
      </c>
      <c r="F16" s="197">
        <v>1747136</v>
      </c>
      <c r="G16" s="198">
        <v>1594611.03</v>
      </c>
      <c r="H16" s="187">
        <f t="shared" si="0"/>
        <v>1594611</v>
      </c>
      <c r="I16" s="15"/>
      <c r="K16" s="43"/>
    </row>
    <row r="17" spans="1:11" ht="14.4" thickTop="1" x14ac:dyDescent="0.3">
      <c r="A17" s="11"/>
      <c r="B17" s="199" t="s">
        <v>19</v>
      </c>
      <c r="C17" s="200"/>
      <c r="D17" s="201">
        <f>SUBTOTAL(103,'FORMULARIO 1'!$D$12:$D$16)</f>
        <v>4</v>
      </c>
      <c r="E17" s="202"/>
      <c r="F17" s="203"/>
      <c r="G17" s="204"/>
      <c r="H17" s="205">
        <f>SUBTOTAL(109,'FORMULARIO 1'!$H$12:$H$16)</f>
        <v>4999165</v>
      </c>
      <c r="I17" s="15"/>
      <c r="K17" s="43"/>
    </row>
    <row r="18" spans="1:11" ht="27.6" x14ac:dyDescent="0.3">
      <c r="A18" s="11"/>
      <c r="B18" s="206" t="s">
        <v>20</v>
      </c>
      <c r="C18" s="177" t="s">
        <v>21</v>
      </c>
      <c r="D18" s="178" t="s">
        <v>10</v>
      </c>
      <c r="E18" s="179" t="s">
        <v>11</v>
      </c>
      <c r="F18" s="180" t="s">
        <v>329</v>
      </c>
      <c r="G18" s="207" t="s">
        <v>330</v>
      </c>
      <c r="H18" s="208" t="s">
        <v>13</v>
      </c>
      <c r="I18" s="15"/>
      <c r="K18" s="43"/>
    </row>
    <row r="19" spans="1:11" ht="55.2" x14ac:dyDescent="0.3">
      <c r="A19" s="11"/>
      <c r="B19" s="209" t="s">
        <v>22</v>
      </c>
      <c r="C19" s="196" t="s">
        <v>353</v>
      </c>
      <c r="D19" s="184" t="s">
        <v>354</v>
      </c>
      <c r="E19" s="185">
        <f>ROUND((1.1*525.7),2)</f>
        <v>578.27</v>
      </c>
      <c r="F19" s="197">
        <v>48548</v>
      </c>
      <c r="G19" s="198">
        <v>44309.760000000002</v>
      </c>
      <c r="H19" s="210">
        <f t="shared" ref="H19:H20" si="1">IFERROR(ROUND($E19*$G19,0),"")</f>
        <v>25623005</v>
      </c>
      <c r="I19" s="15"/>
      <c r="K19" s="43"/>
    </row>
    <row r="20" spans="1:11" ht="27.6" x14ac:dyDescent="0.3">
      <c r="A20" s="11"/>
      <c r="B20" s="211" t="s">
        <v>23</v>
      </c>
      <c r="C20" s="189" t="s">
        <v>355</v>
      </c>
      <c r="D20" s="190" t="s">
        <v>354</v>
      </c>
      <c r="E20" s="191">
        <f>ROUND((1.1*326.24),2)</f>
        <v>358.86</v>
      </c>
      <c r="F20" s="192">
        <v>27288</v>
      </c>
      <c r="G20" s="193">
        <v>24905.759999999998</v>
      </c>
      <c r="H20" s="212">
        <f t="shared" si="1"/>
        <v>8937681</v>
      </c>
      <c r="I20" s="15"/>
      <c r="K20" s="43"/>
    </row>
    <row r="21" spans="1:11" ht="27.6" x14ac:dyDescent="0.3">
      <c r="A21" s="11"/>
      <c r="B21" s="209" t="s">
        <v>24</v>
      </c>
      <c r="C21" s="196" t="s">
        <v>356</v>
      </c>
      <c r="D21" s="184" t="s">
        <v>354</v>
      </c>
      <c r="E21" s="185">
        <v>30.6</v>
      </c>
      <c r="F21" s="197">
        <v>233993</v>
      </c>
      <c r="G21" s="198">
        <v>213565.41</v>
      </c>
      <c r="H21" s="210">
        <f>IFERROR(ROUND($E21*$G21,0),"")</f>
        <v>6535102</v>
      </c>
      <c r="I21" s="15"/>
      <c r="K21" s="43"/>
    </row>
    <row r="22" spans="1:11" ht="28.2" thickBot="1" x14ac:dyDescent="0.35">
      <c r="A22" s="11"/>
      <c r="B22" s="211" t="s">
        <v>25</v>
      </c>
      <c r="C22" s="189" t="s">
        <v>357</v>
      </c>
      <c r="D22" s="190" t="s">
        <v>354</v>
      </c>
      <c r="E22" s="191">
        <f>ROUND((12.87*(1.5/2)),2)</f>
        <v>9.65</v>
      </c>
      <c r="F22" s="192">
        <v>78977</v>
      </c>
      <c r="G22" s="193">
        <v>72082.31</v>
      </c>
      <c r="H22" s="212">
        <f>IFERROR(ROUND($E22*$G22,0),"")</f>
        <v>695594</v>
      </c>
      <c r="I22" s="15"/>
      <c r="K22" s="43"/>
    </row>
    <row r="23" spans="1:11" ht="14.4" thickTop="1" x14ac:dyDescent="0.3">
      <c r="A23" s="11"/>
      <c r="B23" s="213" t="s">
        <v>19</v>
      </c>
      <c r="C23" s="200"/>
      <c r="D23" s="202"/>
      <c r="E23" s="202"/>
      <c r="F23" s="203"/>
      <c r="G23" s="204"/>
      <c r="H23" s="214">
        <f>SUBTOTAL(109,'FORMULARIO 1'!$H$19:$H$22)</f>
        <v>41791382</v>
      </c>
      <c r="I23" s="15"/>
      <c r="K23" s="43"/>
    </row>
    <row r="24" spans="1:11" ht="27.6" x14ac:dyDescent="0.3">
      <c r="A24" s="11"/>
      <c r="B24" s="206" t="s">
        <v>26</v>
      </c>
      <c r="C24" s="177" t="s">
        <v>27</v>
      </c>
      <c r="D24" s="178" t="s">
        <v>10</v>
      </c>
      <c r="E24" s="179" t="s">
        <v>11</v>
      </c>
      <c r="F24" s="180" t="s">
        <v>329</v>
      </c>
      <c r="G24" s="207" t="s">
        <v>330</v>
      </c>
      <c r="H24" s="208" t="s">
        <v>13</v>
      </c>
      <c r="I24" s="15"/>
      <c r="K24" s="43"/>
    </row>
    <row r="25" spans="1:11" ht="27.6" x14ac:dyDescent="0.3">
      <c r="A25" s="11"/>
      <c r="B25" s="215" t="s">
        <v>28</v>
      </c>
      <c r="C25" s="196" t="s">
        <v>358</v>
      </c>
      <c r="D25" s="184" t="s">
        <v>349</v>
      </c>
      <c r="E25" s="185">
        <f>ROUND(93,2)</f>
        <v>93</v>
      </c>
      <c r="F25" s="197">
        <v>34659</v>
      </c>
      <c r="G25" s="198">
        <v>31633.27</v>
      </c>
      <c r="H25" s="210">
        <f t="shared" ref="H25:H28" si="2">IFERROR(ROUND($E25*$G25,0),"")</f>
        <v>2941894</v>
      </c>
      <c r="I25" s="15"/>
      <c r="K25" s="43"/>
    </row>
    <row r="26" spans="1:11" ht="41.4" x14ac:dyDescent="0.3">
      <c r="A26" s="11"/>
      <c r="B26" s="216" t="s">
        <v>29</v>
      </c>
      <c r="C26" s="189" t="s">
        <v>359</v>
      </c>
      <c r="D26" s="190" t="s">
        <v>354</v>
      </c>
      <c r="E26" s="191">
        <f>ROUND(48.15,2)</f>
        <v>48.15</v>
      </c>
      <c r="F26" s="192">
        <v>368768</v>
      </c>
      <c r="G26" s="193">
        <v>336574.55</v>
      </c>
      <c r="H26" s="212">
        <f>IFERROR(ROUND($E26*$G26,0),"")</f>
        <v>16206065</v>
      </c>
      <c r="I26" s="15"/>
      <c r="K26" s="43"/>
    </row>
    <row r="27" spans="1:11" ht="41.4" x14ac:dyDescent="0.3">
      <c r="A27" s="11"/>
      <c r="B27" s="215" t="s">
        <v>30</v>
      </c>
      <c r="C27" s="196" t="s">
        <v>360</v>
      </c>
      <c r="D27" s="184" t="s">
        <v>354</v>
      </c>
      <c r="E27" s="185">
        <f>ROUND(30.34,2)</f>
        <v>30.34</v>
      </c>
      <c r="F27" s="197">
        <v>890012</v>
      </c>
      <c r="G27" s="198">
        <v>812313.95</v>
      </c>
      <c r="H27" s="210">
        <f t="shared" si="2"/>
        <v>24645605</v>
      </c>
      <c r="I27" s="15"/>
      <c r="K27" s="43"/>
    </row>
    <row r="28" spans="1:11" ht="55.8" thickBot="1" x14ac:dyDescent="0.35">
      <c r="A28" s="11"/>
      <c r="B28" s="216" t="s">
        <v>31</v>
      </c>
      <c r="C28" s="189" t="s">
        <v>361</v>
      </c>
      <c r="D28" s="190" t="s">
        <v>354</v>
      </c>
      <c r="E28" s="191">
        <f>ROUND(18.45,2)</f>
        <v>18.45</v>
      </c>
      <c r="F28" s="192">
        <v>935528</v>
      </c>
      <c r="G28" s="193">
        <v>853856.41</v>
      </c>
      <c r="H28" s="212">
        <f t="shared" si="2"/>
        <v>15753651</v>
      </c>
      <c r="I28" s="15"/>
      <c r="K28" s="43"/>
    </row>
    <row r="29" spans="1:11" ht="14.4" thickTop="1" x14ac:dyDescent="0.3">
      <c r="A29" s="11"/>
      <c r="B29" s="213" t="s">
        <v>19</v>
      </c>
      <c r="C29" s="217"/>
      <c r="D29" s="202"/>
      <c r="E29" s="202"/>
      <c r="F29" s="203"/>
      <c r="G29" s="204"/>
      <c r="H29" s="214">
        <f>SUBTOTAL(109,'FORMULARIO 1'!$H$25:$H$28)</f>
        <v>59547215</v>
      </c>
      <c r="I29" s="15"/>
      <c r="K29" s="43"/>
    </row>
    <row r="30" spans="1:11" ht="27.6" x14ac:dyDescent="0.3">
      <c r="A30" s="11"/>
      <c r="B30" s="176" t="s">
        <v>32</v>
      </c>
      <c r="C30" s="177" t="s">
        <v>33</v>
      </c>
      <c r="D30" s="178" t="s">
        <v>10</v>
      </c>
      <c r="E30" s="179" t="s">
        <v>11</v>
      </c>
      <c r="F30" s="180" t="s">
        <v>329</v>
      </c>
      <c r="G30" s="207" t="s">
        <v>330</v>
      </c>
      <c r="H30" s="181" t="s">
        <v>13</v>
      </c>
      <c r="I30" s="15"/>
      <c r="K30" s="43"/>
    </row>
    <row r="31" spans="1:11" x14ac:dyDescent="0.3">
      <c r="A31" s="11"/>
      <c r="B31" s="195" t="s">
        <v>34</v>
      </c>
      <c r="C31" s="196" t="s">
        <v>362</v>
      </c>
      <c r="D31" s="184" t="s">
        <v>363</v>
      </c>
      <c r="E31" s="185">
        <f>ROUND(15170.67,2)</f>
        <v>15170.67</v>
      </c>
      <c r="F31" s="197">
        <v>8357</v>
      </c>
      <c r="G31" s="198">
        <v>7627.43</v>
      </c>
      <c r="H31" s="187">
        <f t="shared" ref="H31:H34" si="3">IFERROR(ROUND($E31*$G31,0),"")</f>
        <v>115713223</v>
      </c>
      <c r="I31" s="15"/>
      <c r="K31" s="43"/>
    </row>
    <row r="32" spans="1:11" ht="27.6" x14ac:dyDescent="0.3">
      <c r="A32" s="11"/>
      <c r="B32" s="188" t="s">
        <v>35</v>
      </c>
      <c r="C32" s="189" t="s">
        <v>364</v>
      </c>
      <c r="D32" s="190" t="s">
        <v>363</v>
      </c>
      <c r="E32" s="191">
        <f>ROUND(1987.6,2)</f>
        <v>1987.6</v>
      </c>
      <c r="F32" s="192">
        <v>8531</v>
      </c>
      <c r="G32" s="193">
        <v>7786.24</v>
      </c>
      <c r="H32" s="194">
        <f t="shared" si="3"/>
        <v>15475931</v>
      </c>
      <c r="I32" s="15"/>
      <c r="K32" s="43"/>
    </row>
    <row r="33" spans="1:11" ht="41.4" x14ac:dyDescent="0.3">
      <c r="A33" s="11"/>
      <c r="B33" s="195" t="s">
        <v>36</v>
      </c>
      <c r="C33" s="196" t="s">
        <v>365</v>
      </c>
      <c r="D33" s="184" t="s">
        <v>351</v>
      </c>
      <c r="E33" s="185">
        <v>50</v>
      </c>
      <c r="F33" s="197">
        <v>13178</v>
      </c>
      <c r="G33" s="198">
        <v>12027.56</v>
      </c>
      <c r="H33" s="187">
        <f t="shared" si="3"/>
        <v>601378</v>
      </c>
      <c r="I33" s="15"/>
      <c r="K33" s="43"/>
    </row>
    <row r="34" spans="1:11" ht="42" thickBot="1" x14ac:dyDescent="0.35">
      <c r="A34" s="11"/>
      <c r="B34" s="188" t="s">
        <v>37</v>
      </c>
      <c r="C34" s="189" t="s">
        <v>366</v>
      </c>
      <c r="D34" s="190" t="s">
        <v>351</v>
      </c>
      <c r="E34" s="191">
        <v>40</v>
      </c>
      <c r="F34" s="192">
        <v>14708</v>
      </c>
      <c r="G34" s="193">
        <v>13423.99</v>
      </c>
      <c r="H34" s="194">
        <f t="shared" si="3"/>
        <v>536960</v>
      </c>
      <c r="I34" s="15"/>
      <c r="K34" s="43"/>
    </row>
    <row r="35" spans="1:11" ht="14.4" thickTop="1" x14ac:dyDescent="0.3">
      <c r="A35" s="11"/>
      <c r="B35" s="199" t="s">
        <v>19</v>
      </c>
      <c r="C35" s="218"/>
      <c r="D35" s="218"/>
      <c r="E35" s="218"/>
      <c r="F35" s="219"/>
      <c r="G35" s="220"/>
      <c r="H35" s="221">
        <f>SUBTOTAL(109,'FORMULARIO 1'!$H$31:$H$34)</f>
        <v>132327492</v>
      </c>
      <c r="I35" s="15"/>
      <c r="K35" s="43"/>
    </row>
    <row r="36" spans="1:11" ht="27.6" x14ac:dyDescent="0.3">
      <c r="A36" s="11"/>
      <c r="B36" s="206" t="s">
        <v>38</v>
      </c>
      <c r="C36" s="177" t="s">
        <v>39</v>
      </c>
      <c r="D36" s="178" t="s">
        <v>10</v>
      </c>
      <c r="E36" s="179" t="s">
        <v>11</v>
      </c>
      <c r="F36" s="180" t="s">
        <v>329</v>
      </c>
      <c r="G36" s="207" t="s">
        <v>330</v>
      </c>
      <c r="H36" s="208" t="s">
        <v>13</v>
      </c>
      <c r="I36" s="15"/>
      <c r="K36" s="43"/>
    </row>
    <row r="37" spans="1:11" ht="55.2" x14ac:dyDescent="0.3">
      <c r="A37" s="11"/>
      <c r="B37" s="215" t="s">
        <v>40</v>
      </c>
      <c r="C37" s="196" t="s">
        <v>367</v>
      </c>
      <c r="D37" s="184" t="s">
        <v>349</v>
      </c>
      <c r="E37" s="185">
        <f>ROUND(279.02+11.505,2)</f>
        <v>290.52999999999997</v>
      </c>
      <c r="F37" s="197">
        <v>139882</v>
      </c>
      <c r="G37" s="198">
        <v>127670.3</v>
      </c>
      <c r="H37" s="210">
        <f t="shared" ref="H37:H40" si="4">IFERROR(ROUND($E37*$G37,0),"")</f>
        <v>37092052</v>
      </c>
      <c r="I37" s="15"/>
      <c r="K37" s="43"/>
    </row>
    <row r="38" spans="1:11" x14ac:dyDescent="0.3">
      <c r="A38" s="11"/>
      <c r="B38" s="216" t="s">
        <v>41</v>
      </c>
      <c r="C38" s="189" t="s">
        <v>368</v>
      </c>
      <c r="D38" s="190" t="s">
        <v>349</v>
      </c>
      <c r="E38" s="191">
        <f>ROUND((26.091+1.1),2)</f>
        <v>27.19</v>
      </c>
      <c r="F38" s="192">
        <v>125177</v>
      </c>
      <c r="G38" s="193">
        <v>114249.05</v>
      </c>
      <c r="H38" s="212">
        <f>IFERROR(ROUND($E38*$G38,0),"")</f>
        <v>3106432</v>
      </c>
      <c r="I38" s="15"/>
      <c r="K38" s="43"/>
    </row>
    <row r="39" spans="1:11" ht="27.6" x14ac:dyDescent="0.3">
      <c r="A39" s="11"/>
      <c r="B39" s="215" t="s">
        <v>42</v>
      </c>
      <c r="C39" s="196" t="s">
        <v>369</v>
      </c>
      <c r="D39" s="184" t="s">
        <v>332</v>
      </c>
      <c r="E39" s="185">
        <f>ROUND(34.4,2)</f>
        <v>34.4</v>
      </c>
      <c r="F39" s="197">
        <v>6499</v>
      </c>
      <c r="G39" s="198">
        <v>5931.64</v>
      </c>
      <c r="H39" s="210">
        <f t="shared" si="4"/>
        <v>204048</v>
      </c>
      <c r="I39" s="15"/>
      <c r="K39" s="43"/>
    </row>
    <row r="40" spans="1:11" ht="69" x14ac:dyDescent="0.3">
      <c r="A40" s="11"/>
      <c r="B40" s="216" t="s">
        <v>43</v>
      </c>
      <c r="C40" s="189" t="s">
        <v>370</v>
      </c>
      <c r="D40" s="190" t="s">
        <v>332</v>
      </c>
      <c r="E40" s="191">
        <f>ROUND(34.2,2)</f>
        <v>34.200000000000003</v>
      </c>
      <c r="F40" s="192">
        <v>19508</v>
      </c>
      <c r="G40" s="193">
        <v>17804.95</v>
      </c>
      <c r="H40" s="212">
        <f t="shared" si="4"/>
        <v>608929</v>
      </c>
      <c r="I40" s="15"/>
      <c r="K40" s="43"/>
    </row>
    <row r="41" spans="1:11" ht="41.4" x14ac:dyDescent="0.3">
      <c r="A41" s="11"/>
      <c r="B41" s="215" t="s">
        <v>44</v>
      </c>
      <c r="C41" s="196" t="s">
        <v>371</v>
      </c>
      <c r="D41" s="184" t="s">
        <v>354</v>
      </c>
      <c r="E41" s="185">
        <f>ROUND(14.27,2)</f>
        <v>14.27</v>
      </c>
      <c r="F41" s="197">
        <v>1093636</v>
      </c>
      <c r="G41" s="198">
        <v>998161.58</v>
      </c>
      <c r="H41" s="210">
        <f>IFERROR(ROUND($E41*$G41,0),"")</f>
        <v>14243766</v>
      </c>
      <c r="I41" s="15"/>
      <c r="K41" s="43"/>
    </row>
    <row r="42" spans="1:11" ht="41.4" x14ac:dyDescent="0.3">
      <c r="A42" s="11"/>
      <c r="B42" s="216" t="s">
        <v>45</v>
      </c>
      <c r="C42" s="189" t="s">
        <v>372</v>
      </c>
      <c r="D42" s="190" t="s">
        <v>354</v>
      </c>
      <c r="E42" s="191">
        <f>ROUND(33.77,2)</f>
        <v>33.770000000000003</v>
      </c>
      <c r="F42" s="192">
        <v>1166317</v>
      </c>
      <c r="G42" s="193">
        <v>1064497.53</v>
      </c>
      <c r="H42" s="212">
        <f>IFERROR(ROUND($E42*$G42,0),"")</f>
        <v>35948082</v>
      </c>
      <c r="I42" s="15"/>
      <c r="K42" s="43"/>
    </row>
    <row r="43" spans="1:11" ht="41.4" x14ac:dyDescent="0.3">
      <c r="A43" s="11"/>
      <c r="B43" s="215" t="s">
        <v>46</v>
      </c>
      <c r="C43" s="196" t="s">
        <v>373</v>
      </c>
      <c r="D43" s="184" t="s">
        <v>349</v>
      </c>
      <c r="E43" s="185">
        <f>ROUND(10.5,2)</f>
        <v>10.5</v>
      </c>
      <c r="F43" s="197">
        <v>223392</v>
      </c>
      <c r="G43" s="198">
        <v>203889.88</v>
      </c>
      <c r="H43" s="210">
        <f t="shared" ref="H43" si="5">IFERROR(ROUND($E43*$G43,0),"")</f>
        <v>2140844</v>
      </c>
      <c r="I43" s="15"/>
      <c r="K43" s="43"/>
    </row>
    <row r="44" spans="1:11" ht="28.2" thickBot="1" x14ac:dyDescent="0.35">
      <c r="A44" s="11"/>
      <c r="B44" s="216" t="s">
        <v>47</v>
      </c>
      <c r="C44" s="189" t="s">
        <v>374</v>
      </c>
      <c r="D44" s="190" t="s">
        <v>332</v>
      </c>
      <c r="E44" s="191">
        <f>6+2</f>
        <v>8</v>
      </c>
      <c r="F44" s="192">
        <v>58669</v>
      </c>
      <c r="G44" s="193">
        <v>53547.199999999997</v>
      </c>
      <c r="H44" s="212">
        <f>IFERROR(ROUND($E44*$G44,0),"")</f>
        <v>428378</v>
      </c>
      <c r="I44" s="15"/>
      <c r="K44" s="43"/>
    </row>
    <row r="45" spans="1:11" ht="14.4" thickTop="1" x14ac:dyDescent="0.3">
      <c r="A45" s="11"/>
      <c r="B45" s="213" t="s">
        <v>19</v>
      </c>
      <c r="C45" s="200"/>
      <c r="D45" s="202"/>
      <c r="E45" s="202"/>
      <c r="F45" s="203"/>
      <c r="G45" s="204"/>
      <c r="H45" s="214">
        <f>SUBTOTAL(109,'FORMULARIO 1'!$H$37:$H$44)</f>
        <v>93772531</v>
      </c>
      <c r="I45" s="15"/>
      <c r="K45" s="43"/>
    </row>
    <row r="46" spans="1:11" ht="27.6" x14ac:dyDescent="0.3">
      <c r="A46" s="11"/>
      <c r="B46" s="206" t="s">
        <v>48</v>
      </c>
      <c r="C46" s="177" t="s">
        <v>49</v>
      </c>
      <c r="D46" s="178" t="s">
        <v>10</v>
      </c>
      <c r="E46" s="179" t="s">
        <v>11</v>
      </c>
      <c r="F46" s="180" t="s">
        <v>329</v>
      </c>
      <c r="G46" s="207" t="s">
        <v>330</v>
      </c>
      <c r="H46" s="181" t="s">
        <v>13</v>
      </c>
      <c r="I46" s="15"/>
      <c r="K46" s="43"/>
    </row>
    <row r="47" spans="1:11" x14ac:dyDescent="0.3">
      <c r="A47" s="11"/>
      <c r="B47" s="222" t="s">
        <v>50</v>
      </c>
      <c r="C47" s="223" t="s">
        <v>375</v>
      </c>
      <c r="D47" s="184"/>
      <c r="E47" s="185"/>
      <c r="F47" s="197"/>
      <c r="G47" s="198"/>
      <c r="H47" s="187"/>
      <c r="I47" s="15"/>
      <c r="K47" s="43"/>
    </row>
    <row r="48" spans="1:11" ht="41.4" x14ac:dyDescent="0.3">
      <c r="A48" s="11"/>
      <c r="B48" s="224" t="s">
        <v>51</v>
      </c>
      <c r="C48" s="225" t="s">
        <v>376</v>
      </c>
      <c r="D48" s="190" t="s">
        <v>363</v>
      </c>
      <c r="E48" s="191">
        <f>ROUND((434.01*8.32),2)</f>
        <v>3610.96</v>
      </c>
      <c r="F48" s="192">
        <v>19775</v>
      </c>
      <c r="G48" s="193">
        <v>18048.64</v>
      </c>
      <c r="H48" s="194">
        <f t="shared" ref="H48:H56" si="6">IFERROR(ROUND($E48*$G48,0),"")</f>
        <v>65172917</v>
      </c>
      <c r="I48" s="15"/>
      <c r="K48" s="43"/>
    </row>
    <row r="49" spans="1:11" x14ac:dyDescent="0.3">
      <c r="A49" s="11"/>
      <c r="B49" s="222" t="s">
        <v>52</v>
      </c>
      <c r="C49" s="223" t="s">
        <v>377</v>
      </c>
      <c r="D49" s="184"/>
      <c r="E49" s="185"/>
      <c r="F49" s="197">
        <v>0</v>
      </c>
      <c r="G49" s="198"/>
      <c r="H49" s="187">
        <f t="shared" si="6"/>
        <v>0</v>
      </c>
      <c r="I49" s="15"/>
      <c r="K49" s="43"/>
    </row>
    <row r="50" spans="1:11" ht="55.2" x14ac:dyDescent="0.3">
      <c r="A50" s="11"/>
      <c r="B50" s="224" t="s">
        <v>53</v>
      </c>
      <c r="C50" s="225" t="s">
        <v>378</v>
      </c>
      <c r="D50" s="190" t="s">
        <v>351</v>
      </c>
      <c r="E50" s="191">
        <v>10</v>
      </c>
      <c r="F50" s="192">
        <v>98903</v>
      </c>
      <c r="G50" s="193">
        <v>90268.77</v>
      </c>
      <c r="H50" s="194">
        <f t="shared" si="6"/>
        <v>902688</v>
      </c>
      <c r="I50" s="15"/>
      <c r="K50" s="43"/>
    </row>
    <row r="51" spans="1:11" ht="27.6" x14ac:dyDescent="0.3">
      <c r="A51" s="11"/>
      <c r="B51" s="226" t="s">
        <v>54</v>
      </c>
      <c r="C51" s="227" t="s">
        <v>379</v>
      </c>
      <c r="D51" s="184" t="s">
        <v>351</v>
      </c>
      <c r="E51" s="185">
        <v>170</v>
      </c>
      <c r="F51" s="197">
        <v>23320</v>
      </c>
      <c r="G51" s="198">
        <v>21284.16</v>
      </c>
      <c r="H51" s="187">
        <f t="shared" si="6"/>
        <v>3618307</v>
      </c>
      <c r="I51" s="15"/>
      <c r="K51" s="43"/>
    </row>
    <row r="52" spans="1:11" x14ac:dyDescent="0.3">
      <c r="A52" s="11"/>
      <c r="B52" s="224" t="s">
        <v>55</v>
      </c>
      <c r="C52" s="225" t="s">
        <v>380</v>
      </c>
      <c r="D52" s="190" t="s">
        <v>351</v>
      </c>
      <c r="E52" s="191">
        <v>1000</v>
      </c>
      <c r="F52" s="192">
        <v>5492</v>
      </c>
      <c r="G52" s="193">
        <v>5012.55</v>
      </c>
      <c r="H52" s="194">
        <f>IFERROR(ROUND($E52*$G52,0),"")</f>
        <v>5012550</v>
      </c>
      <c r="I52" s="15"/>
      <c r="K52" s="43"/>
    </row>
    <row r="53" spans="1:11" x14ac:dyDescent="0.3">
      <c r="A53" s="11"/>
      <c r="B53" s="226" t="s">
        <v>56</v>
      </c>
      <c r="C53" s="227" t="s">
        <v>381</v>
      </c>
      <c r="D53" s="184" t="s">
        <v>351</v>
      </c>
      <c r="E53" s="185">
        <v>55</v>
      </c>
      <c r="F53" s="197">
        <v>11322</v>
      </c>
      <c r="G53" s="198">
        <v>10333.59</v>
      </c>
      <c r="H53" s="187">
        <f t="shared" si="6"/>
        <v>568347</v>
      </c>
      <c r="I53" s="15"/>
      <c r="K53" s="43"/>
    </row>
    <row r="54" spans="1:11" x14ac:dyDescent="0.3">
      <c r="A54" s="11"/>
      <c r="B54" s="224" t="s">
        <v>57</v>
      </c>
      <c r="C54" s="225" t="s">
        <v>382</v>
      </c>
      <c r="D54" s="190" t="s">
        <v>351</v>
      </c>
      <c r="E54" s="191">
        <v>55</v>
      </c>
      <c r="F54" s="192">
        <v>15868</v>
      </c>
      <c r="G54" s="193">
        <v>14482.72</v>
      </c>
      <c r="H54" s="194">
        <f>IFERROR(ROUND($E54*$G54,0),"")</f>
        <v>796550</v>
      </c>
      <c r="I54" s="15"/>
      <c r="K54" s="43"/>
    </row>
    <row r="55" spans="1:11" ht="51.75" customHeight="1" x14ac:dyDescent="0.3">
      <c r="A55" s="11"/>
      <c r="B55" s="226" t="s">
        <v>58</v>
      </c>
      <c r="C55" s="227" t="s">
        <v>383</v>
      </c>
      <c r="D55" s="184" t="s">
        <v>332</v>
      </c>
      <c r="E55" s="185">
        <f>ROUND(74.91,2)</f>
        <v>74.91</v>
      </c>
      <c r="F55" s="197">
        <v>163537</v>
      </c>
      <c r="G55" s="198">
        <v>149260.22</v>
      </c>
      <c r="H55" s="187">
        <f t="shared" si="6"/>
        <v>11181083</v>
      </c>
      <c r="I55" s="15"/>
      <c r="K55" s="43"/>
    </row>
    <row r="56" spans="1:11" ht="48.75" customHeight="1" thickBot="1" x14ac:dyDescent="0.35">
      <c r="A56" s="11"/>
      <c r="B56" s="224" t="s">
        <v>59</v>
      </c>
      <c r="C56" s="225" t="s">
        <v>384</v>
      </c>
      <c r="D56" s="190" t="s">
        <v>349</v>
      </c>
      <c r="E56" s="191">
        <f>ROUND(196.24,2)</f>
        <v>196.24</v>
      </c>
      <c r="F56" s="192">
        <v>232430</v>
      </c>
      <c r="G56" s="193">
        <v>212138.86</v>
      </c>
      <c r="H56" s="194">
        <f t="shared" si="6"/>
        <v>41630130</v>
      </c>
      <c r="I56" s="15"/>
      <c r="K56" s="43"/>
    </row>
    <row r="57" spans="1:11" ht="14.4" thickTop="1" x14ac:dyDescent="0.3">
      <c r="A57" s="11"/>
      <c r="B57" s="228" t="s">
        <v>19</v>
      </c>
      <c r="C57" s="229"/>
      <c r="D57" s="230"/>
      <c r="E57" s="230"/>
      <c r="F57" s="231"/>
      <c r="G57" s="232"/>
      <c r="H57" s="233">
        <f>SUBTOTAL(109,'FORMULARIO 1'!$H$47:$H$56)</f>
        <v>128882572</v>
      </c>
      <c r="I57" s="15"/>
      <c r="K57" s="43"/>
    </row>
    <row r="58" spans="1:11" ht="27.6" x14ac:dyDescent="0.3">
      <c r="A58" s="11"/>
      <c r="B58" s="206" t="s">
        <v>60</v>
      </c>
      <c r="C58" s="177" t="s">
        <v>61</v>
      </c>
      <c r="D58" s="178" t="s">
        <v>10</v>
      </c>
      <c r="E58" s="179" t="s">
        <v>11</v>
      </c>
      <c r="F58" s="180" t="s">
        <v>329</v>
      </c>
      <c r="G58" s="207" t="s">
        <v>330</v>
      </c>
      <c r="H58" s="181" t="s">
        <v>13</v>
      </c>
      <c r="I58" s="15"/>
      <c r="K58" s="43"/>
    </row>
    <row r="59" spans="1:11" x14ac:dyDescent="0.3">
      <c r="A59" s="11"/>
      <c r="B59" s="234" t="s">
        <v>62</v>
      </c>
      <c r="C59" s="183" t="s">
        <v>385</v>
      </c>
      <c r="D59" s="184"/>
      <c r="E59" s="185"/>
      <c r="F59" s="197"/>
      <c r="G59" s="198"/>
      <c r="H59" s="187"/>
      <c r="I59" s="15"/>
      <c r="K59" s="43"/>
    </row>
    <row r="60" spans="1:11" ht="55.2" x14ac:dyDescent="0.3">
      <c r="A60" s="11"/>
      <c r="B60" s="216" t="s">
        <v>63</v>
      </c>
      <c r="C60" s="189" t="s">
        <v>386</v>
      </c>
      <c r="D60" s="190" t="s">
        <v>351</v>
      </c>
      <c r="E60" s="191">
        <v>1</v>
      </c>
      <c r="F60" s="192">
        <v>1206913</v>
      </c>
      <c r="G60" s="193">
        <v>1101549.5</v>
      </c>
      <c r="H60" s="194">
        <f t="shared" ref="H60:H92" si="7">IFERROR(ROUND($E60*$G60,0),"")</f>
        <v>1101550</v>
      </c>
      <c r="I60" s="15"/>
      <c r="K60" s="43"/>
    </row>
    <row r="61" spans="1:11" ht="55.2" x14ac:dyDescent="0.3">
      <c r="A61" s="11"/>
      <c r="B61" s="215" t="s">
        <v>64</v>
      </c>
      <c r="C61" s="196" t="s">
        <v>387</v>
      </c>
      <c r="D61" s="184" t="s">
        <v>351</v>
      </c>
      <c r="E61" s="185">
        <v>5</v>
      </c>
      <c r="F61" s="197">
        <v>807468</v>
      </c>
      <c r="G61" s="198">
        <v>736976.04</v>
      </c>
      <c r="H61" s="187">
        <f t="shared" si="7"/>
        <v>3684880</v>
      </c>
      <c r="I61" s="15"/>
      <c r="K61" s="43"/>
    </row>
    <row r="62" spans="1:11" ht="55.2" x14ac:dyDescent="0.3">
      <c r="A62" s="11"/>
      <c r="B62" s="216" t="s">
        <v>65</v>
      </c>
      <c r="C62" s="189" t="s">
        <v>388</v>
      </c>
      <c r="D62" s="190" t="s">
        <v>351</v>
      </c>
      <c r="E62" s="191">
        <v>1</v>
      </c>
      <c r="F62" s="192">
        <v>634522</v>
      </c>
      <c r="G62" s="193">
        <v>579128.23</v>
      </c>
      <c r="H62" s="194">
        <f>IFERROR(ROUND($E62*$G62,0),"")</f>
        <v>579128</v>
      </c>
      <c r="I62" s="15"/>
      <c r="K62" s="43"/>
    </row>
    <row r="63" spans="1:11" ht="27.6" x14ac:dyDescent="0.3">
      <c r="A63" s="11"/>
      <c r="B63" s="215" t="s">
        <v>66</v>
      </c>
      <c r="C63" s="196" t="s">
        <v>389</v>
      </c>
      <c r="D63" s="184" t="s">
        <v>351</v>
      </c>
      <c r="E63" s="185">
        <v>5</v>
      </c>
      <c r="F63" s="197">
        <v>558994</v>
      </c>
      <c r="G63" s="198">
        <v>510193.82</v>
      </c>
      <c r="H63" s="187">
        <f t="shared" si="7"/>
        <v>2550969</v>
      </c>
      <c r="I63" s="15"/>
      <c r="K63" s="43"/>
    </row>
    <row r="64" spans="1:11" ht="27.6" x14ac:dyDescent="0.3">
      <c r="A64" s="11"/>
      <c r="B64" s="216" t="s">
        <v>67</v>
      </c>
      <c r="C64" s="189" t="s">
        <v>390</v>
      </c>
      <c r="D64" s="190" t="s">
        <v>332</v>
      </c>
      <c r="E64" s="191">
        <v>30</v>
      </c>
      <c r="F64" s="192">
        <v>114040</v>
      </c>
      <c r="G64" s="193">
        <v>104084.31</v>
      </c>
      <c r="H64" s="194">
        <f t="shared" si="7"/>
        <v>3122529</v>
      </c>
      <c r="I64" s="15"/>
      <c r="K64" s="43"/>
    </row>
    <row r="65" spans="1:11" x14ac:dyDescent="0.3">
      <c r="A65" s="11"/>
      <c r="B65" s="235" t="s">
        <v>68</v>
      </c>
      <c r="C65" s="183" t="s">
        <v>391</v>
      </c>
      <c r="D65" s="184"/>
      <c r="E65" s="185"/>
      <c r="F65" s="197" t="s">
        <v>331</v>
      </c>
      <c r="G65" s="198"/>
      <c r="H65" s="187">
        <f t="shared" si="7"/>
        <v>0</v>
      </c>
      <c r="I65" s="15"/>
      <c r="K65" s="43"/>
    </row>
    <row r="66" spans="1:11" ht="27.6" x14ac:dyDescent="0.3">
      <c r="A66" s="11"/>
      <c r="B66" s="216" t="s">
        <v>69</v>
      </c>
      <c r="C66" s="189" t="s">
        <v>392</v>
      </c>
      <c r="D66" s="190" t="s">
        <v>332</v>
      </c>
      <c r="E66" s="191">
        <v>57.5</v>
      </c>
      <c r="F66" s="192">
        <v>51131</v>
      </c>
      <c r="G66" s="193">
        <v>46667.26</v>
      </c>
      <c r="H66" s="194">
        <f t="shared" si="7"/>
        <v>2683367</v>
      </c>
      <c r="I66" s="15"/>
      <c r="K66" s="43"/>
    </row>
    <row r="67" spans="1:11" ht="27.6" x14ac:dyDescent="0.3">
      <c r="A67" s="11"/>
      <c r="B67" s="215" t="s">
        <v>70</v>
      </c>
      <c r="C67" s="196" t="s">
        <v>393</v>
      </c>
      <c r="D67" s="184" t="s">
        <v>332</v>
      </c>
      <c r="E67" s="185">
        <v>10.6</v>
      </c>
      <c r="F67" s="197">
        <v>35559</v>
      </c>
      <c r="G67" s="198">
        <v>32454.7</v>
      </c>
      <c r="H67" s="187">
        <f t="shared" si="7"/>
        <v>344020</v>
      </c>
      <c r="I67" s="15"/>
      <c r="K67" s="43"/>
    </row>
    <row r="68" spans="1:11" ht="27.6" x14ac:dyDescent="0.3">
      <c r="A68" s="11"/>
      <c r="B68" s="216" t="s">
        <v>71</v>
      </c>
      <c r="C68" s="189" t="s">
        <v>394</v>
      </c>
      <c r="D68" s="190" t="s">
        <v>351</v>
      </c>
      <c r="E68" s="191">
        <v>2</v>
      </c>
      <c r="F68" s="192">
        <v>85004</v>
      </c>
      <c r="G68" s="193">
        <v>77583.149999999994</v>
      </c>
      <c r="H68" s="194">
        <f t="shared" si="7"/>
        <v>155166</v>
      </c>
      <c r="I68" s="15"/>
      <c r="K68" s="43"/>
    </row>
    <row r="69" spans="1:11" ht="27.6" x14ac:dyDescent="0.3">
      <c r="A69" s="11"/>
      <c r="B69" s="215" t="s">
        <v>72</v>
      </c>
      <c r="C69" s="196" t="s">
        <v>395</v>
      </c>
      <c r="D69" s="184" t="s">
        <v>351</v>
      </c>
      <c r="E69" s="185">
        <v>4</v>
      </c>
      <c r="F69" s="197">
        <v>46403</v>
      </c>
      <c r="G69" s="198">
        <v>42352.02</v>
      </c>
      <c r="H69" s="187">
        <f t="shared" si="7"/>
        <v>169408</v>
      </c>
      <c r="I69" s="15"/>
      <c r="K69" s="43"/>
    </row>
    <row r="70" spans="1:11" ht="27.6" x14ac:dyDescent="0.3">
      <c r="A70" s="11"/>
      <c r="B70" s="216" t="s">
        <v>73</v>
      </c>
      <c r="C70" s="189" t="s">
        <v>396</v>
      </c>
      <c r="D70" s="190" t="s">
        <v>351</v>
      </c>
      <c r="E70" s="191">
        <v>8</v>
      </c>
      <c r="F70" s="192">
        <v>134513</v>
      </c>
      <c r="G70" s="193">
        <v>122770.02</v>
      </c>
      <c r="H70" s="194">
        <f t="shared" si="7"/>
        <v>982160</v>
      </c>
      <c r="I70" s="15"/>
      <c r="K70" s="43"/>
    </row>
    <row r="71" spans="1:11" ht="27.6" x14ac:dyDescent="0.3">
      <c r="A71" s="11"/>
      <c r="B71" s="215" t="s">
        <v>74</v>
      </c>
      <c r="C71" s="196" t="s">
        <v>397</v>
      </c>
      <c r="D71" s="184" t="s">
        <v>351</v>
      </c>
      <c r="E71" s="185">
        <v>1</v>
      </c>
      <c r="F71" s="197">
        <v>71393</v>
      </c>
      <c r="G71" s="198">
        <v>65160.39</v>
      </c>
      <c r="H71" s="187">
        <f t="shared" si="7"/>
        <v>65160</v>
      </c>
      <c r="I71" s="15"/>
      <c r="K71" s="43"/>
    </row>
    <row r="72" spans="1:11" ht="41.4" x14ac:dyDescent="0.3">
      <c r="A72" s="11"/>
      <c r="B72" s="216" t="s">
        <v>75</v>
      </c>
      <c r="C72" s="189" t="s">
        <v>398</v>
      </c>
      <c r="D72" s="190" t="s">
        <v>332</v>
      </c>
      <c r="E72" s="191">
        <v>12</v>
      </c>
      <c r="F72" s="192">
        <v>60006</v>
      </c>
      <c r="G72" s="193">
        <v>54767.48</v>
      </c>
      <c r="H72" s="194">
        <f t="shared" si="7"/>
        <v>657210</v>
      </c>
      <c r="I72" s="15"/>
      <c r="K72" s="43"/>
    </row>
    <row r="73" spans="1:11" ht="41.4" x14ac:dyDescent="0.3">
      <c r="A73" s="11"/>
      <c r="B73" s="215" t="s">
        <v>76</v>
      </c>
      <c r="C73" s="196" t="s">
        <v>399</v>
      </c>
      <c r="D73" s="184" t="s">
        <v>332</v>
      </c>
      <c r="E73" s="185">
        <v>59.8</v>
      </c>
      <c r="F73" s="197">
        <v>42775</v>
      </c>
      <c r="G73" s="198">
        <v>39040.74</v>
      </c>
      <c r="H73" s="187">
        <f t="shared" si="7"/>
        <v>2334636</v>
      </c>
      <c r="I73" s="15"/>
      <c r="K73" s="43"/>
    </row>
    <row r="74" spans="1:11" x14ac:dyDescent="0.3">
      <c r="A74" s="11"/>
      <c r="B74" s="236" t="s">
        <v>77</v>
      </c>
      <c r="C74" s="237" t="s">
        <v>400</v>
      </c>
      <c r="D74" s="190"/>
      <c r="E74" s="191"/>
      <c r="F74" s="192" t="s">
        <v>331</v>
      </c>
      <c r="G74" s="193"/>
      <c r="H74" s="194">
        <f t="shared" si="7"/>
        <v>0</v>
      </c>
      <c r="I74" s="15"/>
      <c r="K74" s="43"/>
    </row>
    <row r="75" spans="1:11" ht="41.4" x14ac:dyDescent="0.3">
      <c r="A75" s="11"/>
      <c r="B75" s="215" t="s">
        <v>78</v>
      </c>
      <c r="C75" s="196" t="s">
        <v>401</v>
      </c>
      <c r="D75" s="184" t="s">
        <v>351</v>
      </c>
      <c r="E75" s="185">
        <v>1</v>
      </c>
      <c r="F75" s="197">
        <v>916589</v>
      </c>
      <c r="G75" s="198">
        <v>836570.78</v>
      </c>
      <c r="H75" s="187">
        <f t="shared" si="7"/>
        <v>836571</v>
      </c>
      <c r="I75" s="15"/>
      <c r="K75" s="43"/>
    </row>
    <row r="76" spans="1:11" ht="27.6" x14ac:dyDescent="0.3">
      <c r="A76" s="11"/>
      <c r="B76" s="216" t="s">
        <v>79</v>
      </c>
      <c r="C76" s="189" t="s">
        <v>402</v>
      </c>
      <c r="D76" s="190" t="s">
        <v>332</v>
      </c>
      <c r="E76" s="191">
        <v>30.6</v>
      </c>
      <c r="F76" s="192">
        <v>18243</v>
      </c>
      <c r="G76" s="193">
        <v>16650.39</v>
      </c>
      <c r="H76" s="194">
        <f t="shared" si="7"/>
        <v>509502</v>
      </c>
      <c r="I76" s="15"/>
      <c r="K76" s="43"/>
    </row>
    <row r="77" spans="1:11" ht="27.6" x14ac:dyDescent="0.3">
      <c r="A77" s="11"/>
      <c r="B77" s="215" t="s">
        <v>80</v>
      </c>
      <c r="C77" s="196" t="s">
        <v>403</v>
      </c>
      <c r="D77" s="184" t="s">
        <v>332</v>
      </c>
      <c r="E77" s="185">
        <v>64.5</v>
      </c>
      <c r="F77" s="197">
        <v>14705</v>
      </c>
      <c r="G77" s="198">
        <v>13421.25</v>
      </c>
      <c r="H77" s="187">
        <f t="shared" si="7"/>
        <v>865671</v>
      </c>
      <c r="I77" s="15"/>
      <c r="K77" s="43"/>
    </row>
    <row r="78" spans="1:11" ht="27.6" x14ac:dyDescent="0.3">
      <c r="A78" s="11"/>
      <c r="B78" s="216" t="s">
        <v>81</v>
      </c>
      <c r="C78" s="189" t="s">
        <v>404</v>
      </c>
      <c r="D78" s="190" t="s">
        <v>332</v>
      </c>
      <c r="E78" s="191">
        <v>32.9</v>
      </c>
      <c r="F78" s="192">
        <v>12889</v>
      </c>
      <c r="G78" s="193">
        <v>11763.79</v>
      </c>
      <c r="H78" s="194">
        <f t="shared" si="7"/>
        <v>387029</v>
      </c>
      <c r="I78" s="15"/>
      <c r="K78" s="43"/>
    </row>
    <row r="79" spans="1:11" ht="27.6" x14ac:dyDescent="0.3">
      <c r="A79" s="11"/>
      <c r="B79" s="215" t="s">
        <v>82</v>
      </c>
      <c r="C79" s="196" t="s">
        <v>405</v>
      </c>
      <c r="D79" s="184" t="s">
        <v>351</v>
      </c>
      <c r="E79" s="185">
        <v>4</v>
      </c>
      <c r="F79" s="197">
        <v>59355</v>
      </c>
      <c r="G79" s="198">
        <v>54173.31</v>
      </c>
      <c r="H79" s="187">
        <f t="shared" si="7"/>
        <v>216693</v>
      </c>
      <c r="I79" s="15"/>
      <c r="K79" s="43"/>
    </row>
    <row r="80" spans="1:11" ht="27.6" x14ac:dyDescent="0.3">
      <c r="A80" s="11"/>
      <c r="B80" s="216" t="s">
        <v>83</v>
      </c>
      <c r="C80" s="189" t="s">
        <v>406</v>
      </c>
      <c r="D80" s="190" t="s">
        <v>351</v>
      </c>
      <c r="E80" s="191">
        <v>1</v>
      </c>
      <c r="F80" s="192">
        <v>47069</v>
      </c>
      <c r="G80" s="193">
        <v>42959.88</v>
      </c>
      <c r="H80" s="194">
        <f t="shared" si="7"/>
        <v>42960</v>
      </c>
      <c r="I80" s="15"/>
      <c r="K80" s="43"/>
    </row>
    <row r="81" spans="1:11" ht="27.6" x14ac:dyDescent="0.3">
      <c r="A81" s="11"/>
      <c r="B81" s="215" t="s">
        <v>84</v>
      </c>
      <c r="C81" s="196" t="s">
        <v>407</v>
      </c>
      <c r="D81" s="184" t="s">
        <v>351</v>
      </c>
      <c r="E81" s="185">
        <v>10</v>
      </c>
      <c r="F81" s="197">
        <v>42513</v>
      </c>
      <c r="G81" s="198">
        <v>38801.620000000003</v>
      </c>
      <c r="H81" s="187">
        <f t="shared" si="7"/>
        <v>388016</v>
      </c>
      <c r="I81" s="15"/>
      <c r="K81" s="43"/>
    </row>
    <row r="82" spans="1:11" ht="27.6" x14ac:dyDescent="0.3">
      <c r="A82" s="11"/>
      <c r="B82" s="216" t="s">
        <v>85</v>
      </c>
      <c r="C82" s="189" t="s">
        <v>408</v>
      </c>
      <c r="D82" s="190" t="s">
        <v>351</v>
      </c>
      <c r="E82" s="191">
        <v>4</v>
      </c>
      <c r="F82" s="192">
        <v>203588</v>
      </c>
      <c r="G82" s="193">
        <v>185814.77</v>
      </c>
      <c r="H82" s="194">
        <f t="shared" si="7"/>
        <v>743259</v>
      </c>
      <c r="I82" s="15"/>
      <c r="K82" s="43"/>
    </row>
    <row r="83" spans="1:11" ht="27.6" x14ac:dyDescent="0.3">
      <c r="A83" s="11"/>
      <c r="B83" s="215" t="s">
        <v>86</v>
      </c>
      <c r="C83" s="196" t="s">
        <v>409</v>
      </c>
      <c r="D83" s="184" t="s">
        <v>351</v>
      </c>
      <c r="E83" s="185">
        <v>3</v>
      </c>
      <c r="F83" s="197">
        <v>147468</v>
      </c>
      <c r="G83" s="198">
        <v>134594.04</v>
      </c>
      <c r="H83" s="187">
        <f t="shared" si="7"/>
        <v>403782</v>
      </c>
      <c r="I83" s="15"/>
      <c r="K83" s="43"/>
    </row>
    <row r="84" spans="1:11" ht="27.6" x14ac:dyDescent="0.3">
      <c r="A84" s="11"/>
      <c r="B84" s="216" t="s">
        <v>87</v>
      </c>
      <c r="C84" s="189" t="s">
        <v>410</v>
      </c>
      <c r="D84" s="190" t="s">
        <v>351</v>
      </c>
      <c r="E84" s="191">
        <v>5</v>
      </c>
      <c r="F84" s="192">
        <v>121391</v>
      </c>
      <c r="G84" s="193">
        <v>110793.57</v>
      </c>
      <c r="H84" s="194">
        <f t="shared" si="7"/>
        <v>553968</v>
      </c>
      <c r="I84" s="15"/>
      <c r="K84" s="43"/>
    </row>
    <row r="85" spans="1:11" x14ac:dyDescent="0.3">
      <c r="A85" s="11"/>
      <c r="B85" s="215" t="s">
        <v>88</v>
      </c>
      <c r="C85" s="196" t="s">
        <v>411</v>
      </c>
      <c r="D85" s="184" t="s">
        <v>351</v>
      </c>
      <c r="E85" s="185">
        <v>6</v>
      </c>
      <c r="F85" s="197">
        <v>58383</v>
      </c>
      <c r="G85" s="198">
        <v>53286.16</v>
      </c>
      <c r="H85" s="187">
        <f t="shared" si="7"/>
        <v>319717</v>
      </c>
      <c r="I85" s="15"/>
      <c r="K85" s="43"/>
    </row>
    <row r="86" spans="1:11" x14ac:dyDescent="0.3">
      <c r="A86" s="11"/>
      <c r="B86" s="236" t="s">
        <v>89</v>
      </c>
      <c r="C86" s="237" t="s">
        <v>412</v>
      </c>
      <c r="D86" s="190"/>
      <c r="E86" s="191"/>
      <c r="F86" s="192" t="s">
        <v>331</v>
      </c>
      <c r="G86" s="193"/>
      <c r="H86" s="194">
        <f t="shared" si="7"/>
        <v>0</v>
      </c>
      <c r="I86" s="15"/>
      <c r="K86" s="43"/>
    </row>
    <row r="87" spans="1:11" ht="27.6" x14ac:dyDescent="0.3">
      <c r="A87" s="11"/>
      <c r="B87" s="215" t="s">
        <v>90</v>
      </c>
      <c r="C87" s="196" t="s">
        <v>413</v>
      </c>
      <c r="D87" s="184" t="s">
        <v>332</v>
      </c>
      <c r="E87" s="185">
        <v>8.4</v>
      </c>
      <c r="F87" s="197">
        <v>33018</v>
      </c>
      <c r="G87" s="198">
        <v>30135.53</v>
      </c>
      <c r="H87" s="187">
        <f t="shared" si="7"/>
        <v>253138</v>
      </c>
      <c r="I87" s="15"/>
      <c r="K87" s="43"/>
    </row>
    <row r="88" spans="1:11" ht="27.6" x14ac:dyDescent="0.3">
      <c r="A88" s="11"/>
      <c r="B88" s="216" t="s">
        <v>91</v>
      </c>
      <c r="C88" s="189" t="s">
        <v>414</v>
      </c>
      <c r="D88" s="190" t="s">
        <v>332</v>
      </c>
      <c r="E88" s="191">
        <v>13.6</v>
      </c>
      <c r="F88" s="192">
        <v>50787</v>
      </c>
      <c r="G88" s="193">
        <v>46353.29</v>
      </c>
      <c r="H88" s="194">
        <f t="shared" si="7"/>
        <v>630405</v>
      </c>
      <c r="I88" s="15"/>
      <c r="K88" s="43"/>
    </row>
    <row r="89" spans="1:11" ht="27.6" x14ac:dyDescent="0.3">
      <c r="A89" s="11"/>
      <c r="B89" s="215" t="s">
        <v>92</v>
      </c>
      <c r="C89" s="196" t="s">
        <v>415</v>
      </c>
      <c r="D89" s="184" t="s">
        <v>351</v>
      </c>
      <c r="E89" s="185">
        <v>8</v>
      </c>
      <c r="F89" s="197">
        <v>202611</v>
      </c>
      <c r="G89" s="198">
        <v>184923.06</v>
      </c>
      <c r="H89" s="187">
        <f t="shared" si="7"/>
        <v>1479384</v>
      </c>
      <c r="I89" s="15"/>
      <c r="K89" s="43"/>
    </row>
    <row r="90" spans="1:11" x14ac:dyDescent="0.3">
      <c r="A90" s="11"/>
      <c r="B90" s="236" t="s">
        <v>93</v>
      </c>
      <c r="C90" s="237" t="s">
        <v>416</v>
      </c>
      <c r="D90" s="190"/>
      <c r="E90" s="191"/>
      <c r="F90" s="192" t="s">
        <v>331</v>
      </c>
      <c r="G90" s="193">
        <v>0</v>
      </c>
      <c r="H90" s="194">
        <f t="shared" si="7"/>
        <v>0</v>
      </c>
      <c r="I90" s="15"/>
      <c r="K90" s="43"/>
    </row>
    <row r="91" spans="1:11" ht="41.4" x14ac:dyDescent="0.3">
      <c r="A91" s="11"/>
      <c r="B91" s="215" t="s">
        <v>94</v>
      </c>
      <c r="C91" s="196" t="s">
        <v>417</v>
      </c>
      <c r="D91" s="184" t="s">
        <v>351</v>
      </c>
      <c r="E91" s="185">
        <v>1</v>
      </c>
      <c r="F91" s="197">
        <v>4869004</v>
      </c>
      <c r="G91" s="198">
        <v>4443939.95</v>
      </c>
      <c r="H91" s="187">
        <f t="shared" si="7"/>
        <v>4443940</v>
      </c>
      <c r="I91" s="15"/>
      <c r="K91" s="43"/>
    </row>
    <row r="92" spans="1:11" ht="42" thickBot="1" x14ac:dyDescent="0.35">
      <c r="A92" s="11"/>
      <c r="B92" s="216" t="s">
        <v>95</v>
      </c>
      <c r="C92" s="189" t="s">
        <v>418</v>
      </c>
      <c r="D92" s="190" t="s">
        <v>351</v>
      </c>
      <c r="E92" s="191">
        <v>2</v>
      </c>
      <c r="F92" s="192">
        <v>2083366</v>
      </c>
      <c r="G92" s="193">
        <v>1901488.15</v>
      </c>
      <c r="H92" s="194">
        <f t="shared" si="7"/>
        <v>3802976</v>
      </c>
      <c r="I92" s="15"/>
      <c r="K92" s="43"/>
    </row>
    <row r="93" spans="1:11" ht="14.4" thickTop="1" x14ac:dyDescent="0.3">
      <c r="A93" s="11"/>
      <c r="B93" s="238" t="s">
        <v>19</v>
      </c>
      <c r="C93" s="218"/>
      <c r="D93" s="218"/>
      <c r="E93" s="218"/>
      <c r="F93" s="219"/>
      <c r="G93" s="220"/>
      <c r="H93" s="221">
        <f>SUBTOTAL(109,'FORMULARIO 1'!$H$59:$H$92)</f>
        <v>34307194</v>
      </c>
      <c r="I93" s="15"/>
      <c r="K93" s="43"/>
    </row>
    <row r="94" spans="1:11" ht="27.6" x14ac:dyDescent="0.3">
      <c r="A94" s="11"/>
      <c r="B94" s="206" t="s">
        <v>96</v>
      </c>
      <c r="C94" s="177" t="s">
        <v>97</v>
      </c>
      <c r="D94" s="178" t="s">
        <v>10</v>
      </c>
      <c r="E94" s="179" t="s">
        <v>11</v>
      </c>
      <c r="F94" s="180" t="s">
        <v>329</v>
      </c>
      <c r="G94" s="207" t="s">
        <v>330</v>
      </c>
      <c r="H94" s="208" t="s">
        <v>13</v>
      </c>
      <c r="I94" s="15"/>
      <c r="K94" s="43"/>
    </row>
    <row r="95" spans="1:11" x14ac:dyDescent="0.3">
      <c r="A95" s="11"/>
      <c r="B95" s="239" t="s">
        <v>98</v>
      </c>
      <c r="C95" s="240" t="s">
        <v>419</v>
      </c>
      <c r="D95" s="184"/>
      <c r="E95" s="185"/>
      <c r="F95" s="197"/>
      <c r="G95" s="198"/>
      <c r="H95" s="210"/>
      <c r="I95" s="15"/>
      <c r="K95" s="43"/>
    </row>
    <row r="96" spans="1:11" ht="27.6" x14ac:dyDescent="0.3">
      <c r="A96" s="11"/>
      <c r="B96" s="241" t="s">
        <v>99</v>
      </c>
      <c r="C96" s="242" t="s">
        <v>420</v>
      </c>
      <c r="D96" s="190" t="s">
        <v>351</v>
      </c>
      <c r="E96" s="243">
        <v>1</v>
      </c>
      <c r="F96" s="244">
        <v>495129</v>
      </c>
      <c r="G96" s="193">
        <v>451904.24</v>
      </c>
      <c r="H96" s="212">
        <f t="shared" ref="H96:H158" si="8">IFERROR(ROUND($E96*$G96,0),"")</f>
        <v>451904</v>
      </c>
      <c r="I96" s="15"/>
      <c r="K96" s="43"/>
    </row>
    <row r="97" spans="1:11" x14ac:dyDescent="0.3">
      <c r="A97" s="11"/>
      <c r="B97" s="239" t="s">
        <v>100</v>
      </c>
      <c r="C97" s="240" t="s">
        <v>421</v>
      </c>
      <c r="D97" s="245"/>
      <c r="E97" s="246"/>
      <c r="F97" s="247">
        <v>0</v>
      </c>
      <c r="G97" s="198"/>
      <c r="H97" s="210">
        <f t="shared" si="8"/>
        <v>0</v>
      </c>
      <c r="I97" s="15"/>
      <c r="K97" s="43"/>
    </row>
    <row r="98" spans="1:11" ht="27.6" x14ac:dyDescent="0.3">
      <c r="A98" s="11"/>
      <c r="B98" s="241" t="s">
        <v>101</v>
      </c>
      <c r="C98" s="225" t="s">
        <v>422</v>
      </c>
      <c r="D98" s="190" t="s">
        <v>332</v>
      </c>
      <c r="E98" s="243">
        <v>80</v>
      </c>
      <c r="F98" s="244">
        <v>38205</v>
      </c>
      <c r="G98" s="193">
        <v>34869.699999999997</v>
      </c>
      <c r="H98" s="212">
        <f t="shared" si="8"/>
        <v>2789576</v>
      </c>
      <c r="I98" s="15"/>
      <c r="K98" s="43"/>
    </row>
    <row r="99" spans="1:11" ht="41.4" x14ac:dyDescent="0.3">
      <c r="A99" s="11"/>
      <c r="B99" s="215" t="s">
        <v>102</v>
      </c>
      <c r="C99" s="227" t="s">
        <v>423</v>
      </c>
      <c r="D99" s="184" t="s">
        <v>332</v>
      </c>
      <c r="E99" s="246">
        <v>40</v>
      </c>
      <c r="F99" s="247">
        <v>46078</v>
      </c>
      <c r="G99" s="198">
        <v>42055.39</v>
      </c>
      <c r="H99" s="210">
        <f t="shared" si="8"/>
        <v>1682216</v>
      </c>
      <c r="I99" s="15"/>
      <c r="K99" s="43"/>
    </row>
    <row r="100" spans="1:11" ht="55.2" x14ac:dyDescent="0.3">
      <c r="A100" s="11"/>
      <c r="B100" s="216" t="s">
        <v>103</v>
      </c>
      <c r="C100" s="225" t="s">
        <v>424</v>
      </c>
      <c r="D100" s="190" t="s">
        <v>351</v>
      </c>
      <c r="E100" s="243">
        <v>4</v>
      </c>
      <c r="F100" s="244">
        <v>1087143</v>
      </c>
      <c r="G100" s="193">
        <v>992235.42</v>
      </c>
      <c r="H100" s="212">
        <f t="shared" si="8"/>
        <v>3968942</v>
      </c>
      <c r="I100" s="15"/>
      <c r="K100" s="43"/>
    </row>
    <row r="101" spans="1:11" x14ac:dyDescent="0.3">
      <c r="A101" s="11"/>
      <c r="B101" s="239" t="s">
        <v>104</v>
      </c>
      <c r="C101" s="248" t="s">
        <v>425</v>
      </c>
      <c r="D101" s="184"/>
      <c r="E101" s="185"/>
      <c r="F101" s="197">
        <v>0</v>
      </c>
      <c r="G101" s="198"/>
      <c r="H101" s="210">
        <f t="shared" si="8"/>
        <v>0</v>
      </c>
      <c r="I101" s="15"/>
      <c r="K101" s="43"/>
    </row>
    <row r="102" spans="1:11" ht="151.80000000000001" x14ac:dyDescent="0.3">
      <c r="A102" s="11"/>
      <c r="B102" s="241" t="s">
        <v>105</v>
      </c>
      <c r="C102" s="225" t="s">
        <v>426</v>
      </c>
      <c r="D102" s="190" t="s">
        <v>351</v>
      </c>
      <c r="E102" s="243">
        <v>1</v>
      </c>
      <c r="F102" s="244">
        <v>7928516</v>
      </c>
      <c r="G102" s="193">
        <v>7236356.5499999998</v>
      </c>
      <c r="H102" s="212">
        <f t="shared" si="8"/>
        <v>7236357</v>
      </c>
      <c r="I102" s="15"/>
      <c r="K102" s="43"/>
    </row>
    <row r="103" spans="1:11" ht="55.2" x14ac:dyDescent="0.3">
      <c r="A103" s="11"/>
      <c r="B103" s="215" t="s">
        <v>106</v>
      </c>
      <c r="C103" s="227" t="s">
        <v>427</v>
      </c>
      <c r="D103" s="184" t="s">
        <v>351</v>
      </c>
      <c r="E103" s="246">
        <v>1</v>
      </c>
      <c r="F103" s="247">
        <v>1316006</v>
      </c>
      <c r="G103" s="198">
        <v>1201118.68</v>
      </c>
      <c r="H103" s="210">
        <f t="shared" si="8"/>
        <v>1201119</v>
      </c>
      <c r="I103" s="15"/>
      <c r="K103" s="43"/>
    </row>
    <row r="104" spans="1:11" ht="55.2" x14ac:dyDescent="0.3">
      <c r="A104" s="11"/>
      <c r="B104" s="216" t="s">
        <v>107</v>
      </c>
      <c r="C104" s="225" t="s">
        <v>428</v>
      </c>
      <c r="D104" s="190" t="s">
        <v>351</v>
      </c>
      <c r="E104" s="191">
        <v>1</v>
      </c>
      <c r="F104" s="192">
        <v>446682</v>
      </c>
      <c r="G104" s="193">
        <v>407686.66</v>
      </c>
      <c r="H104" s="212">
        <f t="shared" si="8"/>
        <v>407687</v>
      </c>
      <c r="I104" s="15"/>
      <c r="K104" s="43"/>
    </row>
    <row r="105" spans="1:11" x14ac:dyDescent="0.3">
      <c r="A105" s="11"/>
      <c r="B105" s="235" t="s">
        <v>108</v>
      </c>
      <c r="C105" s="223" t="s">
        <v>429</v>
      </c>
      <c r="D105" s="184"/>
      <c r="E105" s="246"/>
      <c r="F105" s="247" t="s">
        <v>331</v>
      </c>
      <c r="G105" s="198"/>
      <c r="H105" s="210">
        <f t="shared" si="8"/>
        <v>0</v>
      </c>
      <c r="I105" s="15"/>
      <c r="K105" s="43"/>
    </row>
    <row r="106" spans="1:11" ht="41.4" x14ac:dyDescent="0.3">
      <c r="A106" s="11"/>
      <c r="B106" s="216" t="s">
        <v>109</v>
      </c>
      <c r="C106" s="225" t="s">
        <v>430</v>
      </c>
      <c r="D106" s="190" t="s">
        <v>332</v>
      </c>
      <c r="E106" s="191">
        <v>50</v>
      </c>
      <c r="F106" s="192">
        <v>177622</v>
      </c>
      <c r="G106" s="193">
        <v>162115.6</v>
      </c>
      <c r="H106" s="212">
        <f t="shared" si="8"/>
        <v>8105780</v>
      </c>
      <c r="I106" s="15"/>
      <c r="K106" s="43"/>
    </row>
    <row r="107" spans="1:11" ht="41.4" x14ac:dyDescent="0.3">
      <c r="A107" s="11"/>
      <c r="B107" s="215" t="s">
        <v>110</v>
      </c>
      <c r="C107" s="227" t="s">
        <v>431</v>
      </c>
      <c r="D107" s="184" t="s">
        <v>332</v>
      </c>
      <c r="E107" s="185">
        <v>15</v>
      </c>
      <c r="F107" s="197">
        <v>71125</v>
      </c>
      <c r="G107" s="198">
        <v>64915.79</v>
      </c>
      <c r="H107" s="210">
        <f t="shared" si="8"/>
        <v>973737</v>
      </c>
      <c r="I107" s="15"/>
      <c r="K107" s="43"/>
    </row>
    <row r="108" spans="1:11" ht="41.4" x14ac:dyDescent="0.3">
      <c r="A108" s="11"/>
      <c r="B108" s="216" t="s">
        <v>111</v>
      </c>
      <c r="C108" s="225" t="s">
        <v>432</v>
      </c>
      <c r="D108" s="190" t="s">
        <v>332</v>
      </c>
      <c r="E108" s="191">
        <v>15</v>
      </c>
      <c r="F108" s="192">
        <v>40109</v>
      </c>
      <c r="G108" s="193">
        <v>36607.480000000003</v>
      </c>
      <c r="H108" s="212">
        <f t="shared" si="8"/>
        <v>549112</v>
      </c>
      <c r="I108" s="15"/>
      <c r="K108" s="43"/>
    </row>
    <row r="109" spans="1:11" ht="41.4" x14ac:dyDescent="0.3">
      <c r="A109" s="11"/>
      <c r="B109" s="215" t="s">
        <v>112</v>
      </c>
      <c r="C109" s="227" t="s">
        <v>433</v>
      </c>
      <c r="D109" s="184" t="s">
        <v>332</v>
      </c>
      <c r="E109" s="185">
        <v>10</v>
      </c>
      <c r="F109" s="197">
        <v>34312</v>
      </c>
      <c r="G109" s="198">
        <v>31316.560000000001</v>
      </c>
      <c r="H109" s="210">
        <f t="shared" si="8"/>
        <v>313166</v>
      </c>
      <c r="I109" s="15"/>
      <c r="K109" s="43"/>
    </row>
    <row r="110" spans="1:11" x14ac:dyDescent="0.3">
      <c r="A110" s="11"/>
      <c r="B110" s="236" t="s">
        <v>113</v>
      </c>
      <c r="C110" s="249" t="s">
        <v>434</v>
      </c>
      <c r="D110" s="190"/>
      <c r="E110" s="191"/>
      <c r="F110" s="192" t="s">
        <v>331</v>
      </c>
      <c r="G110" s="193"/>
      <c r="H110" s="212">
        <f t="shared" si="8"/>
        <v>0</v>
      </c>
      <c r="I110" s="15"/>
      <c r="K110" s="43"/>
    </row>
    <row r="111" spans="1:11" ht="69" x14ac:dyDescent="0.3">
      <c r="A111" s="11"/>
      <c r="B111" s="215" t="s">
        <v>114</v>
      </c>
      <c r="C111" s="227" t="s">
        <v>435</v>
      </c>
      <c r="D111" s="184" t="s">
        <v>351</v>
      </c>
      <c r="E111" s="185">
        <v>5</v>
      </c>
      <c r="F111" s="197">
        <v>123372</v>
      </c>
      <c r="G111" s="198">
        <v>112601.62</v>
      </c>
      <c r="H111" s="210">
        <f t="shared" si="8"/>
        <v>563008</v>
      </c>
      <c r="I111" s="15"/>
      <c r="K111" s="43"/>
    </row>
    <row r="112" spans="1:11" ht="82.8" x14ac:dyDescent="0.3">
      <c r="A112" s="11"/>
      <c r="B112" s="216" t="s">
        <v>115</v>
      </c>
      <c r="C112" s="225" t="s">
        <v>436</v>
      </c>
      <c r="D112" s="190" t="s">
        <v>351</v>
      </c>
      <c r="E112" s="191">
        <v>5</v>
      </c>
      <c r="F112" s="192">
        <v>181365</v>
      </c>
      <c r="G112" s="193">
        <v>165531.84</v>
      </c>
      <c r="H112" s="212">
        <f t="shared" si="8"/>
        <v>827659</v>
      </c>
      <c r="I112" s="15"/>
      <c r="K112" s="43"/>
    </row>
    <row r="113" spans="1:11" ht="82.8" x14ac:dyDescent="0.3">
      <c r="A113" s="11"/>
      <c r="B113" s="215" t="s">
        <v>116</v>
      </c>
      <c r="C113" s="227" t="s">
        <v>437</v>
      </c>
      <c r="D113" s="184" t="s">
        <v>351</v>
      </c>
      <c r="E113" s="185">
        <v>10</v>
      </c>
      <c r="F113" s="197">
        <v>149917</v>
      </c>
      <c r="G113" s="198">
        <v>136829.25</v>
      </c>
      <c r="H113" s="210">
        <f t="shared" si="8"/>
        <v>1368293</v>
      </c>
      <c r="I113" s="15"/>
      <c r="K113" s="43"/>
    </row>
    <row r="114" spans="1:11" ht="82.8" x14ac:dyDescent="0.3">
      <c r="A114" s="11"/>
      <c r="B114" s="216" t="s">
        <v>117</v>
      </c>
      <c r="C114" s="225" t="s">
        <v>438</v>
      </c>
      <c r="D114" s="190" t="s">
        <v>351</v>
      </c>
      <c r="E114" s="243">
        <v>2</v>
      </c>
      <c r="F114" s="244">
        <v>201147</v>
      </c>
      <c r="G114" s="193">
        <v>183586.87</v>
      </c>
      <c r="H114" s="212">
        <f t="shared" si="8"/>
        <v>367174</v>
      </c>
      <c r="I114" s="15"/>
      <c r="K114" s="43"/>
    </row>
    <row r="115" spans="1:11" ht="82.8" x14ac:dyDescent="0.3">
      <c r="A115" s="11"/>
      <c r="B115" s="215" t="s">
        <v>118</v>
      </c>
      <c r="C115" s="227" t="s">
        <v>439</v>
      </c>
      <c r="D115" s="184" t="s">
        <v>351</v>
      </c>
      <c r="E115" s="185">
        <v>8</v>
      </c>
      <c r="F115" s="197">
        <v>180268</v>
      </c>
      <c r="G115" s="198">
        <v>164530.6</v>
      </c>
      <c r="H115" s="210">
        <f>IFERROR(ROUND($E115*$G115,0),"")</f>
        <v>1316245</v>
      </c>
      <c r="I115" s="15"/>
      <c r="K115" s="43"/>
    </row>
    <row r="116" spans="1:11" ht="27.6" x14ac:dyDescent="0.3">
      <c r="A116" s="11"/>
      <c r="B116" s="216" t="s">
        <v>119</v>
      </c>
      <c r="C116" s="225" t="s">
        <v>440</v>
      </c>
      <c r="D116" s="190" t="s">
        <v>332</v>
      </c>
      <c r="E116" s="191">
        <v>180</v>
      </c>
      <c r="F116" s="192">
        <v>19234</v>
      </c>
      <c r="G116" s="193">
        <v>17554.87</v>
      </c>
      <c r="H116" s="212">
        <f t="shared" si="8"/>
        <v>3159877</v>
      </c>
      <c r="I116" s="15"/>
      <c r="K116" s="43"/>
    </row>
    <row r="117" spans="1:11" x14ac:dyDescent="0.3">
      <c r="A117" s="11"/>
      <c r="B117" s="235" t="s">
        <v>120</v>
      </c>
      <c r="C117" s="223" t="s">
        <v>441</v>
      </c>
      <c r="D117" s="184"/>
      <c r="E117" s="184"/>
      <c r="F117" s="250"/>
      <c r="G117" s="251"/>
      <c r="H117" s="210">
        <f t="shared" si="8"/>
        <v>0</v>
      </c>
      <c r="I117" s="15"/>
      <c r="K117" s="43"/>
    </row>
    <row r="118" spans="1:11" ht="55.2" x14ac:dyDescent="0.3">
      <c r="A118" s="11"/>
      <c r="B118" s="216" t="s">
        <v>121</v>
      </c>
      <c r="C118" s="225" t="s">
        <v>442</v>
      </c>
      <c r="D118" s="190" t="s">
        <v>332</v>
      </c>
      <c r="E118" s="191">
        <v>90</v>
      </c>
      <c r="F118" s="192">
        <v>26480</v>
      </c>
      <c r="G118" s="193">
        <v>24168.3</v>
      </c>
      <c r="H118" s="212">
        <f t="shared" si="8"/>
        <v>2175147</v>
      </c>
      <c r="I118" s="15"/>
      <c r="K118" s="43"/>
    </row>
    <row r="119" spans="1:11" x14ac:dyDescent="0.3">
      <c r="A119" s="11"/>
      <c r="B119" s="215" t="s">
        <v>122</v>
      </c>
      <c r="C119" s="223" t="s">
        <v>443</v>
      </c>
      <c r="D119" s="184"/>
      <c r="E119" s="186"/>
      <c r="F119" s="186"/>
      <c r="G119" s="198"/>
      <c r="H119" s="210"/>
      <c r="I119" s="15"/>
      <c r="K119" s="43"/>
    </row>
    <row r="120" spans="1:11" ht="82.8" x14ac:dyDescent="0.3">
      <c r="A120" s="11"/>
      <c r="B120" s="216" t="s">
        <v>123</v>
      </c>
      <c r="C120" s="225" t="s">
        <v>444</v>
      </c>
      <c r="D120" s="190" t="s">
        <v>351</v>
      </c>
      <c r="E120" s="191">
        <v>9</v>
      </c>
      <c r="F120" s="192">
        <v>159528</v>
      </c>
      <c r="G120" s="193">
        <v>145601.21</v>
      </c>
      <c r="H120" s="212">
        <f t="shared" si="8"/>
        <v>1310411</v>
      </c>
      <c r="I120" s="15"/>
      <c r="K120" s="43"/>
    </row>
    <row r="121" spans="1:11" ht="82.8" x14ac:dyDescent="0.3">
      <c r="A121" s="11"/>
      <c r="B121" s="215" t="s">
        <v>124</v>
      </c>
      <c r="C121" s="227" t="s">
        <v>445</v>
      </c>
      <c r="D121" s="184" t="s">
        <v>351</v>
      </c>
      <c r="E121" s="185">
        <v>5</v>
      </c>
      <c r="F121" s="197">
        <v>192999</v>
      </c>
      <c r="G121" s="198">
        <v>176150.19</v>
      </c>
      <c r="H121" s="210">
        <f t="shared" si="8"/>
        <v>880751</v>
      </c>
      <c r="I121" s="15"/>
      <c r="K121" s="43"/>
    </row>
    <row r="122" spans="1:11" ht="82.8" x14ac:dyDescent="0.3">
      <c r="A122" s="11"/>
      <c r="B122" s="216" t="s">
        <v>125</v>
      </c>
      <c r="C122" s="225" t="s">
        <v>446</v>
      </c>
      <c r="D122" s="190" t="s">
        <v>351</v>
      </c>
      <c r="E122" s="191">
        <v>44</v>
      </c>
      <c r="F122" s="192">
        <v>184747</v>
      </c>
      <c r="G122" s="193">
        <v>168618.59</v>
      </c>
      <c r="H122" s="212">
        <f t="shared" si="8"/>
        <v>7419218</v>
      </c>
      <c r="I122" s="15"/>
      <c r="K122" s="43"/>
    </row>
    <row r="123" spans="1:11" ht="55.2" x14ac:dyDescent="0.3">
      <c r="A123" s="11"/>
      <c r="B123" s="215" t="s">
        <v>126</v>
      </c>
      <c r="C123" s="227" t="s">
        <v>447</v>
      </c>
      <c r="D123" s="184" t="s">
        <v>351</v>
      </c>
      <c r="E123" s="185">
        <v>35</v>
      </c>
      <c r="F123" s="197">
        <v>123175</v>
      </c>
      <c r="G123" s="198">
        <v>112421.82</v>
      </c>
      <c r="H123" s="210">
        <f>IFERROR(ROUND($E123*$G123,0),"")</f>
        <v>3934764</v>
      </c>
      <c r="I123" s="15"/>
      <c r="K123" s="43"/>
    </row>
    <row r="124" spans="1:11" ht="55.2" x14ac:dyDescent="0.3">
      <c r="A124" s="11"/>
      <c r="B124" s="216" t="s">
        <v>127</v>
      </c>
      <c r="C124" s="225" t="s">
        <v>448</v>
      </c>
      <c r="D124" s="190" t="s">
        <v>351</v>
      </c>
      <c r="E124" s="191">
        <v>18</v>
      </c>
      <c r="F124" s="192">
        <v>156167</v>
      </c>
      <c r="G124" s="193">
        <v>142533.62</v>
      </c>
      <c r="H124" s="212">
        <f>IFERROR(ROUND($E124*$G124,0),"")</f>
        <v>2565605</v>
      </c>
      <c r="I124" s="15"/>
      <c r="K124" s="43"/>
    </row>
    <row r="125" spans="1:11" ht="55.2" x14ac:dyDescent="0.3">
      <c r="A125" s="11"/>
      <c r="B125" s="215" t="s">
        <v>128</v>
      </c>
      <c r="C125" s="227" t="s">
        <v>449</v>
      </c>
      <c r="D125" s="184" t="s">
        <v>351</v>
      </c>
      <c r="E125" s="185">
        <v>16</v>
      </c>
      <c r="F125" s="197">
        <v>808154</v>
      </c>
      <c r="G125" s="198">
        <v>737602.16</v>
      </c>
      <c r="H125" s="210">
        <f t="shared" si="8"/>
        <v>11801635</v>
      </c>
      <c r="I125" s="15"/>
      <c r="K125" s="43"/>
    </row>
    <row r="126" spans="1:11" ht="41.4" x14ac:dyDescent="0.3">
      <c r="A126" s="11"/>
      <c r="B126" s="216" t="s">
        <v>129</v>
      </c>
      <c r="C126" s="225" t="s">
        <v>450</v>
      </c>
      <c r="D126" s="190" t="s">
        <v>351</v>
      </c>
      <c r="E126" s="191">
        <v>5</v>
      </c>
      <c r="F126" s="192">
        <v>103599</v>
      </c>
      <c r="G126" s="193">
        <v>94554.81</v>
      </c>
      <c r="H126" s="212">
        <f t="shared" si="8"/>
        <v>472774</v>
      </c>
      <c r="I126" s="15"/>
      <c r="K126" s="43"/>
    </row>
    <row r="127" spans="1:11" ht="27.6" x14ac:dyDescent="0.3">
      <c r="A127" s="11"/>
      <c r="B127" s="215" t="s">
        <v>130</v>
      </c>
      <c r="C127" s="227" t="s">
        <v>451</v>
      </c>
      <c r="D127" s="184" t="s">
        <v>351</v>
      </c>
      <c r="E127" s="185">
        <v>4</v>
      </c>
      <c r="F127" s="197">
        <v>184604</v>
      </c>
      <c r="G127" s="198">
        <v>168488.07</v>
      </c>
      <c r="H127" s="210">
        <f t="shared" si="8"/>
        <v>673952</v>
      </c>
      <c r="I127" s="15"/>
      <c r="K127" s="43"/>
    </row>
    <row r="128" spans="1:11" ht="55.2" x14ac:dyDescent="0.3">
      <c r="A128" s="11"/>
      <c r="B128" s="216" t="s">
        <v>131</v>
      </c>
      <c r="C128" s="225" t="s">
        <v>452</v>
      </c>
      <c r="D128" s="190" t="s">
        <v>351</v>
      </c>
      <c r="E128" s="191">
        <v>4</v>
      </c>
      <c r="F128" s="192">
        <v>262479</v>
      </c>
      <c r="G128" s="193">
        <v>239564.58</v>
      </c>
      <c r="H128" s="212">
        <f t="shared" si="8"/>
        <v>958258</v>
      </c>
      <c r="I128" s="15"/>
      <c r="K128" s="43"/>
    </row>
    <row r="129" spans="1:11" ht="27.6" x14ac:dyDescent="0.3">
      <c r="A129" s="11"/>
      <c r="B129" s="215" t="s">
        <v>132</v>
      </c>
      <c r="C129" s="227" t="s">
        <v>453</v>
      </c>
      <c r="D129" s="184" t="s">
        <v>351</v>
      </c>
      <c r="E129" s="185">
        <v>18</v>
      </c>
      <c r="F129" s="197">
        <v>452924</v>
      </c>
      <c r="G129" s="198">
        <v>413383.73</v>
      </c>
      <c r="H129" s="210">
        <f t="shared" si="8"/>
        <v>7440907</v>
      </c>
      <c r="I129" s="15"/>
      <c r="K129" s="43"/>
    </row>
    <row r="130" spans="1:11" x14ac:dyDescent="0.3">
      <c r="A130" s="11"/>
      <c r="B130" s="216" t="s">
        <v>133</v>
      </c>
      <c r="C130" s="225" t="s">
        <v>454</v>
      </c>
      <c r="D130" s="190" t="s">
        <v>351</v>
      </c>
      <c r="E130" s="191">
        <v>4</v>
      </c>
      <c r="F130" s="192">
        <v>157351</v>
      </c>
      <c r="G130" s="193">
        <v>143614.26</v>
      </c>
      <c r="H130" s="212">
        <f t="shared" si="8"/>
        <v>574457</v>
      </c>
      <c r="I130" s="15"/>
      <c r="K130" s="43"/>
    </row>
    <row r="131" spans="1:11" x14ac:dyDescent="0.3">
      <c r="A131" s="11"/>
      <c r="B131" s="235" t="s">
        <v>134</v>
      </c>
      <c r="C131" s="223" t="s">
        <v>455</v>
      </c>
      <c r="D131" s="184"/>
      <c r="E131" s="184"/>
      <c r="F131" s="250"/>
      <c r="G131" s="198"/>
      <c r="H131" s="210">
        <f t="shared" si="8"/>
        <v>0</v>
      </c>
      <c r="I131" s="15"/>
      <c r="K131" s="43"/>
    </row>
    <row r="132" spans="1:11" ht="55.2" x14ac:dyDescent="0.3">
      <c r="A132" s="11"/>
      <c r="B132" s="216" t="s">
        <v>135</v>
      </c>
      <c r="C132" s="225" t="s">
        <v>456</v>
      </c>
      <c r="D132" s="190" t="s">
        <v>351</v>
      </c>
      <c r="E132" s="191">
        <v>4</v>
      </c>
      <c r="F132" s="192">
        <v>560106</v>
      </c>
      <c r="G132" s="193">
        <v>511208.75</v>
      </c>
      <c r="H132" s="212">
        <f t="shared" si="8"/>
        <v>2044835</v>
      </c>
      <c r="I132" s="15"/>
      <c r="K132" s="43"/>
    </row>
    <row r="133" spans="1:11" ht="41.4" x14ac:dyDescent="0.3">
      <c r="A133" s="11"/>
      <c r="B133" s="215" t="s">
        <v>136</v>
      </c>
      <c r="C133" s="227" t="s">
        <v>457</v>
      </c>
      <c r="D133" s="184" t="s">
        <v>332</v>
      </c>
      <c r="E133" s="185">
        <v>40</v>
      </c>
      <c r="F133" s="197">
        <v>59618</v>
      </c>
      <c r="G133" s="198">
        <v>54413.35</v>
      </c>
      <c r="H133" s="210">
        <f t="shared" si="8"/>
        <v>2176534</v>
      </c>
      <c r="I133" s="15"/>
      <c r="K133" s="43"/>
    </row>
    <row r="134" spans="1:11" ht="27.6" x14ac:dyDescent="0.3">
      <c r="A134" s="11"/>
      <c r="B134" s="216" t="s">
        <v>137</v>
      </c>
      <c r="C134" s="225" t="s">
        <v>458</v>
      </c>
      <c r="D134" s="190" t="s">
        <v>332</v>
      </c>
      <c r="E134" s="191">
        <v>40</v>
      </c>
      <c r="F134" s="192">
        <v>26480</v>
      </c>
      <c r="G134" s="193">
        <v>24168.3</v>
      </c>
      <c r="H134" s="212">
        <f t="shared" si="8"/>
        <v>966732</v>
      </c>
      <c r="I134" s="15"/>
      <c r="K134" s="43"/>
    </row>
    <row r="135" spans="1:11" ht="41.4" x14ac:dyDescent="0.3">
      <c r="A135" s="11"/>
      <c r="B135" s="215" t="s">
        <v>138</v>
      </c>
      <c r="C135" s="227" t="s">
        <v>459</v>
      </c>
      <c r="D135" s="184" t="s">
        <v>351</v>
      </c>
      <c r="E135" s="185">
        <v>14</v>
      </c>
      <c r="F135" s="197">
        <v>136322</v>
      </c>
      <c r="G135" s="198">
        <v>124421.09</v>
      </c>
      <c r="H135" s="210">
        <f t="shared" si="8"/>
        <v>1741895</v>
      </c>
      <c r="I135" s="15"/>
      <c r="K135" s="43"/>
    </row>
    <row r="136" spans="1:11" ht="41.4" x14ac:dyDescent="0.3">
      <c r="A136" s="11"/>
      <c r="B136" s="216" t="s">
        <v>139</v>
      </c>
      <c r="C136" s="225" t="s">
        <v>460</v>
      </c>
      <c r="D136" s="190" t="s">
        <v>351</v>
      </c>
      <c r="E136" s="191">
        <v>21</v>
      </c>
      <c r="F136" s="192">
        <v>159440</v>
      </c>
      <c r="G136" s="193">
        <v>145520.89000000001</v>
      </c>
      <c r="H136" s="212">
        <f t="shared" si="8"/>
        <v>3055939</v>
      </c>
      <c r="I136" s="15"/>
      <c r="K136" s="43"/>
    </row>
    <row r="137" spans="1:11" ht="69" x14ac:dyDescent="0.3">
      <c r="A137" s="11"/>
      <c r="B137" s="215" t="s">
        <v>140</v>
      </c>
      <c r="C137" s="227" t="s">
        <v>461</v>
      </c>
      <c r="D137" s="184" t="s">
        <v>351</v>
      </c>
      <c r="E137" s="185">
        <v>4</v>
      </c>
      <c r="F137" s="197">
        <v>2584465</v>
      </c>
      <c r="G137" s="198">
        <v>2358841.21</v>
      </c>
      <c r="H137" s="210">
        <f>IFERROR(ROUND($E137*$G137,0),"")</f>
        <v>9435365</v>
      </c>
      <c r="I137" s="15"/>
      <c r="K137" s="43"/>
    </row>
    <row r="138" spans="1:11" x14ac:dyDescent="0.3">
      <c r="A138" s="11"/>
      <c r="B138" s="236" t="s">
        <v>141</v>
      </c>
      <c r="C138" s="249" t="s">
        <v>462</v>
      </c>
      <c r="D138" s="190"/>
      <c r="E138" s="191"/>
      <c r="F138" s="192"/>
      <c r="G138" s="193"/>
      <c r="H138" s="212">
        <f t="shared" si="8"/>
        <v>0</v>
      </c>
      <c r="I138" s="15"/>
      <c r="K138" s="43"/>
    </row>
    <row r="139" spans="1:11" ht="27.6" x14ac:dyDescent="0.3">
      <c r="A139" s="11"/>
      <c r="B139" s="215" t="s">
        <v>142</v>
      </c>
      <c r="C139" s="227" t="s">
        <v>463</v>
      </c>
      <c r="D139" s="184" t="s">
        <v>332</v>
      </c>
      <c r="E139" s="185">
        <v>30</v>
      </c>
      <c r="F139" s="197">
        <v>75329</v>
      </c>
      <c r="G139" s="198">
        <v>68752.78</v>
      </c>
      <c r="H139" s="210">
        <f t="shared" si="8"/>
        <v>2062583</v>
      </c>
      <c r="I139" s="15"/>
      <c r="K139" s="43"/>
    </row>
    <row r="140" spans="1:11" x14ac:dyDescent="0.3">
      <c r="A140" s="11"/>
      <c r="B140" s="216" t="s">
        <v>143</v>
      </c>
      <c r="C140" s="225" t="s">
        <v>464</v>
      </c>
      <c r="D140" s="190" t="s">
        <v>351</v>
      </c>
      <c r="E140" s="191">
        <v>10</v>
      </c>
      <c r="F140" s="192">
        <v>38862</v>
      </c>
      <c r="G140" s="193">
        <v>35469.35</v>
      </c>
      <c r="H140" s="212">
        <f t="shared" si="8"/>
        <v>354694</v>
      </c>
      <c r="I140" s="15"/>
      <c r="K140" s="43"/>
    </row>
    <row r="141" spans="1:11" ht="27.6" x14ac:dyDescent="0.3">
      <c r="A141" s="11"/>
      <c r="B141" s="215" t="s">
        <v>144</v>
      </c>
      <c r="C141" s="227" t="s">
        <v>465</v>
      </c>
      <c r="D141" s="184" t="s">
        <v>351</v>
      </c>
      <c r="E141" s="185">
        <v>4</v>
      </c>
      <c r="F141" s="197">
        <v>289713</v>
      </c>
      <c r="G141" s="198">
        <v>264421.06</v>
      </c>
      <c r="H141" s="210">
        <f t="shared" si="8"/>
        <v>1057684</v>
      </c>
      <c r="I141" s="15"/>
      <c r="K141" s="43"/>
    </row>
    <row r="142" spans="1:11" ht="27.6" x14ac:dyDescent="0.3">
      <c r="A142" s="11"/>
      <c r="B142" s="216" t="s">
        <v>145</v>
      </c>
      <c r="C142" s="225" t="s">
        <v>466</v>
      </c>
      <c r="D142" s="190" t="s">
        <v>351</v>
      </c>
      <c r="E142" s="191">
        <v>1</v>
      </c>
      <c r="F142" s="192">
        <v>162379</v>
      </c>
      <c r="G142" s="193">
        <v>148203.31</v>
      </c>
      <c r="H142" s="212">
        <f t="shared" si="8"/>
        <v>148203</v>
      </c>
      <c r="I142" s="15"/>
      <c r="K142" s="43"/>
    </row>
    <row r="143" spans="1:11" x14ac:dyDescent="0.3">
      <c r="A143" s="11"/>
      <c r="B143" s="215" t="s">
        <v>146</v>
      </c>
      <c r="C143" s="227" t="s">
        <v>467</v>
      </c>
      <c r="D143" s="184" t="s">
        <v>351</v>
      </c>
      <c r="E143" s="185">
        <v>4</v>
      </c>
      <c r="F143" s="197">
        <v>119381</v>
      </c>
      <c r="G143" s="198">
        <v>108959.03999999999</v>
      </c>
      <c r="H143" s="210">
        <f t="shared" si="8"/>
        <v>435836</v>
      </c>
      <c r="I143" s="15"/>
      <c r="K143" s="43"/>
    </row>
    <row r="144" spans="1:11" x14ac:dyDescent="0.3">
      <c r="A144" s="11"/>
      <c r="B144" s="236" t="s">
        <v>147</v>
      </c>
      <c r="C144" s="249" t="s">
        <v>468</v>
      </c>
      <c r="D144" s="190"/>
      <c r="E144" s="252"/>
      <c r="F144" s="252"/>
      <c r="G144" s="193"/>
      <c r="H144" s="212"/>
      <c r="I144" s="15"/>
      <c r="K144" s="43"/>
    </row>
    <row r="145" spans="1:11" ht="27.6" x14ac:dyDescent="0.3">
      <c r="A145" s="11"/>
      <c r="B145" s="215" t="s">
        <v>148</v>
      </c>
      <c r="C145" s="227" t="s">
        <v>469</v>
      </c>
      <c r="D145" s="184" t="s">
        <v>332</v>
      </c>
      <c r="E145" s="185">
        <v>110</v>
      </c>
      <c r="F145" s="197">
        <v>66352</v>
      </c>
      <c r="G145" s="198">
        <v>60559.47</v>
      </c>
      <c r="H145" s="210">
        <f t="shared" si="8"/>
        <v>6661542</v>
      </c>
      <c r="I145" s="15"/>
      <c r="K145" s="43"/>
    </row>
    <row r="146" spans="1:11" x14ac:dyDescent="0.3">
      <c r="A146" s="11"/>
      <c r="B146" s="216" t="s">
        <v>149</v>
      </c>
      <c r="C146" s="225" t="s">
        <v>470</v>
      </c>
      <c r="D146" s="190" t="s">
        <v>351</v>
      </c>
      <c r="E146" s="191">
        <v>6</v>
      </c>
      <c r="F146" s="192">
        <v>289713</v>
      </c>
      <c r="G146" s="193">
        <v>264421.06</v>
      </c>
      <c r="H146" s="212">
        <f t="shared" si="8"/>
        <v>1586526</v>
      </c>
      <c r="I146" s="15"/>
      <c r="K146" s="43"/>
    </row>
    <row r="147" spans="1:11" ht="27.6" x14ac:dyDescent="0.3">
      <c r="A147" s="11"/>
      <c r="B147" s="215" t="s">
        <v>150</v>
      </c>
      <c r="C147" s="227" t="s">
        <v>471</v>
      </c>
      <c r="D147" s="184" t="s">
        <v>351</v>
      </c>
      <c r="E147" s="185">
        <v>6</v>
      </c>
      <c r="F147" s="197">
        <v>162379</v>
      </c>
      <c r="G147" s="198">
        <v>148203.31</v>
      </c>
      <c r="H147" s="210">
        <f t="shared" si="8"/>
        <v>889220</v>
      </c>
      <c r="I147" s="15"/>
      <c r="K147" s="43"/>
    </row>
    <row r="148" spans="1:11" ht="27.6" x14ac:dyDescent="0.3">
      <c r="A148" s="11"/>
      <c r="B148" s="216" t="s">
        <v>151</v>
      </c>
      <c r="C148" s="225" t="s">
        <v>472</v>
      </c>
      <c r="D148" s="190" t="s">
        <v>351</v>
      </c>
      <c r="E148" s="191">
        <v>6</v>
      </c>
      <c r="F148" s="192">
        <v>164289</v>
      </c>
      <c r="G148" s="193">
        <v>149946.57</v>
      </c>
      <c r="H148" s="212">
        <f t="shared" si="8"/>
        <v>899679</v>
      </c>
      <c r="I148" s="15"/>
      <c r="K148" s="43"/>
    </row>
    <row r="149" spans="1:11" ht="27.6" x14ac:dyDescent="0.3">
      <c r="A149" s="11"/>
      <c r="B149" s="215" t="s">
        <v>152</v>
      </c>
      <c r="C149" s="227" t="s">
        <v>473</v>
      </c>
      <c r="D149" s="184" t="s">
        <v>332</v>
      </c>
      <c r="E149" s="185">
        <v>240</v>
      </c>
      <c r="F149" s="197">
        <v>47907</v>
      </c>
      <c r="G149" s="198">
        <v>43724.72</v>
      </c>
      <c r="H149" s="210">
        <f t="shared" si="8"/>
        <v>10493933</v>
      </c>
      <c r="I149" s="15"/>
      <c r="K149" s="43"/>
    </row>
    <row r="150" spans="1:11" ht="41.4" x14ac:dyDescent="0.3">
      <c r="A150" s="11"/>
      <c r="B150" s="216" t="s">
        <v>153</v>
      </c>
      <c r="C150" s="225" t="s">
        <v>474</v>
      </c>
      <c r="D150" s="190" t="s">
        <v>351</v>
      </c>
      <c r="E150" s="191">
        <v>6</v>
      </c>
      <c r="F150" s="192">
        <v>138347</v>
      </c>
      <c r="G150" s="193">
        <v>126269.31</v>
      </c>
      <c r="H150" s="212">
        <f t="shared" si="8"/>
        <v>757616</v>
      </c>
      <c r="I150" s="15"/>
      <c r="K150" s="43"/>
    </row>
    <row r="151" spans="1:11" x14ac:dyDescent="0.3">
      <c r="A151" s="11"/>
      <c r="B151" s="235" t="s">
        <v>154</v>
      </c>
      <c r="C151" s="223" t="s">
        <v>475</v>
      </c>
      <c r="D151" s="184"/>
      <c r="E151" s="186"/>
      <c r="F151" s="186"/>
      <c r="G151" s="198"/>
      <c r="H151" s="210">
        <f t="shared" si="8"/>
        <v>0</v>
      </c>
      <c r="I151" s="15"/>
      <c r="K151" s="43"/>
    </row>
    <row r="152" spans="1:11" ht="41.4" x14ac:dyDescent="0.3">
      <c r="A152" s="11"/>
      <c r="B152" s="216" t="s">
        <v>155</v>
      </c>
      <c r="C152" s="225" t="s">
        <v>476</v>
      </c>
      <c r="D152" s="190" t="s">
        <v>351</v>
      </c>
      <c r="E152" s="191">
        <v>4</v>
      </c>
      <c r="F152" s="192">
        <v>174188</v>
      </c>
      <c r="G152" s="193">
        <v>158981.39000000001</v>
      </c>
      <c r="H152" s="212">
        <f t="shared" si="8"/>
        <v>635926</v>
      </c>
      <c r="I152" s="15"/>
      <c r="K152" s="43"/>
    </row>
    <row r="153" spans="1:11" ht="27.6" x14ac:dyDescent="0.3">
      <c r="A153" s="11"/>
      <c r="B153" s="215" t="s">
        <v>156</v>
      </c>
      <c r="C153" s="227" t="s">
        <v>477</v>
      </c>
      <c r="D153" s="184" t="s">
        <v>351</v>
      </c>
      <c r="E153" s="185">
        <v>4</v>
      </c>
      <c r="F153" s="197">
        <v>468615</v>
      </c>
      <c r="G153" s="198">
        <v>427704.91</v>
      </c>
      <c r="H153" s="210">
        <f t="shared" si="8"/>
        <v>1710820</v>
      </c>
      <c r="I153" s="15"/>
      <c r="K153" s="43"/>
    </row>
    <row r="154" spans="1:11" x14ac:dyDescent="0.3">
      <c r="A154" s="11"/>
      <c r="B154" s="236" t="s">
        <v>157</v>
      </c>
      <c r="C154" s="249" t="s">
        <v>478</v>
      </c>
      <c r="D154" s="252" t="s">
        <v>331</v>
      </c>
      <c r="E154" s="252"/>
      <c r="F154" s="252" t="s">
        <v>331</v>
      </c>
      <c r="G154" s="193">
        <v>0</v>
      </c>
      <c r="H154" s="212">
        <f t="shared" si="8"/>
        <v>0</v>
      </c>
      <c r="I154" s="15"/>
      <c r="K154" s="43"/>
    </row>
    <row r="155" spans="1:11" x14ac:dyDescent="0.3">
      <c r="A155" s="11"/>
      <c r="B155" s="215" t="s">
        <v>158</v>
      </c>
      <c r="C155" s="227" t="s">
        <v>479</v>
      </c>
      <c r="D155" s="184" t="s">
        <v>351</v>
      </c>
      <c r="E155" s="185">
        <v>1</v>
      </c>
      <c r="F155" s="197">
        <v>4500000</v>
      </c>
      <c r="G155" s="198">
        <v>4107150</v>
      </c>
      <c r="H155" s="210">
        <f t="shared" si="8"/>
        <v>4107150</v>
      </c>
      <c r="I155" s="15"/>
      <c r="K155" s="43"/>
    </row>
    <row r="156" spans="1:11" x14ac:dyDescent="0.3">
      <c r="A156" s="11"/>
      <c r="B156" s="216" t="s">
        <v>159</v>
      </c>
      <c r="C156" s="225" t="s">
        <v>480</v>
      </c>
      <c r="D156" s="190" t="s">
        <v>351</v>
      </c>
      <c r="E156" s="191">
        <v>1</v>
      </c>
      <c r="F156" s="192">
        <v>4480000</v>
      </c>
      <c r="G156" s="193">
        <v>4088896</v>
      </c>
      <c r="H156" s="212">
        <f t="shared" si="8"/>
        <v>4088896</v>
      </c>
      <c r="I156" s="15"/>
      <c r="K156" s="43"/>
    </row>
    <row r="157" spans="1:11" ht="82.8" x14ac:dyDescent="0.3">
      <c r="A157" s="11"/>
      <c r="B157" s="215" t="s">
        <v>160</v>
      </c>
      <c r="C157" s="227" t="s">
        <v>481</v>
      </c>
      <c r="D157" s="184" t="s">
        <v>351</v>
      </c>
      <c r="E157" s="185">
        <v>1</v>
      </c>
      <c r="F157" s="197">
        <v>2609392</v>
      </c>
      <c r="G157" s="198">
        <v>2381592.08</v>
      </c>
      <c r="H157" s="210">
        <f t="shared" si="8"/>
        <v>2381592</v>
      </c>
      <c r="I157" s="15"/>
      <c r="K157" s="43"/>
    </row>
    <row r="158" spans="1:11" ht="28.2" thickBot="1" x14ac:dyDescent="0.35">
      <c r="A158" s="11"/>
      <c r="B158" s="216" t="s">
        <v>161</v>
      </c>
      <c r="C158" s="225" t="s">
        <v>482</v>
      </c>
      <c r="D158" s="190" t="s">
        <v>351</v>
      </c>
      <c r="E158" s="191">
        <v>1</v>
      </c>
      <c r="F158" s="192">
        <v>2323892</v>
      </c>
      <c r="G158" s="193">
        <v>2121016.23</v>
      </c>
      <c r="H158" s="212">
        <f t="shared" si="8"/>
        <v>2121016</v>
      </c>
      <c r="I158" s="15"/>
      <c r="K158" s="43"/>
    </row>
    <row r="159" spans="1:11" ht="14.4" thickTop="1" x14ac:dyDescent="0.3">
      <c r="A159" s="11"/>
      <c r="B159" s="253" t="s">
        <v>19</v>
      </c>
      <c r="C159" s="217"/>
      <c r="D159" s="202"/>
      <c r="E159" s="202"/>
      <c r="F159" s="203"/>
      <c r="G159" s="204"/>
      <c r="H159" s="214">
        <f>SUBTOTAL(109,'FORMULARIO 1'!$H$95:$H$158)</f>
        <v>135303947</v>
      </c>
      <c r="I159" s="15"/>
      <c r="K159" s="43"/>
    </row>
    <row r="160" spans="1:11" ht="27.6" x14ac:dyDescent="0.3">
      <c r="A160" s="11"/>
      <c r="B160" s="206" t="s">
        <v>162</v>
      </c>
      <c r="C160" s="177" t="s">
        <v>163</v>
      </c>
      <c r="D160" s="178" t="s">
        <v>10</v>
      </c>
      <c r="E160" s="179" t="s">
        <v>11</v>
      </c>
      <c r="F160" s="180" t="s">
        <v>329</v>
      </c>
      <c r="G160" s="207" t="s">
        <v>330</v>
      </c>
      <c r="H160" s="208" t="s">
        <v>13</v>
      </c>
      <c r="I160" s="15"/>
      <c r="K160" s="43"/>
    </row>
    <row r="161" spans="1:11" ht="27.6" x14ac:dyDescent="0.3">
      <c r="A161" s="11"/>
      <c r="B161" s="222" t="s">
        <v>164</v>
      </c>
      <c r="C161" s="183" t="s">
        <v>483</v>
      </c>
      <c r="D161" s="184"/>
      <c r="E161" s="185"/>
      <c r="F161" s="197"/>
      <c r="G161" s="198"/>
      <c r="H161" s="210"/>
      <c r="I161" s="15"/>
      <c r="K161" s="43"/>
    </row>
    <row r="162" spans="1:11" ht="27.6" x14ac:dyDescent="0.3">
      <c r="A162" s="11"/>
      <c r="B162" s="224" t="s">
        <v>165</v>
      </c>
      <c r="C162" s="189" t="s">
        <v>484</v>
      </c>
      <c r="D162" s="190" t="s">
        <v>351</v>
      </c>
      <c r="E162" s="254">
        <v>10</v>
      </c>
      <c r="F162" s="255">
        <v>107329</v>
      </c>
      <c r="G162" s="193">
        <v>97959.18</v>
      </c>
      <c r="H162" s="212">
        <f t="shared" ref="H162:H167" si="9">IFERROR(ROUND($E162*$G162,0),"")</f>
        <v>979592</v>
      </c>
      <c r="I162" s="15"/>
      <c r="K162" s="43"/>
    </row>
    <row r="163" spans="1:11" x14ac:dyDescent="0.3">
      <c r="A163" s="11"/>
      <c r="B163" s="226" t="s">
        <v>166</v>
      </c>
      <c r="C163" s="196" t="s">
        <v>485</v>
      </c>
      <c r="D163" s="184" t="s">
        <v>332</v>
      </c>
      <c r="E163" s="256">
        <v>570</v>
      </c>
      <c r="F163" s="250">
        <v>9686</v>
      </c>
      <c r="G163" s="198">
        <v>8840.41</v>
      </c>
      <c r="H163" s="210">
        <f t="shared" si="9"/>
        <v>5039034</v>
      </c>
      <c r="I163" s="15"/>
      <c r="K163" s="43"/>
    </row>
    <row r="164" spans="1:11" x14ac:dyDescent="0.3">
      <c r="A164" s="11"/>
      <c r="B164" s="224" t="s">
        <v>167</v>
      </c>
      <c r="C164" s="189" t="s">
        <v>486</v>
      </c>
      <c r="D164" s="190" t="s">
        <v>351</v>
      </c>
      <c r="E164" s="254">
        <v>1</v>
      </c>
      <c r="F164" s="255">
        <v>1039450</v>
      </c>
      <c r="G164" s="193">
        <v>948706.02</v>
      </c>
      <c r="H164" s="212">
        <f t="shared" si="9"/>
        <v>948706</v>
      </c>
      <c r="I164" s="15"/>
      <c r="K164" s="43"/>
    </row>
    <row r="165" spans="1:11" x14ac:dyDescent="0.3">
      <c r="A165" s="11"/>
      <c r="B165" s="226" t="s">
        <v>168</v>
      </c>
      <c r="C165" s="196" t="s">
        <v>487</v>
      </c>
      <c r="D165" s="184" t="s">
        <v>351</v>
      </c>
      <c r="E165" s="256">
        <v>1</v>
      </c>
      <c r="F165" s="250">
        <v>436507</v>
      </c>
      <c r="G165" s="198">
        <v>398399.94</v>
      </c>
      <c r="H165" s="210">
        <f t="shared" si="9"/>
        <v>398400</v>
      </c>
      <c r="I165" s="15"/>
      <c r="K165" s="43"/>
    </row>
    <row r="166" spans="1:11" x14ac:dyDescent="0.3">
      <c r="A166" s="11"/>
      <c r="B166" s="224" t="s">
        <v>169</v>
      </c>
      <c r="C166" s="189" t="s">
        <v>488</v>
      </c>
      <c r="D166" s="190" t="s">
        <v>351</v>
      </c>
      <c r="E166" s="254">
        <v>10</v>
      </c>
      <c r="F166" s="255">
        <v>42123</v>
      </c>
      <c r="G166" s="193">
        <v>38445.660000000003</v>
      </c>
      <c r="H166" s="212">
        <f t="shared" si="9"/>
        <v>384457</v>
      </c>
      <c r="I166" s="15"/>
      <c r="K166" s="43"/>
    </row>
    <row r="167" spans="1:11" ht="69" x14ac:dyDescent="0.3">
      <c r="A167" s="11"/>
      <c r="B167" s="226" t="s">
        <v>170</v>
      </c>
      <c r="C167" s="196" t="s">
        <v>489</v>
      </c>
      <c r="D167" s="184" t="s">
        <v>351</v>
      </c>
      <c r="E167" s="256">
        <v>1</v>
      </c>
      <c r="F167" s="250">
        <v>1033095</v>
      </c>
      <c r="G167" s="198">
        <v>942905.81</v>
      </c>
      <c r="H167" s="210">
        <f t="shared" si="9"/>
        <v>942906</v>
      </c>
      <c r="I167" s="15"/>
      <c r="K167" s="43"/>
    </row>
    <row r="168" spans="1:11" ht="27.6" x14ac:dyDescent="0.3">
      <c r="A168" s="11"/>
      <c r="B168" s="224" t="s">
        <v>171</v>
      </c>
      <c r="C168" s="225" t="s">
        <v>490</v>
      </c>
      <c r="D168" s="190" t="s">
        <v>351</v>
      </c>
      <c r="E168" s="254">
        <v>1</v>
      </c>
      <c r="F168" s="255">
        <v>3280516</v>
      </c>
      <c r="G168" s="193">
        <v>2994126.95</v>
      </c>
      <c r="H168" s="212">
        <f>IFERROR(ROUND($E168*$G168,0),"")</f>
        <v>2994127</v>
      </c>
      <c r="I168" s="15"/>
      <c r="K168" s="43"/>
    </row>
    <row r="169" spans="1:11" ht="55.2" x14ac:dyDescent="0.3">
      <c r="A169" s="11"/>
      <c r="B169" s="226" t="s">
        <v>172</v>
      </c>
      <c r="C169" s="227" t="s">
        <v>491</v>
      </c>
      <c r="D169" s="184" t="s">
        <v>351</v>
      </c>
      <c r="E169" s="256">
        <v>2</v>
      </c>
      <c r="F169" s="250">
        <v>119664</v>
      </c>
      <c r="G169" s="198">
        <v>109217.33</v>
      </c>
      <c r="H169" s="210">
        <f>IFERROR(ROUND($E169*$G169,0),"")</f>
        <v>218435</v>
      </c>
      <c r="I169" s="15"/>
      <c r="K169" s="43"/>
    </row>
    <row r="170" spans="1:11" ht="41.4" x14ac:dyDescent="0.3">
      <c r="A170" s="11"/>
      <c r="B170" s="224" t="s">
        <v>173</v>
      </c>
      <c r="C170" s="225" t="s">
        <v>492</v>
      </c>
      <c r="D170" s="190" t="s">
        <v>332</v>
      </c>
      <c r="E170" s="254">
        <v>120</v>
      </c>
      <c r="F170" s="255">
        <v>13483</v>
      </c>
      <c r="G170" s="193">
        <v>12305.93</v>
      </c>
      <c r="H170" s="212">
        <f>IFERROR(ROUND($E170*$G170,0),"")</f>
        <v>1476712</v>
      </c>
      <c r="I170" s="15"/>
      <c r="K170" s="43"/>
    </row>
    <row r="171" spans="1:11" ht="55.2" x14ac:dyDescent="0.3">
      <c r="A171" s="11"/>
      <c r="B171" s="226" t="s">
        <v>174</v>
      </c>
      <c r="C171" s="227" t="s">
        <v>493</v>
      </c>
      <c r="D171" s="184" t="s">
        <v>332</v>
      </c>
      <c r="E171" s="256">
        <v>36</v>
      </c>
      <c r="F171" s="250">
        <v>29167</v>
      </c>
      <c r="G171" s="198">
        <v>26620.720000000001</v>
      </c>
      <c r="H171" s="210">
        <f>IFERROR(ROUND($E171*$G171,0),"")</f>
        <v>958346</v>
      </c>
      <c r="I171" s="15"/>
      <c r="K171" s="43"/>
    </row>
    <row r="172" spans="1:11" ht="55.8" thickBot="1" x14ac:dyDescent="0.35">
      <c r="A172" s="11"/>
      <c r="B172" s="224" t="s">
        <v>175</v>
      </c>
      <c r="C172" s="225" t="s">
        <v>442</v>
      </c>
      <c r="D172" s="190" t="s">
        <v>332</v>
      </c>
      <c r="E172" s="254">
        <v>60</v>
      </c>
      <c r="F172" s="255">
        <v>26480</v>
      </c>
      <c r="G172" s="193">
        <v>24168.3</v>
      </c>
      <c r="H172" s="212">
        <f>IFERROR(ROUND($E172*$G172,0),"")</f>
        <v>1450098</v>
      </c>
      <c r="I172" s="15"/>
      <c r="K172" s="43"/>
    </row>
    <row r="173" spans="1:11" ht="14.4" thickTop="1" x14ac:dyDescent="0.3">
      <c r="A173" s="11"/>
      <c r="B173" s="253" t="s">
        <v>19</v>
      </c>
      <c r="C173" s="217"/>
      <c r="D173" s="202"/>
      <c r="E173" s="202"/>
      <c r="F173" s="203"/>
      <c r="G173" s="204"/>
      <c r="H173" s="214">
        <f>SUBTOTAL(109,'FORMULARIO 1'!$H$161:$H$172)</f>
        <v>15790813</v>
      </c>
      <c r="I173" s="15"/>
      <c r="K173" s="43"/>
    </row>
    <row r="174" spans="1:11" ht="27.6" x14ac:dyDescent="0.3">
      <c r="A174" s="11"/>
      <c r="B174" s="206" t="s">
        <v>176</v>
      </c>
      <c r="C174" s="177" t="s">
        <v>177</v>
      </c>
      <c r="D174" s="178" t="s">
        <v>10</v>
      </c>
      <c r="E174" s="179" t="s">
        <v>11</v>
      </c>
      <c r="F174" s="180" t="s">
        <v>329</v>
      </c>
      <c r="G174" s="207" t="s">
        <v>330</v>
      </c>
      <c r="H174" s="181" t="s">
        <v>13</v>
      </c>
      <c r="I174" s="15"/>
      <c r="K174" s="43"/>
    </row>
    <row r="175" spans="1:11" ht="27.6" x14ac:dyDescent="0.3">
      <c r="A175" s="11"/>
      <c r="B175" s="257" t="s">
        <v>178</v>
      </c>
      <c r="C175" s="196" t="s">
        <v>494</v>
      </c>
      <c r="D175" s="184" t="s">
        <v>349</v>
      </c>
      <c r="E175" s="185">
        <f>ROUND((38+0.156*11),2)</f>
        <v>39.72</v>
      </c>
      <c r="F175" s="197">
        <v>76263</v>
      </c>
      <c r="G175" s="258">
        <v>69605.240000000005</v>
      </c>
      <c r="H175" s="187">
        <f t="shared" ref="H175" si="10">IFERROR(ROUND($E175*$G175,0),"")</f>
        <v>2764720</v>
      </c>
      <c r="I175" s="15"/>
      <c r="K175" s="43"/>
    </row>
    <row r="176" spans="1:11" x14ac:dyDescent="0.3">
      <c r="A176" s="11"/>
      <c r="B176" s="259" t="s">
        <v>179</v>
      </c>
      <c r="C176" s="189" t="s">
        <v>495</v>
      </c>
      <c r="D176" s="190" t="s">
        <v>332</v>
      </c>
      <c r="E176" s="191">
        <f>ROUND((2.4*16),0)</f>
        <v>38</v>
      </c>
      <c r="F176" s="192">
        <v>6798</v>
      </c>
      <c r="G176" s="260">
        <v>6204.53</v>
      </c>
      <c r="H176" s="194">
        <f>IFERROR(ROUND($E176*$G176,0),"")</f>
        <v>235772</v>
      </c>
      <c r="I176" s="15"/>
      <c r="K176" s="43"/>
    </row>
    <row r="177" spans="1:11" x14ac:dyDescent="0.3">
      <c r="A177" s="11"/>
      <c r="B177" s="257" t="s">
        <v>180</v>
      </c>
      <c r="C177" s="196" t="s">
        <v>496</v>
      </c>
      <c r="D177" s="184" t="s">
        <v>332</v>
      </c>
      <c r="E177" s="185">
        <f>28</f>
        <v>28</v>
      </c>
      <c r="F177" s="197">
        <v>108713</v>
      </c>
      <c r="G177" s="258">
        <v>99222.36</v>
      </c>
      <c r="H177" s="187">
        <f>IFERROR(ROUND($E177*$G177,0),"")</f>
        <v>2778226</v>
      </c>
      <c r="I177" s="15"/>
      <c r="K177" s="43"/>
    </row>
    <row r="178" spans="1:11" x14ac:dyDescent="0.3">
      <c r="A178" s="11"/>
      <c r="B178" s="259" t="s">
        <v>181</v>
      </c>
      <c r="C178" s="189" t="s">
        <v>497</v>
      </c>
      <c r="D178" s="190" t="s">
        <v>332</v>
      </c>
      <c r="E178" s="191">
        <f>+E176</f>
        <v>38</v>
      </c>
      <c r="F178" s="192">
        <v>108008</v>
      </c>
      <c r="G178" s="260">
        <v>98578.9</v>
      </c>
      <c r="H178" s="194">
        <f>IFERROR(ROUND($E178*$G178,0),"")</f>
        <v>3745998</v>
      </c>
      <c r="I178" s="15"/>
      <c r="K178" s="43"/>
    </row>
    <row r="179" spans="1:11" ht="55.8" thickBot="1" x14ac:dyDescent="0.35">
      <c r="A179" s="11"/>
      <c r="B179" s="257" t="s">
        <v>182</v>
      </c>
      <c r="C179" s="196" t="s">
        <v>498</v>
      </c>
      <c r="D179" s="184" t="s">
        <v>349</v>
      </c>
      <c r="E179" s="185">
        <f>ROUND(68,2)</f>
        <v>68</v>
      </c>
      <c r="F179" s="197">
        <v>142136</v>
      </c>
      <c r="G179" s="258">
        <v>129727.53</v>
      </c>
      <c r="H179" s="187">
        <f>IFERROR(ROUND($E179*$G179,0),"")</f>
        <v>8821472</v>
      </c>
      <c r="I179" s="15"/>
      <c r="K179" s="43"/>
    </row>
    <row r="180" spans="1:11" ht="14.4" thickTop="1" x14ac:dyDescent="0.3">
      <c r="A180" s="11"/>
      <c r="B180" s="261" t="s">
        <v>19</v>
      </c>
      <c r="C180" s="229"/>
      <c r="D180" s="230"/>
      <c r="E180" s="230"/>
      <c r="F180" s="231"/>
      <c r="G180" s="232"/>
      <c r="H180" s="233">
        <f>SUBTOTAL(109,'FORMULARIO 1'!$H$175:$H$179)</f>
        <v>18346188</v>
      </c>
      <c r="I180" s="15"/>
      <c r="K180" s="43"/>
    </row>
    <row r="181" spans="1:11" ht="27.6" x14ac:dyDescent="0.3">
      <c r="A181" s="11"/>
      <c r="B181" s="206" t="s">
        <v>183</v>
      </c>
      <c r="C181" s="177" t="s">
        <v>184</v>
      </c>
      <c r="D181" s="178" t="s">
        <v>10</v>
      </c>
      <c r="E181" s="179" t="s">
        <v>11</v>
      </c>
      <c r="F181" s="180" t="s">
        <v>329</v>
      </c>
      <c r="G181" s="207" t="s">
        <v>330</v>
      </c>
      <c r="H181" s="181" t="s">
        <v>13</v>
      </c>
      <c r="I181" s="15"/>
      <c r="K181" s="43"/>
    </row>
    <row r="182" spans="1:11" x14ac:dyDescent="0.3">
      <c r="A182" s="11"/>
      <c r="B182" s="262" t="s">
        <v>185</v>
      </c>
      <c r="C182" s="183" t="s">
        <v>499</v>
      </c>
      <c r="D182" s="184"/>
      <c r="E182" s="185"/>
      <c r="F182" s="197"/>
      <c r="G182" s="198"/>
      <c r="H182" s="187"/>
      <c r="I182" s="15"/>
      <c r="K182" s="43"/>
    </row>
    <row r="183" spans="1:11" ht="27.6" x14ac:dyDescent="0.3">
      <c r="A183" s="11"/>
      <c r="B183" s="259" t="s">
        <v>186</v>
      </c>
      <c r="C183" s="225" t="s">
        <v>500</v>
      </c>
      <c r="D183" s="190" t="s">
        <v>349</v>
      </c>
      <c r="E183" s="191">
        <v>313.02</v>
      </c>
      <c r="F183" s="192">
        <v>118954</v>
      </c>
      <c r="G183" s="260">
        <v>108569.32</v>
      </c>
      <c r="H183" s="194">
        <f t="shared" ref="H183:H188" si="11">IFERROR(ROUND($E183*$G183,0),"")</f>
        <v>33984369</v>
      </c>
      <c r="I183" s="15"/>
      <c r="K183" s="43"/>
    </row>
    <row r="184" spans="1:11" ht="41.4" x14ac:dyDescent="0.3">
      <c r="A184" s="11"/>
      <c r="B184" s="257" t="s">
        <v>187</v>
      </c>
      <c r="C184" s="227" t="s">
        <v>501</v>
      </c>
      <c r="D184" s="184" t="s">
        <v>332</v>
      </c>
      <c r="E184" s="185">
        <v>50.05</v>
      </c>
      <c r="F184" s="197">
        <v>63797</v>
      </c>
      <c r="G184" s="258">
        <v>58227.519999999997</v>
      </c>
      <c r="H184" s="187">
        <f t="shared" si="11"/>
        <v>2914287</v>
      </c>
      <c r="I184" s="15"/>
      <c r="K184" s="43"/>
    </row>
    <row r="185" spans="1:11" ht="27.6" x14ac:dyDescent="0.3">
      <c r="A185" s="11"/>
      <c r="B185" s="259" t="s">
        <v>188</v>
      </c>
      <c r="C185" s="225" t="s">
        <v>502</v>
      </c>
      <c r="D185" s="190" t="s">
        <v>332</v>
      </c>
      <c r="E185" s="191">
        <v>25.53</v>
      </c>
      <c r="F185" s="192">
        <v>113452</v>
      </c>
      <c r="G185" s="260">
        <v>103547.64</v>
      </c>
      <c r="H185" s="194">
        <f>IFERROR(ROUND($E185*$G185,0),"")</f>
        <v>2643571</v>
      </c>
      <c r="I185" s="15"/>
      <c r="K185" s="43"/>
    </row>
    <row r="186" spans="1:11" x14ac:dyDescent="0.3">
      <c r="A186" s="11"/>
      <c r="B186" s="257" t="s">
        <v>189</v>
      </c>
      <c r="C186" s="227" t="s">
        <v>503</v>
      </c>
      <c r="D186" s="184"/>
      <c r="E186" s="185"/>
      <c r="F186" s="197" t="s">
        <v>331</v>
      </c>
      <c r="G186" s="258"/>
      <c r="H186" s="187">
        <f>IFERROR(ROUND($E186*$G186,0),"")</f>
        <v>0</v>
      </c>
      <c r="I186" s="15"/>
      <c r="K186" s="43"/>
    </row>
    <row r="187" spans="1:11" ht="27.6" x14ac:dyDescent="0.3">
      <c r="A187" s="11"/>
      <c r="B187" s="259" t="s">
        <v>190</v>
      </c>
      <c r="C187" s="225" t="s">
        <v>504</v>
      </c>
      <c r="D187" s="190" t="s">
        <v>349</v>
      </c>
      <c r="E187" s="191">
        <f>ROUND(2.29,2)</f>
        <v>2.29</v>
      </c>
      <c r="F187" s="192">
        <v>107950</v>
      </c>
      <c r="G187" s="260">
        <v>98525.97</v>
      </c>
      <c r="H187" s="194">
        <f>IFERROR(ROUND($E187*$G187,0),"")</f>
        <v>225624</v>
      </c>
      <c r="I187" s="15"/>
      <c r="K187" s="43"/>
    </row>
    <row r="188" spans="1:11" ht="14.4" thickBot="1" x14ac:dyDescent="0.35">
      <c r="A188" s="11"/>
      <c r="B188" s="257"/>
      <c r="C188" s="223" t="s">
        <v>331</v>
      </c>
      <c r="D188" s="184"/>
      <c r="E188" s="185"/>
      <c r="F188" s="197" t="s">
        <v>331</v>
      </c>
      <c r="G188" s="258"/>
      <c r="H188" s="187">
        <f t="shared" si="11"/>
        <v>0</v>
      </c>
      <c r="I188" s="15"/>
      <c r="K188" s="43"/>
    </row>
    <row r="189" spans="1:11" ht="14.4" thickTop="1" x14ac:dyDescent="0.3">
      <c r="A189" s="11"/>
      <c r="B189" s="261" t="s">
        <v>19</v>
      </c>
      <c r="C189" s="263"/>
      <c r="D189" s="230"/>
      <c r="E189" s="230"/>
      <c r="F189" s="231"/>
      <c r="G189" s="232"/>
      <c r="H189" s="233">
        <f>SUBTOTAL(109,'FORMULARIO 1'!$H$182:$H$188)</f>
        <v>39767851</v>
      </c>
      <c r="I189" s="15"/>
      <c r="K189" s="43"/>
    </row>
    <row r="190" spans="1:11" ht="27.6" x14ac:dyDescent="0.3">
      <c r="A190" s="11"/>
      <c r="B190" s="206" t="s">
        <v>191</v>
      </c>
      <c r="C190" s="177" t="s">
        <v>192</v>
      </c>
      <c r="D190" s="178" t="s">
        <v>10</v>
      </c>
      <c r="E190" s="179" t="s">
        <v>11</v>
      </c>
      <c r="F190" s="180" t="s">
        <v>329</v>
      </c>
      <c r="G190" s="207" t="s">
        <v>330</v>
      </c>
      <c r="H190" s="181" t="s">
        <v>13</v>
      </c>
      <c r="I190" s="15"/>
      <c r="K190" s="43"/>
    </row>
    <row r="191" spans="1:11" ht="28.2" thickBot="1" x14ac:dyDescent="0.35">
      <c r="A191" s="11"/>
      <c r="B191" s="215" t="s">
        <v>193</v>
      </c>
      <c r="C191" s="196" t="s">
        <v>505</v>
      </c>
      <c r="D191" s="184" t="s">
        <v>349</v>
      </c>
      <c r="E191" s="185">
        <f>ROUND(((E179*2)+(1.18+7.12+2.22+3.05+5.4)),2)</f>
        <v>154.97</v>
      </c>
      <c r="F191" s="197">
        <v>34392</v>
      </c>
      <c r="G191" s="198">
        <v>31389.58</v>
      </c>
      <c r="H191" s="187">
        <f>IFERROR(ROUND($E191*$G191,0),"")</f>
        <v>4864443</v>
      </c>
      <c r="I191" s="15"/>
      <c r="K191" s="43"/>
    </row>
    <row r="192" spans="1:11" ht="14.4" thickTop="1" x14ac:dyDescent="0.3">
      <c r="A192" s="11"/>
      <c r="B192" s="261" t="s">
        <v>19</v>
      </c>
      <c r="C192" s="264"/>
      <c r="D192" s="230"/>
      <c r="E192" s="230"/>
      <c r="F192" s="231"/>
      <c r="G192" s="232"/>
      <c r="H192" s="233">
        <f>SUBTOTAL(109,'FORMULARIO 1'!$H$191:$H$191)</f>
        <v>4864443</v>
      </c>
      <c r="I192" s="15"/>
      <c r="K192" s="43"/>
    </row>
    <row r="193" spans="1:11" ht="27.6" x14ac:dyDescent="0.3">
      <c r="A193" s="11"/>
      <c r="B193" s="265" t="s">
        <v>194</v>
      </c>
      <c r="C193" s="266" t="s">
        <v>195</v>
      </c>
      <c r="D193" s="267" t="s">
        <v>10</v>
      </c>
      <c r="E193" s="268" t="s">
        <v>11</v>
      </c>
      <c r="F193" s="180" t="s">
        <v>329</v>
      </c>
      <c r="G193" s="207" t="s">
        <v>330</v>
      </c>
      <c r="H193" s="269" t="s">
        <v>13</v>
      </c>
      <c r="I193" s="15"/>
      <c r="K193" s="43"/>
    </row>
    <row r="194" spans="1:11" x14ac:dyDescent="0.3">
      <c r="A194" s="11"/>
      <c r="B194" s="262" t="s">
        <v>196</v>
      </c>
      <c r="C194" s="223" t="s">
        <v>506</v>
      </c>
      <c r="D194" s="245"/>
      <c r="E194" s="185"/>
      <c r="F194" s="197"/>
      <c r="G194" s="258"/>
      <c r="H194" s="187"/>
      <c r="I194" s="15"/>
      <c r="K194" s="43"/>
    </row>
    <row r="195" spans="1:11" ht="27.6" x14ac:dyDescent="0.3">
      <c r="A195" s="11"/>
      <c r="B195" s="216" t="s">
        <v>197</v>
      </c>
      <c r="C195" s="225" t="s">
        <v>507</v>
      </c>
      <c r="D195" s="190" t="s">
        <v>349</v>
      </c>
      <c r="E195" s="191">
        <f>ROUND(E40,2)</f>
        <v>34.200000000000003</v>
      </c>
      <c r="F195" s="192">
        <v>43989</v>
      </c>
      <c r="G195" s="260">
        <v>40148.76</v>
      </c>
      <c r="H195" s="194">
        <f t="shared" ref="H195:H202" si="12">IFERROR(ROUND($E195*$G195,0),"")</f>
        <v>1373088</v>
      </c>
      <c r="I195" s="15"/>
      <c r="K195" s="43"/>
    </row>
    <row r="196" spans="1:11" ht="41.4" x14ac:dyDescent="0.3">
      <c r="A196" s="11"/>
      <c r="B196" s="215" t="s">
        <v>198</v>
      </c>
      <c r="C196" s="227" t="s">
        <v>508</v>
      </c>
      <c r="D196" s="184" t="s">
        <v>349</v>
      </c>
      <c r="E196" s="185">
        <f>ROUND((49+140.18),2)</f>
        <v>189.18</v>
      </c>
      <c r="F196" s="197">
        <v>115904</v>
      </c>
      <c r="G196" s="258">
        <v>105785.58</v>
      </c>
      <c r="H196" s="187">
        <f t="shared" si="12"/>
        <v>20012516</v>
      </c>
      <c r="I196" s="15"/>
      <c r="K196" s="43"/>
    </row>
    <row r="197" spans="1:11" x14ac:dyDescent="0.3">
      <c r="A197" s="11"/>
      <c r="B197" s="236" t="s">
        <v>199</v>
      </c>
      <c r="C197" s="249" t="s">
        <v>509</v>
      </c>
      <c r="D197" s="190"/>
      <c r="E197" s="191"/>
      <c r="F197" s="192" t="s">
        <v>331</v>
      </c>
      <c r="G197" s="260"/>
      <c r="H197" s="194">
        <f>IFERROR(ROUND($E197*$G197,0),"")</f>
        <v>0</v>
      </c>
      <c r="I197" s="15"/>
      <c r="K197" s="43"/>
    </row>
    <row r="198" spans="1:11" ht="41.4" x14ac:dyDescent="0.3">
      <c r="A198" s="11"/>
      <c r="B198" s="215" t="s">
        <v>200</v>
      </c>
      <c r="C198" s="227" t="s">
        <v>510</v>
      </c>
      <c r="D198" s="184" t="s">
        <v>332</v>
      </c>
      <c r="E198" s="185">
        <f>ROUND((66.59*1.05),2)</f>
        <v>69.92</v>
      </c>
      <c r="F198" s="197">
        <v>33207</v>
      </c>
      <c r="G198" s="258">
        <v>30308.03</v>
      </c>
      <c r="H198" s="187">
        <f>IFERROR(ROUND($E198*$G198,0),"")</f>
        <v>2119137</v>
      </c>
      <c r="I198" s="15"/>
      <c r="K198" s="43"/>
    </row>
    <row r="199" spans="1:11" x14ac:dyDescent="0.3">
      <c r="A199" s="11"/>
      <c r="B199" s="216" t="s">
        <v>201</v>
      </c>
      <c r="C199" s="225" t="s">
        <v>511</v>
      </c>
      <c r="D199" s="190" t="s">
        <v>332</v>
      </c>
      <c r="E199" s="191">
        <f>ROUND(24.03,2)</f>
        <v>24.03</v>
      </c>
      <c r="F199" s="192">
        <v>61971</v>
      </c>
      <c r="G199" s="260">
        <v>56560.93</v>
      </c>
      <c r="H199" s="194">
        <f t="shared" si="12"/>
        <v>1359159</v>
      </c>
      <c r="I199" s="15"/>
      <c r="K199" s="43"/>
    </row>
    <row r="200" spans="1:11" x14ac:dyDescent="0.3">
      <c r="A200" s="11"/>
      <c r="B200" s="235" t="s">
        <v>202</v>
      </c>
      <c r="C200" s="223" t="s">
        <v>512</v>
      </c>
      <c r="D200" s="184"/>
      <c r="E200" s="185"/>
      <c r="F200" s="197" t="s">
        <v>331</v>
      </c>
      <c r="G200" s="258"/>
      <c r="H200" s="187">
        <f t="shared" si="12"/>
        <v>0</v>
      </c>
      <c r="I200" s="15"/>
      <c r="K200" s="43"/>
    </row>
    <row r="201" spans="1:11" ht="69" x14ac:dyDescent="0.3">
      <c r="A201" s="11"/>
      <c r="B201" s="216" t="s">
        <v>203</v>
      </c>
      <c r="C201" s="225" t="s">
        <v>513</v>
      </c>
      <c r="D201" s="190" t="s">
        <v>332</v>
      </c>
      <c r="E201" s="191">
        <f>ROUND((4.99+2.04+1.09+1.8),2)</f>
        <v>9.92</v>
      </c>
      <c r="F201" s="192">
        <v>344782</v>
      </c>
      <c r="G201" s="260">
        <v>314682.53000000003</v>
      </c>
      <c r="H201" s="194">
        <f t="shared" si="12"/>
        <v>3121651</v>
      </c>
      <c r="I201" s="15"/>
      <c r="K201" s="43"/>
    </row>
    <row r="202" spans="1:11" ht="55.8" thickBot="1" x14ac:dyDescent="0.35">
      <c r="A202" s="11"/>
      <c r="B202" s="215" t="s">
        <v>204</v>
      </c>
      <c r="C202" s="227" t="s">
        <v>514</v>
      </c>
      <c r="D202" s="184" t="s">
        <v>351</v>
      </c>
      <c r="E202" s="185">
        <v>1</v>
      </c>
      <c r="F202" s="197">
        <v>310526</v>
      </c>
      <c r="G202" s="258">
        <v>283417.08</v>
      </c>
      <c r="H202" s="187">
        <f t="shared" si="12"/>
        <v>283417</v>
      </c>
      <c r="I202" s="15"/>
      <c r="K202" s="43"/>
    </row>
    <row r="203" spans="1:11" ht="14.4" thickTop="1" x14ac:dyDescent="0.3">
      <c r="A203" s="11"/>
      <c r="B203" s="270" t="s">
        <v>19</v>
      </c>
      <c r="C203" s="229"/>
      <c r="D203" s="229"/>
      <c r="E203" s="230"/>
      <c r="F203" s="231"/>
      <c r="G203" s="232"/>
      <c r="H203" s="233">
        <f>SUBTOTAL(109,'FORMULARIO 1'!$H$194:$H$202)</f>
        <v>28268968</v>
      </c>
      <c r="I203" s="15"/>
      <c r="K203" s="43"/>
    </row>
    <row r="204" spans="1:11" ht="27.6" x14ac:dyDescent="0.3">
      <c r="A204" s="11"/>
      <c r="B204" s="265" t="s">
        <v>205</v>
      </c>
      <c r="C204" s="266" t="s">
        <v>206</v>
      </c>
      <c r="D204" s="267" t="s">
        <v>10</v>
      </c>
      <c r="E204" s="268" t="s">
        <v>11</v>
      </c>
      <c r="F204" s="180" t="s">
        <v>329</v>
      </c>
      <c r="G204" s="207" t="s">
        <v>330</v>
      </c>
      <c r="H204" s="271" t="s">
        <v>13</v>
      </c>
      <c r="I204" s="15"/>
      <c r="K204" s="43"/>
    </row>
    <row r="205" spans="1:11" ht="55.2" x14ac:dyDescent="0.3">
      <c r="A205" s="11"/>
      <c r="B205" s="215" t="s">
        <v>207</v>
      </c>
      <c r="C205" s="196" t="s">
        <v>515</v>
      </c>
      <c r="D205" s="184" t="s">
        <v>349</v>
      </c>
      <c r="E205" s="185">
        <v>143</v>
      </c>
      <c r="F205" s="197">
        <v>311137</v>
      </c>
      <c r="G205" s="198">
        <v>283974.74</v>
      </c>
      <c r="H205" s="210">
        <f>IFERROR(ROUND($E205*$G205,0),"")</f>
        <v>40608388</v>
      </c>
      <c r="I205" s="15"/>
      <c r="K205" s="43"/>
    </row>
    <row r="206" spans="1:11" ht="55.8" thickBot="1" x14ac:dyDescent="0.35">
      <c r="A206" s="11"/>
      <c r="B206" s="216" t="s">
        <v>208</v>
      </c>
      <c r="C206" s="189" t="s">
        <v>516</v>
      </c>
      <c r="D206" s="190" t="s">
        <v>349</v>
      </c>
      <c r="E206" s="191">
        <v>19.8</v>
      </c>
      <c r="F206" s="192">
        <v>374222</v>
      </c>
      <c r="G206" s="193">
        <v>341552.42</v>
      </c>
      <c r="H206" s="212">
        <f t="shared" ref="H206" si="13">IFERROR(ROUND($E206*$G206,0),"")</f>
        <v>6762738</v>
      </c>
      <c r="I206" s="15"/>
      <c r="K206" s="43"/>
    </row>
    <row r="207" spans="1:11" ht="14.4" thickTop="1" x14ac:dyDescent="0.3">
      <c r="A207" s="11"/>
      <c r="B207" s="272" t="s">
        <v>19</v>
      </c>
      <c r="C207" s="218"/>
      <c r="D207" s="202"/>
      <c r="E207" s="202"/>
      <c r="F207" s="203"/>
      <c r="G207" s="204"/>
      <c r="H207" s="214">
        <f>SUBTOTAL(109,'FORMULARIO 1'!$H$205:$H$206)</f>
        <v>47371126</v>
      </c>
      <c r="I207" s="15"/>
      <c r="K207" s="43"/>
    </row>
    <row r="208" spans="1:11" ht="27.6" x14ac:dyDescent="0.3">
      <c r="A208" s="11"/>
      <c r="B208" s="265" t="s">
        <v>209</v>
      </c>
      <c r="C208" s="266" t="s">
        <v>210</v>
      </c>
      <c r="D208" s="267" t="s">
        <v>10</v>
      </c>
      <c r="E208" s="268" t="s">
        <v>11</v>
      </c>
      <c r="F208" s="180" t="s">
        <v>329</v>
      </c>
      <c r="G208" s="207" t="s">
        <v>330</v>
      </c>
      <c r="H208" s="271" t="s">
        <v>13</v>
      </c>
      <c r="I208" s="15"/>
      <c r="K208" s="43"/>
    </row>
    <row r="209" spans="1:11" x14ac:dyDescent="0.3">
      <c r="A209" s="11"/>
      <c r="B209" s="262" t="s">
        <v>211</v>
      </c>
      <c r="C209" s="223" t="s">
        <v>517</v>
      </c>
      <c r="D209" s="184"/>
      <c r="E209" s="185"/>
      <c r="F209" s="197"/>
      <c r="G209" s="258"/>
      <c r="H209" s="210">
        <f t="shared" ref="H209:H213" si="14">IFERROR(ROUND($E209*$G209,0),"")</f>
        <v>0</v>
      </c>
      <c r="I209" s="15"/>
      <c r="K209" s="43"/>
    </row>
    <row r="210" spans="1:11" ht="55.2" x14ac:dyDescent="0.3">
      <c r="A210" s="11"/>
      <c r="B210" s="259" t="s">
        <v>212</v>
      </c>
      <c r="C210" s="225" t="s">
        <v>518</v>
      </c>
      <c r="D210" s="190" t="s">
        <v>349</v>
      </c>
      <c r="E210" s="191">
        <f>ROUND(((3.83+3*2)*6),2)</f>
        <v>58.98</v>
      </c>
      <c r="F210" s="192">
        <v>381168</v>
      </c>
      <c r="G210" s="260">
        <v>347892.03</v>
      </c>
      <c r="H210" s="212">
        <f t="shared" si="14"/>
        <v>20518672</v>
      </c>
      <c r="I210" s="15"/>
      <c r="K210" s="43"/>
    </row>
    <row r="211" spans="1:11" x14ac:dyDescent="0.3">
      <c r="A211" s="11"/>
      <c r="B211" s="235" t="s">
        <v>213</v>
      </c>
      <c r="C211" s="223" t="s">
        <v>519</v>
      </c>
      <c r="D211" s="184"/>
      <c r="E211" s="185"/>
      <c r="F211" s="197" t="s">
        <v>331</v>
      </c>
      <c r="G211" s="258"/>
      <c r="H211" s="210">
        <f t="shared" si="14"/>
        <v>0</v>
      </c>
      <c r="I211" s="15"/>
      <c r="K211" s="43"/>
    </row>
    <row r="212" spans="1:11" ht="55.2" x14ac:dyDescent="0.3">
      <c r="A212" s="11"/>
      <c r="B212" s="216" t="s">
        <v>214</v>
      </c>
      <c r="C212" s="225" t="s">
        <v>520</v>
      </c>
      <c r="D212" s="190" t="s">
        <v>349</v>
      </c>
      <c r="E212" s="191">
        <f>ROUND((((2.35*7)+(2.35*0.9*2))),2)</f>
        <v>20.68</v>
      </c>
      <c r="F212" s="192">
        <v>440650</v>
      </c>
      <c r="G212" s="260">
        <v>402181.26</v>
      </c>
      <c r="H212" s="212">
        <f>IFERROR(ROUND($E212*$G212,0),"")</f>
        <v>8317108</v>
      </c>
      <c r="I212" s="15"/>
      <c r="K212" s="43"/>
    </row>
    <row r="213" spans="1:11" x14ac:dyDescent="0.3">
      <c r="A213" s="11"/>
      <c r="B213" s="235" t="s">
        <v>215</v>
      </c>
      <c r="C213" s="223" t="s">
        <v>521</v>
      </c>
      <c r="D213" s="184"/>
      <c r="E213" s="185"/>
      <c r="F213" s="197" t="s">
        <v>331</v>
      </c>
      <c r="G213" s="258"/>
      <c r="H213" s="210">
        <f t="shared" si="14"/>
        <v>0</v>
      </c>
      <c r="I213" s="15"/>
      <c r="K213" s="43"/>
    </row>
    <row r="214" spans="1:11" ht="41.4" x14ac:dyDescent="0.3">
      <c r="A214" s="11"/>
      <c r="B214" s="216" t="s">
        <v>216</v>
      </c>
      <c r="C214" s="225" t="s">
        <v>522</v>
      </c>
      <c r="D214" s="190" t="s">
        <v>351</v>
      </c>
      <c r="E214" s="191">
        <v>1</v>
      </c>
      <c r="F214" s="192">
        <v>316989</v>
      </c>
      <c r="G214" s="260">
        <v>289315.86</v>
      </c>
      <c r="H214" s="212">
        <f>IFERROR(ROUND($E214*$G214,0),"")</f>
        <v>289316</v>
      </c>
      <c r="I214" s="15"/>
      <c r="K214" s="43"/>
    </row>
    <row r="215" spans="1:11" ht="14.4" thickBot="1" x14ac:dyDescent="0.35">
      <c r="A215" s="11"/>
      <c r="B215" s="215"/>
      <c r="C215" s="227" t="s">
        <v>331</v>
      </c>
      <c r="D215" s="184"/>
      <c r="E215" s="185"/>
      <c r="F215" s="197" t="s">
        <v>331</v>
      </c>
      <c r="G215" s="258"/>
      <c r="H215" s="210">
        <f>IFERROR(ROUND($E215*$G215,0),"")</f>
        <v>0</v>
      </c>
      <c r="I215" s="15"/>
      <c r="K215" s="43"/>
    </row>
    <row r="216" spans="1:11" ht="14.4" thickTop="1" x14ac:dyDescent="0.3">
      <c r="A216" s="11"/>
      <c r="B216" s="213" t="s">
        <v>19</v>
      </c>
      <c r="C216" s="217"/>
      <c r="D216" s="202"/>
      <c r="E216" s="202"/>
      <c r="F216" s="203"/>
      <c r="G216" s="204"/>
      <c r="H216" s="214">
        <f>SUBTOTAL(109,'FORMULARIO 1'!$H$209:$H$215)</f>
        <v>29125096</v>
      </c>
      <c r="I216" s="15"/>
      <c r="K216" s="43"/>
    </row>
    <row r="217" spans="1:11" ht="27.6" x14ac:dyDescent="0.3">
      <c r="A217" s="11"/>
      <c r="B217" s="265" t="s">
        <v>217</v>
      </c>
      <c r="C217" s="266" t="s">
        <v>218</v>
      </c>
      <c r="D217" s="267" t="s">
        <v>10</v>
      </c>
      <c r="E217" s="268" t="s">
        <v>11</v>
      </c>
      <c r="F217" s="180" t="s">
        <v>329</v>
      </c>
      <c r="G217" s="207" t="s">
        <v>330</v>
      </c>
      <c r="H217" s="271" t="s">
        <v>13</v>
      </c>
      <c r="I217" s="15"/>
      <c r="K217" s="43"/>
    </row>
    <row r="218" spans="1:11" ht="55.2" x14ac:dyDescent="0.3">
      <c r="A218" s="11"/>
      <c r="B218" s="215" t="s">
        <v>523</v>
      </c>
      <c r="C218" s="196" t="s">
        <v>524</v>
      </c>
      <c r="D218" s="184" t="s">
        <v>351</v>
      </c>
      <c r="E218" s="185">
        <v>2</v>
      </c>
      <c r="F218" s="197">
        <v>2288260</v>
      </c>
      <c r="G218" s="198">
        <v>2088494.9</v>
      </c>
      <c r="H218" s="210">
        <f t="shared" ref="H218:H219" si="15">IFERROR(ROUND($E218*$G218,0),"")</f>
        <v>4176990</v>
      </c>
      <c r="I218" s="15"/>
      <c r="K218" s="43"/>
    </row>
    <row r="219" spans="1:11" ht="41.4" x14ac:dyDescent="0.3">
      <c r="A219" s="11"/>
      <c r="B219" s="216" t="s">
        <v>219</v>
      </c>
      <c r="C219" s="189" t="s">
        <v>525</v>
      </c>
      <c r="D219" s="190" t="s">
        <v>351</v>
      </c>
      <c r="E219" s="191">
        <v>8</v>
      </c>
      <c r="F219" s="192">
        <v>186433</v>
      </c>
      <c r="G219" s="193">
        <v>170157.4</v>
      </c>
      <c r="H219" s="212">
        <f t="shared" si="15"/>
        <v>1361259</v>
      </c>
      <c r="I219" s="15"/>
      <c r="K219" s="43"/>
    </row>
    <row r="220" spans="1:11" ht="41.4" x14ac:dyDescent="0.3">
      <c r="A220" s="11"/>
      <c r="B220" s="215" t="s">
        <v>220</v>
      </c>
      <c r="C220" s="227" t="s">
        <v>526</v>
      </c>
      <c r="D220" s="184" t="s">
        <v>351</v>
      </c>
      <c r="E220" s="185">
        <v>3</v>
      </c>
      <c r="F220" s="197">
        <v>96099</v>
      </c>
      <c r="G220" s="258">
        <v>87709.56</v>
      </c>
      <c r="H220" s="210">
        <f>IFERROR(ROUND($E220*$G220,0),"")</f>
        <v>263129</v>
      </c>
      <c r="I220" s="15"/>
      <c r="K220" s="43"/>
    </row>
    <row r="221" spans="1:11" ht="28.2" thickBot="1" x14ac:dyDescent="0.35">
      <c r="A221" s="11"/>
      <c r="B221" s="216" t="s">
        <v>221</v>
      </c>
      <c r="C221" s="225" t="s">
        <v>527</v>
      </c>
      <c r="D221" s="190" t="s">
        <v>351</v>
      </c>
      <c r="E221" s="191">
        <v>2</v>
      </c>
      <c r="F221" s="192">
        <v>91927</v>
      </c>
      <c r="G221" s="260">
        <v>83901.77</v>
      </c>
      <c r="H221" s="212">
        <f>IFERROR(ROUND($E221*$G221,0),"")</f>
        <v>167804</v>
      </c>
      <c r="I221" s="15"/>
      <c r="K221" s="43"/>
    </row>
    <row r="222" spans="1:11" ht="14.4" thickTop="1" x14ac:dyDescent="0.3">
      <c r="A222" s="11"/>
      <c r="B222" s="213" t="s">
        <v>19</v>
      </c>
      <c r="C222" s="217"/>
      <c r="D222" s="202"/>
      <c r="E222" s="202"/>
      <c r="F222" s="203"/>
      <c r="G222" s="204"/>
      <c r="H222" s="214">
        <f>SUBTOTAL(109,'FORMULARIO 1'!$H$218:$H$221)</f>
        <v>5969182</v>
      </c>
      <c r="I222" s="15"/>
      <c r="K222" s="43"/>
    </row>
    <row r="223" spans="1:11" ht="27.6" x14ac:dyDescent="0.3">
      <c r="A223" s="11"/>
      <c r="B223" s="265" t="s">
        <v>222</v>
      </c>
      <c r="C223" s="266" t="s">
        <v>223</v>
      </c>
      <c r="D223" s="267" t="s">
        <v>10</v>
      </c>
      <c r="E223" s="268" t="s">
        <v>11</v>
      </c>
      <c r="F223" s="180" t="s">
        <v>329</v>
      </c>
      <c r="G223" s="207" t="s">
        <v>330</v>
      </c>
      <c r="H223" s="271" t="s">
        <v>13</v>
      </c>
      <c r="I223" s="15"/>
      <c r="K223" s="43"/>
    </row>
    <row r="224" spans="1:11" x14ac:dyDescent="0.3">
      <c r="A224" s="11"/>
      <c r="B224" s="239" t="s">
        <v>224</v>
      </c>
      <c r="C224" s="240" t="s">
        <v>528</v>
      </c>
      <c r="D224" s="184"/>
      <c r="E224" s="185"/>
      <c r="F224" s="197"/>
      <c r="G224" s="198"/>
      <c r="H224" s="210"/>
      <c r="I224" s="15"/>
      <c r="K224" s="43"/>
    </row>
    <row r="225" spans="1:11" ht="41.4" x14ac:dyDescent="0.3">
      <c r="A225" s="11"/>
      <c r="B225" s="241" t="s">
        <v>225</v>
      </c>
      <c r="C225" s="225" t="s">
        <v>529</v>
      </c>
      <c r="D225" s="190" t="s">
        <v>351</v>
      </c>
      <c r="E225" s="191">
        <v>1</v>
      </c>
      <c r="F225" s="192">
        <v>938837</v>
      </c>
      <c r="G225" s="260">
        <v>856876.53</v>
      </c>
      <c r="H225" s="212">
        <f>IFERROR(ROUND($E225*$G225,0),"")</f>
        <v>856877</v>
      </c>
      <c r="I225" s="15"/>
      <c r="K225" s="43"/>
    </row>
    <row r="226" spans="1:11" ht="41.4" x14ac:dyDescent="0.3">
      <c r="A226" s="11"/>
      <c r="B226" s="215" t="s">
        <v>226</v>
      </c>
      <c r="C226" s="227" t="s">
        <v>530</v>
      </c>
      <c r="D226" s="184" t="s">
        <v>351</v>
      </c>
      <c r="E226" s="185">
        <v>1</v>
      </c>
      <c r="F226" s="197">
        <v>473247</v>
      </c>
      <c r="G226" s="258">
        <v>431932.54</v>
      </c>
      <c r="H226" s="210">
        <f t="shared" ref="H226:H232" si="16">IFERROR(ROUND($E226*$G226,0),"")</f>
        <v>431933</v>
      </c>
      <c r="I226" s="15"/>
      <c r="K226" s="43"/>
    </row>
    <row r="227" spans="1:11" x14ac:dyDescent="0.3">
      <c r="A227" s="11"/>
      <c r="B227" s="273" t="s">
        <v>227</v>
      </c>
      <c r="C227" s="274" t="s">
        <v>531</v>
      </c>
      <c r="D227" s="190"/>
      <c r="E227" s="191"/>
      <c r="F227" s="192" t="s">
        <v>331</v>
      </c>
      <c r="G227" s="260"/>
      <c r="H227" s="212">
        <f t="shared" si="16"/>
        <v>0</v>
      </c>
      <c r="I227" s="15"/>
      <c r="K227" s="43"/>
    </row>
    <row r="228" spans="1:11" ht="41.4" x14ac:dyDescent="0.3">
      <c r="A228" s="11"/>
      <c r="B228" s="275" t="s">
        <v>228</v>
      </c>
      <c r="C228" s="227" t="s">
        <v>532</v>
      </c>
      <c r="D228" s="184" t="s">
        <v>351</v>
      </c>
      <c r="E228" s="185">
        <v>3</v>
      </c>
      <c r="F228" s="197">
        <v>346131</v>
      </c>
      <c r="G228" s="258">
        <v>315913.76</v>
      </c>
      <c r="H228" s="210">
        <f t="shared" si="16"/>
        <v>947741</v>
      </c>
      <c r="I228" s="15"/>
      <c r="K228" s="43"/>
    </row>
    <row r="229" spans="1:11" ht="41.4" x14ac:dyDescent="0.3">
      <c r="A229" s="11"/>
      <c r="B229" s="216" t="s">
        <v>229</v>
      </c>
      <c r="C229" s="225" t="s">
        <v>533</v>
      </c>
      <c r="D229" s="190" t="s">
        <v>351</v>
      </c>
      <c r="E229" s="191">
        <f>E226</f>
        <v>1</v>
      </c>
      <c r="F229" s="192">
        <v>1268609</v>
      </c>
      <c r="G229" s="260">
        <v>1157859.43</v>
      </c>
      <c r="H229" s="212">
        <f t="shared" si="16"/>
        <v>1157859</v>
      </c>
      <c r="I229" s="15"/>
      <c r="K229" s="43"/>
    </row>
    <row r="230" spans="1:11" ht="41.4" x14ac:dyDescent="0.3">
      <c r="A230" s="11"/>
      <c r="B230" s="215" t="s">
        <v>230</v>
      </c>
      <c r="C230" s="227" t="s">
        <v>534</v>
      </c>
      <c r="D230" s="184" t="s">
        <v>351</v>
      </c>
      <c r="E230" s="185">
        <v>1</v>
      </c>
      <c r="F230" s="197">
        <v>186190</v>
      </c>
      <c r="G230" s="258">
        <v>169935.61</v>
      </c>
      <c r="H230" s="210">
        <f t="shared" si="16"/>
        <v>169936</v>
      </c>
      <c r="I230" s="15"/>
      <c r="K230" s="43"/>
    </row>
    <row r="231" spans="1:11" x14ac:dyDescent="0.3">
      <c r="A231" s="11"/>
      <c r="B231" s="273" t="s">
        <v>231</v>
      </c>
      <c r="C231" s="274" t="s">
        <v>535</v>
      </c>
      <c r="D231" s="190"/>
      <c r="E231" s="191"/>
      <c r="F231" s="192" t="s">
        <v>331</v>
      </c>
      <c r="G231" s="260"/>
      <c r="H231" s="212">
        <f t="shared" si="16"/>
        <v>0</v>
      </c>
      <c r="I231" s="15"/>
      <c r="K231" s="43"/>
    </row>
    <row r="232" spans="1:11" ht="27.6" x14ac:dyDescent="0.3">
      <c r="A232" s="11"/>
      <c r="B232" s="275" t="s">
        <v>232</v>
      </c>
      <c r="C232" s="227" t="s">
        <v>536</v>
      </c>
      <c r="D232" s="184" t="s">
        <v>351</v>
      </c>
      <c r="E232" s="185">
        <v>1</v>
      </c>
      <c r="F232" s="197">
        <v>476834</v>
      </c>
      <c r="G232" s="258">
        <v>435206.39</v>
      </c>
      <c r="H232" s="210">
        <f t="shared" si="16"/>
        <v>435206</v>
      </c>
      <c r="I232" s="15"/>
      <c r="K232" s="43"/>
    </row>
    <row r="233" spans="1:11" ht="27.6" x14ac:dyDescent="0.3">
      <c r="A233" s="11"/>
      <c r="B233" s="216" t="s">
        <v>233</v>
      </c>
      <c r="C233" s="225" t="s">
        <v>537</v>
      </c>
      <c r="D233" s="190" t="s">
        <v>351</v>
      </c>
      <c r="E233" s="191">
        <v>1</v>
      </c>
      <c r="F233" s="192">
        <v>282959</v>
      </c>
      <c r="G233" s="260">
        <v>258256.68</v>
      </c>
      <c r="H233" s="212">
        <f>IFERROR(ROUND($E233*$G233,0),"")</f>
        <v>258257</v>
      </c>
      <c r="I233" s="15"/>
      <c r="K233" s="43"/>
    </row>
    <row r="234" spans="1:11" ht="41.4" x14ac:dyDescent="0.3">
      <c r="A234" s="11"/>
      <c r="B234" s="215" t="s">
        <v>234</v>
      </c>
      <c r="C234" s="227" t="s">
        <v>538</v>
      </c>
      <c r="D234" s="184" t="s">
        <v>351</v>
      </c>
      <c r="E234" s="185">
        <v>1</v>
      </c>
      <c r="F234" s="197">
        <v>153029</v>
      </c>
      <c r="G234" s="258">
        <v>139669.57</v>
      </c>
      <c r="H234" s="210">
        <f t="shared" ref="H234" si="17">IFERROR(ROUND($E234*$G234,0),"")</f>
        <v>139670</v>
      </c>
      <c r="I234" s="15"/>
      <c r="K234" s="43"/>
    </row>
    <row r="235" spans="1:11" ht="55.2" x14ac:dyDescent="0.3">
      <c r="A235" s="11"/>
      <c r="B235" s="216" t="s">
        <v>235</v>
      </c>
      <c r="C235" s="225" t="s">
        <v>539</v>
      </c>
      <c r="D235" s="190" t="s">
        <v>351</v>
      </c>
      <c r="E235" s="191">
        <v>1</v>
      </c>
      <c r="F235" s="192">
        <v>189474</v>
      </c>
      <c r="G235" s="260">
        <v>172932.92</v>
      </c>
      <c r="H235" s="212">
        <f>IFERROR(ROUND($E235*$G235,0),"")</f>
        <v>172933</v>
      </c>
      <c r="I235" s="15"/>
      <c r="K235" s="43"/>
    </row>
    <row r="236" spans="1:11" ht="27.6" x14ac:dyDescent="0.3">
      <c r="A236" s="11"/>
      <c r="B236" s="215" t="s">
        <v>236</v>
      </c>
      <c r="C236" s="227" t="s">
        <v>540</v>
      </c>
      <c r="D236" s="184" t="s">
        <v>351</v>
      </c>
      <c r="E236" s="185">
        <v>2</v>
      </c>
      <c r="F236" s="197">
        <v>84656</v>
      </c>
      <c r="G236" s="258">
        <v>77265.53</v>
      </c>
      <c r="H236" s="210">
        <f>IFERROR(ROUND($E236*$G236,0),"")</f>
        <v>154531</v>
      </c>
      <c r="I236" s="15"/>
      <c r="K236" s="43"/>
    </row>
    <row r="237" spans="1:11" ht="28.2" thickBot="1" x14ac:dyDescent="0.35">
      <c r="A237" s="11"/>
      <c r="B237" s="216" t="s">
        <v>237</v>
      </c>
      <c r="C237" s="225" t="s">
        <v>541</v>
      </c>
      <c r="D237" s="190" t="s">
        <v>351</v>
      </c>
      <c r="E237" s="191">
        <v>2</v>
      </c>
      <c r="F237" s="192">
        <v>30121</v>
      </c>
      <c r="G237" s="260">
        <v>27491.439999999999</v>
      </c>
      <c r="H237" s="212">
        <f t="shared" ref="H237" si="18">IFERROR(ROUND($E237*$G237,0),"")</f>
        <v>54983</v>
      </c>
      <c r="I237" s="15"/>
      <c r="K237" s="43"/>
    </row>
    <row r="238" spans="1:11" ht="14.4" thickTop="1" x14ac:dyDescent="0.3">
      <c r="A238" s="11"/>
      <c r="B238" s="213" t="s">
        <v>19</v>
      </c>
      <c r="C238" s="217"/>
      <c r="D238" s="202"/>
      <c r="E238" s="202"/>
      <c r="F238" s="203"/>
      <c r="G238" s="204"/>
      <c r="H238" s="214">
        <f>SUBTOTAL(109,'FORMULARIO 1'!$H$224:$H$237)</f>
        <v>4779926</v>
      </c>
      <c r="I238" s="15"/>
      <c r="K238" s="43"/>
    </row>
    <row r="239" spans="1:11" ht="27.6" x14ac:dyDescent="0.3">
      <c r="A239" s="11"/>
      <c r="B239" s="265" t="s">
        <v>238</v>
      </c>
      <c r="C239" s="266" t="s">
        <v>239</v>
      </c>
      <c r="D239" s="267" t="s">
        <v>10</v>
      </c>
      <c r="E239" s="268" t="s">
        <v>11</v>
      </c>
      <c r="F239" s="180" t="s">
        <v>329</v>
      </c>
      <c r="G239" s="207" t="s">
        <v>330</v>
      </c>
      <c r="H239" s="271" t="s">
        <v>13</v>
      </c>
      <c r="I239" s="15"/>
      <c r="K239" s="43"/>
    </row>
    <row r="240" spans="1:11" ht="42" thickBot="1" x14ac:dyDescent="0.35">
      <c r="A240" s="11"/>
      <c r="B240" s="257" t="s">
        <v>240</v>
      </c>
      <c r="C240" s="196" t="s">
        <v>542</v>
      </c>
      <c r="D240" s="184" t="s">
        <v>349</v>
      </c>
      <c r="E240" s="185">
        <f>ROUND(((E175*2)+(E179*2)),2)</f>
        <v>215.44</v>
      </c>
      <c r="F240" s="197">
        <v>20975</v>
      </c>
      <c r="G240" s="198">
        <v>19143.88</v>
      </c>
      <c r="H240" s="210">
        <f t="shared" ref="H240" si="19">IFERROR(ROUND($E240*$G240,0),"")</f>
        <v>4124358</v>
      </c>
      <c r="I240" s="15"/>
      <c r="K240" s="43"/>
    </row>
    <row r="241" spans="1:11" ht="14.4" thickTop="1" x14ac:dyDescent="0.3">
      <c r="A241" s="11"/>
      <c r="B241" s="213" t="s">
        <v>19</v>
      </c>
      <c r="C241" s="218"/>
      <c r="D241" s="202"/>
      <c r="E241" s="202"/>
      <c r="F241" s="203"/>
      <c r="G241" s="204"/>
      <c r="H241" s="214">
        <f>SUBTOTAL(109,'FORMULARIO 1'!$H$240:$H$240)</f>
        <v>4124358</v>
      </c>
      <c r="I241" s="15"/>
      <c r="K241" s="43"/>
    </row>
    <row r="242" spans="1:11" ht="27.6" x14ac:dyDescent="0.3">
      <c r="A242" s="11"/>
      <c r="B242" s="265" t="s">
        <v>241</v>
      </c>
      <c r="C242" s="266" t="s">
        <v>242</v>
      </c>
      <c r="D242" s="267" t="s">
        <v>10</v>
      </c>
      <c r="E242" s="268" t="s">
        <v>11</v>
      </c>
      <c r="F242" s="180" t="s">
        <v>329</v>
      </c>
      <c r="G242" s="207" t="s">
        <v>330</v>
      </c>
      <c r="H242" s="271" t="s">
        <v>13</v>
      </c>
      <c r="I242" s="15"/>
      <c r="K242" s="43"/>
    </row>
    <row r="243" spans="1:11" ht="55.2" x14ac:dyDescent="0.3">
      <c r="A243" s="11"/>
      <c r="B243" s="257" t="s">
        <v>243</v>
      </c>
      <c r="C243" s="196" t="s">
        <v>543</v>
      </c>
      <c r="D243" s="184" t="s">
        <v>349</v>
      </c>
      <c r="E243" s="185">
        <f>ROUND((1.2*0.7),2)</f>
        <v>0.84</v>
      </c>
      <c r="F243" s="197">
        <v>494668</v>
      </c>
      <c r="G243" s="198">
        <v>451483.48</v>
      </c>
      <c r="H243" s="210">
        <f t="shared" ref="H243:H244" si="20">IFERROR(ROUND($E243*$G243,0),"")</f>
        <v>379246</v>
      </c>
      <c r="I243" s="15"/>
      <c r="K243" s="43"/>
    </row>
    <row r="244" spans="1:11" ht="55.8" thickBot="1" x14ac:dyDescent="0.35">
      <c r="A244" s="11"/>
      <c r="B244" s="259" t="s">
        <v>244</v>
      </c>
      <c r="C244" s="189" t="s">
        <v>544</v>
      </c>
      <c r="D244" s="190" t="s">
        <v>349</v>
      </c>
      <c r="E244" s="191">
        <f>ROUND(((0.7*1.2)*2),2)</f>
        <v>1.68</v>
      </c>
      <c r="F244" s="192">
        <v>384197</v>
      </c>
      <c r="G244" s="193">
        <v>350656.6</v>
      </c>
      <c r="H244" s="212">
        <f t="shared" si="20"/>
        <v>589103</v>
      </c>
      <c r="I244" s="15"/>
      <c r="K244" s="43"/>
    </row>
    <row r="245" spans="1:11" ht="14.4" thickTop="1" x14ac:dyDescent="0.3">
      <c r="A245" s="11"/>
      <c r="B245" s="276" t="s">
        <v>19</v>
      </c>
      <c r="C245" s="218"/>
      <c r="D245" s="218"/>
      <c r="E245" s="218"/>
      <c r="F245" s="219"/>
      <c r="G245" s="220"/>
      <c r="H245" s="277">
        <f>SUBTOTAL(109,'FORMULARIO 1'!$H$243:$H$244)</f>
        <v>968349</v>
      </c>
      <c r="I245" s="15"/>
      <c r="K245" s="43"/>
    </row>
    <row r="246" spans="1:11" ht="27.6" x14ac:dyDescent="0.3">
      <c r="A246" s="11"/>
      <c r="B246" s="265" t="s">
        <v>245</v>
      </c>
      <c r="C246" s="266" t="s">
        <v>246</v>
      </c>
      <c r="D246" s="267" t="s">
        <v>10</v>
      </c>
      <c r="E246" s="268" t="s">
        <v>11</v>
      </c>
      <c r="F246" s="180" t="s">
        <v>329</v>
      </c>
      <c r="G246" s="207" t="s">
        <v>330</v>
      </c>
      <c r="H246" s="271" t="s">
        <v>13</v>
      </c>
      <c r="I246" s="15"/>
      <c r="K246" s="43"/>
    </row>
    <row r="247" spans="1:11" ht="27.6" x14ac:dyDescent="0.3">
      <c r="A247" s="11"/>
      <c r="B247" s="215" t="s">
        <v>247</v>
      </c>
      <c r="C247" s="196" t="s">
        <v>545</v>
      </c>
      <c r="D247" s="184" t="s">
        <v>351</v>
      </c>
      <c r="E247" s="185">
        <v>2</v>
      </c>
      <c r="F247" s="197">
        <v>134172</v>
      </c>
      <c r="G247" s="198">
        <v>122458.78</v>
      </c>
      <c r="H247" s="210">
        <f t="shared" ref="H247" si="21">IFERROR(ROUND($E247*$G247,0),"")</f>
        <v>244918</v>
      </c>
      <c r="I247" s="15"/>
      <c r="K247" s="43"/>
    </row>
    <row r="248" spans="1:11" ht="28.2" thickBot="1" x14ac:dyDescent="0.35">
      <c r="A248" s="11"/>
      <c r="B248" s="216" t="s">
        <v>248</v>
      </c>
      <c r="C248" s="189" t="s">
        <v>546</v>
      </c>
      <c r="D248" s="190" t="s">
        <v>351</v>
      </c>
      <c r="E248" s="191">
        <v>3</v>
      </c>
      <c r="F248" s="192">
        <v>81615</v>
      </c>
      <c r="G248" s="260">
        <v>74490.009999999995</v>
      </c>
      <c r="H248" s="212">
        <f>IFERROR(ROUND($E248*$G248,0),"")</f>
        <v>223470</v>
      </c>
      <c r="I248" s="15"/>
      <c r="K248" s="43"/>
    </row>
    <row r="249" spans="1:11" ht="14.4" thickTop="1" x14ac:dyDescent="0.3">
      <c r="A249" s="11"/>
      <c r="B249" s="213" t="s">
        <v>19</v>
      </c>
      <c r="C249" s="217"/>
      <c r="D249" s="202"/>
      <c r="E249" s="202"/>
      <c r="F249" s="203"/>
      <c r="G249" s="204"/>
      <c r="H249" s="214">
        <f>SUBTOTAL(109,'FORMULARIO 1'!$H$247:$H$248)</f>
        <v>468388</v>
      </c>
      <c r="I249" s="15"/>
      <c r="K249" s="43"/>
    </row>
    <row r="250" spans="1:11" ht="27.6" x14ac:dyDescent="0.3">
      <c r="A250" s="11"/>
      <c r="B250" s="265" t="s">
        <v>249</v>
      </c>
      <c r="C250" s="266" t="s">
        <v>250</v>
      </c>
      <c r="D250" s="267" t="s">
        <v>10</v>
      </c>
      <c r="E250" s="268" t="s">
        <v>11</v>
      </c>
      <c r="F250" s="180" t="s">
        <v>329</v>
      </c>
      <c r="G250" s="207" t="s">
        <v>330</v>
      </c>
      <c r="H250" s="271" t="s">
        <v>13</v>
      </c>
      <c r="I250" s="15"/>
      <c r="K250" s="43"/>
    </row>
    <row r="251" spans="1:11" ht="41.4" x14ac:dyDescent="0.3">
      <c r="A251" s="11"/>
      <c r="B251" s="215" t="s">
        <v>251</v>
      </c>
      <c r="C251" s="227" t="s">
        <v>547</v>
      </c>
      <c r="D251" s="184" t="s">
        <v>349</v>
      </c>
      <c r="E251" s="101">
        <f>ROUND((279.02-200),2)</f>
        <v>79.02</v>
      </c>
      <c r="F251" s="197">
        <v>151343</v>
      </c>
      <c r="G251" s="258">
        <v>138130.76</v>
      </c>
      <c r="H251" s="210">
        <f t="shared" ref="H251:H252" si="22">IFERROR(ROUND($E251*$G251,0),"")</f>
        <v>10915093</v>
      </c>
      <c r="I251" s="15"/>
      <c r="K251" s="43"/>
    </row>
    <row r="252" spans="1:11" x14ac:dyDescent="0.3">
      <c r="A252" s="11"/>
      <c r="B252" s="216" t="s">
        <v>252</v>
      </c>
      <c r="C252" s="225" t="s">
        <v>548</v>
      </c>
      <c r="D252" s="190" t="s">
        <v>349</v>
      </c>
      <c r="E252" s="191">
        <v>53.79</v>
      </c>
      <c r="F252" s="192">
        <v>53772</v>
      </c>
      <c r="G252" s="260">
        <v>49077.7</v>
      </c>
      <c r="H252" s="212">
        <f t="shared" si="22"/>
        <v>2639889</v>
      </c>
      <c r="I252" s="15"/>
      <c r="K252" s="43"/>
    </row>
    <row r="253" spans="1:11" ht="41.4" x14ac:dyDescent="0.3">
      <c r="A253" s="11"/>
      <c r="B253" s="215" t="s">
        <v>253</v>
      </c>
      <c r="C253" s="227" t="s">
        <v>549</v>
      </c>
      <c r="D253" s="184" t="s">
        <v>332</v>
      </c>
      <c r="E253" s="185">
        <f>ROUND(((1.88*2)+2.29+1.8+3.2+9.7),2)</f>
        <v>20.75</v>
      </c>
      <c r="F253" s="197">
        <v>99407</v>
      </c>
      <c r="G253" s="258">
        <v>90728.77</v>
      </c>
      <c r="H253" s="210">
        <f>IFERROR(ROUND($E253*$G253,0),"")</f>
        <v>1882622</v>
      </c>
      <c r="I253" s="15"/>
      <c r="K253" s="43"/>
    </row>
    <row r="254" spans="1:11" ht="28.2" thickBot="1" x14ac:dyDescent="0.35">
      <c r="A254" s="11"/>
      <c r="B254" s="216" t="s">
        <v>254</v>
      </c>
      <c r="C254" s="225" t="s">
        <v>550</v>
      </c>
      <c r="D254" s="190" t="s">
        <v>354</v>
      </c>
      <c r="E254" s="191">
        <f>7.52</f>
        <v>7.52</v>
      </c>
      <c r="F254" s="192">
        <v>326927</v>
      </c>
      <c r="G254" s="260">
        <v>298386.27</v>
      </c>
      <c r="H254" s="212">
        <f>IFERROR(ROUND($E254*$G254,0),"")</f>
        <v>2243865</v>
      </c>
      <c r="I254" s="15"/>
      <c r="K254" s="43"/>
    </row>
    <row r="255" spans="1:11" ht="14.4" thickTop="1" x14ac:dyDescent="0.3">
      <c r="A255" s="11"/>
      <c r="B255" s="213" t="s">
        <v>19</v>
      </c>
      <c r="C255" s="217"/>
      <c r="D255" s="202"/>
      <c r="E255" s="202"/>
      <c r="F255" s="203"/>
      <c r="G255" s="204"/>
      <c r="H255" s="214">
        <f>SUBTOTAL(109,'FORMULARIO 1'!$H$251:$H$254)</f>
        <v>17681469</v>
      </c>
      <c r="I255" s="15"/>
      <c r="K255" s="43"/>
    </row>
    <row r="256" spans="1:11" ht="27.6" x14ac:dyDescent="0.3">
      <c r="A256" s="11"/>
      <c r="B256" s="265" t="s">
        <v>255</v>
      </c>
      <c r="C256" s="266" t="s">
        <v>256</v>
      </c>
      <c r="D256" s="267" t="s">
        <v>10</v>
      </c>
      <c r="E256" s="268" t="s">
        <v>11</v>
      </c>
      <c r="F256" s="180" t="s">
        <v>329</v>
      </c>
      <c r="G256" s="207" t="s">
        <v>330</v>
      </c>
      <c r="H256" s="271" t="s">
        <v>13</v>
      </c>
      <c r="I256" s="15"/>
      <c r="K256" s="43"/>
    </row>
    <row r="257" spans="1:11" ht="110.4" x14ac:dyDescent="0.3">
      <c r="A257" s="11"/>
      <c r="B257" s="215" t="s">
        <v>257</v>
      </c>
      <c r="C257" s="227" t="s">
        <v>551</v>
      </c>
      <c r="D257" s="184" t="s">
        <v>351</v>
      </c>
      <c r="E257" s="185">
        <v>46</v>
      </c>
      <c r="F257" s="197">
        <v>57367</v>
      </c>
      <c r="G257" s="258">
        <v>52358.86</v>
      </c>
      <c r="H257" s="210">
        <f>IFERROR(ROUND($E257*$G257,0),"")</f>
        <v>2408508</v>
      </c>
      <c r="I257" s="15"/>
      <c r="K257" s="43"/>
    </row>
    <row r="258" spans="1:11" ht="41.4" x14ac:dyDescent="0.3">
      <c r="A258" s="11"/>
      <c r="B258" s="216" t="s">
        <v>258</v>
      </c>
      <c r="C258" s="225" t="s">
        <v>552</v>
      </c>
      <c r="D258" s="190" t="s">
        <v>351</v>
      </c>
      <c r="E258" s="191">
        <v>1</v>
      </c>
      <c r="F258" s="192">
        <v>377247</v>
      </c>
      <c r="G258" s="260">
        <v>344313.34</v>
      </c>
      <c r="H258" s="212">
        <f>IFERROR(ROUND($E258*$G258,0),"")</f>
        <v>344313</v>
      </c>
      <c r="I258" s="15"/>
      <c r="K258" s="43"/>
    </row>
    <row r="259" spans="1:11" ht="55.2" x14ac:dyDescent="0.3">
      <c r="A259" s="11"/>
      <c r="B259" s="215" t="s">
        <v>259</v>
      </c>
      <c r="C259" s="227" t="s">
        <v>553</v>
      </c>
      <c r="D259" s="184" t="s">
        <v>351</v>
      </c>
      <c r="E259" s="185">
        <v>8</v>
      </c>
      <c r="F259" s="197">
        <v>217445</v>
      </c>
      <c r="G259" s="258">
        <v>198462.05</v>
      </c>
      <c r="H259" s="210">
        <f>IFERROR(ROUND($E259*$G259,0),"")</f>
        <v>1587696</v>
      </c>
      <c r="I259" s="15"/>
      <c r="K259" s="43"/>
    </row>
    <row r="260" spans="1:11" ht="55.8" thickBot="1" x14ac:dyDescent="0.35">
      <c r="A260" s="11"/>
      <c r="B260" s="216" t="s">
        <v>260</v>
      </c>
      <c r="C260" s="225" t="s">
        <v>554</v>
      </c>
      <c r="D260" s="190" t="s">
        <v>351</v>
      </c>
      <c r="E260" s="191">
        <v>1</v>
      </c>
      <c r="F260" s="192">
        <v>261377</v>
      </c>
      <c r="G260" s="260">
        <v>238558.79</v>
      </c>
      <c r="H260" s="212">
        <f>IFERROR(ROUND($E260*$G260,0),"")</f>
        <v>238559</v>
      </c>
      <c r="I260" s="15"/>
      <c r="K260" s="43"/>
    </row>
    <row r="261" spans="1:11" ht="14.4" thickTop="1" x14ac:dyDescent="0.3">
      <c r="A261" s="77"/>
      <c r="B261" s="213" t="s">
        <v>19</v>
      </c>
      <c r="C261" s="217"/>
      <c r="D261" s="202"/>
      <c r="E261" s="202"/>
      <c r="F261" s="203"/>
      <c r="G261" s="204"/>
      <c r="H261" s="214">
        <f>SUBTOTAL(109,'FORMULARIO 1'!$H$257:$H$260)</f>
        <v>4579076</v>
      </c>
      <c r="I261" s="15"/>
      <c r="K261" s="43"/>
    </row>
    <row r="262" spans="1:11" ht="27.6" x14ac:dyDescent="0.3">
      <c r="A262" s="77"/>
      <c r="B262" s="265" t="s">
        <v>261</v>
      </c>
      <c r="C262" s="266" t="s">
        <v>262</v>
      </c>
      <c r="D262" s="267" t="s">
        <v>10</v>
      </c>
      <c r="E262" s="268" t="s">
        <v>11</v>
      </c>
      <c r="F262" s="180" t="s">
        <v>329</v>
      </c>
      <c r="G262" s="207" t="s">
        <v>330</v>
      </c>
      <c r="H262" s="271" t="s">
        <v>13</v>
      </c>
      <c r="I262" s="15"/>
      <c r="K262" s="43"/>
    </row>
    <row r="263" spans="1:11" ht="14.4" thickBot="1" x14ac:dyDescent="0.35">
      <c r="A263" s="77"/>
      <c r="B263" s="215" t="s">
        <v>263</v>
      </c>
      <c r="C263" s="196" t="s">
        <v>555</v>
      </c>
      <c r="D263" s="184" t="s">
        <v>349</v>
      </c>
      <c r="E263" s="278">
        <v>267.15289999999999</v>
      </c>
      <c r="F263" s="197">
        <v>4923</v>
      </c>
      <c r="G263" s="198">
        <v>4493.22</v>
      </c>
      <c r="H263" s="210">
        <f t="shared" ref="H263" si="23">IFERROR(ROUND($E263*$G263,0),"")</f>
        <v>1200377</v>
      </c>
      <c r="I263" s="15"/>
      <c r="K263" s="43"/>
    </row>
    <row r="264" spans="1:11" ht="14.4" thickTop="1" x14ac:dyDescent="0.3">
      <c r="A264" s="77"/>
      <c r="B264" s="213" t="s">
        <v>19</v>
      </c>
      <c r="C264" s="217"/>
      <c r="D264" s="202"/>
      <c r="E264" s="202"/>
      <c r="F264" s="202"/>
      <c r="G264" s="279"/>
      <c r="H264" s="214">
        <f>SUBTOTAL(109,'FORMULARIO 1'!$H$263:$H$263)</f>
        <v>1200377</v>
      </c>
      <c r="I264" s="15"/>
      <c r="K264" s="43"/>
    </row>
    <row r="265" spans="1:11" x14ac:dyDescent="0.3">
      <c r="A265" s="77"/>
      <c r="C265" s="50"/>
      <c r="D265" s="39"/>
      <c r="E265" s="39"/>
      <c r="F265" s="39"/>
      <c r="G265" s="47"/>
      <c r="H265" s="48"/>
      <c r="I265" s="15"/>
    </row>
    <row r="266" spans="1:11" x14ac:dyDescent="0.3">
      <c r="A266" s="77"/>
      <c r="B266" s="299" t="s">
        <v>264</v>
      </c>
      <c r="C266" s="299"/>
      <c r="D266" s="299"/>
      <c r="E266" s="299"/>
      <c r="F266" s="299"/>
      <c r="G266" s="299"/>
      <c r="H266" s="79">
        <f>SUBTOTAL(9,H11:H265)</f>
        <v>854237108</v>
      </c>
      <c r="I266" s="80"/>
      <c r="J266" s="81"/>
    </row>
    <row r="267" spans="1:11" ht="14.4" thickBot="1" x14ac:dyDescent="0.35">
      <c r="A267" s="77"/>
      <c r="B267" s="82"/>
      <c r="C267" s="82"/>
      <c r="D267" s="82"/>
      <c r="E267" s="82"/>
      <c r="F267" s="82"/>
      <c r="G267" s="82"/>
      <c r="H267" s="82"/>
      <c r="I267" s="15"/>
    </row>
    <row r="268" spans="1:11" x14ac:dyDescent="0.3">
      <c r="A268" s="77"/>
      <c r="B268" s="82"/>
      <c r="C268" s="300" t="s">
        <v>265</v>
      </c>
      <c r="D268" s="301" t="s">
        <v>266</v>
      </c>
      <c r="E268" s="302">
        <v>0.215</v>
      </c>
      <c r="F268" s="83"/>
      <c r="G268" s="84">
        <f>IF((ISNUMBER(H276)),H276,0)</f>
        <v>0.29599999999999999</v>
      </c>
      <c r="H268" s="85">
        <f>ROUND((H266*G268),0)</f>
        <v>252854184</v>
      </c>
      <c r="I268" s="15"/>
    </row>
    <row r="269" spans="1:11" x14ac:dyDescent="0.3">
      <c r="A269" s="77"/>
      <c r="B269" s="82"/>
      <c r="C269" s="303" t="s">
        <v>267</v>
      </c>
      <c r="D269" s="304" t="s">
        <v>266</v>
      </c>
      <c r="E269" s="305">
        <v>0.01</v>
      </c>
      <c r="F269" s="86"/>
      <c r="G269" s="87">
        <f>IF((ISNUMBER(H277)),H277,0)</f>
        <v>5.0000000000000001E-3</v>
      </c>
      <c r="H269" s="88">
        <f>ROUND((+H266*G269),0)</f>
        <v>4271186</v>
      </c>
      <c r="I269" s="15"/>
    </row>
    <row r="270" spans="1:11" x14ac:dyDescent="0.3">
      <c r="A270" s="77"/>
      <c r="B270" s="82"/>
      <c r="C270" s="306" t="s">
        <v>268</v>
      </c>
      <c r="D270" s="304" t="s">
        <v>266</v>
      </c>
      <c r="E270" s="305">
        <v>0.05</v>
      </c>
      <c r="F270" s="86"/>
      <c r="G270" s="87">
        <f>IF((ISNUMBER(H278)),H278,0)</f>
        <v>0.05</v>
      </c>
      <c r="H270" s="88">
        <f>ROUND((+H266*G270),0)</f>
        <v>42711855</v>
      </c>
      <c r="I270" s="15"/>
    </row>
    <row r="271" spans="1:11" x14ac:dyDescent="0.3">
      <c r="A271" s="77"/>
      <c r="B271" s="82"/>
      <c r="C271" s="306" t="s">
        <v>269</v>
      </c>
      <c r="D271" s="304" t="s">
        <v>266</v>
      </c>
      <c r="E271" s="305">
        <v>0.19</v>
      </c>
      <c r="F271" s="86"/>
      <c r="G271" s="87">
        <v>0.19</v>
      </c>
      <c r="H271" s="88">
        <f>ROUND((+H270*G271),0)</f>
        <v>8115252</v>
      </c>
      <c r="I271" s="15"/>
    </row>
    <row r="272" spans="1:11" ht="14.4" thickBot="1" x14ac:dyDescent="0.35">
      <c r="A272" s="77"/>
      <c r="B272" s="82"/>
      <c r="C272" s="307" t="s">
        <v>270</v>
      </c>
      <c r="D272" s="308"/>
      <c r="E272" s="309"/>
      <c r="F272" s="89"/>
      <c r="G272" s="90"/>
      <c r="H272" s="91">
        <f>SUM(H268:H271)</f>
        <v>307952477</v>
      </c>
      <c r="I272" s="15"/>
    </row>
    <row r="273" spans="1:11" ht="14.4" thickBot="1" x14ac:dyDescent="0.35">
      <c r="A273" s="289"/>
      <c r="B273" s="289"/>
      <c r="C273" s="290" t="s">
        <v>271</v>
      </c>
      <c r="D273" s="291"/>
      <c r="E273" s="292"/>
      <c r="F273" s="92"/>
      <c r="G273" s="93"/>
      <c r="H273" s="94">
        <f>+H266+H272</f>
        <v>1162189585</v>
      </c>
      <c r="J273" s="95"/>
      <c r="K273" s="51"/>
    </row>
    <row r="274" spans="1:11" ht="14.4" thickBot="1" x14ac:dyDescent="0.35">
      <c r="A274" s="289"/>
      <c r="B274" s="289"/>
      <c r="C274" s="96"/>
      <c r="D274" s="97"/>
      <c r="E274" s="98"/>
      <c r="F274" s="98"/>
      <c r="G274" s="99"/>
      <c r="H274" s="100"/>
    </row>
    <row r="275" spans="1:11" ht="25.5" customHeight="1" thickTop="1" x14ac:dyDescent="0.3">
      <c r="B275" s="338" t="s">
        <v>333</v>
      </c>
      <c r="C275" s="339"/>
      <c r="D275" s="332" t="s">
        <v>7</v>
      </c>
      <c r="E275" s="340"/>
      <c r="F275" s="340"/>
      <c r="G275" s="333"/>
      <c r="H275" s="281" t="s">
        <v>325</v>
      </c>
    </row>
    <row r="276" spans="1:11" ht="25.5" customHeight="1" x14ac:dyDescent="0.3">
      <c r="B276" s="338" t="s">
        <v>334</v>
      </c>
      <c r="C276" s="339"/>
      <c r="D276" s="334" t="s">
        <v>265</v>
      </c>
      <c r="E276" s="335"/>
      <c r="F276" s="282"/>
      <c r="G276" s="283" t="s">
        <v>335</v>
      </c>
      <c r="H276" s="284">
        <v>0.29599999999999999</v>
      </c>
    </row>
    <row r="277" spans="1:11" ht="25.5" customHeight="1" x14ac:dyDescent="0.3">
      <c r="B277" s="338" t="s">
        <v>336</v>
      </c>
      <c r="C277" s="339"/>
      <c r="D277" s="341" t="s">
        <v>337</v>
      </c>
      <c r="E277" s="342"/>
      <c r="F277" s="285"/>
      <c r="G277" s="283" t="s">
        <v>338</v>
      </c>
      <c r="H277" s="284">
        <v>5.0000000000000001E-3</v>
      </c>
    </row>
    <row r="278" spans="1:11" x14ac:dyDescent="0.3">
      <c r="B278" s="10"/>
      <c r="D278" s="332" t="s">
        <v>268</v>
      </c>
      <c r="E278" s="333"/>
      <c r="F278" s="280"/>
      <c r="G278" s="283" t="s">
        <v>339</v>
      </c>
      <c r="H278" s="284">
        <v>0.05</v>
      </c>
    </row>
    <row r="279" spans="1:11" x14ac:dyDescent="0.3">
      <c r="B279" s="10"/>
      <c r="D279" s="334" t="s">
        <v>340</v>
      </c>
      <c r="E279" s="335"/>
      <c r="F279" s="282"/>
      <c r="G279" s="283" t="s">
        <v>341</v>
      </c>
      <c r="H279" s="286">
        <f>SUM(H276:H278)</f>
        <v>0.35099999999999998</v>
      </c>
    </row>
    <row r="280" spans="1:11" x14ac:dyDescent="0.3">
      <c r="D280" s="287"/>
      <c r="E280" s="287"/>
      <c r="F280" s="287"/>
      <c r="G280" s="288"/>
    </row>
    <row r="281" spans="1:11" x14ac:dyDescent="0.3">
      <c r="D281" s="287"/>
      <c r="E281" s="287"/>
      <c r="F281" s="287"/>
      <c r="G281" s="288"/>
    </row>
    <row r="282" spans="1:11" x14ac:dyDescent="0.3">
      <c r="D282" s="287"/>
      <c r="E282" s="287"/>
      <c r="F282" s="287"/>
      <c r="G282" s="288"/>
    </row>
    <row r="283" spans="1:11" x14ac:dyDescent="0.3">
      <c r="D283" s="336"/>
      <c r="E283" s="336"/>
      <c r="F283" s="336"/>
      <c r="G283" s="336"/>
    </row>
    <row r="284" spans="1:11" x14ac:dyDescent="0.3">
      <c r="D284" s="337" t="s">
        <v>342</v>
      </c>
      <c r="E284" s="337"/>
      <c r="F284" s="337"/>
      <c r="G284" s="337"/>
    </row>
    <row r="285" spans="1:11" x14ac:dyDescent="0.3">
      <c r="D285" s="287"/>
      <c r="E285" s="287"/>
      <c r="F285" s="287"/>
      <c r="G285" s="288"/>
    </row>
    <row r="286" spans="1:11" x14ac:dyDescent="0.3">
      <c r="D286" s="287"/>
      <c r="E286" s="287"/>
      <c r="F286" s="287"/>
      <c r="G286" s="288"/>
    </row>
    <row r="287" spans="1:11" x14ac:dyDescent="0.3">
      <c r="D287" s="287"/>
      <c r="E287" s="287"/>
      <c r="F287" s="287"/>
      <c r="G287" s="288"/>
    </row>
    <row r="288" spans="1:11" x14ac:dyDescent="0.3">
      <c r="D288" s="287"/>
      <c r="E288" s="287"/>
      <c r="F288" s="287"/>
      <c r="G288" s="288"/>
    </row>
    <row r="289" spans="4:7" x14ac:dyDescent="0.3">
      <c r="D289" s="287"/>
      <c r="E289" s="287"/>
      <c r="F289" s="287"/>
      <c r="G289" s="288"/>
    </row>
    <row r="290" spans="4:7" x14ac:dyDescent="0.3">
      <c r="D290" s="287"/>
      <c r="E290" s="287"/>
      <c r="F290" s="287"/>
      <c r="G290" s="288"/>
    </row>
    <row r="291" spans="4:7" x14ac:dyDescent="0.3">
      <c r="D291" s="287"/>
      <c r="E291" s="287"/>
      <c r="F291" s="287"/>
      <c r="G291" s="288"/>
    </row>
  </sheetData>
  <sheetProtection algorithmName="SHA-512" hashValue="GHaXQpTAqagdkheakBCkKrp+X5oHJ+kEl4GGkncde/gX7Ygq23vDB+Sx773C6BlPvJ30duqji8C01EA1mtxplg==" saltValue="wMzY3bpZKmh94uRuHvL9OA==" spinCount="100000" sheet="1"/>
  <mergeCells count="23">
    <mergeCell ref="D278:E278"/>
    <mergeCell ref="D279:E279"/>
    <mergeCell ref="D283:G283"/>
    <mergeCell ref="D284:G284"/>
    <mergeCell ref="B275:C275"/>
    <mergeCell ref="D275:G275"/>
    <mergeCell ref="B276:C276"/>
    <mergeCell ref="D276:E276"/>
    <mergeCell ref="B277:C277"/>
    <mergeCell ref="D277:E277"/>
    <mergeCell ref="A273:B274"/>
    <mergeCell ref="C273:E273"/>
    <mergeCell ref="B2:C2"/>
    <mergeCell ref="B6:H6"/>
    <mergeCell ref="B7:H7"/>
    <mergeCell ref="B8:H8"/>
    <mergeCell ref="B9:H9"/>
    <mergeCell ref="B266:G266"/>
    <mergeCell ref="C268:E268"/>
    <mergeCell ref="C269:E269"/>
    <mergeCell ref="C270:E270"/>
    <mergeCell ref="C271:E271"/>
    <mergeCell ref="C272:E272"/>
  </mergeCells>
  <conditionalFormatting sqref="C10">
    <cfRule type="containsText" dxfId="3" priority="3" operator="containsText" text="escari">
      <formula>NOT(ISERROR(SEARCH("escari",C10)))</formula>
    </cfRule>
    <cfRule type="containsText" dxfId="2" priority="4" operator="containsText" text="escarificación">
      <formula>NOT(ISERROR(SEARCH("escarificación",C10)))</formula>
    </cfRule>
  </conditionalFormatting>
  <conditionalFormatting sqref="C268:C273">
    <cfRule type="containsText" dxfId="1" priority="1" operator="containsText" text="escari">
      <formula>NOT(ISERROR(SEARCH("escari",C268)))</formula>
    </cfRule>
    <cfRule type="containsText" dxfId="0" priority="2" operator="containsText" text="escarificación">
      <formula>NOT(ISERROR(SEARCH("escarificación",C268)))</formula>
    </cfRule>
  </conditionalFormatting>
  <pageMargins left="0.7" right="0.7" top="0.75" bottom="0.75" header="0.3" footer="0.3"/>
  <pageSetup paperSize="9" scale="40" fitToHeight="0" orientation="portrait" r:id="rId1"/>
  <rowBreaks count="3" manualBreakCount="3">
    <brk id="109" max="7" man="1"/>
    <brk id="143" max="7" man="1"/>
    <brk id="263"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f012bd-71e5-438b-ba6b-85a71e63bc17">
      <Terms xmlns="http://schemas.microsoft.com/office/infopath/2007/PartnerControls"/>
    </lcf76f155ced4ddcb4097134ff3c332f>
    <TaxCatchAll xmlns="411af437-87f4-4afa-9549-23bfbf87a09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C833F6710146E43B3FD0085674ED13B" ma:contentTypeVersion="13" ma:contentTypeDescription="Crear nuevo documento." ma:contentTypeScope="" ma:versionID="f386dcafaddd3a251d616c870fea23c2">
  <xsd:schema xmlns:xsd="http://www.w3.org/2001/XMLSchema" xmlns:xs="http://www.w3.org/2001/XMLSchema" xmlns:p="http://schemas.microsoft.com/office/2006/metadata/properties" xmlns:ns2="b0f012bd-71e5-438b-ba6b-85a71e63bc17" xmlns:ns3="411af437-87f4-4afa-9549-23bfbf87a09e" targetNamespace="http://schemas.microsoft.com/office/2006/metadata/properties" ma:root="true" ma:fieldsID="5d0637034fc4983eee6aad47ec623c93" ns2:_="" ns3:_="">
    <xsd:import namespace="b0f012bd-71e5-438b-ba6b-85a71e63bc17"/>
    <xsd:import namespace="411af437-87f4-4afa-9549-23bfbf87a0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12bd-71e5-438b-ba6b-85a71e63bc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11af437-87f4-4afa-9549-23bfbf87a09e"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58a2c374-60a7-4878-bdb6-d05d263ac73c}" ma:internalName="TaxCatchAll" ma:showField="CatchAllData" ma:web="411af437-87f4-4afa-9549-23bfbf87a0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2F2C67-95F7-4658-800A-AD14B3459719}">
  <ds:schemaRefs>
    <ds:schemaRef ds:uri="http://purl.org/dc/elements/1.1/"/>
    <ds:schemaRef ds:uri="411af437-87f4-4afa-9549-23bfbf87a09e"/>
    <ds:schemaRef ds:uri="http://schemas.openxmlformats.org/package/2006/metadata/core-properties"/>
    <ds:schemaRef ds:uri="http://purl.org/dc/dcmitype/"/>
    <ds:schemaRef ds:uri="http://purl.org/dc/terms/"/>
    <ds:schemaRef ds:uri="http://schemas.microsoft.com/office/2006/documentManagement/types"/>
    <ds:schemaRef ds:uri="http://schemas.microsoft.com/office/2006/metadata/properties"/>
    <ds:schemaRef ds:uri="b0f012bd-71e5-438b-ba6b-85a71e63bc17"/>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DC0F0AA8-527F-4C3A-ABDE-4652217EAB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12bd-71e5-438b-ba6b-85a71e63bc17"/>
    <ds:schemaRef ds:uri="411af437-87f4-4afa-9549-23bfbf87a0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E87D6D-0A3E-4904-94C3-2B341EC3A6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vt:lpstr>
      <vt:lpstr>AIU</vt:lpstr>
      <vt:lpstr>FORMULARIO 1</vt:lpstr>
      <vt:lpstr>AIU!Área_de_impresión</vt:lpstr>
      <vt:lpstr>'FORMULARIO 1'!Área_de_impresión</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Esteban David Martìnez Guerrero.</dc:creator>
  <cp:lastModifiedBy>Andrea Rocha</cp:lastModifiedBy>
  <dcterms:created xsi:type="dcterms:W3CDTF">2025-10-22T23:23:32Z</dcterms:created>
  <dcterms:modified xsi:type="dcterms:W3CDTF">2025-12-19T21:51:17Z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0x010100DC833F6710146E43B3FD0085674ED13B</vt:lpwstr>
  </property>
</Properties>
</file>