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 tabRatio="869"/>
  </bookViews>
  <sheets>
    <sheet name="RESUMEN" sheetId="16" r:id="rId1"/>
    <sheet name="PROPUESTA ECON" sheetId="25" r:id="rId2"/>
    <sheet name="11-CM C&amp;M PROYEC" sheetId="23" r:id="rId3"/>
    <sheet name="5-CONDETER-" sheetId="20" r:id="rId4"/>
    <sheet name="3-TPD ING" sheetId="18" r:id="rId5"/>
    <sheet name="9- CONS VEA" sheetId="30" r:id="rId6"/>
    <sheet name="MEDIA ARMÓNICA" sheetId="10" r:id="rId7"/>
    <sheet name="7-DATEXCO" sheetId="27" r:id="rId8"/>
  </sheets>
  <externalReferences>
    <externalReference r:id="rId9"/>
    <externalReference r:id="rId10"/>
    <externalReference r:id="rId11"/>
  </externalReferences>
  <definedNames>
    <definedName name="AUMENTO1">'[1]EQUIPOS TRANSPOR SALARIO'!$U$1</definedName>
    <definedName name="DURACION">[2]Administración!$K$7</definedName>
    <definedName name="PLZ">[1]Presupuesto!$I$134</definedName>
    <definedName name="Prest.">1.75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0" l="1"/>
  <c r="A20" i="10"/>
  <c r="A21" i="10"/>
  <c r="A18" i="10"/>
  <c r="I19" i="30"/>
  <c r="P15" i="30"/>
  <c r="O15" i="30"/>
  <c r="N15" i="30"/>
  <c r="M15" i="30"/>
  <c r="P14" i="30"/>
  <c r="O14" i="30"/>
  <c r="N14" i="30"/>
  <c r="M14" i="30"/>
  <c r="P13" i="30"/>
  <c r="O13" i="30"/>
  <c r="N13" i="30"/>
  <c r="M13" i="30"/>
  <c r="P12" i="30"/>
  <c r="O12" i="30"/>
  <c r="N12" i="30"/>
  <c r="M12" i="30"/>
  <c r="P11" i="30"/>
  <c r="O11" i="30"/>
  <c r="N11" i="30"/>
  <c r="M11" i="30"/>
  <c r="P10" i="30"/>
  <c r="O10" i="30"/>
  <c r="N10" i="30"/>
  <c r="M10" i="30"/>
  <c r="P9" i="30"/>
  <c r="O9" i="30"/>
  <c r="N9" i="30"/>
  <c r="M9" i="30"/>
  <c r="P8" i="30"/>
  <c r="O8" i="30"/>
  <c r="N8" i="30"/>
  <c r="M8" i="30"/>
  <c r="P7" i="30"/>
  <c r="O7" i="30"/>
  <c r="N7" i="30"/>
  <c r="M7" i="30"/>
  <c r="B21" i="10"/>
  <c r="C12" i="10"/>
  <c r="H18" i="30"/>
  <c r="H17" i="30"/>
  <c r="H16" i="30"/>
  <c r="H8" i="30"/>
  <c r="H9" i="30"/>
  <c r="H10" i="30"/>
  <c r="H11" i="30"/>
  <c r="H12" i="30"/>
  <c r="H13" i="30"/>
  <c r="H14" i="30"/>
  <c r="H15" i="30"/>
  <c r="H7" i="30"/>
  <c r="B19" i="10" l="1"/>
  <c r="B20" i="10"/>
  <c r="B18" i="10"/>
  <c r="P16" i="18" l="1"/>
  <c r="P17" i="18"/>
  <c r="P18" i="18"/>
  <c r="P19" i="18"/>
  <c r="P20" i="18"/>
  <c r="P21" i="18"/>
  <c r="P22" i="18"/>
  <c r="P23" i="18"/>
  <c r="P15" i="18"/>
  <c r="P18" i="20"/>
  <c r="P19" i="20"/>
  <c r="P20" i="20"/>
  <c r="P21" i="20"/>
  <c r="P22" i="20"/>
  <c r="P23" i="20"/>
  <c r="P24" i="20"/>
  <c r="P25" i="20"/>
  <c r="P17" i="20"/>
  <c r="I7" i="27"/>
  <c r="I8" i="27"/>
  <c r="I15" i="27" s="1"/>
  <c r="I9" i="27"/>
  <c r="I10" i="27"/>
  <c r="I11" i="27"/>
  <c r="I12" i="27"/>
  <c r="I13" i="27"/>
  <c r="I14" i="27"/>
  <c r="I6" i="27"/>
  <c r="H7" i="27"/>
  <c r="H8" i="27"/>
  <c r="H9" i="27"/>
  <c r="H10" i="27"/>
  <c r="H11" i="27"/>
  <c r="H12" i="27"/>
  <c r="H13" i="27"/>
  <c r="H14" i="27"/>
  <c r="H6" i="27"/>
  <c r="H15" i="27" s="1"/>
  <c r="Q7" i="27"/>
  <c r="Q8" i="27"/>
  <c r="Q9" i="27"/>
  <c r="Q10" i="27"/>
  <c r="Q11" i="27"/>
  <c r="Q12" i="27"/>
  <c r="Q13" i="27"/>
  <c r="Q14" i="27"/>
  <c r="Q6" i="27"/>
  <c r="P15" i="23"/>
  <c r="P16" i="23"/>
  <c r="P17" i="23"/>
  <c r="P18" i="23"/>
  <c r="P19" i="23"/>
  <c r="P20" i="23"/>
  <c r="P21" i="23"/>
  <c r="P22" i="23"/>
  <c r="P14" i="23"/>
  <c r="J9" i="16"/>
  <c r="J11" i="16"/>
  <c r="J13" i="16"/>
  <c r="J15" i="16"/>
  <c r="J17" i="16"/>
  <c r="J19" i="16"/>
  <c r="J21" i="16"/>
  <c r="J23" i="16"/>
  <c r="J26" i="16"/>
  <c r="J29" i="16"/>
  <c r="J31" i="16"/>
  <c r="J7" i="16"/>
  <c r="I16" i="27" l="1"/>
  <c r="I17" i="27" s="1"/>
  <c r="I18" i="27" s="1"/>
  <c r="J18" i="27"/>
  <c r="M15" i="18"/>
  <c r="O23" i="18"/>
  <c r="N23" i="18"/>
  <c r="M23" i="18"/>
  <c r="O22" i="18"/>
  <c r="N22" i="18"/>
  <c r="M22" i="18"/>
  <c r="O21" i="18"/>
  <c r="N21" i="18"/>
  <c r="M21" i="18"/>
  <c r="O20" i="18"/>
  <c r="N20" i="18"/>
  <c r="M20" i="18"/>
  <c r="O19" i="18"/>
  <c r="N19" i="18"/>
  <c r="M19" i="18"/>
  <c r="O18" i="18"/>
  <c r="N18" i="18"/>
  <c r="M18" i="18"/>
  <c r="O17" i="18"/>
  <c r="N17" i="18"/>
  <c r="M17" i="18"/>
  <c r="O16" i="18"/>
  <c r="N16" i="18"/>
  <c r="M16" i="18"/>
  <c r="O15" i="18"/>
  <c r="N15" i="18"/>
  <c r="O25" i="20"/>
  <c r="N25" i="20"/>
  <c r="M25" i="20"/>
  <c r="O24" i="20"/>
  <c r="N24" i="20"/>
  <c r="M24" i="20"/>
  <c r="O23" i="20"/>
  <c r="N23" i="20"/>
  <c r="M23" i="20"/>
  <c r="O22" i="20"/>
  <c r="N22" i="20"/>
  <c r="M22" i="20"/>
  <c r="O21" i="20"/>
  <c r="N21" i="20"/>
  <c r="M21" i="20"/>
  <c r="O20" i="20"/>
  <c r="N20" i="20"/>
  <c r="M20" i="20"/>
  <c r="O19" i="20"/>
  <c r="N19" i="20"/>
  <c r="M19" i="20"/>
  <c r="O18" i="20"/>
  <c r="N18" i="20"/>
  <c r="M18" i="20"/>
  <c r="O17" i="20"/>
  <c r="N17" i="20"/>
  <c r="M17" i="20"/>
  <c r="N7" i="27"/>
  <c r="O7" i="27"/>
  <c r="P7" i="27"/>
  <c r="N8" i="27"/>
  <c r="O8" i="27"/>
  <c r="P8" i="27"/>
  <c r="N9" i="27"/>
  <c r="O9" i="27"/>
  <c r="P9" i="27"/>
  <c r="N10" i="27"/>
  <c r="O10" i="27"/>
  <c r="P10" i="27"/>
  <c r="N11" i="27"/>
  <c r="O11" i="27"/>
  <c r="P11" i="27"/>
  <c r="N12" i="27"/>
  <c r="O12" i="27"/>
  <c r="P12" i="27"/>
  <c r="N13" i="27"/>
  <c r="O13" i="27"/>
  <c r="P13" i="27"/>
  <c r="N14" i="27"/>
  <c r="O14" i="27"/>
  <c r="P14" i="27"/>
  <c r="P6" i="27"/>
  <c r="O6" i="27"/>
  <c r="N6" i="27"/>
  <c r="O15" i="23"/>
  <c r="O16" i="23"/>
  <c r="O17" i="23"/>
  <c r="O18" i="23"/>
  <c r="O19" i="23"/>
  <c r="O20" i="23"/>
  <c r="O21" i="23"/>
  <c r="O22" i="23"/>
  <c r="O14" i="23"/>
  <c r="N15" i="23"/>
  <c r="N16" i="23"/>
  <c r="N17" i="23"/>
  <c r="N18" i="23"/>
  <c r="N19" i="23"/>
  <c r="N20" i="23"/>
  <c r="N21" i="23"/>
  <c r="N22" i="23"/>
  <c r="N14" i="23"/>
  <c r="M15" i="23"/>
  <c r="M16" i="23"/>
  <c r="M17" i="23"/>
  <c r="M18" i="23"/>
  <c r="M19" i="23"/>
  <c r="M20" i="23"/>
  <c r="M21" i="23"/>
  <c r="M22" i="23"/>
  <c r="M14" i="23"/>
  <c r="G17" i="25" l="1"/>
  <c r="G16" i="25"/>
  <c r="G15" i="25"/>
  <c r="G14" i="25"/>
  <c r="G13" i="25"/>
  <c r="G12" i="25"/>
  <c r="G11" i="25"/>
  <c r="G10" i="25"/>
  <c r="G9" i="25"/>
  <c r="G18" i="25" l="1"/>
  <c r="G19" i="25" s="1"/>
  <c r="G20" i="25" s="1"/>
  <c r="G23" i="18" l="1"/>
  <c r="H23" i="18" s="1"/>
  <c r="G22" i="18"/>
  <c r="H22" i="18" s="1"/>
  <c r="G21" i="18"/>
  <c r="H21" i="18" s="1"/>
  <c r="G20" i="18"/>
  <c r="H20" i="18" s="1"/>
  <c r="G19" i="18"/>
  <c r="H19" i="18" s="1"/>
  <c r="G18" i="18"/>
  <c r="H18" i="18" s="1"/>
  <c r="G17" i="18"/>
  <c r="H17" i="18" s="1"/>
  <c r="G16" i="18"/>
  <c r="H16" i="18" s="1"/>
  <c r="G15" i="18"/>
  <c r="G24" i="18" l="1"/>
  <c r="H15" i="18"/>
  <c r="G25" i="18"/>
  <c r="G26" i="18" s="1"/>
  <c r="C11" i="10" l="1"/>
  <c r="I27" i="18"/>
  <c r="H26" i="18"/>
  <c r="H25" i="18"/>
  <c r="G25" i="20"/>
  <c r="H25" i="20" s="1"/>
  <c r="G24" i="20"/>
  <c r="H24" i="20" s="1"/>
  <c r="G23" i="20"/>
  <c r="H23" i="20" s="1"/>
  <c r="G22" i="20"/>
  <c r="H22" i="20" s="1"/>
  <c r="G21" i="20"/>
  <c r="H21" i="20" s="1"/>
  <c r="G20" i="20"/>
  <c r="H20" i="20" s="1"/>
  <c r="G19" i="20"/>
  <c r="H19" i="20" s="1"/>
  <c r="G18" i="20"/>
  <c r="G17" i="20"/>
  <c r="H17" i="20" s="1"/>
  <c r="G26" i="20" l="1"/>
  <c r="H18" i="20"/>
  <c r="G27" i="20"/>
  <c r="G28" i="20"/>
  <c r="C10" i="10" l="1"/>
  <c r="I29" i="20"/>
  <c r="H28" i="20"/>
  <c r="H27" i="20"/>
  <c r="G22" i="23"/>
  <c r="H22" i="23" s="1"/>
  <c r="G21" i="23"/>
  <c r="H21" i="23" s="1"/>
  <c r="G20" i="23"/>
  <c r="H20" i="23" s="1"/>
  <c r="G19" i="23"/>
  <c r="H19" i="23" s="1"/>
  <c r="G18" i="23"/>
  <c r="H18" i="23" s="1"/>
  <c r="G17" i="23"/>
  <c r="H17" i="23" s="1"/>
  <c r="G16" i="23"/>
  <c r="H16" i="23" s="1"/>
  <c r="G15" i="23"/>
  <c r="H15" i="23" s="1"/>
  <c r="G14" i="23"/>
  <c r="D12" i="10" l="1"/>
  <c r="D11" i="10"/>
  <c r="D10" i="10"/>
  <c r="G23" i="23"/>
  <c r="H14" i="23"/>
  <c r="F11" i="10"/>
  <c r="F10" i="10"/>
  <c r="F9" i="10"/>
  <c r="G24" i="23" l="1"/>
  <c r="G25" i="23" s="1"/>
  <c r="G10" i="10"/>
  <c r="G11" i="10"/>
  <c r="H24" i="23" l="1"/>
  <c r="H25" i="23"/>
  <c r="I26" i="23"/>
  <c r="C9" i="10"/>
  <c r="D9" i="10" s="1"/>
  <c r="C16" i="10" l="1"/>
  <c r="C21" i="10" s="1"/>
  <c r="C15" i="10"/>
  <c r="C18" i="10"/>
  <c r="G9" i="10"/>
  <c r="C20" i="10" l="1"/>
  <c r="E10" i="10" s="1"/>
  <c r="C19" i="10"/>
  <c r="C23" i="10" s="1"/>
  <c r="E9" i="10" l="1"/>
  <c r="E11" i="10"/>
</calcChain>
</file>

<file path=xl/sharedStrings.xml><?xml version="1.0" encoding="utf-8"?>
<sst xmlns="http://schemas.openxmlformats.org/spreadsheetml/2006/main" count="402" uniqueCount="171">
  <si>
    <t>SISTEMA INTEGRADO DE GESTION DISTRITAL BAJO EL  ESTÁNDAR MIPG</t>
  </si>
  <si>
    <t>PROCESO  GESTION FINANCIERA</t>
  </si>
  <si>
    <t>NUMERO PROPON</t>
  </si>
  <si>
    <t>NOMBRE PROPONENTE</t>
  </si>
  <si>
    <t>VALOR OFERTA ECONÓMICA CORREGIDO</t>
  </si>
  <si>
    <t>ASIGNACIÓN DE PUNTAJE</t>
  </si>
  <si>
    <t>2. MEDIA ARMÓNICA</t>
  </si>
  <si>
    <t xml:space="preserve">PUNTAJE CRITERIOS TECNICOS+APOYO A LA INDUSTRIA NACIONAL+ PROPONENTES CON TRABAJADORES CON DISCAPACIDAD </t>
  </si>
  <si>
    <t>PUNTAJE TOTAL</t>
  </si>
  <si>
    <t>MEDIA ARMÓNICA</t>
  </si>
  <si>
    <t>No.</t>
  </si>
  <si>
    <t>PROPONENTE</t>
  </si>
  <si>
    <t>JURÍDICA</t>
  </si>
  <si>
    <t>TÉCNICAMENTE</t>
  </si>
  <si>
    <t>FINANCIERAMENTE</t>
  </si>
  <si>
    <t>CUMPLE TODOS LOS REQUISITOS PARA PUNTUAR</t>
  </si>
  <si>
    <t>MOVILIDAD SOSTENIBLE LTDA.</t>
  </si>
  <si>
    <t>HABILITADO</t>
  </si>
  <si>
    <t>NO</t>
  </si>
  <si>
    <t>CONSORCIO MOVILIDAD C&amp;M-PROYECTAMOS</t>
  </si>
  <si>
    <t>SI</t>
  </si>
  <si>
    <t>CONSORCIO MONITOREO 2020</t>
  </si>
  <si>
    <t>NO HABILITADO</t>
  </si>
  <si>
    <t>CONSORCIO VEA-INFORMETRICS</t>
  </si>
  <si>
    <t>UNION TEMPORAL PLAN T&amp;T BOGOTÁ</t>
  </si>
  <si>
    <t>CONSORCIO BOGOTÁ MEJOR 1</t>
  </si>
  <si>
    <t>DATEXCO COMPANY S.A.</t>
  </si>
  <si>
    <t>PROJEKTA LIMITADA INGENIEROS CONSULTORES</t>
  </si>
  <si>
    <t>CONSULTORES EN DESARROLLO TERRITORIAL SAS “CONDETER SAS”</t>
  </si>
  <si>
    <t>TRANSPORTE, PLANEACIÓN Y DISEÑO INGENIERIA S.A.</t>
  </si>
  <si>
    <t>CENTRO NACIONAL DE CONSULTORIA S.A.</t>
  </si>
  <si>
    <t>INGENIEROS CIVILES EN TRÁFICO TRANSPORTE Y VÍAS- ICOVIAS S.A.S</t>
  </si>
  <si>
    <t>ANEXO 6- PROPUESTA ECONÓMICA DISCRIMINADA</t>
  </si>
  <si>
    <t xml:space="preserve">Bogotá D.C </t>
  </si>
  <si>
    <t>Señores</t>
  </si>
  <si>
    <t xml:space="preserve">SECRETARÍA DISTRITAL DE MOVILIDAD </t>
  </si>
  <si>
    <t xml:space="preserve">Referencia: SDM-LP-045-2020, cuyo objeto es “CAPTURA Y PROCESAMIENTO DE INFORMACIÓN DE CAMPO COMO COMPLEMENTO AL MONITOREO, SEGUIMIENTO Y PLANEACIÓN DEL TRÁNSITO Y EL TRANSPORTE DE BOGOTÁ D.C. ” </t>
  </si>
  <si>
    <t xml:space="preserve">NOMBRE DEL PROPONENTE: </t>
  </si>
  <si>
    <t>No</t>
  </si>
  <si>
    <t>ÍTEM</t>
  </si>
  <si>
    <t>UNIDAD</t>
  </si>
  <si>
    <t>CANTIDAD</t>
  </si>
  <si>
    <t>PRECIO UNITARIO</t>
  </si>
  <si>
    <t>PRECIO TOTAL</t>
  </si>
  <si>
    <t>Volúmenes Vehiculares y/o peatonales y/o de bicicletas (Cámara) (Calzada/2 Carriles)</t>
  </si>
  <si>
    <t>Volúmenes Vehiculares y/o peatonales y/o de bicicletas (Cámara) (Calzada/3 o más Carriles)</t>
  </si>
  <si>
    <t>Volúmenes vehiculares o peatonales o de bicicletas (Aforador)</t>
  </si>
  <si>
    <t>Ascenso y descenso de Pasajeros (Equipo: 2 Aforadores)</t>
  </si>
  <si>
    <t>Cupos de Estacionamiento - Rotación de placas</t>
  </si>
  <si>
    <t>TOTAL PROPUESTA (ANTES IVA)</t>
  </si>
  <si>
    <t>IVA DEL 19 %</t>
  </si>
  <si>
    <t xml:space="preserve">VALOR TOTAL DE LA PROPUESTA ECONÓMICA </t>
  </si>
  <si>
    <t>NOTA: Recuerde que el valor total establecido en el presente anexo debe coincidir con el valor total establecido en la sección propuesta económica de la plataforma SECOP II.</t>
  </si>
  <si>
    <t xml:space="preserve">La información contenida en el presente formulario se entiende presentada bajo la gravedad del juramento con la firma del mismo. </t>
  </si>
  <si>
    <t xml:space="preserve">FIRMA DEL PROPONENTE: </t>
  </si>
  <si>
    <t>Nombre del proponente: CONSORCIO MOVILIDAD C&amp;M-PROYECTAMOS</t>
  </si>
  <si>
    <t xml:space="preserve">Dirección: Carrera 14 No. 76-11 Oficina 203. Bogotá </t>
  </si>
  <si>
    <t>Teléfono: 7448417          Fax: 7448417</t>
  </si>
  <si>
    <t>Nombre del representante legal: Carol Andrea Niño Suárez</t>
  </si>
  <si>
    <t>FIRMA DEL REPRESENTANTE LEGAL</t>
  </si>
  <si>
    <t xml:space="preserve">Nombre: Carol Andrea Niño Suárez </t>
  </si>
  <si>
    <t xml:space="preserve">CC No. 52.711.447 de Bogotá </t>
  </si>
  <si>
    <r>
      <rPr>
        <b/>
        <sz val="10"/>
        <rFont val="Arial"/>
        <family val="2"/>
      </rPr>
      <t xml:space="preserve">ADENDA No. 1
</t>
    </r>
    <r>
      <rPr>
        <b/>
        <sz val="10"/>
        <rFont val="Arial"/>
        <family val="2"/>
      </rPr>
      <t xml:space="preserve">PROCESO DE LICITACIÓN PÚBLICA No. SDM-LP-045-2020
</t>
    </r>
    <r>
      <rPr>
        <sz val="9"/>
        <rFont val="Arial"/>
        <family val="2"/>
      </rPr>
      <t xml:space="preserve">ANEXO 6 – PROPUESTA ECONÓMICA DISCRIMINADA
</t>
    </r>
    <r>
      <rPr>
        <sz val="9"/>
        <rFont val="Arial"/>
        <family val="2"/>
      </rPr>
      <t xml:space="preserve">Bogotá, D.C., octubre 19 de 2020 Señores
</t>
    </r>
    <r>
      <rPr>
        <sz val="9"/>
        <rFont val="Arial"/>
        <family val="2"/>
      </rPr>
      <t xml:space="preserve">SECRETARÍA DISTRITAL DE MOVILIDAD
</t>
    </r>
    <r>
      <rPr>
        <sz val="9"/>
        <rFont val="Arial"/>
        <family val="2"/>
      </rPr>
      <t xml:space="preserve">Bogotá D.C.
</t>
    </r>
    <r>
      <rPr>
        <sz val="9"/>
        <rFont val="Arial"/>
        <family val="2"/>
      </rPr>
      <t xml:space="preserve">Referencia: SDM-LP-045-2020, cuyo objeto es “CAPTURA Y PROCESAMIENTO DE INFORMACIÓN DE CAMPO
</t>
    </r>
    <r>
      <rPr>
        <sz val="9"/>
        <rFont val="Arial"/>
        <family val="2"/>
      </rPr>
      <t>COMO COMPLEMENTO AL MONITOREO, SEGUIMIENTO Y PLANEACIÓN DEL TRÁNSITO Y EL TRANSPORTE DE BOGOTÁ D.C.</t>
    </r>
  </si>
  <si>
    <r>
      <rPr>
        <b/>
        <sz val="9"/>
        <rFont val="Arial"/>
        <family val="2"/>
      </rPr>
      <t>No.</t>
    </r>
  </si>
  <si>
    <r>
      <rPr>
        <b/>
        <sz val="9"/>
        <rFont val="Arial"/>
        <family val="2"/>
      </rPr>
      <t>ÍTEM</t>
    </r>
  </si>
  <si>
    <r>
      <rPr>
        <b/>
        <sz val="9"/>
        <rFont val="Arial"/>
        <family val="2"/>
      </rPr>
      <t>UNIDAD</t>
    </r>
  </si>
  <si>
    <r>
      <rPr>
        <b/>
        <sz val="9"/>
        <rFont val="Arial"/>
        <family val="2"/>
      </rPr>
      <t>CANTIDAD</t>
    </r>
  </si>
  <si>
    <r>
      <rPr>
        <b/>
        <sz val="9"/>
        <rFont val="Arial"/>
        <family val="2"/>
      </rPr>
      <t>PRECIO UNITARIO</t>
    </r>
  </si>
  <si>
    <r>
      <rPr>
        <b/>
        <sz val="9"/>
        <rFont val="Arial"/>
        <family val="2"/>
      </rPr>
      <t>PRECIO TOTAL</t>
    </r>
  </si>
  <si>
    <r>
      <rPr>
        <sz val="9"/>
        <rFont val="Arial"/>
        <family val="2"/>
      </rPr>
      <t>Volúmenes Vehiculares y/o peatonales y/o de bicicletas (Cámara) (Calzada/2 Carriles)</t>
    </r>
  </si>
  <si>
    <r>
      <rPr>
        <sz val="9"/>
        <rFont val="Arial"/>
        <family val="2"/>
      </rPr>
      <t>Hora/Cámara</t>
    </r>
  </si>
  <si>
    <r>
      <rPr>
        <sz val="9"/>
        <rFont val="Arial"/>
        <family val="2"/>
      </rPr>
      <t>Volúmenes Vehiculares y/o peatonales y/o de bicicletas (Cámara) (Calzada/3 o más Carriles)</t>
    </r>
  </si>
  <si>
    <r>
      <rPr>
        <sz val="9"/>
        <rFont val="Arial"/>
        <family val="2"/>
      </rPr>
      <t>Volúmenes vehiculares o peatonales o de bicicletas (Aforador)</t>
    </r>
  </si>
  <si>
    <r>
      <rPr>
        <sz val="9"/>
        <rFont val="Arial"/>
        <family val="2"/>
      </rPr>
      <t>Hora/Aforador</t>
    </r>
  </si>
  <si>
    <r>
      <rPr>
        <sz val="9"/>
        <rFont val="Arial"/>
        <family val="2"/>
      </rPr>
      <t>Frecuencia y/o Ocupación Visual</t>
    </r>
  </si>
  <si>
    <r>
      <rPr>
        <sz val="9"/>
        <rFont val="Arial"/>
        <family val="2"/>
      </rPr>
      <t>Ascenso y descenso de Pasajeros (Equipo: 2 Aforadores)</t>
    </r>
  </si>
  <si>
    <r>
      <rPr>
        <sz val="9"/>
        <rFont val="Arial"/>
        <family val="2"/>
      </rPr>
      <t>Hora/Equipo</t>
    </r>
  </si>
  <si>
    <r>
      <rPr>
        <sz val="9"/>
        <rFont val="Arial"/>
        <family val="2"/>
      </rPr>
      <t>Origen - Destino por método de placas</t>
    </r>
  </si>
  <si>
    <r>
      <rPr>
        <sz val="9"/>
        <rFont val="Arial"/>
        <family val="2"/>
      </rPr>
      <t>Cupos de Estacionamiento - Rotación de placas</t>
    </r>
  </si>
  <si>
    <r>
      <rPr>
        <sz val="9"/>
        <rFont val="Arial"/>
        <family val="2"/>
      </rPr>
      <t>Encuestas varias 10 a 16 preguntas</t>
    </r>
  </si>
  <si>
    <r>
      <rPr>
        <sz val="9"/>
        <rFont val="Arial"/>
        <family val="2"/>
      </rPr>
      <t>UNIDAD</t>
    </r>
  </si>
  <si>
    <r>
      <rPr>
        <sz val="9"/>
        <rFont val="Arial"/>
        <family val="2"/>
      </rPr>
      <t>Encuestas varias 17 a 23 preguntas</t>
    </r>
  </si>
  <si>
    <r>
      <rPr>
        <sz val="9"/>
        <rFont val="Arial"/>
        <family val="2"/>
      </rPr>
      <t>TOTAL PROPUESTA (ANTES DE IVA)</t>
    </r>
  </si>
  <si>
    <r>
      <rPr>
        <sz val="9"/>
        <rFont val="Arial"/>
        <family val="2"/>
      </rPr>
      <t>IVA del 19 %</t>
    </r>
  </si>
  <si>
    <r>
      <rPr>
        <sz val="9"/>
        <rFont val="Arial"/>
        <family val="2"/>
      </rPr>
      <t>VALOR TOTAL DE LA PROPUESTA ECONÓMICA</t>
    </r>
  </si>
  <si>
    <r>
      <rPr>
        <sz val="8"/>
        <rFont val="Arial"/>
        <family val="2"/>
      </rPr>
      <t xml:space="preserve">NOTA:  Recuerde  que  el  valor  total  establecido  en  el  presente  anexo  debe  coincidir  con  el  valor  total  establecido en  la  sección
</t>
    </r>
    <r>
      <rPr>
        <sz val="8"/>
        <rFont val="Arial"/>
        <family val="2"/>
      </rPr>
      <t>propuesta económica de la plataforma SECOP II.</t>
    </r>
  </si>
  <si>
    <r>
      <rPr>
        <sz val="9"/>
        <rFont val="Arial"/>
        <family val="2"/>
      </rPr>
      <t xml:space="preserve">FIRMA DEL PROPONENTE
</t>
    </r>
    <r>
      <rPr>
        <sz val="9"/>
        <rFont val="Arial"/>
        <family val="2"/>
      </rPr>
      <t xml:space="preserve">Nombre del proponente: Datexco Company SA Dirección: CR 7 78 61 AP 601
</t>
    </r>
    <r>
      <rPr>
        <sz val="9"/>
        <rFont val="Arial"/>
        <family val="2"/>
      </rPr>
      <t xml:space="preserve">Teléfono: +57 310 2775533
</t>
    </r>
    <r>
      <rPr>
        <sz val="9"/>
        <rFont val="Arial"/>
        <family val="2"/>
      </rPr>
      <t xml:space="preserve">Nombre del representante legal: Cesar Ariosto Valderrama
</t>
    </r>
    <r>
      <rPr>
        <sz val="9"/>
        <rFont val="Arial"/>
        <family val="2"/>
      </rPr>
      <t xml:space="preserve">FIRMA DEL REPRESENTANTE LEGAL O APODERADO
</t>
    </r>
    <r>
      <rPr>
        <sz val="9"/>
        <rFont val="Arial"/>
        <family val="2"/>
      </rPr>
      <t xml:space="preserve">Nombre del representante legal: Cesar Ariosto Valderrama N
</t>
    </r>
    <r>
      <rPr>
        <sz val="9"/>
        <rFont val="Arial"/>
        <family val="2"/>
      </rPr>
      <t>C.C. 79.269.947 de Bogotá</t>
    </r>
  </si>
  <si>
    <t xml:space="preserve">ANEXO 6 – PROPUESTA ECONÓMICA DISCRIMINADA </t>
  </si>
  <si>
    <t>Bogotá, D.C, Octubre 19 de 2020</t>
  </si>
  <si>
    <t>SECRETARIA DISTRITAL DE MOVILIDAD</t>
  </si>
  <si>
    <t>Bogotá D.C</t>
  </si>
  <si>
    <r>
      <t xml:space="preserve">Secretaria Distrital de Movilidad SDM-LP-045-2020
</t>
    </r>
    <r>
      <rPr>
        <sz val="16"/>
        <color theme="1"/>
        <rFont val="Calibri"/>
        <family val="2"/>
        <scheme val="minor"/>
      </rPr>
      <t>Objeto:</t>
    </r>
    <r>
      <rPr>
        <b/>
        <sz val="16"/>
        <color theme="1"/>
        <rFont val="Calibri"/>
        <family val="2"/>
        <scheme val="minor"/>
      </rPr>
      <t xml:space="preserve"> "CAPTURA Y PROCESAMIENTO DE INFORMACIÓN DE CAMPO COMO COMPLEMENTO AL MONITOREO, SEGUIMIENTO Y PLANEACIÓN DEL TRÁNSITO Y EL TRANSPORTE DE BOGOTÁ D.C"</t>
    </r>
  </si>
  <si>
    <t xml:space="preserve">ÍTEM </t>
  </si>
  <si>
    <t>ACTIVIDAD</t>
  </si>
  <si>
    <t xml:space="preserve">PRECIO UNITARIO  </t>
  </si>
  <si>
    <t xml:space="preserve">PRECIO TOTAL </t>
  </si>
  <si>
    <t>Hora/Cámara</t>
  </si>
  <si>
    <t>Volúmenes Vehiculares y/o peatonales y/o de bicicletas (Cámara) (Calzada/3 o más carriles)</t>
  </si>
  <si>
    <t>Hora/Aforador</t>
  </si>
  <si>
    <t>Frecuencia y/o Ocupación Visual</t>
  </si>
  <si>
    <t>Hora/Equipo</t>
  </si>
  <si>
    <t>Origen - Destino por método de placas</t>
  </si>
  <si>
    <t>Encuestas varias 10 a 16 preguntas</t>
  </si>
  <si>
    <t>Encuestas varias 17 a 23 preguntas</t>
  </si>
  <si>
    <t>TOTAL PROPUESTA (ANTES DE IVA)</t>
  </si>
  <si>
    <t>IVA 19%</t>
  </si>
  <si>
    <t>TOTAL PROPUESTA CON IVA</t>
  </si>
  <si>
    <t>NOMBRE DEL PROPONENTE:</t>
  </si>
  <si>
    <t>CONSULTORES EN DESARROLLO TERRITORAL S.A.S.</t>
  </si>
  <si>
    <t>DIRECCIÓN:</t>
  </si>
  <si>
    <t>CARRERA 13 N° 38-47 OFC. 1103</t>
  </si>
  <si>
    <t>TELÉFONO:</t>
  </si>
  <si>
    <t>7495147-3108746992</t>
  </si>
  <si>
    <t>NOMBRE DEL REPRESENTANTE LEGAL:</t>
  </si>
  <si>
    <t>WILMAN GABRIEL BARON DIAZ</t>
  </si>
  <si>
    <t>FIRMA DEL REPRESENTANTE LEGAL:</t>
  </si>
  <si>
    <t>_____________________</t>
  </si>
  <si>
    <t>ANEXO 6 – PROPUESTA ECONÓMICA DISCRIMINADA</t>
  </si>
  <si>
    <t>Bogotá D.C., 15 de octubre de 2020</t>
  </si>
  <si>
    <t xml:space="preserve">Señores: </t>
  </si>
  <si>
    <t>Bogotá D.C.</t>
  </si>
  <si>
    <t>Referencia: SDM-LP-045-2020, cuyo objeto es “CAPTURA Y PROCESAMIENTO DE INFORMACIÓN DE CAMPO COMO COMPLEMENTO AL MONITOREO, SEGUIMIENTO Y PLANEACIÓN DEL TRÁNSITO Y EL TRANSPORTE DE BOGOTÁ D.C.”</t>
  </si>
  <si>
    <t>NOMBRE DEL PROPONENTE</t>
  </si>
  <si>
    <t>TRANSPORTE PLANEACIÓN Y DISEÑO INGENIERÍA S.A. - TPD INGENIERÍA S.A.</t>
  </si>
  <si>
    <t>Volúmenes Vehículares y/o peatonales y/o de bicicletas (Cámara) (Calzada/2 Carriles)</t>
  </si>
  <si>
    <t>Volúmenes Vehículares y/o peatonales y/o de bicicletas (Cámara) (Calzada/3 o más Carriles)</t>
  </si>
  <si>
    <t>Volúmenes vehículares o peatonales o de bicicletas (Aforador)</t>
  </si>
  <si>
    <t>IVA DEL 19%</t>
  </si>
  <si>
    <t>VALOR TOTAL DE LA PROPUESTA ECONÓMICA</t>
  </si>
  <si>
    <t>La información contenida en el presente formulario se entiende presentada bajo la gravedad del juramento con la firma del mismo.</t>
  </si>
  <si>
    <t>FIRMA DEL PROPONENTE</t>
  </si>
  <si>
    <t>Nombre del proponente: TRANSPORTE PLANEACIÓN Y DISEÑO INGENIERÍA S.A. – TPD INGENIERÍA S.A.</t>
  </si>
  <si>
    <t>Dirección: Calle 35 No. 7 -25 Of. 1501</t>
  </si>
  <si>
    <t>Teléfono: (1) 3231705 - 3133412750</t>
  </si>
  <si>
    <t>Nombre del representante legal: ALFREDO ARDILA ARIZA</t>
  </si>
  <si>
    <t>Origen - Destino por método de placas (Glorieta)</t>
  </si>
  <si>
    <t>TOTAL PROPUESTA</t>
  </si>
  <si>
    <t>ESTDIO PREVIO</t>
  </si>
  <si>
    <t>Volúmenes vehiculares o peatonales o de bicicletas (A forador)</t>
  </si>
  <si>
    <t>Volúmenes Vehículares y/o peatonales y/o de bicicletas (Cámara)  (Calzada/2 Carriles)</t>
  </si>
  <si>
    <t>Volúmenes Vehiculares y/o peatonales y/o de bicicletas (Cámara)  (Calzada/3 o más Carriles)</t>
  </si>
  <si>
    <t>ASIGNACIÓN MEDIA ARMÓNICA PROCESO SDM-LP-045-2020</t>
  </si>
  <si>
    <r>
      <rPr>
        <b/>
        <sz val="12"/>
        <rFont val="Arial"/>
        <family val="2"/>
      </rPr>
      <t>ANEXO 6 – PROPUESTA ECONÓMICA DISCRIMINADA</t>
    </r>
  </si>
  <si>
    <r>
      <rPr>
        <b/>
        <sz val="12"/>
        <rFont val="Arial"/>
        <family val="2"/>
      </rPr>
      <t>ÍTEM</t>
    </r>
  </si>
  <si>
    <r>
      <rPr>
        <b/>
        <sz val="12"/>
        <rFont val="Arial"/>
        <family val="2"/>
      </rPr>
      <t>ACTIVIDAD</t>
    </r>
  </si>
  <si>
    <r>
      <rPr>
        <b/>
        <sz val="12"/>
        <rFont val="Arial"/>
        <family val="2"/>
      </rPr>
      <t>UNIDAD</t>
    </r>
  </si>
  <si>
    <r>
      <rPr>
        <b/>
        <sz val="12"/>
        <rFont val="Arial"/>
        <family val="2"/>
      </rPr>
      <t>CANTIDAD</t>
    </r>
  </si>
  <si>
    <r>
      <rPr>
        <b/>
        <sz val="12"/>
        <rFont val="Arial"/>
        <family val="2"/>
      </rPr>
      <t>PRECIO UNITARIO</t>
    </r>
  </si>
  <si>
    <r>
      <rPr>
        <b/>
        <sz val="12"/>
        <rFont val="Arial"/>
        <family val="2"/>
      </rPr>
      <t>PRECIO TOTAL</t>
    </r>
  </si>
  <si>
    <r>
      <rPr>
        <sz val="12"/>
        <rFont val="Arial"/>
        <family val="2"/>
      </rPr>
      <t>Volúmenes Vehiculares y/o peatonales y/o de bicicletas (Cámara) (Calzada/2 Carriles)</t>
    </r>
  </si>
  <si>
    <r>
      <rPr>
        <sz val="12"/>
        <rFont val="Arial"/>
        <family val="2"/>
      </rPr>
      <t>Hora/Cámara</t>
    </r>
  </si>
  <si>
    <r>
      <rPr>
        <sz val="12"/>
        <rFont val="Arial"/>
        <family val="2"/>
      </rPr>
      <t>Volúmenes Vehiculares y/o peatonales y/o de bicicletas (Cámara) (Calzada/3 o más Carriles)</t>
    </r>
  </si>
  <si>
    <r>
      <rPr>
        <sz val="12"/>
        <rFont val="Arial"/>
        <family val="2"/>
      </rPr>
      <t>Volúmenes vehiculares o peatonales o de bicicletas (Aforador)</t>
    </r>
  </si>
  <si>
    <r>
      <rPr>
        <sz val="12"/>
        <rFont val="Arial"/>
        <family val="2"/>
      </rPr>
      <t>Hora/Aforador</t>
    </r>
  </si>
  <si>
    <r>
      <rPr>
        <sz val="12"/>
        <rFont val="Arial"/>
        <family val="2"/>
      </rPr>
      <t>Frecuencia y/o Ocupación Visual</t>
    </r>
  </si>
  <si>
    <r>
      <rPr>
        <sz val="12"/>
        <rFont val="Arial"/>
        <family val="2"/>
      </rPr>
      <t>Ascenso y descenso de Pasajeros (Equipo: 2 Aforadores)</t>
    </r>
  </si>
  <si>
    <r>
      <rPr>
        <sz val="12"/>
        <rFont val="Arial"/>
        <family val="2"/>
      </rPr>
      <t>Hora/Equipo</t>
    </r>
  </si>
  <si>
    <r>
      <rPr>
        <sz val="12"/>
        <rFont val="Arial"/>
        <family val="2"/>
      </rPr>
      <t>Origen - Destino por método de placas</t>
    </r>
  </si>
  <si>
    <r>
      <rPr>
        <sz val="12"/>
        <rFont val="Arial"/>
        <family val="2"/>
      </rPr>
      <t>Cupos de Estacionamiento - Rotación de placas</t>
    </r>
  </si>
  <si>
    <r>
      <rPr>
        <sz val="12"/>
        <rFont val="Arial"/>
        <family val="2"/>
      </rPr>
      <t>Encuestas varias 10 a 16 preguntas</t>
    </r>
  </si>
  <si>
    <r>
      <rPr>
        <sz val="12"/>
        <rFont val="Arial"/>
        <family val="2"/>
      </rPr>
      <t>UNIDAD</t>
    </r>
  </si>
  <si>
    <r>
      <rPr>
        <sz val="12"/>
        <rFont val="Arial"/>
        <family val="2"/>
      </rPr>
      <t>Encuestas varias 17 a 23 preguntas</t>
    </r>
  </si>
  <si>
    <r>
      <rPr>
        <b/>
        <sz val="12"/>
        <rFont val="Arial"/>
        <family val="2"/>
      </rPr>
      <t>TOTAL PROPUESTA (ANTES DE IVA)</t>
    </r>
  </si>
  <si>
    <r>
      <rPr>
        <b/>
        <sz val="12"/>
        <rFont val="Arial"/>
        <family val="2"/>
      </rPr>
      <t>IVA DEL 19%</t>
    </r>
  </si>
  <si>
    <r>
      <rPr>
        <b/>
        <sz val="12"/>
        <rFont val="Arial"/>
        <family val="2"/>
      </rPr>
      <t>VALOR TOTAL DE LA PROPUESTA ECONÓMICA</t>
    </r>
  </si>
  <si>
    <r>
      <rPr>
        <sz val="12"/>
        <rFont val="Arial"/>
        <family val="2"/>
      </rPr>
      <t>La información contenida en el presente formulario se entiende presentada bajo la gravedad del juramento con la firma del mismo.</t>
    </r>
  </si>
  <si>
    <r>
      <rPr>
        <sz val="12"/>
        <rFont val="Arial"/>
        <family val="2"/>
      </rPr>
      <t>Atentamente,</t>
    </r>
  </si>
  <si>
    <r>
      <rPr>
        <b/>
        <sz val="12"/>
        <rFont val="Arial"/>
        <family val="2"/>
      </rPr>
      <t xml:space="preserve">CONSORCIO VEA-INFORMETRICS
</t>
    </r>
    <r>
      <rPr>
        <sz val="12"/>
        <rFont val="Arial"/>
        <family val="2"/>
      </rPr>
      <t xml:space="preserve">Dirección: Calle 144 A # 52 - 25
</t>
    </r>
    <r>
      <rPr>
        <sz val="12"/>
        <rFont val="Arial"/>
        <family val="2"/>
      </rPr>
      <t xml:space="preserve">Teléfono: 3157650414
</t>
    </r>
    <r>
      <rPr>
        <sz val="12"/>
        <rFont val="Arial"/>
        <family val="2"/>
      </rPr>
      <t>Nombre del representante legal: Jorge Andrés Perdomo Calvo</t>
    </r>
  </si>
  <si>
    <t>SECOP</t>
  </si>
  <si>
    <t xml:space="preserve">Origen - Destino por método de placas </t>
  </si>
  <si>
    <t xml:space="preserve">NO CUMPLE PROPUESTA ECONÓMICA 
RÁZON POR LA CUAL ES RECHAZADO 
LA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</si>
</sst>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_-&quot;$&quot;\ * #,##0_-;\-&quot;$&quot;\ * #,##0_-;_-&quot;$&quot;\ * &quot;-&quot;_-;_-@_-"/>
    <numFmt numFmtId="165" formatCode="_-* #,##0_-;\-* #,##0_-;_-* &quot;-&quot;_-;_-@_-"/>
    <numFmt numFmtId="166" formatCode="_-* #,##0.00_-;\-* #,##0.00_-;_-* &quot;-&quot;??_-;_-@_-"/>
    <numFmt numFmtId="167" formatCode="#,##0.0000000"/>
    <numFmt numFmtId="168" formatCode="_(* #,##0.00_);_(* \(#,##0.00\);_(* &quot;-&quot;??_);_(@_)"/>
    <numFmt numFmtId="169" formatCode="_-* #,##0.0_-;\-* #,##0.0_-;_-* &quot;-&quot;??_-;_-@_-"/>
    <numFmt numFmtId="170" formatCode="_-* #,##0_-;\-* #,##0_-;_-* &quot;-&quot;??_-;_-@_-"/>
    <numFmt numFmtId="171" formatCode="\$#,##0"/>
    <numFmt numFmtId="172" formatCode="&quot;$&quot;\ #,##0.00"/>
    <numFmt numFmtId="173" formatCode="\$\ #,##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222222"/>
      <name val="Arial Narrow"/>
      <family val="2"/>
    </font>
    <font>
      <b/>
      <u/>
      <sz val="11"/>
      <color rgb="FF222222"/>
      <name val="Arial Narrow"/>
      <family val="2"/>
    </font>
    <font>
      <b/>
      <sz val="11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1"/>
      <color rgb="FF000000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name val="Arial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name val="Arial"/>
    </font>
    <font>
      <sz val="12"/>
      <name val="Arial"/>
      <family val="2"/>
    </font>
    <font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EEEEE"/>
      </patternFill>
    </fill>
    <fill>
      <patternFill patternType="solid">
        <fgColor rgb="FFF3F3F3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260">
    <xf numFmtId="0" fontId="0" fillId="0" borderId="0" xfId="0"/>
    <xf numFmtId="0" fontId="5" fillId="0" borderId="1" xfId="0" applyFont="1" applyBorder="1"/>
    <xf numFmtId="43" fontId="6" fillId="0" borderId="0" xfId="3" applyNumberFormat="1" applyFont="1" applyBorder="1" applyAlignment="1">
      <alignment vertical="center"/>
    </xf>
    <xf numFmtId="0" fontId="0" fillId="0" borderId="0" xfId="0" applyBorder="1" applyAlignment="1"/>
    <xf numFmtId="0" fontId="5" fillId="0" borderId="5" xfId="0" applyFont="1" applyBorder="1"/>
    <xf numFmtId="43" fontId="6" fillId="0" borderId="0" xfId="3" applyNumberFormat="1" applyFont="1" applyBorder="1" applyAlignment="1"/>
    <xf numFmtId="49" fontId="7" fillId="0" borderId="3" xfId="0" applyNumberFormat="1" applyFont="1" applyFill="1" applyBorder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0" xfId="0" applyBorder="1" applyAlignment="1">
      <alignment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4" fillId="0" borderId="8" xfId="0" applyFont="1" applyBorder="1" applyAlignment="1">
      <alignment vertical="center"/>
    </xf>
    <xf numFmtId="0" fontId="0" fillId="0" borderId="2" xfId="0" applyBorder="1"/>
    <xf numFmtId="0" fontId="0" fillId="0" borderId="0" xfId="0" applyBorder="1"/>
    <xf numFmtId="0" fontId="8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64" fontId="1" fillId="2" borderId="2" xfId="4" applyFont="1" applyFill="1" applyBorder="1" applyAlignment="1">
      <alignment horizontal="center" vertical="center"/>
    </xf>
    <xf numFmtId="0" fontId="0" fillId="0" borderId="0" xfId="0" applyFill="1" applyBorder="1"/>
    <xf numFmtId="0" fontId="9" fillId="5" borderId="2" xfId="0" applyFont="1" applyFill="1" applyBorder="1"/>
    <xf numFmtId="164" fontId="9" fillId="5" borderId="2" xfId="0" applyNumberFormat="1" applyFont="1" applyFill="1" applyBorder="1"/>
    <xf numFmtId="2" fontId="0" fillId="0" borderId="0" xfId="0" applyNumberFormat="1" applyFill="1" applyBorder="1"/>
    <xf numFmtId="0" fontId="0" fillId="2" borderId="2" xfId="0" applyFill="1" applyBorder="1"/>
    <xf numFmtId="164" fontId="4" fillId="2" borderId="2" xfId="0" applyNumberFormat="1" applyFont="1" applyFill="1" applyBorder="1"/>
    <xf numFmtId="164" fontId="0" fillId="2" borderId="2" xfId="0" applyNumberFormat="1" applyFill="1" applyBorder="1"/>
    <xf numFmtId="164" fontId="0" fillId="0" borderId="0" xfId="0" applyNumberFormat="1"/>
    <xf numFmtId="167" fontId="0" fillId="0" borderId="4" xfId="0" applyNumberFormat="1" applyBorder="1" applyAlignment="1">
      <alignment wrapText="1"/>
    </xf>
    <xf numFmtId="167" fontId="0" fillId="0" borderId="2" xfId="0" applyNumberFormat="1" applyBorder="1" applyAlignment="1">
      <alignment wrapText="1"/>
    </xf>
    <xf numFmtId="167" fontId="0" fillId="0" borderId="2" xfId="0" applyNumberFormat="1" applyBorder="1"/>
    <xf numFmtId="167" fontId="0" fillId="4" borderId="2" xfId="0" applyNumberFormat="1" applyFill="1" applyBorder="1" applyAlignment="1">
      <alignment horizontal="center" vertical="center" wrapText="1"/>
    </xf>
    <xf numFmtId="4" fontId="0" fillId="4" borderId="2" xfId="0" applyNumberFormat="1" applyFill="1" applyBorder="1" applyAlignment="1">
      <alignment horizontal="center" vertical="center" wrapText="1"/>
    </xf>
    <xf numFmtId="4" fontId="0" fillId="0" borderId="2" xfId="0" applyNumberFormat="1" applyBorder="1"/>
    <xf numFmtId="167" fontId="0" fillId="0" borderId="0" xfId="0" applyNumberFormat="1"/>
    <xf numFmtId="4" fontId="0" fillId="0" borderId="0" xfId="0" applyNumberFormat="1" applyFill="1" applyBorder="1"/>
    <xf numFmtId="167" fontId="0" fillId="0" borderId="0" xfId="0" applyNumberFormat="1" applyFill="1"/>
    <xf numFmtId="4" fontId="0" fillId="0" borderId="0" xfId="0" applyNumberFormat="1" applyFill="1"/>
    <xf numFmtId="0" fontId="0" fillId="0" borderId="0" xfId="0" applyBorder="1" applyAlignment="1">
      <alignment horizontal="center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vertical="top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justify" vertical="top"/>
    </xf>
    <xf numFmtId="0" fontId="8" fillId="0" borderId="0" xfId="0" applyFont="1"/>
    <xf numFmtId="0" fontId="8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6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166" fontId="8" fillId="0" borderId="2" xfId="3" applyNumberFormat="1" applyFont="1" applyBorder="1" applyAlignment="1">
      <alignment horizontal="justify" vertical="center" wrapText="1"/>
    </xf>
    <xf numFmtId="168" fontId="16" fillId="0" borderId="2" xfId="0" applyNumberFormat="1" applyFont="1" applyBorder="1" applyAlignment="1">
      <alignment horizontal="justify" vertical="center" wrapText="1"/>
    </xf>
    <xf numFmtId="168" fontId="16" fillId="0" borderId="2" xfId="0" applyNumberFormat="1" applyFont="1" applyBorder="1" applyAlignment="1">
      <alignment vertical="center" wrapText="1"/>
    </xf>
    <xf numFmtId="166" fontId="16" fillId="0" borderId="2" xfId="3" applyFont="1" applyBorder="1" applyAlignment="1">
      <alignment vertical="center" wrapText="1"/>
    </xf>
    <xf numFmtId="0" fontId="14" fillId="0" borderId="0" xfId="0" applyFont="1" applyAlignment="1">
      <alignment horizontal="justify" vertical="center"/>
    </xf>
    <xf numFmtId="169" fontId="8" fillId="0" borderId="0" xfId="3" applyNumberFormat="1" applyFont="1"/>
    <xf numFmtId="170" fontId="8" fillId="0" borderId="0" xfId="3" applyNumberFormat="1" applyFont="1"/>
    <xf numFmtId="10" fontId="8" fillId="0" borderId="0" xfId="1" applyNumberFormat="1" applyFont="1"/>
    <xf numFmtId="170" fontId="8" fillId="0" borderId="0" xfId="0" applyNumberFormat="1" applyFont="1"/>
    <xf numFmtId="0" fontId="15" fillId="0" borderId="0" xfId="0" applyFont="1" applyAlignment="1">
      <alignment horizontal="justify" vertical="center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left" vertical="top" wrapText="1" indent="2"/>
    </xf>
    <xf numFmtId="0" fontId="19" fillId="0" borderId="18" xfId="0" applyFont="1" applyFill="1" applyBorder="1" applyAlignment="1">
      <alignment horizontal="left" vertical="center" wrapText="1" indent="2"/>
    </xf>
    <xf numFmtId="0" fontId="0" fillId="0" borderId="0" xfId="0" applyFill="1" applyBorder="1" applyAlignment="1">
      <alignment horizontal="left" vertical="top"/>
    </xf>
    <xf numFmtId="1" fontId="20" fillId="0" borderId="18" xfId="0" applyNumberFormat="1" applyFont="1" applyFill="1" applyBorder="1" applyAlignment="1">
      <alignment horizontal="center" vertical="center" shrinkToFit="1"/>
    </xf>
    <xf numFmtId="0" fontId="21" fillId="0" borderId="18" xfId="0" applyFont="1" applyFill="1" applyBorder="1" applyAlignment="1">
      <alignment horizontal="left" vertical="top" wrapText="1"/>
    </xf>
    <xf numFmtId="0" fontId="21" fillId="0" borderId="18" xfId="0" applyFont="1" applyFill="1" applyBorder="1" applyAlignment="1">
      <alignment horizontal="center" vertical="center" wrapText="1"/>
    </xf>
    <xf numFmtId="3" fontId="20" fillId="0" borderId="18" xfId="0" applyNumberFormat="1" applyFont="1" applyFill="1" applyBorder="1" applyAlignment="1">
      <alignment horizontal="center" vertical="center" shrinkToFit="1"/>
    </xf>
    <xf numFmtId="171" fontId="22" fillId="0" borderId="18" xfId="0" applyNumberFormat="1" applyFont="1" applyFill="1" applyBorder="1" applyAlignment="1">
      <alignment horizontal="right" vertical="top" shrinkToFit="1"/>
    </xf>
    <xf numFmtId="171" fontId="22" fillId="0" borderId="18" xfId="0" applyNumberFormat="1" applyFont="1" applyFill="1" applyBorder="1" applyAlignment="1">
      <alignment horizontal="right" vertical="center" shrinkToFit="1"/>
    </xf>
    <xf numFmtId="1" fontId="20" fillId="0" borderId="18" xfId="0" applyNumberFormat="1" applyFont="1" applyFill="1" applyBorder="1" applyAlignment="1">
      <alignment horizontal="center" vertical="top" shrinkToFit="1"/>
    </xf>
    <xf numFmtId="0" fontId="21" fillId="0" borderId="18" xfId="0" applyFont="1" applyFill="1" applyBorder="1" applyAlignment="1">
      <alignment horizontal="center" vertical="top" wrapText="1"/>
    </xf>
    <xf numFmtId="3" fontId="20" fillId="0" borderId="18" xfId="0" applyNumberFormat="1" applyFont="1" applyFill="1" applyBorder="1" applyAlignment="1">
      <alignment horizontal="center" vertical="top" shrinkToFit="1"/>
    </xf>
    <xf numFmtId="0" fontId="21" fillId="0" borderId="18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"/>
    </xf>
    <xf numFmtId="0" fontId="4" fillId="2" borderId="0" xfId="0" applyFont="1" applyFill="1" applyAlignment="1">
      <alignment vertical="top"/>
    </xf>
    <xf numFmtId="0" fontId="23" fillId="2" borderId="0" xfId="0" applyFont="1" applyFill="1" applyAlignment="1">
      <alignment vertical="top"/>
    </xf>
    <xf numFmtId="0" fontId="24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25" fillId="2" borderId="9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9" xfId="4" applyFont="1" applyBorder="1" applyAlignment="1">
      <alignment horizontal="center" vertical="center"/>
    </xf>
    <xf numFmtId="164" fontId="5" fillId="2" borderId="9" xfId="4" applyNumberFormat="1" applyFont="1" applyFill="1" applyBorder="1" applyAlignment="1">
      <alignment horizontal="center" vertical="center"/>
    </xf>
    <xf numFmtId="164" fontId="5" fillId="2" borderId="9" xfId="4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6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5" fillId="2" borderId="0" xfId="0" applyFont="1" applyFill="1" applyAlignment="1">
      <alignment horizontal="left" vertical="center"/>
    </xf>
    <xf numFmtId="164" fontId="0" fillId="2" borderId="0" xfId="4" applyFont="1" applyFill="1" applyAlignment="1">
      <alignment horizontal="center" vertical="center"/>
    </xf>
    <xf numFmtId="0" fontId="0" fillId="2" borderId="0" xfId="0" applyFill="1"/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0" fontId="6" fillId="0" borderId="0" xfId="0" applyFont="1"/>
    <xf numFmtId="0" fontId="27" fillId="0" borderId="0" xfId="0" applyFont="1"/>
    <xf numFmtId="0" fontId="28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166" fontId="29" fillId="0" borderId="2" xfId="3" applyFont="1" applyBorder="1" applyAlignment="1">
      <alignment vertical="center"/>
    </xf>
    <xf numFmtId="172" fontId="29" fillId="0" borderId="2" xfId="0" applyNumberFormat="1" applyFont="1" applyBorder="1" applyAlignment="1">
      <alignment horizontal="right" vertical="center"/>
    </xf>
    <xf numFmtId="0" fontId="29" fillId="0" borderId="0" xfId="0" applyFont="1" applyAlignment="1">
      <alignment vertical="center"/>
    </xf>
    <xf numFmtId="172" fontId="29" fillId="0" borderId="2" xfId="0" applyNumberFormat="1" applyFont="1" applyBorder="1" applyAlignment="1">
      <alignment vertical="center"/>
    </xf>
    <xf numFmtId="172" fontId="28" fillId="3" borderId="2" xfId="0" applyNumberFormat="1" applyFont="1" applyFill="1" applyBorder="1" applyAlignment="1">
      <alignment vertical="center"/>
    </xf>
    <xf numFmtId="0" fontId="31" fillId="0" borderId="0" xfId="0" applyFont="1" applyAlignment="1">
      <alignment horizontal="justify" vertical="center"/>
    </xf>
    <xf numFmtId="0" fontId="31" fillId="0" borderId="0" xfId="0" applyFont="1" applyAlignment="1">
      <alignment horizontal="justify" vertical="center" wrapText="1"/>
    </xf>
    <xf numFmtId="0" fontId="31" fillId="0" borderId="0" xfId="0" applyFont="1" applyAlignment="1">
      <alignment vertical="center"/>
    </xf>
    <xf numFmtId="0" fontId="31" fillId="0" borderId="25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164" fontId="0" fillId="2" borderId="9" xfId="4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/>
    </xf>
    <xf numFmtId="0" fontId="32" fillId="2" borderId="9" xfId="0" applyFont="1" applyFill="1" applyBorder="1" applyAlignment="1">
      <alignment horizontal="left" vertical="center" wrapText="1"/>
    </xf>
    <xf numFmtId="0" fontId="32" fillId="2" borderId="9" xfId="0" applyFont="1" applyFill="1" applyBorder="1" applyAlignment="1">
      <alignment horizontal="left" vertical="center"/>
    </xf>
    <xf numFmtId="0" fontId="32" fillId="2" borderId="9" xfId="0" applyFont="1" applyFill="1" applyBorder="1" applyAlignment="1">
      <alignment horizontal="center" vertical="center"/>
    </xf>
    <xf numFmtId="0" fontId="32" fillId="2" borderId="15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65" fontId="0" fillId="0" borderId="0" xfId="5" applyFont="1"/>
    <xf numFmtId="165" fontId="8" fillId="0" borderId="0" xfId="5" applyFont="1"/>
    <xf numFmtId="165" fontId="33" fillId="0" borderId="0" xfId="5" applyFont="1"/>
    <xf numFmtId="0" fontId="4" fillId="2" borderId="1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0" fillId="2" borderId="10" xfId="0" applyNumberForma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164" fontId="0" fillId="2" borderId="34" xfId="4" applyFont="1" applyFill="1" applyBorder="1" applyAlignment="1">
      <alignment horizontal="center" vertical="center"/>
    </xf>
    <xf numFmtId="164" fontId="0" fillId="2" borderId="35" xfId="4" applyFont="1" applyFill="1" applyBorder="1" applyAlignment="1">
      <alignment horizontal="center" vertical="center"/>
    </xf>
    <xf numFmtId="164" fontId="0" fillId="2" borderId="36" xfId="4" applyFont="1" applyFill="1" applyBorder="1" applyAlignment="1">
      <alignment horizontal="center" vertical="center"/>
    </xf>
    <xf numFmtId="166" fontId="0" fillId="0" borderId="29" xfId="3" applyFont="1" applyBorder="1" applyAlignment="1">
      <alignment horizontal="center" vertical="center"/>
    </xf>
    <xf numFmtId="166" fontId="0" fillId="0" borderId="30" xfId="3" applyFont="1" applyBorder="1" applyAlignment="1">
      <alignment horizontal="center" vertical="center"/>
    </xf>
    <xf numFmtId="166" fontId="0" fillId="0" borderId="31" xfId="3" applyFont="1" applyBorder="1" applyAlignment="1">
      <alignment horizontal="center" vertical="center"/>
    </xf>
    <xf numFmtId="166" fontId="0" fillId="0" borderId="0" xfId="0" applyNumberFormat="1"/>
    <xf numFmtId="172" fontId="0" fillId="0" borderId="0" xfId="0" applyNumberFormat="1"/>
    <xf numFmtId="165" fontId="0" fillId="0" borderId="0" xfId="5" applyFont="1" applyFill="1" applyBorder="1" applyAlignment="1">
      <alignment horizontal="left" vertical="top"/>
    </xf>
    <xf numFmtId="165" fontId="0" fillId="0" borderId="0" xfId="0" applyNumberFormat="1"/>
    <xf numFmtId="170" fontId="0" fillId="0" borderId="0" xfId="0" applyNumberFormat="1"/>
    <xf numFmtId="165" fontId="10" fillId="0" borderId="0" xfId="5" applyFont="1" applyFill="1" applyBorder="1" applyAlignment="1">
      <alignment horizontal="left" vertical="top"/>
    </xf>
    <xf numFmtId="165" fontId="0" fillId="0" borderId="0" xfId="0" applyNumberFormat="1" applyFill="1" applyBorder="1" applyAlignment="1">
      <alignment horizontal="left" vertical="top"/>
    </xf>
    <xf numFmtId="171" fontId="10" fillId="0" borderId="0" xfId="0" applyNumberFormat="1" applyFont="1" applyFill="1" applyBorder="1" applyAlignment="1">
      <alignment horizontal="left" vertical="top" wrapText="1" indent="3"/>
    </xf>
    <xf numFmtId="171" fontId="10" fillId="0" borderId="0" xfId="0" applyNumberFormat="1" applyFont="1" applyFill="1" applyBorder="1" applyAlignment="1">
      <alignment horizontal="left" vertical="top" indent="1"/>
    </xf>
    <xf numFmtId="170" fontId="0" fillId="0" borderId="0" xfId="3" applyNumberFormat="1" applyFont="1" applyFill="1" applyBorder="1"/>
    <xf numFmtId="2" fontId="0" fillId="0" borderId="0" xfId="0" applyNumberFormat="1" applyBorder="1"/>
    <xf numFmtId="3" fontId="0" fillId="0" borderId="0" xfId="0" applyNumberFormat="1"/>
    <xf numFmtId="0" fontId="16" fillId="0" borderId="2" xfId="0" applyFont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left" vertical="center" wrapText="1" indent="2"/>
    </xf>
    <xf numFmtId="1" fontId="36" fillId="0" borderId="18" xfId="0" applyNumberFormat="1" applyFont="1" applyFill="1" applyBorder="1" applyAlignment="1">
      <alignment horizontal="center" vertical="center" shrinkToFit="1"/>
    </xf>
    <xf numFmtId="0" fontId="37" fillId="0" borderId="18" xfId="0" applyFont="1" applyFill="1" applyBorder="1" applyAlignment="1">
      <alignment horizontal="center" vertical="center" wrapText="1"/>
    </xf>
    <xf numFmtId="4" fontId="39" fillId="0" borderId="18" xfId="0" applyNumberFormat="1" applyFont="1" applyFill="1" applyBorder="1" applyAlignment="1">
      <alignment horizontal="center" vertical="center" shrinkToFit="1"/>
    </xf>
    <xf numFmtId="2" fontId="39" fillId="0" borderId="18" xfId="0" applyNumberFormat="1" applyFont="1" applyFill="1" applyBorder="1" applyAlignment="1">
      <alignment horizontal="center" vertical="center" shrinkToFit="1"/>
    </xf>
    <xf numFmtId="173" fontId="39" fillId="0" borderId="18" xfId="0" applyNumberFormat="1" applyFont="1" applyFill="1" applyBorder="1" applyAlignment="1">
      <alignment horizontal="right" vertical="center" indent="2" shrinkToFit="1"/>
    </xf>
    <xf numFmtId="173" fontId="39" fillId="0" borderId="18" xfId="0" applyNumberFormat="1" applyFont="1" applyFill="1" applyBorder="1" applyAlignment="1">
      <alignment horizontal="right" vertical="top" indent="2" shrinkToFit="1"/>
    </xf>
    <xf numFmtId="0" fontId="34" fillId="0" borderId="37" xfId="0" applyFont="1" applyFill="1" applyBorder="1" applyAlignment="1">
      <alignment horizontal="center" vertical="top" wrapText="1"/>
    </xf>
    <xf numFmtId="1" fontId="36" fillId="0" borderId="38" xfId="0" applyNumberFormat="1" applyFont="1" applyFill="1" applyBorder="1" applyAlignment="1">
      <alignment horizontal="center" vertical="center" shrinkToFit="1"/>
    </xf>
    <xf numFmtId="0" fontId="37" fillId="0" borderId="38" xfId="0" applyFont="1" applyFill="1" applyBorder="1" applyAlignment="1">
      <alignment horizontal="center" vertical="center" wrapText="1"/>
    </xf>
    <xf numFmtId="2" fontId="39" fillId="0" borderId="38" xfId="0" applyNumberFormat="1" applyFont="1" applyFill="1" applyBorder="1" applyAlignment="1">
      <alignment horizontal="center" vertical="center" shrinkToFit="1"/>
    </xf>
    <xf numFmtId="173" fontId="39" fillId="0" borderId="38" xfId="0" applyNumberFormat="1" applyFont="1" applyFill="1" applyBorder="1" applyAlignment="1">
      <alignment horizontal="right" vertical="center" shrinkToFit="1"/>
    </xf>
    <xf numFmtId="173" fontId="39" fillId="0" borderId="18" xfId="0" applyNumberFormat="1" applyFont="1" applyFill="1" applyBorder="1" applyAlignment="1">
      <alignment horizontal="right" vertical="center" shrinkToFit="1"/>
    </xf>
    <xf numFmtId="4" fontId="39" fillId="0" borderId="18" xfId="0" applyNumberFormat="1" applyFont="1" applyFill="1" applyBorder="1" applyAlignment="1">
      <alignment horizontal="right" vertical="center" shrinkToFit="1"/>
    </xf>
    <xf numFmtId="4" fontId="39" fillId="0" borderId="38" xfId="0" applyNumberFormat="1" applyFont="1" applyFill="1" applyBorder="1" applyAlignment="1">
      <alignment horizontal="right" vertical="center" shrinkToFit="1"/>
    </xf>
    <xf numFmtId="173" fontId="0" fillId="0" borderId="0" xfId="0" applyNumberFormat="1" applyFill="1" applyBorder="1" applyAlignment="1">
      <alignment horizontal="left" vertical="top"/>
    </xf>
    <xf numFmtId="0" fontId="11" fillId="12" borderId="17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164" fontId="1" fillId="2" borderId="0" xfId="4" applyFont="1" applyFill="1" applyBorder="1" applyAlignment="1">
      <alignment horizontal="center" vertical="center"/>
    </xf>
    <xf numFmtId="4" fontId="0" fillId="0" borderId="0" xfId="0" applyNumberFormat="1" applyBorder="1"/>
    <xf numFmtId="164" fontId="0" fillId="2" borderId="0" xfId="0" applyNumberFormat="1" applyFill="1" applyBorder="1"/>
    <xf numFmtId="173" fontId="0" fillId="0" borderId="0" xfId="0" applyNumberFormat="1"/>
    <xf numFmtId="165" fontId="0" fillId="0" borderId="0" xfId="5" applyFont="1" applyAlignment="1">
      <alignment vertical="center"/>
    </xf>
    <xf numFmtId="0" fontId="32" fillId="2" borderId="0" xfId="0" applyFont="1" applyFill="1" applyBorder="1" applyAlignment="1">
      <alignment horizontal="center" vertical="center"/>
    </xf>
    <xf numFmtId="165" fontId="8" fillId="0" borderId="0" xfId="5" applyFont="1" applyAlignment="1">
      <alignment horizontal="center" vertical="center"/>
    </xf>
    <xf numFmtId="165" fontId="8" fillId="0" borderId="0" xfId="5" applyFont="1" applyAlignment="1">
      <alignment vertical="center"/>
    </xf>
    <xf numFmtId="0" fontId="4" fillId="6" borderId="11" xfId="0" applyFont="1" applyFill="1" applyBorder="1" applyAlignment="1">
      <alignment vertical="top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1" fillId="12" borderId="15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0" fontId="16" fillId="9" borderId="3" xfId="0" applyFont="1" applyFill="1" applyBorder="1" applyAlignment="1">
      <alignment horizontal="center" vertical="center" wrapText="1"/>
    </xf>
    <xf numFmtId="0" fontId="16" fillId="9" borderId="4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30" fillId="3" borderId="2" xfId="0" applyFont="1" applyFill="1" applyBorder="1" applyAlignment="1">
      <alignment horizontal="right" vertical="center" wrapText="1"/>
    </xf>
    <xf numFmtId="0" fontId="31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justify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34" fillId="0" borderId="37" xfId="0" applyFont="1" applyFill="1" applyBorder="1" applyAlignment="1">
      <alignment horizontal="center" vertical="top" wrapText="1"/>
    </xf>
    <xf numFmtId="0" fontId="0" fillId="0" borderId="19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23" xfId="0" applyFill="1" applyBorder="1" applyAlignment="1">
      <alignment horizontal="left" vertical="top" wrapText="1"/>
    </xf>
    <xf numFmtId="0" fontId="37" fillId="0" borderId="0" xfId="0" applyFont="1" applyFill="1" applyBorder="1" applyAlignment="1">
      <alignment horizontal="left" vertical="top" wrapText="1"/>
    </xf>
    <xf numFmtId="43" fontId="6" fillId="0" borderId="4" xfId="3" applyNumberFormat="1" applyFont="1" applyBorder="1" applyAlignment="1">
      <alignment horizontal="center" vertical="center"/>
    </xf>
    <xf numFmtId="43" fontId="6" fillId="0" borderId="2" xfId="3" applyNumberFormat="1" applyFont="1" applyBorder="1" applyAlignment="1">
      <alignment horizontal="center" vertical="center"/>
    </xf>
    <xf numFmtId="43" fontId="6" fillId="0" borderId="2" xfId="3" applyNumberFormat="1" applyFont="1" applyBorder="1" applyAlignment="1">
      <alignment horizont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 indent="3"/>
    </xf>
    <xf numFmtId="0" fontId="21" fillId="10" borderId="21" xfId="0" applyFont="1" applyFill="1" applyBorder="1" applyAlignment="1">
      <alignment horizontal="left" vertical="top" wrapText="1"/>
    </xf>
    <xf numFmtId="0" fontId="21" fillId="10" borderId="22" xfId="0" applyFont="1" applyFill="1" applyBorder="1" applyAlignment="1">
      <alignment horizontal="left" vertical="top" wrapText="1"/>
    </xf>
    <xf numFmtId="0" fontId="21" fillId="11" borderId="21" xfId="0" applyFont="1" applyFill="1" applyBorder="1" applyAlignment="1">
      <alignment horizontal="left" vertical="top" wrapText="1"/>
    </xf>
    <xf numFmtId="0" fontId="21" fillId="11" borderId="22" xfId="0" applyFont="1" applyFill="1" applyBorder="1" applyAlignment="1">
      <alignment horizontal="left" vertical="top" wrapText="1"/>
    </xf>
    <xf numFmtId="0" fontId="12" fillId="12" borderId="15" xfId="0" applyFont="1" applyFill="1" applyBorder="1" applyAlignment="1">
      <alignment horizontal="center" vertical="center" wrapText="1"/>
    </xf>
  </cellXfs>
  <cellStyles count="7">
    <cellStyle name="Millares" xfId="3" builtinId="3"/>
    <cellStyle name="Millares [0]" xfId="5" builtinId="6"/>
    <cellStyle name="Moneda [0]" xfId="4" builtinId="7"/>
    <cellStyle name="Normal" xfId="0" builtinId="0"/>
    <cellStyle name="Normal 2" xfId="6"/>
    <cellStyle name="Normal 2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461418</xdr:colOff>
      <xdr:row>0</xdr:row>
      <xdr:rowOff>0</xdr:rowOff>
    </xdr:from>
    <xdr:ext cx="618444" cy="724333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5368" y="0"/>
          <a:ext cx="618444" cy="724333"/>
        </a:xfrm>
        <a:prstGeom prst="rect">
          <a:avLst/>
        </a:prstGeom>
      </xdr:spPr>
    </xdr:pic>
    <xdr:clientData/>
  </xdr:oneCellAnchor>
  <xdr:oneCellAnchor>
    <xdr:from>
      <xdr:col>0</xdr:col>
      <xdr:colOff>191515</xdr:colOff>
      <xdr:row>0</xdr:row>
      <xdr:rowOff>38100</xdr:rowOff>
    </xdr:from>
    <xdr:ext cx="1385216" cy="443848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515" y="38100"/>
          <a:ext cx="1385216" cy="443848"/>
        </a:xfrm>
        <a:prstGeom prst="rect">
          <a:avLst/>
        </a:prstGeom>
      </xdr:spPr>
    </xdr:pic>
    <xdr:clientData/>
  </xdr:oneCellAnchor>
  <xdr:oneCellAnchor>
    <xdr:from>
      <xdr:col>5</xdr:col>
      <xdr:colOff>108993</xdr:colOff>
      <xdr:row>20</xdr:row>
      <xdr:rowOff>765643</xdr:rowOff>
    </xdr:from>
    <xdr:ext cx="618444" cy="724333"/>
    <xdr:pic>
      <xdr:nvPicPr>
        <xdr:cNvPr id="4" name="image1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2068" y="9547693"/>
          <a:ext cx="618444" cy="724333"/>
        </a:xfrm>
        <a:prstGeom prst="rect">
          <a:avLst/>
        </a:prstGeom>
      </xdr:spPr>
    </xdr:pic>
    <xdr:clientData/>
  </xdr:oneCellAnchor>
  <xdr:oneCellAnchor>
    <xdr:from>
      <xdr:col>2</xdr:col>
      <xdr:colOff>208183</xdr:colOff>
      <xdr:row>22</xdr:row>
      <xdr:rowOff>23813</xdr:rowOff>
    </xdr:from>
    <xdr:ext cx="1385216" cy="443848"/>
    <xdr:pic>
      <xdr:nvPicPr>
        <xdr:cNvPr id="5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121" y="7096126"/>
          <a:ext cx="1385216" cy="44384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244740</xdr:colOff>
      <xdr:row>1</xdr:row>
      <xdr:rowOff>0</xdr:rowOff>
    </xdr:from>
    <xdr:to>
      <xdr:col>10</xdr:col>
      <xdr:colOff>520722</xdr:colOff>
      <xdr:row>1</xdr:row>
      <xdr:rowOff>616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12122415" y="245799"/>
          <a:ext cx="1876182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110067</xdr:colOff>
      <xdr:row>1</xdr:row>
      <xdr:rowOff>0</xdr:rowOff>
    </xdr:from>
    <xdr:to>
      <xdr:col>0</xdr:col>
      <xdr:colOff>733956</xdr:colOff>
      <xdr:row>3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67" y="233891"/>
          <a:ext cx="623889" cy="747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244740</xdr:colOff>
      <xdr:row>1</xdr:row>
      <xdr:rowOff>0</xdr:rowOff>
    </xdr:from>
    <xdr:to>
      <xdr:col>10</xdr:col>
      <xdr:colOff>520722</xdr:colOff>
      <xdr:row>1</xdr:row>
      <xdr:rowOff>616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12122415" y="245799"/>
          <a:ext cx="1876182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%20Garcia/Downloads/APU&#180;s%20y%20Presupuesto%20OBRA%202019%20CINCO%20Zonas_(0%20pesos%20con%20contrib)_v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%20Garcia/Downloads/previos/2017_Administracion%20Y%20FPrestacio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robayo\Downloads\14.%20DISCRIMINACI&#211;N%20DE%20LA%20OFERTA%20ECON&#211;MICA%20DEFINITIVO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ción"/>
      <sheetName val="OTROS COSTOS INDIRECTOS"/>
      <sheetName val="Presupuesto"/>
      <sheetName val="Factor Prestacional"/>
      <sheetName val="INSUMOS"/>
      <sheetName val="PERSONAL"/>
      <sheetName val="EQUIPOS TRANSPOR SALARIO"/>
      <sheetName val="ANEXO PLIEGO_1"/>
      <sheetName val="ANEXO PLIEGO_2"/>
      <sheetName val="escenarios consultoria"/>
      <sheetName val="APU DISEÑOS"/>
      <sheetName val="Presupuesto Consultori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N"/>
      <sheetName val="45N"/>
      <sheetName val="46N"/>
      <sheetName val="47N"/>
      <sheetName val="48N"/>
      <sheetName val="49N"/>
      <sheetName val="50N"/>
      <sheetName val="51N"/>
      <sheetName val="52N"/>
      <sheetName val="53N"/>
      <sheetName val="54N"/>
      <sheetName val="55N"/>
      <sheetName val="56N"/>
      <sheetName val="57N"/>
      <sheetName val="58N"/>
      <sheetName val="59N"/>
      <sheetName val="60N"/>
      <sheetName val="61N"/>
      <sheetName val="62N"/>
      <sheetName val="63N"/>
      <sheetName val="64N"/>
      <sheetName val="65N"/>
      <sheetName val="66N"/>
      <sheetName val="67N"/>
      <sheetName val="68N"/>
      <sheetName val="69N"/>
      <sheetName val="70N"/>
      <sheetName val="71N"/>
      <sheetName val="72N"/>
      <sheetName val="73N"/>
      <sheetName val="74N"/>
      <sheetName val="75N"/>
      <sheetName val="76N"/>
      <sheetName val="77N"/>
      <sheetName val="78N"/>
      <sheetName val="79N"/>
      <sheetName val="-"/>
      <sheetName val="80"/>
      <sheetName val="--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S"/>
      <sheetName val="2S"/>
      <sheetName val="3S"/>
      <sheetName val="4S"/>
      <sheetName val="5S"/>
      <sheetName val="ESCENARIO 1"/>
      <sheetName val="ESCENARIO 2"/>
      <sheetName val="ESCENARIO 3"/>
      <sheetName val="ESC 4"/>
      <sheetName val="items repre"/>
    </sheetNames>
    <sheetDataSet>
      <sheetData sheetId="0"/>
      <sheetData sheetId="1"/>
      <sheetData sheetId="2">
        <row r="3">
          <cell r="C3" t="str">
            <v>Fabricación y suministro de tableros en lámina galvanizada C-16, material reflectivo tipo Alta Intensidad Tipo IV o superior, para señales SP-SR-SI cumpliendo normatividad vigente. (Incluye elementos de fijación)</v>
          </cell>
        </row>
        <row r="134">
          <cell r="I134">
            <v>10</v>
          </cell>
        </row>
      </sheetData>
      <sheetData sheetId="3"/>
      <sheetData sheetId="4"/>
      <sheetData sheetId="5"/>
      <sheetData sheetId="6">
        <row r="1">
          <cell r="U1">
            <v>1.0575000000000001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Administración"/>
    </sheetNames>
    <sheetDataSet>
      <sheetData sheetId="0">
        <row r="25">
          <cell r="B25">
            <v>1.6996500000000001</v>
          </cell>
        </row>
      </sheetData>
      <sheetData sheetId="1">
        <row r="7">
          <cell r="K7">
            <v>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CONSOLIDADO"/>
      <sheetName val="MEDIA GEOM"/>
      <sheetName val="Hoja3"/>
      <sheetName val="MEDIA ARMON"/>
      <sheetName val="MEDIA GEOM PTO OFIC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>
        <row r="6">
          <cell r="A6">
            <v>1</v>
          </cell>
          <cell r="B6" t="str">
            <v>PROPONENTE 1 CONSTRUCTORA VMJ</v>
          </cell>
          <cell r="C6">
            <v>42460463</v>
          </cell>
          <cell r="D6">
            <v>490</v>
          </cell>
        </row>
        <row r="7">
          <cell r="A7">
            <v>2</v>
          </cell>
          <cell r="B7" t="str">
            <v>PROPONENTE 2 HyD S.A.S</v>
          </cell>
          <cell r="C7">
            <v>42152888</v>
          </cell>
          <cell r="D7">
            <v>500</v>
          </cell>
        </row>
        <row r="8">
          <cell r="A8">
            <v>3</v>
          </cell>
          <cell r="B8" t="str">
            <v>PROPONENTE 3 CONSORCIO ATIKARPF</v>
          </cell>
          <cell r="C8">
            <v>42028117</v>
          </cell>
          <cell r="D8">
            <v>490</v>
          </cell>
        </row>
        <row r="9">
          <cell r="A9">
            <v>4</v>
          </cell>
          <cell r="B9" t="str">
            <v>PROPONENTE 4 MODERLINE S.A.S</v>
          </cell>
          <cell r="C9">
            <v>42203841</v>
          </cell>
          <cell r="D9">
            <v>500</v>
          </cell>
        </row>
        <row r="10">
          <cell r="A10">
            <v>5</v>
          </cell>
          <cell r="B10" t="str">
            <v>PROPONENTE 5 CONSORCIO ADECUACIONES SDM BOGOTA</v>
          </cell>
          <cell r="C10">
            <v>42921741</v>
          </cell>
          <cell r="D10">
            <v>490</v>
          </cell>
        </row>
        <row r="11">
          <cell r="A11">
            <v>6</v>
          </cell>
          <cell r="B11" t="str">
            <v>PROPONENTE 6 GUSTAVO ADOLFO TORRES DUARTE</v>
          </cell>
          <cell r="C11">
            <v>42864886</v>
          </cell>
          <cell r="D11">
            <v>500</v>
          </cell>
        </row>
        <row r="12">
          <cell r="A12">
            <v>7</v>
          </cell>
          <cell r="B12" t="str">
            <v>PROPONENTE 7 CONSORCIO GMA-SDM 1600</v>
          </cell>
          <cell r="C12">
            <v>42719406</v>
          </cell>
          <cell r="D12">
            <v>500</v>
          </cell>
        </row>
        <row r="13">
          <cell r="A13">
            <v>8</v>
          </cell>
          <cell r="B13" t="str">
            <v>PROPONENTE 8 CONSORCIO EMV</v>
          </cell>
          <cell r="C13">
            <v>42425552</v>
          </cell>
          <cell r="D13">
            <v>490</v>
          </cell>
        </row>
        <row r="14">
          <cell r="A14">
            <v>9</v>
          </cell>
          <cell r="B14" t="str">
            <v>PROPONENTE 9 NELSON HERNANDO VARGAS COLMENARES</v>
          </cell>
          <cell r="C14">
            <v>42646538</v>
          </cell>
          <cell r="D14">
            <v>500</v>
          </cell>
        </row>
        <row r="15">
          <cell r="A15">
            <v>10</v>
          </cell>
          <cell r="B15" t="str">
            <v>PROPONENTE 10 CONSORCIO ALIANZA MOVILIDAD 2019</v>
          </cell>
          <cell r="C15">
            <v>0</v>
          </cell>
          <cell r="D15" t="str">
            <v>-</v>
          </cell>
        </row>
        <row r="16">
          <cell r="A16">
            <v>11</v>
          </cell>
          <cell r="B16" t="str">
            <v>PROPONENTE 11 BSV INGENIERIA SAS</v>
          </cell>
          <cell r="C16">
            <v>42241088</v>
          </cell>
          <cell r="D16">
            <v>490</v>
          </cell>
        </row>
        <row r="17">
          <cell r="A17">
            <v>12</v>
          </cell>
          <cell r="B17" t="str">
            <v>PROPONENTE 12 DIARQCO CONSTRUCTORES SAS</v>
          </cell>
          <cell r="C17">
            <v>42457499</v>
          </cell>
          <cell r="D17">
            <v>490</v>
          </cell>
        </row>
        <row r="18">
          <cell r="A18">
            <v>13</v>
          </cell>
          <cell r="B18" t="str">
            <v>PROPONENTE 13 MARIA JOSE HERRERA GUZMAN</v>
          </cell>
          <cell r="C18">
            <v>42557570</v>
          </cell>
          <cell r="D18">
            <v>490</v>
          </cell>
        </row>
        <row r="19">
          <cell r="A19">
            <v>14</v>
          </cell>
          <cell r="B19" t="str">
            <v>PROPONENTE 14 CONSORCIO INGENIERÍA GH</v>
          </cell>
          <cell r="C19">
            <v>42747706</v>
          </cell>
          <cell r="D19">
            <v>500</v>
          </cell>
        </row>
        <row r="20">
          <cell r="A20">
            <v>15</v>
          </cell>
          <cell r="B20" t="str">
            <v>PROPONENTE 15 HACER DE COLOMBIA LTDA</v>
          </cell>
          <cell r="C20">
            <v>42747668</v>
          </cell>
          <cell r="D20">
            <v>500</v>
          </cell>
        </row>
        <row r="21">
          <cell r="A21">
            <v>16</v>
          </cell>
          <cell r="B21" t="str">
            <v>PROPONENTE 16 MIGUEL ALEJANDRO PINZÓN AGUILAR</v>
          </cell>
          <cell r="C21">
            <v>43080871</v>
          </cell>
          <cell r="D21">
            <v>500</v>
          </cell>
        </row>
        <row r="22">
          <cell r="A22">
            <v>17</v>
          </cell>
          <cell r="B22" t="str">
            <v>PROPONENTE 17 CONSORCIO MOVILIDAD 2019</v>
          </cell>
          <cell r="C22">
            <v>42530696</v>
          </cell>
          <cell r="D22">
            <v>500</v>
          </cell>
        </row>
        <row r="23">
          <cell r="A23">
            <v>18</v>
          </cell>
          <cell r="B23" t="str">
            <v>PROPONENTE 18 CARLOS ARTURO CAMARGO MORENO</v>
          </cell>
          <cell r="C23">
            <v>43067050</v>
          </cell>
          <cell r="D23">
            <v>500</v>
          </cell>
        </row>
        <row r="24">
          <cell r="A24">
            <v>19</v>
          </cell>
          <cell r="B24" t="str">
            <v>PROPONENTE 19 CARLOS DAZA RAMÍREZ</v>
          </cell>
          <cell r="C24">
            <v>42834718</v>
          </cell>
          <cell r="D24">
            <v>490</v>
          </cell>
        </row>
        <row r="25">
          <cell r="A25">
            <v>20</v>
          </cell>
          <cell r="B25" t="str">
            <v>PROPONENTE 20 CONSORCIO ISCON</v>
          </cell>
          <cell r="C25">
            <v>42421391</v>
          </cell>
          <cell r="D25">
            <v>500</v>
          </cell>
        </row>
        <row r="26">
          <cell r="A26">
            <v>21</v>
          </cell>
          <cell r="B26" t="str">
            <v>PROPONENTE 21 INVERSIONES G Y S LTDA</v>
          </cell>
          <cell r="C26">
            <v>42820451</v>
          </cell>
          <cell r="D26">
            <v>500</v>
          </cell>
        </row>
        <row r="27">
          <cell r="A27">
            <v>22</v>
          </cell>
          <cell r="B27" t="str">
            <v>PROPONENTE 22 INGDECOL S.A.S</v>
          </cell>
          <cell r="C27">
            <v>42256126</v>
          </cell>
          <cell r="D27">
            <v>490</v>
          </cell>
        </row>
        <row r="28">
          <cell r="A28">
            <v>23</v>
          </cell>
          <cell r="B28" t="str">
            <v>PROPONENTE 23 AMBIENTALMENTE INGENIERIA SAS</v>
          </cell>
          <cell r="C28">
            <v>43292651</v>
          </cell>
          <cell r="D28">
            <v>500</v>
          </cell>
        </row>
        <row r="29">
          <cell r="A29">
            <v>24</v>
          </cell>
          <cell r="B29" t="str">
            <v>PROPONENTE 24 INCIVILES ASOCIADOS S.A.S</v>
          </cell>
          <cell r="C29">
            <v>42580348</v>
          </cell>
          <cell r="D29">
            <v>500</v>
          </cell>
        </row>
        <row r="30">
          <cell r="A30">
            <v>25</v>
          </cell>
          <cell r="B30" t="str">
            <v>PROPONENTE 25 CONSORCIO MEDVAN SDM</v>
          </cell>
          <cell r="C30">
            <v>43230662</v>
          </cell>
          <cell r="D30">
            <v>500</v>
          </cell>
        </row>
        <row r="31">
          <cell r="A31">
            <v>26</v>
          </cell>
          <cell r="B31" t="str">
            <v>PROPONENTE 26 CIVILMAQ S.A.S</v>
          </cell>
          <cell r="C31">
            <v>42592087</v>
          </cell>
          <cell r="D31">
            <v>500</v>
          </cell>
        </row>
        <row r="32">
          <cell r="A32">
            <v>27</v>
          </cell>
          <cell r="B32" t="str">
            <v>PROPONENTE 27 SAFRID INGENIERIA S.A.S</v>
          </cell>
          <cell r="C32">
            <v>42717258</v>
          </cell>
          <cell r="D32">
            <v>490</v>
          </cell>
        </row>
        <row r="33">
          <cell r="A33">
            <v>28</v>
          </cell>
          <cell r="B33" t="str">
            <v>PROPONENTE 28 CUMBRE ASOCIADOS LTDA</v>
          </cell>
          <cell r="C33">
            <v>43117524</v>
          </cell>
          <cell r="D33">
            <v>500</v>
          </cell>
        </row>
        <row r="34">
          <cell r="A34">
            <v>29</v>
          </cell>
          <cell r="B34" t="str">
            <v>PROPONENTE 29 CONSORCIO OBRA MOVILIDAD-2019</v>
          </cell>
          <cell r="C34">
            <v>0</v>
          </cell>
          <cell r="D34" t="str">
            <v>-</v>
          </cell>
        </row>
        <row r="35">
          <cell r="A35">
            <v>30</v>
          </cell>
          <cell r="B35" t="str">
            <v>PROPONENTE 30 CONSORCIO REPARACIONES MOVILIDAD</v>
          </cell>
          <cell r="C35">
            <v>43440094</v>
          </cell>
          <cell r="D35">
            <v>500</v>
          </cell>
        </row>
        <row r="36">
          <cell r="A36">
            <v>31</v>
          </cell>
          <cell r="B36" t="str">
            <v>PROPONENTE 31 CONSORCIO JECC</v>
          </cell>
          <cell r="C36">
            <v>42647898</v>
          </cell>
          <cell r="D36">
            <v>500</v>
          </cell>
        </row>
        <row r="37">
          <cell r="A37">
            <v>32</v>
          </cell>
          <cell r="B37" t="str">
            <v>PROPONENTE 32 CONSORCIO INFRAESTRUCTURA</v>
          </cell>
          <cell r="C37">
            <v>0</v>
          </cell>
          <cell r="D37" t="str">
            <v>-</v>
          </cell>
        </row>
        <row r="38">
          <cell r="A38">
            <v>33</v>
          </cell>
          <cell r="B38" t="str">
            <v>PROPONENTE 33 JGC CONSTRUCCIONES DE COLOMBIA Y CIA LTDA</v>
          </cell>
          <cell r="C38">
            <v>42508400</v>
          </cell>
          <cell r="D38">
            <v>500</v>
          </cell>
        </row>
        <row r="39">
          <cell r="A39">
            <v>34</v>
          </cell>
          <cell r="B39" t="str">
            <v>PROPONENTE 34 WRUSSY INGENIEROS SAS</v>
          </cell>
          <cell r="C39">
            <v>42477953</v>
          </cell>
          <cell r="D39">
            <v>500</v>
          </cell>
        </row>
        <row r="40">
          <cell r="A40">
            <v>35</v>
          </cell>
          <cell r="B40" t="str">
            <v>PROPONENTE 35 Fundacion Espeletia</v>
          </cell>
          <cell r="C40">
            <v>0</v>
          </cell>
          <cell r="D40" t="str">
            <v>-</v>
          </cell>
        </row>
        <row r="41">
          <cell r="A41">
            <v>36</v>
          </cell>
          <cell r="B41" t="str">
            <v>PROPONENTE 36 KHALIFA INGENIERIA Y CONSTRUCCIONES SAS</v>
          </cell>
          <cell r="C41">
            <v>42551922</v>
          </cell>
          <cell r="D41">
            <v>500</v>
          </cell>
        </row>
        <row r="42">
          <cell r="A42">
            <v>37</v>
          </cell>
          <cell r="B42" t="str">
            <v>PROPONENTE 37  Tayfer de Colombia Ltda</v>
          </cell>
          <cell r="C42">
            <v>42073313</v>
          </cell>
          <cell r="D42">
            <v>490</v>
          </cell>
        </row>
        <row r="43">
          <cell r="A43">
            <v>38</v>
          </cell>
          <cell r="B43" t="str">
            <v>PROPONENTE 38 CUMBRE INGENIERIA SAS</v>
          </cell>
          <cell r="C43">
            <v>42911215</v>
          </cell>
          <cell r="D43">
            <v>500</v>
          </cell>
        </row>
        <row r="44">
          <cell r="A44">
            <v>39</v>
          </cell>
          <cell r="B44" t="str">
            <v>PROPONENTE 39 CONSTRUCCIONES C&amp;G SAS</v>
          </cell>
          <cell r="C44">
            <v>42638941</v>
          </cell>
          <cell r="D44">
            <v>490</v>
          </cell>
        </row>
        <row r="45">
          <cell r="A45">
            <v>40</v>
          </cell>
          <cell r="B45" t="str">
            <v>PROPONENTE 40 CONSORCIO MEJORAS SDM</v>
          </cell>
          <cell r="C45">
            <v>42501414</v>
          </cell>
          <cell r="D45">
            <v>490</v>
          </cell>
        </row>
        <row r="46">
          <cell r="A46">
            <v>41</v>
          </cell>
          <cell r="B46" t="str">
            <v>PROPONENTE 41 SIBEL INGENIERIA S.A.S</v>
          </cell>
          <cell r="C46">
            <v>42727479</v>
          </cell>
          <cell r="D46">
            <v>490</v>
          </cell>
        </row>
        <row r="47">
          <cell r="A47">
            <v>42</v>
          </cell>
          <cell r="B47" t="str">
            <v>PROPONENTE 42 HIMHER Y COMPAÑIA S.A. SOCIEDAD DE FAMILIA</v>
          </cell>
          <cell r="C47">
            <v>42212545</v>
          </cell>
          <cell r="D47">
            <v>500</v>
          </cell>
        </row>
        <row r="48">
          <cell r="A48">
            <v>43</v>
          </cell>
          <cell r="B48" t="str">
            <v>PROPONENTE 43 ICS S.A.S</v>
          </cell>
          <cell r="C48">
            <v>0</v>
          </cell>
          <cell r="D48" t="str">
            <v>-</v>
          </cell>
        </row>
        <row r="49">
          <cell r="A49">
            <v>44</v>
          </cell>
          <cell r="B49" t="str">
            <v>PROPONENTE 44 CONSORCIO OBRAS SECRETARIA DE MOVILIDAD</v>
          </cell>
          <cell r="C49">
            <v>42999672</v>
          </cell>
          <cell r="D49">
            <v>490</v>
          </cell>
        </row>
        <row r="50">
          <cell r="A50">
            <v>45</v>
          </cell>
          <cell r="B50" t="str">
            <v>PROPONENTE 45 CONSORCIO G63</v>
          </cell>
          <cell r="C50">
            <v>42312617</v>
          </cell>
          <cell r="D50">
            <v>500</v>
          </cell>
        </row>
        <row r="51">
          <cell r="A51">
            <v>46</v>
          </cell>
          <cell r="B51" t="str">
            <v>PROPONENTE 46 UNION TEMPORAL EMM</v>
          </cell>
          <cell r="C51">
            <v>0</v>
          </cell>
          <cell r="D51" t="str">
            <v>-</v>
          </cell>
        </row>
        <row r="52">
          <cell r="A52">
            <v>47</v>
          </cell>
          <cell r="B52" t="str">
            <v>PROPONENTE 47 CONSORCIO CG</v>
          </cell>
          <cell r="C52">
            <v>42356124</v>
          </cell>
          <cell r="D52">
            <v>500</v>
          </cell>
        </row>
        <row r="53">
          <cell r="A53">
            <v>48</v>
          </cell>
          <cell r="B53" t="str">
            <v>PROPONENTE 48 PICAR SAS</v>
          </cell>
          <cell r="C53">
            <v>42403983</v>
          </cell>
          <cell r="D53">
            <v>500</v>
          </cell>
        </row>
        <row r="54">
          <cell r="A54">
            <v>49</v>
          </cell>
          <cell r="B54" t="str">
            <v>PROPONENTE 49 SIGMA PROYECTOS EU</v>
          </cell>
          <cell r="C54">
            <v>43007048</v>
          </cell>
          <cell r="D54">
            <v>490</v>
          </cell>
        </row>
        <row r="55">
          <cell r="A55">
            <v>50</v>
          </cell>
          <cell r="B55" t="str">
            <v>PROPONENTE 50 JAIRO DE JESÚS RENDON MEJIA</v>
          </cell>
          <cell r="C55">
            <v>42356123</v>
          </cell>
          <cell r="D55">
            <v>490</v>
          </cell>
        </row>
        <row r="56">
          <cell r="A56">
            <v>51</v>
          </cell>
          <cell r="B56" t="str">
            <v>PROPONENTE 51 CONSORCIO EDYKA</v>
          </cell>
          <cell r="C56">
            <v>42373520</v>
          </cell>
          <cell r="D56">
            <v>500</v>
          </cell>
        </row>
        <row r="57">
          <cell r="A57">
            <v>52</v>
          </cell>
          <cell r="B57" t="str">
            <v>PROPONENTE 52 DISEÑOS Y CONSTRUCCIONES SAS</v>
          </cell>
          <cell r="C57">
            <v>39841682</v>
          </cell>
          <cell r="D57">
            <v>490</v>
          </cell>
        </row>
        <row r="58">
          <cell r="A58">
            <v>53</v>
          </cell>
          <cell r="B58" t="str">
            <v>PROPONENTE 53 GRUPO EMPRESARIAL INVERSIONES Y CONSTRUCCIONES CIA SAS</v>
          </cell>
          <cell r="C58">
            <v>42663642</v>
          </cell>
          <cell r="D58">
            <v>500</v>
          </cell>
        </row>
        <row r="59">
          <cell r="A59">
            <v>54</v>
          </cell>
          <cell r="B59" t="str">
            <v>PROPONENTE 54 BALLEN B Y CIA S.A.S</v>
          </cell>
          <cell r="C59">
            <v>42648871</v>
          </cell>
          <cell r="D59">
            <v>500</v>
          </cell>
        </row>
        <row r="60">
          <cell r="A60">
            <v>55</v>
          </cell>
          <cell r="B60" t="str">
            <v>PROPONENTE 55 LUIS FERNANDO TAMAYO PERALTA</v>
          </cell>
          <cell r="C60">
            <v>42295350</v>
          </cell>
          <cell r="D60">
            <v>500</v>
          </cell>
        </row>
        <row r="61">
          <cell r="A61">
            <v>56</v>
          </cell>
          <cell r="B61" t="str">
            <v>PROPONENTE 56 CONSORCIO OBRAS DAP</v>
          </cell>
          <cell r="C61">
            <v>42414851</v>
          </cell>
          <cell r="D61">
            <v>500</v>
          </cell>
        </row>
        <row r="62">
          <cell r="A62">
            <v>57</v>
          </cell>
          <cell r="B62" t="str">
            <v>PROPONENTE 57 CONSORCIO MANTENIMIENTOS MOVILIDAD</v>
          </cell>
          <cell r="C62">
            <v>0</v>
          </cell>
          <cell r="D62" t="str">
            <v>-</v>
          </cell>
        </row>
        <row r="63">
          <cell r="A63">
            <v>58</v>
          </cell>
          <cell r="B63" t="str">
            <v>PROPONENTE 58 TEC-CONS INGENIERIA S.A.S</v>
          </cell>
          <cell r="C63">
            <v>42683437</v>
          </cell>
          <cell r="D63">
            <v>490</v>
          </cell>
        </row>
        <row r="64">
          <cell r="A64">
            <v>59</v>
          </cell>
          <cell r="B64" t="str">
            <v>PROPONENTE 59 CONSORCIO BYNDRES</v>
          </cell>
          <cell r="C64">
            <v>42145285</v>
          </cell>
          <cell r="D64">
            <v>490</v>
          </cell>
        </row>
        <row r="65">
          <cell r="A65">
            <v>60</v>
          </cell>
          <cell r="B65" t="str">
            <v>PROPONENTE 60 MIROAL INGENIERIA SAS</v>
          </cell>
          <cell r="C65">
            <v>43117524</v>
          </cell>
          <cell r="D65">
            <v>500</v>
          </cell>
        </row>
        <row r="66">
          <cell r="A66">
            <v>61</v>
          </cell>
          <cell r="B66" t="str">
            <v>PROPONENTE 61 CONSORCIO PROYECTAR 1</v>
          </cell>
          <cell r="C66">
            <v>42486651</v>
          </cell>
          <cell r="D66">
            <v>500</v>
          </cell>
        </row>
        <row r="67">
          <cell r="A67">
            <v>62</v>
          </cell>
          <cell r="B67" t="str">
            <v>PROPONENTE 62 MARZO TRIANGULAR SAS</v>
          </cell>
          <cell r="C67">
            <v>0</v>
          </cell>
          <cell r="D67" t="str">
            <v>-</v>
          </cell>
        </row>
        <row r="68">
          <cell r="A68">
            <v>63</v>
          </cell>
          <cell r="B68" t="str">
            <v>PROPONENTE 63 CONSORCIO SAN ANTONIO</v>
          </cell>
          <cell r="C68">
            <v>0</v>
          </cell>
          <cell r="D68" t="str">
            <v>-</v>
          </cell>
        </row>
        <row r="69">
          <cell r="A69">
            <v>64</v>
          </cell>
          <cell r="B69" t="str">
            <v>PROPONENTE 64 Consorcio INTERLOMAS BB</v>
          </cell>
          <cell r="C69">
            <v>42668500</v>
          </cell>
          <cell r="D69">
            <v>490</v>
          </cell>
        </row>
        <row r="70">
          <cell r="A70">
            <v>65</v>
          </cell>
          <cell r="B70" t="str">
            <v>PROPONENTE 65 CONSTRUCTORA JEINCO SAS</v>
          </cell>
          <cell r="C70">
            <v>43204551</v>
          </cell>
          <cell r="D70">
            <v>500</v>
          </cell>
        </row>
        <row r="71">
          <cell r="A71">
            <v>66</v>
          </cell>
          <cell r="B71" t="str">
            <v>PROPONENTE 66 GRUPO EMPRESARIAL PINZON MUÑOZ SA.S</v>
          </cell>
          <cell r="C71">
            <v>43122499</v>
          </cell>
          <cell r="D71">
            <v>500</v>
          </cell>
        </row>
        <row r="72">
          <cell r="A72">
            <v>67</v>
          </cell>
          <cell r="B72" t="str">
            <v>PROPONENTE 67 CONSORCIO AGENCIAR WESW</v>
          </cell>
          <cell r="C72">
            <v>0</v>
          </cell>
          <cell r="D72" t="str">
            <v>-</v>
          </cell>
        </row>
        <row r="73">
          <cell r="A73">
            <v>68</v>
          </cell>
          <cell r="B73" t="str">
            <v>PROPONENTE 68 UNIÓN TEMPORAL TELEACCESS LACSER</v>
          </cell>
          <cell r="C73">
            <v>0</v>
          </cell>
          <cell r="D73" t="str">
            <v>-</v>
          </cell>
        </row>
        <row r="74">
          <cell r="A74">
            <v>69</v>
          </cell>
          <cell r="B74" t="str">
            <v>PROPONENTE 69 WORLDTEK SAS</v>
          </cell>
          <cell r="C74">
            <v>0</v>
          </cell>
          <cell r="D74" t="str">
            <v>-</v>
          </cell>
        </row>
        <row r="75">
          <cell r="A75">
            <v>70</v>
          </cell>
          <cell r="B75" t="str">
            <v>PROPONENTE 70 ANCLA INGENIERÍA SAS</v>
          </cell>
          <cell r="C75">
            <v>42251736</v>
          </cell>
          <cell r="D75">
            <v>500</v>
          </cell>
        </row>
        <row r="76">
          <cell r="A76">
            <v>71</v>
          </cell>
          <cell r="B76" t="str">
            <v>PROPONENTE 71 CONSORCIO SERVIAL 06</v>
          </cell>
          <cell r="C76">
            <v>42734643</v>
          </cell>
          <cell r="D76">
            <v>500</v>
          </cell>
        </row>
      </sheetData>
      <sheetData sheetId="72" refreshError="1"/>
      <sheetData sheetId="73" refreshError="1"/>
      <sheetData sheetId="74" refreshError="1"/>
      <sheetData sheetId="7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2:O34"/>
  <sheetViews>
    <sheetView tabSelected="1" topLeftCell="A4" zoomScale="80" zoomScaleNormal="80" workbookViewId="0">
      <selection activeCell="D20" sqref="D20"/>
    </sheetView>
  </sheetViews>
  <sheetFormatPr baseColWidth="10" defaultRowHeight="15" x14ac:dyDescent="0.25"/>
  <cols>
    <col min="1" max="1" width="6.42578125" customWidth="1"/>
    <col min="3" max="3" width="40.42578125" customWidth="1"/>
    <col min="4" max="4" width="12.85546875" customWidth="1"/>
    <col min="5" max="5" width="16.5703125" customWidth="1"/>
    <col min="6" max="6" width="20" customWidth="1"/>
    <col min="7" max="7" width="37.42578125" customWidth="1"/>
    <col min="8" max="8" width="5.140625" customWidth="1"/>
    <col min="9" max="9" width="16.28515625" customWidth="1"/>
    <col min="10" max="10" width="17.140625" customWidth="1"/>
  </cols>
  <sheetData>
    <row r="2" spans="2:10" ht="15.75" thickBot="1" x14ac:dyDescent="0.3"/>
    <row r="3" spans="2:10" ht="32.25" customHeight="1" x14ac:dyDescent="0.25">
      <c r="B3" s="39"/>
      <c r="C3" s="219" t="s">
        <v>11</v>
      </c>
      <c r="D3" s="222" t="s">
        <v>12</v>
      </c>
      <c r="E3" s="222" t="s">
        <v>13</v>
      </c>
      <c r="F3" s="222" t="s">
        <v>14</v>
      </c>
      <c r="G3" s="206" t="s">
        <v>15</v>
      </c>
    </row>
    <row r="4" spans="2:10" ht="16.5" x14ac:dyDescent="0.25">
      <c r="B4" s="40" t="s">
        <v>10</v>
      </c>
      <c r="C4" s="220"/>
      <c r="D4" s="223"/>
      <c r="E4" s="223"/>
      <c r="F4" s="223"/>
      <c r="G4" s="207"/>
      <c r="I4" s="134">
        <v>1499999376</v>
      </c>
    </row>
    <row r="5" spans="2:10" ht="20.25" customHeight="1" thickBot="1" x14ac:dyDescent="0.3">
      <c r="B5" s="41"/>
      <c r="C5" s="221"/>
      <c r="D5" s="224"/>
      <c r="E5" s="224"/>
      <c r="F5" s="224"/>
      <c r="G5" s="208"/>
      <c r="I5" s="49"/>
    </row>
    <row r="6" spans="2:10" ht="15" customHeight="1" x14ac:dyDescent="0.25">
      <c r="B6" s="202">
        <v>12</v>
      </c>
      <c r="C6" s="202" t="s">
        <v>16</v>
      </c>
      <c r="D6" s="42"/>
      <c r="E6" s="44" t="s">
        <v>18</v>
      </c>
      <c r="F6" s="42"/>
      <c r="G6" s="42"/>
      <c r="I6" s="135"/>
    </row>
    <row r="7" spans="2:10" ht="15" customHeight="1" thickBot="1" x14ac:dyDescent="0.3">
      <c r="B7" s="203"/>
      <c r="C7" s="203"/>
      <c r="D7" s="43" t="s">
        <v>17</v>
      </c>
      <c r="E7" s="45" t="s">
        <v>17</v>
      </c>
      <c r="F7" s="43" t="s">
        <v>17</v>
      </c>
      <c r="G7" s="43" t="s">
        <v>18</v>
      </c>
      <c r="I7" s="136">
        <v>1427880473</v>
      </c>
      <c r="J7" s="162">
        <f>+$I$4-I7</f>
        <v>72118903</v>
      </c>
    </row>
    <row r="8" spans="2:10" ht="15" customHeight="1" x14ac:dyDescent="0.25">
      <c r="B8" s="209">
        <v>11</v>
      </c>
      <c r="C8" s="209" t="s">
        <v>19</v>
      </c>
      <c r="D8" s="46"/>
      <c r="E8" s="46"/>
      <c r="F8" s="46"/>
      <c r="G8" s="46"/>
      <c r="I8" s="135"/>
      <c r="J8" s="162"/>
    </row>
    <row r="9" spans="2:10" ht="15" customHeight="1" thickBot="1" x14ac:dyDescent="0.3">
      <c r="B9" s="210"/>
      <c r="C9" s="210"/>
      <c r="D9" s="47" t="s">
        <v>17</v>
      </c>
      <c r="E9" s="47" t="s">
        <v>17</v>
      </c>
      <c r="F9" s="47" t="s">
        <v>17</v>
      </c>
      <c r="G9" s="47" t="s">
        <v>20</v>
      </c>
      <c r="I9" s="135">
        <v>1472249912</v>
      </c>
      <c r="J9" s="162">
        <f t="shared" ref="J9:J31" si="0">+$I$4-I9</f>
        <v>27749464</v>
      </c>
    </row>
    <row r="10" spans="2:10" ht="15" customHeight="1" x14ac:dyDescent="0.25">
      <c r="B10" s="202">
        <v>10</v>
      </c>
      <c r="C10" s="211" t="s">
        <v>21</v>
      </c>
      <c r="D10" s="204" t="s">
        <v>22</v>
      </c>
      <c r="E10" s="44"/>
      <c r="F10" s="42"/>
      <c r="G10" s="42"/>
      <c r="I10" s="135"/>
      <c r="J10" s="162"/>
    </row>
    <row r="11" spans="2:10" ht="15" customHeight="1" thickBot="1" x14ac:dyDescent="0.3">
      <c r="B11" s="203"/>
      <c r="C11" s="212"/>
      <c r="D11" s="205"/>
      <c r="E11" s="45" t="s">
        <v>17</v>
      </c>
      <c r="F11" s="43" t="s">
        <v>17</v>
      </c>
      <c r="G11" s="43" t="s">
        <v>18</v>
      </c>
      <c r="I11" s="135">
        <v>1479810934</v>
      </c>
      <c r="J11" s="162">
        <f t="shared" si="0"/>
        <v>20188442</v>
      </c>
    </row>
    <row r="12" spans="2:10" ht="15" customHeight="1" x14ac:dyDescent="0.25">
      <c r="B12" s="209">
        <v>9</v>
      </c>
      <c r="C12" s="213" t="s">
        <v>23</v>
      </c>
      <c r="D12" s="46"/>
      <c r="E12" s="191" t="s">
        <v>18</v>
      </c>
      <c r="F12" s="46"/>
      <c r="G12" s="46"/>
      <c r="I12" s="135"/>
      <c r="J12" s="162"/>
    </row>
    <row r="13" spans="2:10" ht="15" customHeight="1" thickBot="1" x14ac:dyDescent="0.3">
      <c r="B13" s="210"/>
      <c r="C13" s="214"/>
      <c r="D13" s="47" t="s">
        <v>17</v>
      </c>
      <c r="E13" s="192" t="s">
        <v>17</v>
      </c>
      <c r="F13" s="47" t="s">
        <v>17</v>
      </c>
      <c r="G13" s="47" t="s">
        <v>18</v>
      </c>
      <c r="I13" s="135">
        <v>1450832530</v>
      </c>
      <c r="J13" s="162">
        <f t="shared" si="0"/>
        <v>49166846</v>
      </c>
    </row>
    <row r="14" spans="2:10" ht="15" customHeight="1" x14ac:dyDescent="0.25">
      <c r="B14" s="202">
        <v>8</v>
      </c>
      <c r="C14" s="202" t="s">
        <v>24</v>
      </c>
      <c r="D14" s="202" t="s">
        <v>17</v>
      </c>
      <c r="E14" s="44" t="s">
        <v>18</v>
      </c>
      <c r="F14" s="42"/>
      <c r="G14" s="42"/>
      <c r="I14" s="135"/>
      <c r="J14" s="162"/>
    </row>
    <row r="15" spans="2:10" ht="15" customHeight="1" thickBot="1" x14ac:dyDescent="0.3">
      <c r="B15" s="203"/>
      <c r="C15" s="203"/>
      <c r="D15" s="203"/>
      <c r="E15" s="45" t="s">
        <v>17</v>
      </c>
      <c r="F15" s="43" t="s">
        <v>17</v>
      </c>
      <c r="G15" s="43" t="s">
        <v>18</v>
      </c>
      <c r="I15" s="135">
        <v>1412056380</v>
      </c>
      <c r="J15" s="162">
        <f t="shared" si="0"/>
        <v>87942996</v>
      </c>
    </row>
    <row r="16" spans="2:10" ht="15" customHeight="1" x14ac:dyDescent="0.25">
      <c r="B16" s="202">
        <v>4</v>
      </c>
      <c r="C16" s="202" t="s">
        <v>25</v>
      </c>
      <c r="D16" s="204" t="s">
        <v>22</v>
      </c>
      <c r="E16" s="44"/>
      <c r="F16" s="42"/>
      <c r="G16" s="42"/>
      <c r="I16" s="135"/>
      <c r="J16" s="162"/>
    </row>
    <row r="17" spans="2:10" ht="15" customHeight="1" thickBot="1" x14ac:dyDescent="0.3">
      <c r="B17" s="203"/>
      <c r="C17" s="203"/>
      <c r="D17" s="205"/>
      <c r="E17" s="45" t="s">
        <v>17</v>
      </c>
      <c r="F17" s="43" t="s">
        <v>17</v>
      </c>
      <c r="G17" s="43" t="s">
        <v>18</v>
      </c>
      <c r="I17" s="135">
        <v>1286699465</v>
      </c>
      <c r="J17" s="162">
        <f t="shared" si="0"/>
        <v>213299911</v>
      </c>
    </row>
    <row r="18" spans="2:10" ht="15" customHeight="1" x14ac:dyDescent="0.25">
      <c r="B18" s="215">
        <v>7</v>
      </c>
      <c r="C18" s="215" t="s">
        <v>26</v>
      </c>
      <c r="D18" s="189"/>
      <c r="E18" s="189"/>
      <c r="F18" s="189"/>
      <c r="G18" s="259" t="s">
        <v>170</v>
      </c>
      <c r="I18" s="135"/>
      <c r="J18" s="162"/>
    </row>
    <row r="19" spans="2:10" ht="57" customHeight="1" thickBot="1" x14ac:dyDescent="0.3">
      <c r="B19" s="216"/>
      <c r="C19" s="216"/>
      <c r="D19" s="190" t="s">
        <v>17</v>
      </c>
      <c r="E19" s="190" t="s">
        <v>17</v>
      </c>
      <c r="F19" s="190" t="s">
        <v>17</v>
      </c>
      <c r="G19" s="216"/>
      <c r="I19" s="135">
        <v>1499999376</v>
      </c>
      <c r="J19" s="162">
        <f t="shared" si="0"/>
        <v>0</v>
      </c>
    </row>
    <row r="20" spans="2:10" ht="15" customHeight="1" x14ac:dyDescent="0.25">
      <c r="B20" s="202">
        <v>6</v>
      </c>
      <c r="C20" s="202" t="s">
        <v>27</v>
      </c>
      <c r="D20" s="42"/>
      <c r="E20" s="42"/>
      <c r="F20" s="42"/>
      <c r="G20" s="42"/>
      <c r="I20" s="135"/>
      <c r="J20" s="162"/>
    </row>
    <row r="21" spans="2:10" ht="15" customHeight="1" x14ac:dyDescent="0.25">
      <c r="B21" s="217"/>
      <c r="C21" s="217"/>
      <c r="D21" s="44" t="s">
        <v>22</v>
      </c>
      <c r="E21" s="42"/>
      <c r="F21" s="42"/>
      <c r="G21" s="42"/>
      <c r="I21" s="135">
        <v>1463965753</v>
      </c>
      <c r="J21" s="162">
        <f t="shared" si="0"/>
        <v>36033623</v>
      </c>
    </row>
    <row r="22" spans="2:10" ht="15" customHeight="1" thickBot="1" x14ac:dyDescent="0.3">
      <c r="B22" s="203"/>
      <c r="C22" s="203"/>
      <c r="D22" s="201" t="s">
        <v>17</v>
      </c>
      <c r="E22" s="43" t="s">
        <v>17</v>
      </c>
      <c r="F22" s="43" t="s">
        <v>17</v>
      </c>
      <c r="G22" s="43" t="s">
        <v>18</v>
      </c>
      <c r="I22" s="135"/>
      <c r="J22" s="162"/>
    </row>
    <row r="23" spans="2:10" ht="15" customHeight="1" x14ac:dyDescent="0.25">
      <c r="B23" s="209">
        <v>5</v>
      </c>
      <c r="C23" s="209" t="s">
        <v>28</v>
      </c>
      <c r="D23" s="46"/>
      <c r="E23" s="46"/>
      <c r="F23" s="46"/>
      <c r="G23" s="209" t="s">
        <v>20</v>
      </c>
      <c r="I23" s="135">
        <v>1433583052</v>
      </c>
      <c r="J23" s="162">
        <f t="shared" si="0"/>
        <v>66416324</v>
      </c>
    </row>
    <row r="24" spans="2:10" ht="15" customHeight="1" x14ac:dyDescent="0.25">
      <c r="B24" s="218"/>
      <c r="C24" s="218"/>
      <c r="D24" s="46"/>
      <c r="E24" s="46"/>
      <c r="F24" s="46"/>
      <c r="G24" s="218"/>
      <c r="I24" s="135"/>
      <c r="J24" s="162"/>
    </row>
    <row r="25" spans="2:10" ht="15" customHeight="1" thickBot="1" x14ac:dyDescent="0.3">
      <c r="B25" s="210"/>
      <c r="C25" s="210"/>
      <c r="D25" s="47" t="s">
        <v>17</v>
      </c>
      <c r="E25" s="47" t="s">
        <v>17</v>
      </c>
      <c r="F25" s="47" t="s">
        <v>17</v>
      </c>
      <c r="G25" s="210"/>
      <c r="I25" s="135"/>
      <c r="J25" s="162"/>
    </row>
    <row r="26" spans="2:10" ht="15" customHeight="1" x14ac:dyDescent="0.25">
      <c r="B26" s="209">
        <v>3</v>
      </c>
      <c r="C26" s="209" t="s">
        <v>29</v>
      </c>
      <c r="D26" s="46"/>
      <c r="E26" s="46"/>
      <c r="F26" s="46"/>
      <c r="G26" s="46"/>
      <c r="I26" s="135">
        <v>1429019857</v>
      </c>
      <c r="J26" s="162">
        <f t="shared" si="0"/>
        <v>70979519</v>
      </c>
    </row>
    <row r="27" spans="2:10" ht="15" customHeight="1" thickBot="1" x14ac:dyDescent="0.3">
      <c r="B27" s="210"/>
      <c r="C27" s="210"/>
      <c r="D27" s="47" t="s">
        <v>17</v>
      </c>
      <c r="E27" s="47" t="s">
        <v>17</v>
      </c>
      <c r="F27" s="47" t="s">
        <v>17</v>
      </c>
      <c r="G27" s="47" t="s">
        <v>20</v>
      </c>
      <c r="I27" s="135"/>
      <c r="J27" s="162"/>
    </row>
    <row r="28" spans="2:10" ht="15" customHeight="1" x14ac:dyDescent="0.25">
      <c r="B28" s="202">
        <v>2</v>
      </c>
      <c r="C28" s="202" t="s">
        <v>30</v>
      </c>
      <c r="D28" s="204" t="s">
        <v>22</v>
      </c>
      <c r="E28" s="42"/>
      <c r="F28" s="42"/>
      <c r="G28" s="42"/>
      <c r="I28" s="135"/>
      <c r="J28" s="162"/>
    </row>
    <row r="29" spans="2:10" ht="15" customHeight="1" thickBot="1" x14ac:dyDescent="0.3">
      <c r="B29" s="203"/>
      <c r="C29" s="203"/>
      <c r="D29" s="205"/>
      <c r="E29" s="43" t="s">
        <v>17</v>
      </c>
      <c r="F29" s="43" t="s">
        <v>17</v>
      </c>
      <c r="G29" s="43" t="s">
        <v>18</v>
      </c>
      <c r="I29" s="135">
        <v>1443561960</v>
      </c>
      <c r="J29" s="162">
        <f t="shared" si="0"/>
        <v>56437416</v>
      </c>
    </row>
    <row r="30" spans="2:10" ht="15" customHeight="1" x14ac:dyDescent="0.25">
      <c r="B30" s="202">
        <v>1</v>
      </c>
      <c r="C30" s="202" t="s">
        <v>31</v>
      </c>
      <c r="D30" s="204" t="s">
        <v>22</v>
      </c>
      <c r="E30" s="42"/>
      <c r="F30" s="42"/>
      <c r="G30" s="42"/>
      <c r="I30" s="135"/>
      <c r="J30" s="162"/>
    </row>
    <row r="31" spans="2:10" ht="15" customHeight="1" thickBot="1" x14ac:dyDescent="0.3">
      <c r="B31" s="203"/>
      <c r="C31" s="203"/>
      <c r="D31" s="205"/>
      <c r="E31" s="43" t="s">
        <v>17</v>
      </c>
      <c r="F31" s="43" t="s">
        <v>17</v>
      </c>
      <c r="G31" s="43" t="s">
        <v>18</v>
      </c>
      <c r="I31" s="135">
        <v>1411499412</v>
      </c>
      <c r="J31" s="162">
        <f t="shared" si="0"/>
        <v>88499964</v>
      </c>
    </row>
    <row r="32" spans="2:10" x14ac:dyDescent="0.25">
      <c r="I32" s="134"/>
    </row>
    <row r="34" spans="15:15" x14ac:dyDescent="0.25">
      <c r="O34">
        <v>0</v>
      </c>
    </row>
  </sheetData>
  <mergeCells count="36">
    <mergeCell ref="G23:G25"/>
    <mergeCell ref="C3:C5"/>
    <mergeCell ref="D3:D5"/>
    <mergeCell ref="E3:E5"/>
    <mergeCell ref="F3:F5"/>
    <mergeCell ref="G18:G19"/>
    <mergeCell ref="B30:B31"/>
    <mergeCell ref="C30:C31"/>
    <mergeCell ref="D30:D31"/>
    <mergeCell ref="B18:B19"/>
    <mergeCell ref="C18:C19"/>
    <mergeCell ref="B20:B22"/>
    <mergeCell ref="C20:C22"/>
    <mergeCell ref="B23:B25"/>
    <mergeCell ref="C23:C25"/>
    <mergeCell ref="B26:B27"/>
    <mergeCell ref="C26:C27"/>
    <mergeCell ref="B28:B29"/>
    <mergeCell ref="C28:C29"/>
    <mergeCell ref="D28:D29"/>
    <mergeCell ref="B16:B17"/>
    <mergeCell ref="C16:C17"/>
    <mergeCell ref="D16:D17"/>
    <mergeCell ref="G3:G5"/>
    <mergeCell ref="B6:B7"/>
    <mergeCell ref="C6:C7"/>
    <mergeCell ref="B8:B9"/>
    <mergeCell ref="C8:C9"/>
    <mergeCell ref="B10:B11"/>
    <mergeCell ref="C10:C11"/>
    <mergeCell ref="D10:D11"/>
    <mergeCell ref="B12:B13"/>
    <mergeCell ref="C12:C13"/>
    <mergeCell ref="B14:B15"/>
    <mergeCell ref="C14:C15"/>
    <mergeCell ref="D14:D1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2:G38"/>
  <sheetViews>
    <sheetView topLeftCell="A4" zoomScale="90" zoomScaleNormal="90" workbookViewId="0">
      <selection activeCell="A21" sqref="A21"/>
    </sheetView>
  </sheetViews>
  <sheetFormatPr baseColWidth="10" defaultRowHeight="15" x14ac:dyDescent="0.25"/>
  <cols>
    <col min="1" max="1" width="5.5703125" customWidth="1"/>
    <col min="2" max="2" width="8" customWidth="1"/>
    <col min="3" max="3" width="49.7109375" customWidth="1"/>
    <col min="4" max="4" width="16.5703125" customWidth="1"/>
    <col min="5" max="5" width="13" customWidth="1"/>
    <col min="6" max="6" width="19.140625" customWidth="1"/>
    <col min="7" max="7" width="18.28515625" customWidth="1"/>
    <col min="8" max="8" width="4.28515625" customWidth="1"/>
    <col min="9" max="9" width="17.7109375" customWidth="1"/>
  </cols>
  <sheetData>
    <row r="2" spans="2:7" x14ac:dyDescent="0.25">
      <c r="B2" s="227" t="s">
        <v>32</v>
      </c>
      <c r="C2" s="227"/>
      <c r="D2" s="227"/>
      <c r="E2" s="227"/>
      <c r="F2" s="227"/>
      <c r="G2" s="227"/>
    </row>
    <row r="3" spans="2:7" x14ac:dyDescent="0.25">
      <c r="B3" s="48"/>
      <c r="C3" s="49"/>
      <c r="D3" s="49"/>
      <c r="E3" s="49"/>
      <c r="F3" s="49"/>
      <c r="G3" s="49"/>
    </row>
    <row r="4" spans="2:7" ht="36" customHeight="1" x14ac:dyDescent="0.25">
      <c r="B4" s="228" t="s">
        <v>36</v>
      </c>
      <c r="C4" s="228"/>
      <c r="D4" s="228"/>
      <c r="E4" s="228"/>
      <c r="F4" s="228"/>
      <c r="G4" s="228"/>
    </row>
    <row r="5" spans="2:7" x14ac:dyDescent="0.25">
      <c r="B5" s="49"/>
      <c r="C5" s="49"/>
      <c r="D5" s="49"/>
      <c r="E5" s="49"/>
      <c r="F5" s="49"/>
      <c r="G5" s="49"/>
    </row>
    <row r="6" spans="2:7" ht="15" customHeight="1" x14ac:dyDescent="0.25">
      <c r="B6" s="225" t="s">
        <v>87</v>
      </c>
      <c r="C6" s="225"/>
      <c r="D6" s="225"/>
      <c r="E6" s="225"/>
      <c r="F6" s="225"/>
      <c r="G6" s="225"/>
    </row>
    <row r="7" spans="2:7" ht="24" customHeight="1" thickBot="1" x14ac:dyDescent="0.3">
      <c r="B7" s="226"/>
      <c r="C7" s="226"/>
      <c r="D7" s="226"/>
      <c r="E7" s="226"/>
      <c r="F7" s="226"/>
      <c r="G7" s="226"/>
    </row>
    <row r="8" spans="2:7" ht="24" customHeight="1" thickBot="1" x14ac:dyDescent="0.3">
      <c r="B8" s="137" t="s">
        <v>92</v>
      </c>
      <c r="C8" s="137" t="s">
        <v>93</v>
      </c>
      <c r="D8" s="137" t="s">
        <v>40</v>
      </c>
      <c r="E8" s="137" t="s">
        <v>41</v>
      </c>
      <c r="F8" s="137" t="s">
        <v>94</v>
      </c>
      <c r="G8" s="137" t="s">
        <v>95</v>
      </c>
    </row>
    <row r="9" spans="2:7" ht="25.5" customHeight="1" x14ac:dyDescent="0.25">
      <c r="B9" s="140">
        <v>1</v>
      </c>
      <c r="C9" s="143" t="s">
        <v>44</v>
      </c>
      <c r="D9" s="147" t="s">
        <v>96</v>
      </c>
      <c r="E9" s="150">
        <v>1300</v>
      </c>
      <c r="F9" s="156">
        <v>38844</v>
      </c>
      <c r="G9" s="153">
        <f>+E9*F9</f>
        <v>50497200</v>
      </c>
    </row>
    <row r="10" spans="2:7" ht="25.5" customHeight="1" x14ac:dyDescent="0.25">
      <c r="B10" s="141">
        <v>2</v>
      </c>
      <c r="C10" s="144" t="s">
        <v>97</v>
      </c>
      <c r="D10" s="148" t="s">
        <v>96</v>
      </c>
      <c r="E10" s="151">
        <v>1300</v>
      </c>
      <c r="F10" s="157">
        <v>49585</v>
      </c>
      <c r="G10" s="154">
        <f t="shared" ref="G10:G17" si="0">+E10*F10</f>
        <v>64460500</v>
      </c>
    </row>
    <row r="11" spans="2:7" ht="25.5" customHeight="1" x14ac:dyDescent="0.25">
      <c r="B11" s="141">
        <v>3</v>
      </c>
      <c r="C11" s="144" t="s">
        <v>46</v>
      </c>
      <c r="D11" s="148" t="s">
        <v>98</v>
      </c>
      <c r="E11" s="151">
        <v>34000</v>
      </c>
      <c r="F11" s="157">
        <v>25506</v>
      </c>
      <c r="G11" s="154">
        <f t="shared" si="0"/>
        <v>867204000</v>
      </c>
    </row>
    <row r="12" spans="2:7" ht="25.5" customHeight="1" x14ac:dyDescent="0.25">
      <c r="B12" s="141">
        <v>4</v>
      </c>
      <c r="C12" s="145" t="s">
        <v>99</v>
      </c>
      <c r="D12" s="148" t="s">
        <v>98</v>
      </c>
      <c r="E12" s="151">
        <v>5600</v>
      </c>
      <c r="F12" s="157">
        <v>29187</v>
      </c>
      <c r="G12" s="154">
        <f t="shared" si="0"/>
        <v>163447200</v>
      </c>
    </row>
    <row r="13" spans="2:7" ht="25.5" customHeight="1" x14ac:dyDescent="0.25">
      <c r="B13" s="141">
        <v>5</v>
      </c>
      <c r="C13" s="144" t="s">
        <v>47</v>
      </c>
      <c r="D13" s="148" t="s">
        <v>100</v>
      </c>
      <c r="E13" s="151">
        <v>730</v>
      </c>
      <c r="F13" s="157">
        <v>51104</v>
      </c>
      <c r="G13" s="154">
        <f t="shared" si="0"/>
        <v>37305920</v>
      </c>
    </row>
    <row r="14" spans="2:7" ht="25.5" customHeight="1" x14ac:dyDescent="0.25">
      <c r="B14" s="141">
        <v>6</v>
      </c>
      <c r="C14" s="145" t="s">
        <v>135</v>
      </c>
      <c r="D14" s="148" t="s">
        <v>98</v>
      </c>
      <c r="E14" s="151">
        <v>800</v>
      </c>
      <c r="F14" s="157">
        <v>34032</v>
      </c>
      <c r="G14" s="154">
        <f t="shared" si="0"/>
        <v>27225600</v>
      </c>
    </row>
    <row r="15" spans="2:7" ht="25.5" customHeight="1" x14ac:dyDescent="0.25">
      <c r="B15" s="141">
        <v>7</v>
      </c>
      <c r="C15" s="144" t="s">
        <v>48</v>
      </c>
      <c r="D15" s="148" t="s">
        <v>98</v>
      </c>
      <c r="E15" s="151">
        <v>200</v>
      </c>
      <c r="F15" s="157">
        <v>28348</v>
      </c>
      <c r="G15" s="154">
        <f t="shared" si="0"/>
        <v>5669600</v>
      </c>
    </row>
    <row r="16" spans="2:7" ht="25.5" customHeight="1" x14ac:dyDescent="0.25">
      <c r="B16" s="141">
        <v>8</v>
      </c>
      <c r="C16" s="144" t="s">
        <v>102</v>
      </c>
      <c r="D16" s="148" t="s">
        <v>40</v>
      </c>
      <c r="E16" s="151">
        <v>1800</v>
      </c>
      <c r="F16" s="157">
        <v>10095</v>
      </c>
      <c r="G16" s="154">
        <f t="shared" si="0"/>
        <v>18171000</v>
      </c>
    </row>
    <row r="17" spans="2:7" ht="25.5" customHeight="1" thickBot="1" x14ac:dyDescent="0.3">
      <c r="B17" s="142">
        <v>9</v>
      </c>
      <c r="C17" s="146" t="s">
        <v>103</v>
      </c>
      <c r="D17" s="149" t="s">
        <v>40</v>
      </c>
      <c r="E17" s="152">
        <v>1799</v>
      </c>
      <c r="F17" s="158">
        <v>14743</v>
      </c>
      <c r="G17" s="155">
        <f t="shared" si="0"/>
        <v>26522657</v>
      </c>
    </row>
    <row r="18" spans="2:7" ht="27.75" customHeight="1" thickBot="1" x14ac:dyDescent="0.3">
      <c r="B18" s="101"/>
      <c r="C18" s="101"/>
      <c r="D18" s="96"/>
      <c r="E18" s="96"/>
      <c r="F18" s="138" t="s">
        <v>136</v>
      </c>
      <c r="G18" s="139">
        <f>SUM(G9:G17)</f>
        <v>1260503677</v>
      </c>
    </row>
    <row r="19" spans="2:7" ht="15.75" thickBot="1" x14ac:dyDescent="0.3">
      <c r="B19" s="96"/>
      <c r="C19" s="96"/>
      <c r="D19" s="96"/>
      <c r="E19" s="96"/>
      <c r="F19" s="124" t="s">
        <v>105</v>
      </c>
      <c r="G19" s="121">
        <f>+G18*0.19</f>
        <v>239495698.63</v>
      </c>
    </row>
    <row r="20" spans="2:7" ht="30.75" customHeight="1" thickBot="1" x14ac:dyDescent="0.3">
      <c r="B20" s="96"/>
      <c r="C20" s="96"/>
      <c r="D20" s="96"/>
      <c r="E20" s="96"/>
      <c r="F20" s="119" t="s">
        <v>106</v>
      </c>
      <c r="G20" s="123">
        <f>+G18+G19</f>
        <v>1499999375.6300001</v>
      </c>
    </row>
    <row r="21" spans="2:7" ht="29.25" customHeight="1" x14ac:dyDescent="0.25">
      <c r="B21" s="96"/>
      <c r="C21" s="96"/>
      <c r="D21" s="96"/>
      <c r="E21" s="96"/>
      <c r="F21" s="96"/>
      <c r="G21" s="134">
        <v>1499999376</v>
      </c>
    </row>
    <row r="22" spans="2:7" x14ac:dyDescent="0.25">
      <c r="B22" s="58"/>
      <c r="C22" s="49"/>
      <c r="D22" s="49"/>
      <c r="E22" s="49"/>
      <c r="F22" s="49"/>
      <c r="G22" s="49"/>
    </row>
    <row r="23" spans="2:7" x14ac:dyDescent="0.25">
      <c r="B23" s="58"/>
      <c r="C23" s="49"/>
      <c r="D23" s="49"/>
      <c r="E23" s="49"/>
      <c r="F23" s="49"/>
      <c r="G23" s="49"/>
    </row>
    <row r="24" spans="2:7" x14ac:dyDescent="0.25">
      <c r="B24" s="58"/>
      <c r="C24" s="49"/>
      <c r="D24" s="49"/>
      <c r="E24" s="49"/>
      <c r="F24" s="49"/>
      <c r="G24" s="59"/>
    </row>
    <row r="25" spans="2:7" x14ac:dyDescent="0.25">
      <c r="B25" s="58"/>
      <c r="C25" s="49"/>
      <c r="D25" s="49"/>
      <c r="E25" s="49"/>
      <c r="F25" s="49"/>
      <c r="G25" s="60"/>
    </row>
    <row r="26" spans="2:7" x14ac:dyDescent="0.25">
      <c r="B26" s="51"/>
      <c r="C26" s="51"/>
      <c r="D26" s="49"/>
      <c r="E26" s="49"/>
      <c r="F26" s="49"/>
      <c r="G26" s="61"/>
    </row>
    <row r="27" spans="2:7" x14ac:dyDescent="0.25">
      <c r="B27" s="51"/>
      <c r="C27" s="51"/>
      <c r="D27" s="49"/>
      <c r="E27" s="49"/>
      <c r="F27" s="49"/>
      <c r="G27" s="62"/>
    </row>
    <row r="28" spans="2:7" x14ac:dyDescent="0.25">
      <c r="B28" s="51"/>
      <c r="C28" s="51"/>
      <c r="D28" s="49"/>
      <c r="E28" s="49"/>
      <c r="F28" s="49"/>
      <c r="G28" s="49"/>
    </row>
    <row r="29" spans="2:7" x14ac:dyDescent="0.25">
      <c r="B29" s="51"/>
      <c r="C29" s="51"/>
      <c r="D29" s="49"/>
      <c r="E29" s="49"/>
      <c r="F29" s="49"/>
      <c r="G29" s="60"/>
    </row>
    <row r="30" spans="2:7" x14ac:dyDescent="0.25">
      <c r="B30" s="51"/>
      <c r="C30" s="51"/>
      <c r="D30" s="49"/>
      <c r="E30" s="49"/>
      <c r="F30" s="49"/>
      <c r="G30" s="49"/>
    </row>
    <row r="31" spans="2:7" x14ac:dyDescent="0.25">
      <c r="B31" s="51"/>
      <c r="C31" s="51"/>
      <c r="D31" s="49"/>
      <c r="E31" s="49"/>
      <c r="F31" s="49"/>
      <c r="G31" s="61"/>
    </row>
    <row r="32" spans="2:7" x14ac:dyDescent="0.25">
      <c r="B32" s="51"/>
      <c r="C32" s="51"/>
      <c r="D32" s="49"/>
      <c r="E32" s="49"/>
      <c r="F32" s="49"/>
      <c r="G32" s="49"/>
    </row>
    <row r="33" spans="2:7" x14ac:dyDescent="0.25">
      <c r="B33" s="51"/>
      <c r="C33" s="51"/>
      <c r="D33" s="49"/>
      <c r="E33" s="49"/>
      <c r="F33" s="49"/>
      <c r="G33" s="61"/>
    </row>
    <row r="34" spans="2:7" x14ac:dyDescent="0.25">
      <c r="B34" s="51"/>
      <c r="C34" s="51"/>
      <c r="D34" s="49"/>
      <c r="E34" s="49"/>
      <c r="F34" s="49"/>
      <c r="G34" s="49"/>
    </row>
    <row r="35" spans="2:7" x14ac:dyDescent="0.25">
      <c r="B35" s="51"/>
      <c r="C35" s="51"/>
      <c r="D35" s="49"/>
      <c r="E35" s="49"/>
      <c r="F35" s="49"/>
      <c r="G35" s="49"/>
    </row>
    <row r="36" spans="2:7" x14ac:dyDescent="0.25">
      <c r="B36" s="51"/>
      <c r="C36" s="51"/>
      <c r="D36" s="49"/>
      <c r="E36" s="49"/>
      <c r="F36" s="49"/>
      <c r="G36" s="49"/>
    </row>
    <row r="37" spans="2:7" x14ac:dyDescent="0.25">
      <c r="B37" s="51"/>
      <c r="C37" s="51"/>
      <c r="D37" s="49"/>
      <c r="E37" s="49"/>
      <c r="F37" s="49"/>
      <c r="G37" s="49"/>
    </row>
    <row r="38" spans="2:7" x14ac:dyDescent="0.25">
      <c r="B38" s="63"/>
      <c r="C38" s="49"/>
      <c r="D38" s="49"/>
      <c r="E38" s="49"/>
      <c r="F38" s="49"/>
      <c r="G38" s="49"/>
    </row>
  </sheetData>
  <mergeCells count="3">
    <mergeCell ref="B6:G7"/>
    <mergeCell ref="B2:G2"/>
    <mergeCell ref="B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45"/>
  <sheetViews>
    <sheetView topLeftCell="A5" zoomScale="80" zoomScaleNormal="80" workbookViewId="0">
      <selection activeCell="F15" sqref="F15"/>
    </sheetView>
  </sheetViews>
  <sheetFormatPr baseColWidth="10" defaultRowHeight="15" x14ac:dyDescent="0.25"/>
  <cols>
    <col min="1" max="1" width="6.28515625" customWidth="1"/>
    <col min="2" max="2" width="6.7109375" customWidth="1"/>
    <col min="3" max="3" width="39.42578125" customWidth="1"/>
    <col min="4" max="4" width="15.140625" customWidth="1"/>
    <col min="5" max="6" width="13.140625" customWidth="1"/>
    <col min="7" max="7" width="18" customWidth="1"/>
    <col min="8" max="8" width="10.140625" customWidth="1"/>
    <col min="9" max="9" width="39.7109375" customWidth="1"/>
    <col min="10" max="10" width="14.85546875" customWidth="1"/>
    <col min="11" max="11" width="9.85546875" customWidth="1"/>
    <col min="12" max="12" width="13.5703125" customWidth="1"/>
    <col min="13" max="13" width="3.28515625" customWidth="1"/>
    <col min="14" max="14" width="2.85546875" customWidth="1"/>
    <col min="15" max="15" width="3.85546875" customWidth="1"/>
    <col min="16" max="16" width="9.85546875" customWidth="1"/>
  </cols>
  <sheetData>
    <row r="2" spans="2:16" x14ac:dyDescent="0.25">
      <c r="B2" s="227" t="s">
        <v>32</v>
      </c>
      <c r="C2" s="227"/>
      <c r="D2" s="227"/>
      <c r="E2" s="227"/>
      <c r="F2" s="227"/>
      <c r="G2" s="227"/>
    </row>
    <row r="3" spans="2:16" x14ac:dyDescent="0.25">
      <c r="B3" s="48"/>
      <c r="C3" s="49"/>
      <c r="D3" s="49"/>
      <c r="E3" s="49"/>
      <c r="F3" s="49"/>
      <c r="G3" s="49"/>
    </row>
    <row r="4" spans="2:16" x14ac:dyDescent="0.25">
      <c r="B4" s="50" t="s">
        <v>33</v>
      </c>
      <c r="C4" s="49"/>
      <c r="D4" s="49"/>
      <c r="E4" s="49"/>
      <c r="F4" s="49"/>
      <c r="G4" s="49"/>
    </row>
    <row r="5" spans="2:16" x14ac:dyDescent="0.25">
      <c r="B5" s="50"/>
      <c r="C5" s="49"/>
      <c r="D5" s="49"/>
      <c r="E5" s="49"/>
      <c r="F5" s="49"/>
      <c r="G5" s="49"/>
    </row>
    <row r="6" spans="2:16" x14ac:dyDescent="0.25">
      <c r="B6" s="51" t="s">
        <v>34</v>
      </c>
      <c r="C6" s="49"/>
      <c r="D6" s="49"/>
      <c r="E6" s="49"/>
      <c r="F6" s="49"/>
      <c r="G6" s="49"/>
    </row>
    <row r="7" spans="2:16" x14ac:dyDescent="0.25">
      <c r="B7" s="51" t="s">
        <v>35</v>
      </c>
      <c r="C7" s="49"/>
      <c r="D7" s="49"/>
      <c r="E7" s="49"/>
      <c r="F7" s="49"/>
      <c r="G7" s="49"/>
    </row>
    <row r="8" spans="2:16" x14ac:dyDescent="0.25">
      <c r="B8" s="51" t="s">
        <v>33</v>
      </c>
      <c r="C8" s="49"/>
      <c r="D8" s="49"/>
      <c r="E8" s="49"/>
      <c r="F8" s="49"/>
      <c r="G8" s="49"/>
    </row>
    <row r="9" spans="2:16" x14ac:dyDescent="0.25">
      <c r="B9" s="48"/>
      <c r="C9" s="49"/>
      <c r="D9" s="49"/>
      <c r="E9" s="49"/>
      <c r="F9" s="49"/>
      <c r="G9" s="49"/>
    </row>
    <row r="10" spans="2:16" ht="33" customHeight="1" x14ac:dyDescent="0.25">
      <c r="B10" s="228" t="s">
        <v>36</v>
      </c>
      <c r="C10" s="228"/>
      <c r="D10" s="228"/>
      <c r="E10" s="228"/>
      <c r="F10" s="228"/>
      <c r="G10" s="228"/>
    </row>
    <row r="11" spans="2:16" x14ac:dyDescent="0.25">
      <c r="B11" s="49"/>
      <c r="C11" s="49"/>
      <c r="D11" s="49"/>
      <c r="E11" s="49"/>
      <c r="F11" s="49"/>
      <c r="G11" s="49"/>
    </row>
    <row r="12" spans="2:16" ht="25.5" customHeight="1" x14ac:dyDescent="0.25">
      <c r="B12" s="230" t="s">
        <v>37</v>
      </c>
      <c r="C12" s="231"/>
      <c r="D12" s="230" t="s">
        <v>19</v>
      </c>
      <c r="E12" s="232"/>
      <c r="F12" s="232"/>
      <c r="G12" s="231"/>
    </row>
    <row r="13" spans="2:16" ht="26.25" thickBot="1" x14ac:dyDescent="0.3">
      <c r="B13" s="52" t="s">
        <v>38</v>
      </c>
      <c r="C13" s="52" t="s">
        <v>39</v>
      </c>
      <c r="D13" s="52" t="s">
        <v>40</v>
      </c>
      <c r="E13" s="52" t="s">
        <v>41</v>
      </c>
      <c r="F13" s="52" t="s">
        <v>42</v>
      </c>
      <c r="G13" s="52" t="s">
        <v>43</v>
      </c>
    </row>
    <row r="14" spans="2:16" ht="27.75" customHeight="1" thickBot="1" x14ac:dyDescent="0.3">
      <c r="B14" s="171">
        <v>1</v>
      </c>
      <c r="C14" s="53" t="s">
        <v>44</v>
      </c>
      <c r="D14" s="53" t="s">
        <v>96</v>
      </c>
      <c r="E14" s="54">
        <v>1300</v>
      </c>
      <c r="F14" s="54">
        <v>37995</v>
      </c>
      <c r="G14" s="55">
        <f>+E14*F14</f>
        <v>49393500</v>
      </c>
      <c r="H14" s="159">
        <f>+E14*F14-G14</f>
        <v>0</v>
      </c>
      <c r="I14" s="126" t="s">
        <v>44</v>
      </c>
      <c r="J14" s="125" t="s">
        <v>96</v>
      </c>
      <c r="K14" s="120">
        <v>1300</v>
      </c>
      <c r="L14" s="156">
        <v>38844</v>
      </c>
      <c r="M14" t="str">
        <f>IF(C14=I14,"SI","NO")</f>
        <v>SI</v>
      </c>
      <c r="N14" t="str">
        <f>IF(D14=J14,"SI","NO")</f>
        <v>SI</v>
      </c>
      <c r="O14" t="str">
        <f>IF(E14=K14,"SI","NO")</f>
        <v>SI</v>
      </c>
      <c r="P14" s="163">
        <f>+L14-F14</f>
        <v>849</v>
      </c>
    </row>
    <row r="15" spans="2:16" ht="27.75" customHeight="1" thickBot="1" x14ac:dyDescent="0.3">
      <c r="B15" s="171">
        <v>2</v>
      </c>
      <c r="C15" s="53" t="s">
        <v>45</v>
      </c>
      <c r="D15" s="53" t="s">
        <v>96</v>
      </c>
      <c r="E15" s="54">
        <v>1300</v>
      </c>
      <c r="F15" s="54">
        <v>45430</v>
      </c>
      <c r="G15" s="55">
        <f>+E15*F15</f>
        <v>59059000</v>
      </c>
      <c r="H15" s="159">
        <f t="shared" ref="H15:H22" si="0">+E15*F15-G15</f>
        <v>0</v>
      </c>
      <c r="I15" s="126" t="s">
        <v>97</v>
      </c>
      <c r="J15" s="125" t="s">
        <v>96</v>
      </c>
      <c r="K15" s="120">
        <v>1300</v>
      </c>
      <c r="L15" s="157">
        <v>49585</v>
      </c>
      <c r="M15" t="str">
        <f t="shared" ref="M15:M22" si="1">IF(C15=I15,"SI","NO")</f>
        <v>SI</v>
      </c>
      <c r="N15" t="str">
        <f t="shared" ref="N15:N22" si="2">IF(D15=J15,"SI","NO")</f>
        <v>SI</v>
      </c>
      <c r="O15" t="str">
        <f t="shared" ref="O15:O22" si="3">IF(E15=K15,"SI","NO")</f>
        <v>SI</v>
      </c>
      <c r="P15" s="163">
        <f t="shared" ref="P15:P22" si="4">+L15-F15</f>
        <v>4155</v>
      </c>
    </row>
    <row r="16" spans="2:16" ht="27.75" customHeight="1" thickBot="1" x14ac:dyDescent="0.3">
      <c r="B16" s="171">
        <v>3</v>
      </c>
      <c r="C16" s="53" t="s">
        <v>46</v>
      </c>
      <c r="D16" s="53" t="s">
        <v>98</v>
      </c>
      <c r="E16" s="54">
        <v>34000</v>
      </c>
      <c r="F16" s="54">
        <v>25100</v>
      </c>
      <c r="G16" s="55">
        <f t="shared" ref="G16:G22" si="5">+E16*F16</f>
        <v>853400000</v>
      </c>
      <c r="H16" s="159">
        <f t="shared" si="0"/>
        <v>0</v>
      </c>
      <c r="I16" s="126" t="s">
        <v>46</v>
      </c>
      <c r="J16" s="125" t="s">
        <v>98</v>
      </c>
      <c r="K16" s="120">
        <v>34000</v>
      </c>
      <c r="L16" s="157">
        <v>25506</v>
      </c>
      <c r="M16" t="str">
        <f t="shared" si="1"/>
        <v>SI</v>
      </c>
      <c r="N16" t="str">
        <f t="shared" si="2"/>
        <v>SI</v>
      </c>
      <c r="O16" t="str">
        <f t="shared" si="3"/>
        <v>SI</v>
      </c>
      <c r="P16" s="163">
        <f t="shared" si="4"/>
        <v>406</v>
      </c>
    </row>
    <row r="17" spans="2:16" ht="27.75" customHeight="1" thickBot="1" x14ac:dyDescent="0.3">
      <c r="B17" s="171">
        <v>4</v>
      </c>
      <c r="C17" s="53" t="s">
        <v>99</v>
      </c>
      <c r="D17" s="53" t="s">
        <v>98</v>
      </c>
      <c r="E17" s="54">
        <v>5600</v>
      </c>
      <c r="F17" s="54">
        <v>29100</v>
      </c>
      <c r="G17" s="55">
        <f t="shared" si="5"/>
        <v>162960000</v>
      </c>
      <c r="H17" s="159">
        <f t="shared" si="0"/>
        <v>0</v>
      </c>
      <c r="I17" s="127" t="s">
        <v>99</v>
      </c>
      <c r="J17" s="125" t="s">
        <v>98</v>
      </c>
      <c r="K17" s="120">
        <v>5600</v>
      </c>
      <c r="L17" s="157">
        <v>29187</v>
      </c>
      <c r="M17" t="str">
        <f t="shared" si="1"/>
        <v>SI</v>
      </c>
      <c r="N17" t="str">
        <f t="shared" si="2"/>
        <v>SI</v>
      </c>
      <c r="O17" t="str">
        <f t="shared" si="3"/>
        <v>SI</v>
      </c>
      <c r="P17" s="163">
        <f t="shared" si="4"/>
        <v>87</v>
      </c>
    </row>
    <row r="18" spans="2:16" ht="27.75" customHeight="1" thickBot="1" x14ac:dyDescent="0.3">
      <c r="B18" s="171">
        <v>5</v>
      </c>
      <c r="C18" s="53" t="s">
        <v>47</v>
      </c>
      <c r="D18" s="53" t="s">
        <v>100</v>
      </c>
      <c r="E18" s="54">
        <v>730</v>
      </c>
      <c r="F18" s="54">
        <v>50160</v>
      </c>
      <c r="G18" s="55">
        <f t="shared" si="5"/>
        <v>36616800</v>
      </c>
      <c r="H18" s="159">
        <f t="shared" si="0"/>
        <v>0</v>
      </c>
      <c r="I18" s="126" t="s">
        <v>47</v>
      </c>
      <c r="J18" s="125" t="s">
        <v>100</v>
      </c>
      <c r="K18" s="122">
        <v>730</v>
      </c>
      <c r="L18" s="157">
        <v>51104</v>
      </c>
      <c r="M18" t="str">
        <f t="shared" si="1"/>
        <v>SI</v>
      </c>
      <c r="N18" t="str">
        <f t="shared" si="2"/>
        <v>SI</v>
      </c>
      <c r="O18" t="str">
        <f t="shared" si="3"/>
        <v>SI</v>
      </c>
      <c r="P18" s="163">
        <f t="shared" si="4"/>
        <v>944</v>
      </c>
    </row>
    <row r="19" spans="2:16" ht="27.75" customHeight="1" thickBot="1" x14ac:dyDescent="0.3">
      <c r="B19" s="171">
        <v>6</v>
      </c>
      <c r="C19" s="53" t="s">
        <v>101</v>
      </c>
      <c r="D19" s="53" t="s">
        <v>98</v>
      </c>
      <c r="E19" s="54">
        <v>800</v>
      </c>
      <c r="F19" s="54">
        <v>33900</v>
      </c>
      <c r="G19" s="55">
        <f t="shared" si="5"/>
        <v>27120000</v>
      </c>
      <c r="H19" s="159">
        <f t="shared" si="0"/>
        <v>0</v>
      </c>
      <c r="I19" s="127" t="s">
        <v>169</v>
      </c>
      <c r="J19" s="125" t="s">
        <v>98</v>
      </c>
      <c r="K19" s="120">
        <v>800</v>
      </c>
      <c r="L19" s="157">
        <v>34032</v>
      </c>
      <c r="M19" t="str">
        <f t="shared" si="1"/>
        <v>NO</v>
      </c>
      <c r="N19" t="str">
        <f t="shared" si="2"/>
        <v>SI</v>
      </c>
      <c r="O19" t="str">
        <f t="shared" si="3"/>
        <v>SI</v>
      </c>
      <c r="P19" s="163">
        <f t="shared" si="4"/>
        <v>132</v>
      </c>
    </row>
    <row r="20" spans="2:16" ht="27.75" customHeight="1" thickBot="1" x14ac:dyDescent="0.3">
      <c r="B20" s="171">
        <v>7</v>
      </c>
      <c r="C20" s="53" t="s">
        <v>48</v>
      </c>
      <c r="D20" s="53" t="s">
        <v>98</v>
      </c>
      <c r="E20" s="54">
        <v>200</v>
      </c>
      <c r="F20" s="54">
        <v>25000</v>
      </c>
      <c r="G20" s="55">
        <f t="shared" si="5"/>
        <v>5000000</v>
      </c>
      <c r="H20" s="159">
        <f t="shared" si="0"/>
        <v>0</v>
      </c>
      <c r="I20" s="126" t="s">
        <v>48</v>
      </c>
      <c r="J20" s="125" t="s">
        <v>98</v>
      </c>
      <c r="K20" s="120">
        <v>200</v>
      </c>
      <c r="L20" s="157">
        <v>28348</v>
      </c>
      <c r="M20" t="str">
        <f t="shared" si="1"/>
        <v>SI</v>
      </c>
      <c r="N20" t="str">
        <f t="shared" si="2"/>
        <v>SI</v>
      </c>
      <c r="O20" t="str">
        <f t="shared" si="3"/>
        <v>SI</v>
      </c>
      <c r="P20" s="163">
        <f t="shared" si="4"/>
        <v>3348</v>
      </c>
    </row>
    <row r="21" spans="2:16" ht="27.75" customHeight="1" thickBot="1" x14ac:dyDescent="0.3">
      <c r="B21" s="171">
        <v>8</v>
      </c>
      <c r="C21" s="53" t="s">
        <v>102</v>
      </c>
      <c r="D21" s="53" t="s">
        <v>40</v>
      </c>
      <c r="E21" s="54">
        <v>1800</v>
      </c>
      <c r="F21" s="54">
        <v>9750</v>
      </c>
      <c r="G21" s="55">
        <f t="shared" si="5"/>
        <v>17550000</v>
      </c>
      <c r="H21" s="159">
        <f t="shared" si="0"/>
        <v>0</v>
      </c>
      <c r="I21" s="126" t="s">
        <v>102</v>
      </c>
      <c r="J21" s="125" t="s">
        <v>40</v>
      </c>
      <c r="K21" s="120">
        <v>1800</v>
      </c>
      <c r="L21" s="157">
        <v>10095</v>
      </c>
      <c r="M21" t="str">
        <f t="shared" si="1"/>
        <v>SI</v>
      </c>
      <c r="N21" t="str">
        <f t="shared" si="2"/>
        <v>SI</v>
      </c>
      <c r="O21" t="str">
        <f t="shared" si="3"/>
        <v>SI</v>
      </c>
      <c r="P21" s="163">
        <f t="shared" si="4"/>
        <v>345</v>
      </c>
    </row>
    <row r="22" spans="2:16" ht="27.75" customHeight="1" thickBot="1" x14ac:dyDescent="0.3">
      <c r="B22" s="171">
        <v>9</v>
      </c>
      <c r="C22" s="53" t="s">
        <v>103</v>
      </c>
      <c r="D22" s="53" t="s">
        <v>40</v>
      </c>
      <c r="E22" s="54">
        <v>1799</v>
      </c>
      <c r="F22" s="54">
        <v>14500</v>
      </c>
      <c r="G22" s="55">
        <f t="shared" si="5"/>
        <v>26085500</v>
      </c>
      <c r="H22" s="159">
        <f t="shared" si="0"/>
        <v>0</v>
      </c>
      <c r="I22" s="126" t="s">
        <v>103</v>
      </c>
      <c r="J22" s="125" t="s">
        <v>40</v>
      </c>
      <c r="K22" s="120">
        <v>1799</v>
      </c>
      <c r="L22" s="158">
        <v>14743</v>
      </c>
      <c r="M22" t="str">
        <f t="shared" si="1"/>
        <v>SI</v>
      </c>
      <c r="N22" t="str">
        <f t="shared" si="2"/>
        <v>SI</v>
      </c>
      <c r="O22" t="str">
        <f t="shared" si="3"/>
        <v>SI</v>
      </c>
      <c r="P22" s="163">
        <f t="shared" si="4"/>
        <v>243</v>
      </c>
    </row>
    <row r="23" spans="2:16" ht="30" customHeight="1" x14ac:dyDescent="0.25">
      <c r="B23" s="233"/>
      <c r="C23" s="233"/>
      <c r="D23" s="233"/>
      <c r="E23" s="234" t="s">
        <v>49</v>
      </c>
      <c r="F23" s="234"/>
      <c r="G23" s="56">
        <f>SUM(G14:G22)</f>
        <v>1237184800</v>
      </c>
    </row>
    <row r="24" spans="2:16" ht="16.5" customHeight="1" x14ac:dyDescent="0.25">
      <c r="B24" s="233"/>
      <c r="C24" s="233"/>
      <c r="D24" s="233"/>
      <c r="E24" s="234" t="s">
        <v>50</v>
      </c>
      <c r="F24" s="234"/>
      <c r="G24" s="57">
        <f>+G23*19%</f>
        <v>235065112</v>
      </c>
      <c r="H24" s="159">
        <f>+(G23*19/100)-G24</f>
        <v>0</v>
      </c>
    </row>
    <row r="25" spans="2:16" ht="30" customHeight="1" x14ac:dyDescent="0.25">
      <c r="B25" s="233"/>
      <c r="C25" s="233"/>
      <c r="D25" s="233"/>
      <c r="E25" s="234" t="s">
        <v>51</v>
      </c>
      <c r="F25" s="234"/>
      <c r="G25" s="56">
        <f>+G23+G24</f>
        <v>1472249912</v>
      </c>
      <c r="H25" s="159">
        <f>+G23+G24-G25</f>
        <v>0</v>
      </c>
      <c r="I25" s="199">
        <v>1472249912</v>
      </c>
      <c r="J25" s="198" t="s">
        <v>168</v>
      </c>
    </row>
    <row r="26" spans="2:16" x14ac:dyDescent="0.25">
      <c r="B26" s="49"/>
      <c r="C26" s="49"/>
      <c r="D26" s="49"/>
      <c r="E26" s="49"/>
      <c r="F26" s="49"/>
      <c r="G26" s="49"/>
      <c r="I26" s="159">
        <f>+I25-G25</f>
        <v>0</v>
      </c>
    </row>
    <row r="27" spans="2:16" ht="27.75" customHeight="1" x14ac:dyDescent="0.25">
      <c r="B27" s="229" t="s">
        <v>52</v>
      </c>
      <c r="C27" s="229"/>
      <c r="D27" s="229"/>
      <c r="E27" s="229"/>
      <c r="F27" s="229"/>
      <c r="G27" s="229"/>
    </row>
    <row r="28" spans="2:16" ht="27.75" customHeight="1" x14ac:dyDescent="0.25">
      <c r="B28" s="229" t="s">
        <v>53</v>
      </c>
      <c r="C28" s="229"/>
      <c r="D28" s="229"/>
      <c r="E28" s="229"/>
      <c r="F28" s="229"/>
      <c r="G28" s="229"/>
    </row>
    <row r="29" spans="2:16" x14ac:dyDescent="0.25">
      <c r="B29" s="58"/>
      <c r="C29" s="49"/>
      <c r="D29" s="49"/>
      <c r="E29" s="49"/>
      <c r="F29" s="49"/>
      <c r="G29" s="49"/>
    </row>
    <row r="30" spans="2:16" x14ac:dyDescent="0.25">
      <c r="B30" s="58"/>
      <c r="C30" s="49"/>
      <c r="D30" s="49"/>
      <c r="E30" s="49"/>
      <c r="F30" s="49"/>
      <c r="G30" s="49"/>
    </row>
    <row r="31" spans="2:16" x14ac:dyDescent="0.25">
      <c r="B31" s="58"/>
      <c r="C31" s="49"/>
      <c r="D31" s="49"/>
      <c r="E31" s="49"/>
      <c r="F31" s="49"/>
      <c r="G31" s="59"/>
    </row>
    <row r="32" spans="2:16" x14ac:dyDescent="0.25">
      <c r="B32" s="58"/>
      <c r="C32" s="49"/>
      <c r="D32" s="49"/>
      <c r="E32" s="49"/>
      <c r="F32" s="49"/>
      <c r="G32" s="60"/>
    </row>
    <row r="33" spans="2:7" x14ac:dyDescent="0.25">
      <c r="B33" s="51" t="s">
        <v>54</v>
      </c>
      <c r="C33" s="51"/>
      <c r="D33" s="49"/>
      <c r="E33" s="49"/>
      <c r="F33" s="49"/>
      <c r="G33" s="61"/>
    </row>
    <row r="34" spans="2:7" x14ac:dyDescent="0.25">
      <c r="B34" s="51" t="s">
        <v>55</v>
      </c>
      <c r="C34" s="51"/>
      <c r="D34" s="49"/>
      <c r="E34" s="49"/>
      <c r="F34" s="49"/>
      <c r="G34" s="62"/>
    </row>
    <row r="35" spans="2:7" x14ac:dyDescent="0.25">
      <c r="B35" s="51" t="s">
        <v>56</v>
      </c>
      <c r="C35" s="51"/>
      <c r="D35" s="49"/>
      <c r="E35" s="49"/>
      <c r="F35" s="49"/>
      <c r="G35" s="49"/>
    </row>
    <row r="36" spans="2:7" x14ac:dyDescent="0.25">
      <c r="B36" s="51" t="s">
        <v>57</v>
      </c>
      <c r="C36" s="51"/>
      <c r="D36" s="49"/>
      <c r="E36" s="49"/>
      <c r="F36" s="49"/>
      <c r="G36" s="60"/>
    </row>
    <row r="37" spans="2:7" x14ac:dyDescent="0.25">
      <c r="B37" s="51" t="s">
        <v>58</v>
      </c>
      <c r="C37" s="51"/>
      <c r="D37" s="49"/>
      <c r="E37" s="49"/>
      <c r="F37" s="49"/>
      <c r="G37" s="49"/>
    </row>
    <row r="38" spans="2:7" x14ac:dyDescent="0.25">
      <c r="B38" s="51"/>
      <c r="C38" s="51"/>
      <c r="D38" s="49"/>
      <c r="E38" s="49"/>
      <c r="F38" s="49"/>
      <c r="G38" s="61"/>
    </row>
    <row r="39" spans="2:7" x14ac:dyDescent="0.25">
      <c r="B39" s="51"/>
      <c r="C39" s="51"/>
      <c r="D39" s="49"/>
      <c r="E39" s="49"/>
      <c r="F39" s="49"/>
      <c r="G39" s="49"/>
    </row>
    <row r="40" spans="2:7" x14ac:dyDescent="0.25">
      <c r="B40" s="51"/>
      <c r="C40" s="51"/>
      <c r="D40" s="49"/>
      <c r="E40" s="49"/>
      <c r="F40" s="49"/>
      <c r="G40" s="61"/>
    </row>
    <row r="41" spans="2:7" x14ac:dyDescent="0.25">
      <c r="B41" s="51" t="s">
        <v>59</v>
      </c>
      <c r="C41" s="51"/>
      <c r="D41" s="49"/>
      <c r="E41" s="49"/>
      <c r="F41" s="49"/>
      <c r="G41" s="49"/>
    </row>
    <row r="42" spans="2:7" x14ac:dyDescent="0.25">
      <c r="B42" s="51" t="s">
        <v>60</v>
      </c>
      <c r="C42" s="51"/>
      <c r="D42" s="49"/>
      <c r="E42" s="49"/>
      <c r="F42" s="49"/>
      <c r="G42" s="49"/>
    </row>
    <row r="43" spans="2:7" x14ac:dyDescent="0.25">
      <c r="B43" s="51" t="s">
        <v>61</v>
      </c>
      <c r="C43" s="51"/>
      <c r="D43" s="49"/>
      <c r="E43" s="49"/>
      <c r="F43" s="49"/>
      <c r="G43" s="49"/>
    </row>
    <row r="44" spans="2:7" x14ac:dyDescent="0.25">
      <c r="B44" s="51"/>
      <c r="C44" s="51"/>
      <c r="D44" s="49"/>
      <c r="E44" s="49"/>
      <c r="F44" s="49"/>
      <c r="G44" s="49"/>
    </row>
    <row r="45" spans="2:7" x14ac:dyDescent="0.25">
      <c r="B45" s="63"/>
      <c r="C45" s="49"/>
      <c r="D45" s="49"/>
      <c r="E45" s="49"/>
      <c r="F45" s="49"/>
      <c r="G45" s="49"/>
    </row>
  </sheetData>
  <mergeCells count="10">
    <mergeCell ref="B27:G27"/>
    <mergeCell ref="B28:G28"/>
    <mergeCell ref="B2:G2"/>
    <mergeCell ref="B10:G10"/>
    <mergeCell ref="B12:C12"/>
    <mergeCell ref="D12:G12"/>
    <mergeCell ref="B23:D25"/>
    <mergeCell ref="E23:F23"/>
    <mergeCell ref="E24:F24"/>
    <mergeCell ref="E25:F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43"/>
  <sheetViews>
    <sheetView topLeftCell="A12" zoomScale="70" zoomScaleNormal="70" workbookViewId="0">
      <selection activeCell="A23" sqref="A23"/>
    </sheetView>
  </sheetViews>
  <sheetFormatPr baseColWidth="10" defaultRowHeight="15" x14ac:dyDescent="0.25"/>
  <cols>
    <col min="1" max="1" width="3" customWidth="1"/>
    <col min="3" max="3" width="54.85546875" customWidth="1"/>
    <col min="4" max="4" width="18" customWidth="1"/>
    <col min="6" max="7" width="20.28515625" customWidth="1"/>
    <col min="8" max="8" width="7.28515625" customWidth="1"/>
    <col min="9" max="9" width="45" customWidth="1"/>
    <col min="10" max="10" width="16.5703125" customWidth="1"/>
    <col min="12" max="12" width="15.140625" customWidth="1"/>
    <col min="13" max="15" width="4" customWidth="1"/>
  </cols>
  <sheetData>
    <row r="2" spans="2:9" ht="21" x14ac:dyDescent="0.25">
      <c r="B2" s="235" t="s">
        <v>87</v>
      </c>
      <c r="C2" s="235"/>
      <c r="D2" s="235"/>
      <c r="E2" s="235"/>
      <c r="F2" s="235"/>
      <c r="G2" s="235"/>
    </row>
    <row r="3" spans="2:9" x14ac:dyDescent="0.25">
      <c r="B3" s="80"/>
      <c r="C3" s="80"/>
      <c r="D3" s="80"/>
      <c r="E3" s="80"/>
      <c r="F3" s="80"/>
      <c r="G3" s="80"/>
    </row>
    <row r="4" spans="2:9" ht="18.75" x14ac:dyDescent="0.25">
      <c r="B4" s="81" t="s">
        <v>88</v>
      </c>
      <c r="C4" s="80"/>
      <c r="D4" s="80"/>
      <c r="E4" s="80"/>
      <c r="F4" s="80"/>
      <c r="G4" s="80"/>
    </row>
    <row r="5" spans="2:9" x14ac:dyDescent="0.25">
      <c r="B5" s="80"/>
      <c r="C5" s="80"/>
      <c r="D5" s="80"/>
      <c r="E5" s="80"/>
      <c r="F5" s="80"/>
      <c r="G5" s="80"/>
    </row>
    <row r="6" spans="2:9" ht="21" x14ac:dyDescent="0.25">
      <c r="B6" s="82" t="s">
        <v>34</v>
      </c>
      <c r="C6" s="80"/>
      <c r="D6" s="80"/>
      <c r="E6" s="80"/>
      <c r="F6" s="80"/>
      <c r="G6" s="80"/>
    </row>
    <row r="7" spans="2:9" ht="21" x14ac:dyDescent="0.25">
      <c r="B7" s="83" t="s">
        <v>89</v>
      </c>
      <c r="C7" s="80"/>
      <c r="D7" s="80"/>
      <c r="E7" s="80"/>
      <c r="F7" s="80"/>
      <c r="G7" s="80"/>
    </row>
    <row r="8" spans="2:9" ht="21" x14ac:dyDescent="0.25">
      <c r="B8" s="82" t="s">
        <v>90</v>
      </c>
      <c r="C8" s="80"/>
      <c r="D8" s="80"/>
      <c r="E8" s="80"/>
      <c r="F8" s="80"/>
      <c r="G8" s="80"/>
    </row>
    <row r="9" spans="2:9" x14ac:dyDescent="0.25">
      <c r="B9" s="80"/>
      <c r="C9" s="80"/>
      <c r="D9" s="80"/>
      <c r="E9" s="80"/>
      <c r="F9" s="80"/>
      <c r="G9" s="80"/>
    </row>
    <row r="10" spans="2:9" x14ac:dyDescent="0.25">
      <c r="B10" s="80"/>
      <c r="C10" s="80"/>
      <c r="D10" s="80"/>
      <c r="E10" s="80"/>
      <c r="F10" s="80"/>
      <c r="G10" s="80"/>
    </row>
    <row r="11" spans="2:9" x14ac:dyDescent="0.25">
      <c r="B11" s="80"/>
      <c r="C11" s="80"/>
      <c r="D11" s="80"/>
      <c r="E11" s="80"/>
      <c r="F11" s="80"/>
      <c r="G11" s="80"/>
    </row>
    <row r="12" spans="2:9" x14ac:dyDescent="0.25">
      <c r="B12" s="236" t="s">
        <v>91</v>
      </c>
      <c r="C12" s="236"/>
      <c r="D12" s="236"/>
      <c r="E12" s="236"/>
      <c r="F12" s="236"/>
      <c r="G12" s="236"/>
    </row>
    <row r="13" spans="2:9" x14ac:dyDescent="0.25">
      <c r="B13" s="236"/>
      <c r="C13" s="236"/>
      <c r="D13" s="236"/>
      <c r="E13" s="236"/>
      <c r="F13" s="236"/>
      <c r="G13" s="236"/>
    </row>
    <row r="14" spans="2:9" ht="52.5" customHeight="1" x14ac:dyDescent="0.25">
      <c r="B14" s="236"/>
      <c r="C14" s="236"/>
      <c r="D14" s="236"/>
      <c r="E14" s="236"/>
      <c r="F14" s="236"/>
      <c r="G14" s="236"/>
      <c r="I14" t="s">
        <v>137</v>
      </c>
    </row>
    <row r="15" spans="2:9" ht="15.75" thickBot="1" x14ac:dyDescent="0.3">
      <c r="B15" s="226"/>
      <c r="C15" s="226"/>
      <c r="D15" s="226"/>
      <c r="E15" s="226"/>
      <c r="F15" s="226"/>
      <c r="G15" s="226"/>
    </row>
    <row r="16" spans="2:9" ht="16.5" thickBot="1" x14ac:dyDescent="0.3">
      <c r="B16" s="84" t="s">
        <v>92</v>
      </c>
      <c r="C16" s="84" t="s">
        <v>93</v>
      </c>
      <c r="D16" s="84" t="s">
        <v>40</v>
      </c>
      <c r="E16" s="84" t="s">
        <v>41</v>
      </c>
      <c r="F16" s="84" t="s">
        <v>94</v>
      </c>
      <c r="G16" s="84" t="s">
        <v>95</v>
      </c>
    </row>
    <row r="17" spans="2:16" ht="35.25" customHeight="1" thickBot="1" x14ac:dyDescent="0.3">
      <c r="B17" s="85">
        <v>1</v>
      </c>
      <c r="C17" s="86" t="s">
        <v>44</v>
      </c>
      <c r="D17" s="87" t="s">
        <v>96</v>
      </c>
      <c r="E17" s="87">
        <v>1300</v>
      </c>
      <c r="F17" s="88">
        <v>36820</v>
      </c>
      <c r="G17" s="89">
        <f>E17*F17</f>
        <v>47866000</v>
      </c>
      <c r="H17" s="159">
        <f>+E17*F17-G17</f>
        <v>0</v>
      </c>
      <c r="I17" s="128" t="s">
        <v>44</v>
      </c>
      <c r="J17" s="129" t="s">
        <v>96</v>
      </c>
      <c r="K17" s="130">
        <v>1300</v>
      </c>
      <c r="L17" s="156">
        <v>38844</v>
      </c>
      <c r="M17" s="132" t="str">
        <f>IF(C17=I17,"SI","NO")</f>
        <v>SI</v>
      </c>
      <c r="N17" s="132" t="str">
        <f>IF(D17=J17,"SI","NO")</f>
        <v>SI</v>
      </c>
      <c r="O17" s="132" t="str">
        <f>IF(E17=K17,"SI","NO")</f>
        <v>SI</v>
      </c>
      <c r="P17" s="27">
        <f>+L17-F17</f>
        <v>2024</v>
      </c>
    </row>
    <row r="18" spans="2:16" ht="35.25" customHeight="1" thickBot="1" x14ac:dyDescent="0.3">
      <c r="B18" s="85">
        <v>2</v>
      </c>
      <c r="C18" s="86" t="s">
        <v>97</v>
      </c>
      <c r="D18" s="87" t="s">
        <v>96</v>
      </c>
      <c r="E18" s="87">
        <v>1300</v>
      </c>
      <c r="F18" s="88">
        <v>45900</v>
      </c>
      <c r="G18" s="90">
        <f t="shared" ref="G18:G25" si="0">E18*F18</f>
        <v>59670000</v>
      </c>
      <c r="H18" s="159">
        <f t="shared" ref="H18:H25" si="1">+E18*F18-G18</f>
        <v>0</v>
      </c>
      <c r="I18" s="128" t="s">
        <v>97</v>
      </c>
      <c r="J18" s="129" t="s">
        <v>96</v>
      </c>
      <c r="K18" s="130">
        <v>1300</v>
      </c>
      <c r="L18" s="157">
        <v>49585</v>
      </c>
      <c r="M18" s="132" t="str">
        <f t="shared" ref="M18:O25" si="2">IF(C18=I18,"SI","NO")</f>
        <v>SI</v>
      </c>
      <c r="N18" s="132" t="str">
        <f t="shared" si="2"/>
        <v>SI</v>
      </c>
      <c r="O18" s="132" t="str">
        <f t="shared" si="2"/>
        <v>SI</v>
      </c>
      <c r="P18" s="27">
        <f t="shared" ref="P18:P25" si="3">+L18-F18</f>
        <v>3685</v>
      </c>
    </row>
    <row r="19" spans="2:16" ht="35.25" customHeight="1" thickBot="1" x14ac:dyDescent="0.3">
      <c r="B19" s="85">
        <v>3</v>
      </c>
      <c r="C19" s="86" t="s">
        <v>46</v>
      </c>
      <c r="D19" s="87" t="s">
        <v>98</v>
      </c>
      <c r="E19" s="87">
        <v>34000</v>
      </c>
      <c r="F19" s="88">
        <v>24640</v>
      </c>
      <c r="G19" s="90">
        <f t="shared" si="0"/>
        <v>837760000</v>
      </c>
      <c r="H19" s="159">
        <f t="shared" si="1"/>
        <v>0</v>
      </c>
      <c r="I19" s="128" t="s">
        <v>46</v>
      </c>
      <c r="J19" s="129" t="s">
        <v>98</v>
      </c>
      <c r="K19" s="130">
        <v>34000</v>
      </c>
      <c r="L19" s="157">
        <v>25506</v>
      </c>
      <c r="M19" s="132" t="str">
        <f t="shared" si="2"/>
        <v>SI</v>
      </c>
      <c r="N19" s="132" t="str">
        <f t="shared" si="2"/>
        <v>SI</v>
      </c>
      <c r="O19" s="132" t="str">
        <f t="shared" si="2"/>
        <v>SI</v>
      </c>
      <c r="P19" s="27">
        <f t="shared" si="3"/>
        <v>866</v>
      </c>
    </row>
    <row r="20" spans="2:16" ht="35.25" customHeight="1" thickBot="1" x14ac:dyDescent="0.3">
      <c r="B20" s="85">
        <v>4</v>
      </c>
      <c r="C20" s="87" t="s">
        <v>99</v>
      </c>
      <c r="D20" s="87" t="s">
        <v>98</v>
      </c>
      <c r="E20" s="87">
        <v>5600</v>
      </c>
      <c r="F20" s="88">
        <v>27580</v>
      </c>
      <c r="G20" s="90">
        <f t="shared" si="0"/>
        <v>154448000</v>
      </c>
      <c r="H20" s="159">
        <f t="shared" si="1"/>
        <v>0</v>
      </c>
      <c r="I20" s="129" t="s">
        <v>99</v>
      </c>
      <c r="J20" s="129" t="s">
        <v>98</v>
      </c>
      <c r="K20" s="130">
        <v>5600</v>
      </c>
      <c r="L20" s="157">
        <v>29187</v>
      </c>
      <c r="M20" s="132" t="str">
        <f t="shared" si="2"/>
        <v>SI</v>
      </c>
      <c r="N20" s="132" t="str">
        <f t="shared" si="2"/>
        <v>SI</v>
      </c>
      <c r="O20" s="132" t="str">
        <f t="shared" si="2"/>
        <v>SI</v>
      </c>
      <c r="P20" s="27">
        <f t="shared" si="3"/>
        <v>1607</v>
      </c>
    </row>
    <row r="21" spans="2:16" ht="35.25" customHeight="1" thickBot="1" x14ac:dyDescent="0.3">
      <c r="B21" s="85">
        <v>5</v>
      </c>
      <c r="C21" s="86" t="s">
        <v>47</v>
      </c>
      <c r="D21" s="87" t="s">
        <v>100</v>
      </c>
      <c r="E21" s="91">
        <v>730</v>
      </c>
      <c r="F21" s="88">
        <v>46350</v>
      </c>
      <c r="G21" s="90">
        <f t="shared" si="0"/>
        <v>33835500</v>
      </c>
      <c r="H21" s="159">
        <f t="shared" si="1"/>
        <v>0</v>
      </c>
      <c r="I21" s="128" t="s">
        <v>47</v>
      </c>
      <c r="J21" s="129" t="s">
        <v>100</v>
      </c>
      <c r="K21" s="131">
        <v>730</v>
      </c>
      <c r="L21" s="157">
        <v>51104</v>
      </c>
      <c r="M21" s="132" t="str">
        <f t="shared" si="2"/>
        <v>SI</v>
      </c>
      <c r="N21" s="132" t="str">
        <f t="shared" si="2"/>
        <v>SI</v>
      </c>
      <c r="O21" s="132" t="str">
        <f t="shared" si="2"/>
        <v>SI</v>
      </c>
      <c r="P21" s="27">
        <f t="shared" si="3"/>
        <v>4754</v>
      </c>
    </row>
    <row r="22" spans="2:16" ht="35.25" customHeight="1" thickBot="1" x14ac:dyDescent="0.3">
      <c r="B22" s="85">
        <v>6</v>
      </c>
      <c r="C22" s="87" t="s">
        <v>101</v>
      </c>
      <c r="D22" s="87" t="s">
        <v>98</v>
      </c>
      <c r="E22" s="87">
        <v>800</v>
      </c>
      <c r="F22" s="88">
        <v>29840</v>
      </c>
      <c r="G22" s="90">
        <f t="shared" si="0"/>
        <v>23872000</v>
      </c>
      <c r="H22" s="159">
        <f t="shared" si="1"/>
        <v>0</v>
      </c>
      <c r="I22" s="129" t="s">
        <v>169</v>
      </c>
      <c r="J22" s="129" t="s">
        <v>98</v>
      </c>
      <c r="K22" s="130">
        <v>800</v>
      </c>
      <c r="L22" s="157">
        <v>34032</v>
      </c>
      <c r="M22" s="132" t="str">
        <f t="shared" si="2"/>
        <v>NO</v>
      </c>
      <c r="N22" s="132" t="str">
        <f t="shared" si="2"/>
        <v>SI</v>
      </c>
      <c r="O22" s="132" t="str">
        <f t="shared" si="2"/>
        <v>SI</v>
      </c>
      <c r="P22" s="27">
        <f t="shared" si="3"/>
        <v>4192</v>
      </c>
    </row>
    <row r="23" spans="2:16" ht="35.25" customHeight="1" thickBot="1" x14ac:dyDescent="0.3">
      <c r="B23" s="85">
        <v>7</v>
      </c>
      <c r="C23" s="86" t="s">
        <v>48</v>
      </c>
      <c r="D23" s="87" t="s">
        <v>98</v>
      </c>
      <c r="E23" s="87">
        <v>200</v>
      </c>
      <c r="F23" s="88">
        <v>25580</v>
      </c>
      <c r="G23" s="90">
        <f t="shared" si="0"/>
        <v>5116000</v>
      </c>
      <c r="H23" s="159">
        <f t="shared" si="1"/>
        <v>0</v>
      </c>
      <c r="I23" s="128" t="s">
        <v>48</v>
      </c>
      <c r="J23" s="129" t="s">
        <v>98</v>
      </c>
      <c r="K23" s="130">
        <v>200</v>
      </c>
      <c r="L23" s="157">
        <v>28348</v>
      </c>
      <c r="M23" s="132" t="str">
        <f t="shared" si="2"/>
        <v>SI</v>
      </c>
      <c r="N23" s="132" t="str">
        <f t="shared" si="2"/>
        <v>SI</v>
      </c>
      <c r="O23" s="132" t="str">
        <f t="shared" si="2"/>
        <v>SI</v>
      </c>
      <c r="P23" s="27">
        <f t="shared" si="3"/>
        <v>2768</v>
      </c>
    </row>
    <row r="24" spans="2:16" ht="35.25" customHeight="1" thickBot="1" x14ac:dyDescent="0.3">
      <c r="B24" s="85">
        <v>8</v>
      </c>
      <c r="C24" s="86" t="s">
        <v>102</v>
      </c>
      <c r="D24" s="87" t="s">
        <v>40</v>
      </c>
      <c r="E24" s="87">
        <v>1800</v>
      </c>
      <c r="F24" s="88">
        <v>9550</v>
      </c>
      <c r="G24" s="90">
        <f t="shared" si="0"/>
        <v>17190000</v>
      </c>
      <c r="H24" s="159">
        <f t="shared" si="1"/>
        <v>0</v>
      </c>
      <c r="I24" s="128" t="s">
        <v>102</v>
      </c>
      <c r="J24" s="129" t="s">
        <v>40</v>
      </c>
      <c r="K24" s="130">
        <v>1800</v>
      </c>
      <c r="L24" s="157">
        <v>10095</v>
      </c>
      <c r="M24" s="132" t="str">
        <f t="shared" si="2"/>
        <v>SI</v>
      </c>
      <c r="N24" s="132" t="str">
        <f t="shared" si="2"/>
        <v>SI</v>
      </c>
      <c r="O24" s="132" t="str">
        <f t="shared" si="2"/>
        <v>SI</v>
      </c>
      <c r="P24" s="27">
        <f t="shared" si="3"/>
        <v>545</v>
      </c>
    </row>
    <row r="25" spans="2:16" ht="35.25" customHeight="1" thickBot="1" x14ac:dyDescent="0.3">
      <c r="B25" s="85">
        <v>9</v>
      </c>
      <c r="C25" s="86" t="s">
        <v>103</v>
      </c>
      <c r="D25" s="87" t="s">
        <v>40</v>
      </c>
      <c r="E25" s="87">
        <v>1799</v>
      </c>
      <c r="F25" s="88">
        <v>13860</v>
      </c>
      <c r="G25" s="90">
        <f t="shared" si="0"/>
        <v>24934140</v>
      </c>
      <c r="H25" s="159">
        <f t="shared" si="1"/>
        <v>0</v>
      </c>
      <c r="I25" s="128" t="s">
        <v>103</v>
      </c>
      <c r="J25" s="129" t="s">
        <v>40</v>
      </c>
      <c r="K25" s="130">
        <v>1799</v>
      </c>
      <c r="L25" s="158">
        <v>14743</v>
      </c>
      <c r="M25" s="132" t="str">
        <f t="shared" si="2"/>
        <v>SI</v>
      </c>
      <c r="N25" s="132" t="str">
        <f t="shared" si="2"/>
        <v>SI</v>
      </c>
      <c r="O25" s="132" t="str">
        <f t="shared" si="2"/>
        <v>SI</v>
      </c>
      <c r="P25" s="27">
        <f t="shared" si="3"/>
        <v>883</v>
      </c>
    </row>
    <row r="26" spans="2:16" ht="34.5" customHeight="1" thickBot="1" x14ac:dyDescent="0.3">
      <c r="B26" s="92"/>
      <c r="C26" s="92"/>
      <c r="D26" s="93"/>
      <c r="E26" s="93"/>
      <c r="F26" s="84" t="s">
        <v>104</v>
      </c>
      <c r="G26" s="94">
        <f>SUM(G17:G25)</f>
        <v>1204691640</v>
      </c>
    </row>
    <row r="27" spans="2:16" ht="16.5" thickBot="1" x14ac:dyDescent="0.3">
      <c r="B27" s="93"/>
      <c r="C27" s="93"/>
      <c r="D27" s="93"/>
      <c r="E27" s="93"/>
      <c r="F27" s="95" t="s">
        <v>105</v>
      </c>
      <c r="G27" s="90">
        <f>G26*0.19</f>
        <v>228891411.59999999</v>
      </c>
      <c r="H27" s="159">
        <f>+(G26*19/100)-G27</f>
        <v>0</v>
      </c>
    </row>
    <row r="28" spans="2:16" ht="33.75" customHeight="1" thickBot="1" x14ac:dyDescent="0.3">
      <c r="B28" s="93"/>
      <c r="C28" s="93"/>
      <c r="D28" s="93"/>
      <c r="E28" s="93"/>
      <c r="F28" s="84" t="s">
        <v>106</v>
      </c>
      <c r="G28" s="94">
        <f>G26+G27</f>
        <v>1433583051.5999999</v>
      </c>
      <c r="H28" s="159">
        <f>+G26+G27-G28</f>
        <v>0</v>
      </c>
      <c r="I28" s="200">
        <v>1433583052</v>
      </c>
      <c r="J28" s="198" t="s">
        <v>168</v>
      </c>
    </row>
    <row r="29" spans="2:16" x14ac:dyDescent="0.25">
      <c r="B29" s="96"/>
      <c r="C29" s="96"/>
      <c r="D29" s="96"/>
      <c r="E29" s="96"/>
      <c r="F29" s="96"/>
      <c r="G29" s="96"/>
      <c r="I29" s="27">
        <f>+I28-G28</f>
        <v>0.40000009536743164</v>
      </c>
    </row>
    <row r="30" spans="2:16" x14ac:dyDescent="0.25">
      <c r="B30" s="96"/>
      <c r="C30" s="96"/>
      <c r="D30" s="96"/>
      <c r="E30" s="96"/>
      <c r="F30" s="96"/>
      <c r="G30" s="96"/>
    </row>
    <row r="31" spans="2:16" x14ac:dyDescent="0.25">
      <c r="B31" s="97"/>
      <c r="C31" s="98"/>
      <c r="D31" s="96"/>
      <c r="E31" s="96"/>
      <c r="F31" s="96"/>
      <c r="G31" s="96"/>
    </row>
    <row r="32" spans="2:16" ht="15.75" x14ac:dyDescent="0.25">
      <c r="B32" s="96"/>
      <c r="C32" s="99" t="s">
        <v>107</v>
      </c>
      <c r="D32" s="99" t="s">
        <v>108</v>
      </c>
      <c r="E32" s="96"/>
      <c r="F32" s="96"/>
      <c r="G32" s="100"/>
    </row>
    <row r="33" spans="2:7" ht="15.75" x14ac:dyDescent="0.25">
      <c r="B33" s="101"/>
      <c r="C33" s="102" t="s">
        <v>109</v>
      </c>
      <c r="D33" s="99" t="s">
        <v>110</v>
      </c>
      <c r="E33" s="96"/>
      <c r="F33" s="96"/>
      <c r="G33" s="96"/>
    </row>
    <row r="34" spans="2:7" ht="15.75" x14ac:dyDescent="0.25">
      <c r="B34" s="96"/>
      <c r="C34" s="99" t="s">
        <v>111</v>
      </c>
      <c r="D34" s="99" t="s">
        <v>112</v>
      </c>
      <c r="E34" s="96"/>
      <c r="F34" s="96"/>
      <c r="G34" s="96"/>
    </row>
    <row r="35" spans="2:7" ht="15.75" x14ac:dyDescent="0.25">
      <c r="B35" s="96"/>
      <c r="C35" s="99" t="s">
        <v>113</v>
      </c>
      <c r="D35" s="99" t="s">
        <v>114</v>
      </c>
      <c r="E35" s="96"/>
      <c r="F35" s="96"/>
      <c r="G35" s="96"/>
    </row>
    <row r="36" spans="2:7" x14ac:dyDescent="0.25">
      <c r="B36" s="96"/>
      <c r="C36" s="103"/>
      <c r="D36" s="96"/>
      <c r="E36" s="96"/>
      <c r="F36" s="96"/>
      <c r="G36" s="96"/>
    </row>
    <row r="37" spans="2:7" x14ac:dyDescent="0.25">
      <c r="B37" s="96"/>
      <c r="C37" s="103"/>
      <c r="D37" s="96"/>
      <c r="E37" s="96"/>
      <c r="F37" s="96"/>
      <c r="G37" s="96"/>
    </row>
    <row r="38" spans="2:7" x14ac:dyDescent="0.25">
      <c r="B38" s="96"/>
      <c r="C38" s="103"/>
      <c r="D38" s="96"/>
      <c r="E38" s="96"/>
      <c r="F38" s="96"/>
      <c r="G38" s="96"/>
    </row>
    <row r="39" spans="2:7" ht="15.75" x14ac:dyDescent="0.25">
      <c r="B39" s="96"/>
      <c r="C39" s="104" t="s">
        <v>115</v>
      </c>
      <c r="D39" s="96" t="s">
        <v>116</v>
      </c>
      <c r="E39" s="96"/>
      <c r="F39" s="96"/>
      <c r="G39" s="96"/>
    </row>
    <row r="40" spans="2:7" x14ac:dyDescent="0.25">
      <c r="B40" s="96"/>
      <c r="C40" s="96"/>
      <c r="D40" s="96"/>
      <c r="E40" s="96"/>
      <c r="F40" s="96"/>
      <c r="G40" s="96"/>
    </row>
    <row r="41" spans="2:7" x14ac:dyDescent="0.25">
      <c r="B41" s="96"/>
      <c r="C41" s="96"/>
      <c r="D41" s="96"/>
      <c r="E41" s="96"/>
      <c r="F41" s="96"/>
      <c r="G41" s="96"/>
    </row>
    <row r="42" spans="2:7" x14ac:dyDescent="0.25">
      <c r="B42" s="96"/>
      <c r="C42" s="96"/>
      <c r="D42" s="96"/>
      <c r="E42" s="96"/>
      <c r="F42" s="96"/>
      <c r="G42" s="96"/>
    </row>
    <row r="43" spans="2:7" x14ac:dyDescent="0.25">
      <c r="B43" s="96"/>
      <c r="C43" s="96"/>
      <c r="D43" s="96"/>
      <c r="E43" s="96"/>
      <c r="F43" s="96"/>
      <c r="G43" s="96"/>
    </row>
  </sheetData>
  <mergeCells count="3">
    <mergeCell ref="B2:G2"/>
    <mergeCell ref="B12:G14"/>
    <mergeCell ref="B15:G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9"/>
  <sheetViews>
    <sheetView topLeftCell="D10" zoomScale="70" zoomScaleNormal="70" workbookViewId="0">
      <selection activeCell="I26" sqref="I26"/>
    </sheetView>
  </sheetViews>
  <sheetFormatPr baseColWidth="10" defaultRowHeight="15" x14ac:dyDescent="0.25"/>
  <cols>
    <col min="1" max="1" width="5.28515625" customWidth="1"/>
    <col min="2" max="2" width="8" customWidth="1"/>
    <col min="3" max="3" width="44.140625" customWidth="1"/>
    <col min="4" max="4" width="14.85546875" customWidth="1"/>
    <col min="5" max="5" width="14.5703125" customWidth="1"/>
    <col min="6" max="6" width="15.5703125" customWidth="1"/>
    <col min="7" max="7" width="24.28515625" customWidth="1"/>
    <col min="8" max="8" width="7.42578125" customWidth="1"/>
    <col min="9" max="9" width="41.140625" customWidth="1"/>
    <col min="10" max="10" width="13.7109375" customWidth="1"/>
    <col min="11" max="11" width="9.85546875" customWidth="1"/>
    <col min="12" max="12" width="13.42578125" customWidth="1"/>
    <col min="13" max="15" width="5" customWidth="1"/>
    <col min="16" max="16" width="15.5703125" customWidth="1"/>
  </cols>
  <sheetData>
    <row r="2" spans="2:16" x14ac:dyDescent="0.25">
      <c r="B2" s="239" t="s">
        <v>117</v>
      </c>
      <c r="C2" s="239"/>
      <c r="D2" s="239"/>
      <c r="E2" s="239"/>
      <c r="F2" s="239"/>
      <c r="G2" s="239"/>
    </row>
    <row r="3" spans="2:16" x14ac:dyDescent="0.25">
      <c r="B3" s="105"/>
      <c r="C3" s="105"/>
      <c r="D3" s="105"/>
      <c r="E3" s="105"/>
      <c r="F3" s="105"/>
      <c r="G3" s="105"/>
    </row>
    <row r="4" spans="2:16" x14ac:dyDescent="0.25">
      <c r="B4" s="106" t="s">
        <v>118</v>
      </c>
      <c r="C4" s="105"/>
      <c r="D4" s="105"/>
      <c r="E4" s="105"/>
      <c r="F4" s="105"/>
      <c r="G4" s="105"/>
    </row>
    <row r="5" spans="2:16" x14ac:dyDescent="0.25">
      <c r="B5" s="105"/>
      <c r="C5" s="105"/>
      <c r="D5" s="105"/>
      <c r="E5" s="105"/>
      <c r="F5" s="105"/>
      <c r="G5" s="105"/>
    </row>
    <row r="6" spans="2:16" x14ac:dyDescent="0.25">
      <c r="B6" s="105" t="s">
        <v>119</v>
      </c>
      <c r="C6" s="105"/>
      <c r="D6" s="105"/>
      <c r="E6" s="105"/>
      <c r="F6" s="105"/>
      <c r="G6" s="105"/>
    </row>
    <row r="7" spans="2:16" x14ac:dyDescent="0.25">
      <c r="B7" s="105" t="s">
        <v>35</v>
      </c>
      <c r="C7" s="105"/>
      <c r="D7" s="105"/>
      <c r="E7" s="105"/>
      <c r="F7" s="105"/>
      <c r="G7" s="105"/>
    </row>
    <row r="8" spans="2:16" x14ac:dyDescent="0.25">
      <c r="B8" s="105" t="s">
        <v>120</v>
      </c>
      <c r="C8" s="105"/>
      <c r="D8" s="105"/>
      <c r="E8" s="105"/>
      <c r="F8" s="105"/>
      <c r="G8" s="105"/>
    </row>
    <row r="9" spans="2:16" x14ac:dyDescent="0.25">
      <c r="B9" s="105"/>
      <c r="C9" s="105"/>
      <c r="D9" s="105"/>
      <c r="E9" s="105"/>
      <c r="F9" s="105"/>
      <c r="G9" s="105"/>
    </row>
    <row r="10" spans="2:16" ht="66.75" customHeight="1" x14ac:dyDescent="0.25">
      <c r="B10" s="240" t="s">
        <v>121</v>
      </c>
      <c r="C10" s="240"/>
      <c r="D10" s="240"/>
      <c r="E10" s="240"/>
      <c r="F10" s="240"/>
      <c r="G10" s="240"/>
    </row>
    <row r="13" spans="2:16" ht="30" customHeight="1" x14ac:dyDescent="0.25">
      <c r="B13" s="241" t="s">
        <v>122</v>
      </c>
      <c r="C13" s="241"/>
      <c r="D13" s="242" t="s">
        <v>123</v>
      </c>
      <c r="E13" s="242"/>
      <c r="F13" s="242"/>
      <c r="G13" s="242"/>
    </row>
    <row r="14" spans="2:16" ht="26.25" thickBot="1" x14ac:dyDescent="0.3">
      <c r="B14" s="107" t="s">
        <v>10</v>
      </c>
      <c r="C14" s="107" t="s">
        <v>39</v>
      </c>
      <c r="D14" s="107" t="s">
        <v>40</v>
      </c>
      <c r="E14" s="107" t="s">
        <v>41</v>
      </c>
      <c r="F14" s="107" t="s">
        <v>42</v>
      </c>
      <c r="G14" s="107" t="s">
        <v>43</v>
      </c>
    </row>
    <row r="15" spans="2:16" ht="34.5" customHeight="1" thickBot="1" x14ac:dyDescent="0.3">
      <c r="B15" s="108">
        <v>1</v>
      </c>
      <c r="C15" s="109" t="s">
        <v>124</v>
      </c>
      <c r="D15" s="108" t="s">
        <v>96</v>
      </c>
      <c r="E15" s="110">
        <v>1300</v>
      </c>
      <c r="F15" s="111">
        <v>36646</v>
      </c>
      <c r="G15" s="111">
        <f>+E15*F15</f>
        <v>47639800</v>
      </c>
      <c r="H15" s="159">
        <f>+E15*F15-G15</f>
        <v>0</v>
      </c>
      <c r="I15" s="128" t="s">
        <v>139</v>
      </c>
      <c r="J15" s="129" t="s">
        <v>96</v>
      </c>
      <c r="K15" s="130">
        <v>1300</v>
      </c>
      <c r="L15" s="156">
        <v>38844</v>
      </c>
      <c r="M15" s="133" t="str">
        <f>IF(C15=I15,"SI","NO")</f>
        <v>NO</v>
      </c>
      <c r="N15" s="133" t="str">
        <f>IF(D15=J15,"SI","NO")</f>
        <v>SI</v>
      </c>
      <c r="O15" s="133" t="str">
        <f>IF(E15=K15,"SI","NO")</f>
        <v>SI</v>
      </c>
      <c r="P15" s="160">
        <f>+L15-F15</f>
        <v>2198</v>
      </c>
    </row>
    <row r="16" spans="2:16" ht="34.5" customHeight="1" thickBot="1" x14ac:dyDescent="0.3">
      <c r="B16" s="108">
        <v>2</v>
      </c>
      <c r="C16" s="109" t="s">
        <v>125</v>
      </c>
      <c r="D16" s="108" t="s">
        <v>96</v>
      </c>
      <c r="E16" s="110">
        <v>1300</v>
      </c>
      <c r="F16" s="111">
        <v>49222</v>
      </c>
      <c r="G16" s="111">
        <f t="shared" ref="G16:G23" si="0">+E16*F16</f>
        <v>63988600</v>
      </c>
      <c r="H16" s="159">
        <f t="shared" ref="H16:H23" si="1">+E16*F16-G16</f>
        <v>0</v>
      </c>
      <c r="I16" s="128" t="s">
        <v>140</v>
      </c>
      <c r="J16" s="129" t="s">
        <v>96</v>
      </c>
      <c r="K16" s="130">
        <v>1300</v>
      </c>
      <c r="L16" s="157">
        <v>49585</v>
      </c>
      <c r="M16" s="133" t="str">
        <f t="shared" ref="M16:O23" si="2">IF(C16=I16,"SI","NO")</f>
        <v>NO</v>
      </c>
      <c r="N16" s="133" t="str">
        <f t="shared" si="2"/>
        <v>SI</v>
      </c>
      <c r="O16" s="133" t="str">
        <f t="shared" si="2"/>
        <v>SI</v>
      </c>
      <c r="P16" s="160">
        <f t="shared" ref="P16:P23" si="3">+L16-F16</f>
        <v>363</v>
      </c>
    </row>
    <row r="17" spans="2:16" ht="34.5" customHeight="1" thickBot="1" x14ac:dyDescent="0.3">
      <c r="B17" s="108">
        <v>3</v>
      </c>
      <c r="C17" s="109" t="s">
        <v>126</v>
      </c>
      <c r="D17" s="108" t="s">
        <v>98</v>
      </c>
      <c r="E17" s="110">
        <v>34000</v>
      </c>
      <c r="F17" s="111">
        <v>24197</v>
      </c>
      <c r="G17" s="111">
        <f t="shared" si="0"/>
        <v>822698000</v>
      </c>
      <c r="H17" s="159">
        <f t="shared" si="1"/>
        <v>0</v>
      </c>
      <c r="I17" s="128" t="s">
        <v>138</v>
      </c>
      <c r="J17" s="129" t="s">
        <v>98</v>
      </c>
      <c r="K17" s="130">
        <v>34000</v>
      </c>
      <c r="L17" s="157">
        <v>25506</v>
      </c>
      <c r="M17" s="133" t="str">
        <f t="shared" si="2"/>
        <v>NO</v>
      </c>
      <c r="N17" s="133" t="str">
        <f t="shared" si="2"/>
        <v>SI</v>
      </c>
      <c r="O17" s="133" t="str">
        <f t="shared" si="2"/>
        <v>SI</v>
      </c>
      <c r="P17" s="160">
        <f t="shared" si="3"/>
        <v>1309</v>
      </c>
    </row>
    <row r="18" spans="2:16" ht="34.5" customHeight="1" thickBot="1" x14ac:dyDescent="0.3">
      <c r="B18" s="108">
        <v>4</v>
      </c>
      <c r="C18" s="109" t="s">
        <v>99</v>
      </c>
      <c r="D18" s="108" t="s">
        <v>98</v>
      </c>
      <c r="E18" s="110">
        <v>5600</v>
      </c>
      <c r="F18" s="111">
        <v>27949</v>
      </c>
      <c r="G18" s="111">
        <f t="shared" si="0"/>
        <v>156514400</v>
      </c>
      <c r="H18" s="159">
        <f t="shared" si="1"/>
        <v>0</v>
      </c>
      <c r="I18" s="129" t="s">
        <v>99</v>
      </c>
      <c r="J18" s="129" t="s">
        <v>98</v>
      </c>
      <c r="K18" s="130">
        <v>5600</v>
      </c>
      <c r="L18" s="157">
        <v>29187</v>
      </c>
      <c r="M18" s="133" t="str">
        <f t="shared" si="2"/>
        <v>SI</v>
      </c>
      <c r="N18" s="133" t="str">
        <f t="shared" si="2"/>
        <v>SI</v>
      </c>
      <c r="O18" s="133" t="str">
        <f t="shared" si="2"/>
        <v>SI</v>
      </c>
      <c r="P18" s="160">
        <f t="shared" si="3"/>
        <v>1238</v>
      </c>
    </row>
    <row r="19" spans="2:16" ht="34.5" customHeight="1" thickBot="1" x14ac:dyDescent="0.3">
      <c r="B19" s="108">
        <v>5</v>
      </c>
      <c r="C19" s="109" t="s">
        <v>47</v>
      </c>
      <c r="D19" s="108" t="s">
        <v>100</v>
      </c>
      <c r="E19" s="110">
        <v>730</v>
      </c>
      <c r="F19" s="111">
        <v>49620</v>
      </c>
      <c r="G19" s="111">
        <f t="shared" si="0"/>
        <v>36222600</v>
      </c>
      <c r="H19" s="159">
        <f t="shared" si="1"/>
        <v>0</v>
      </c>
      <c r="I19" s="128" t="s">
        <v>47</v>
      </c>
      <c r="J19" s="129" t="s">
        <v>100</v>
      </c>
      <c r="K19" s="131">
        <v>730</v>
      </c>
      <c r="L19" s="157">
        <v>51104</v>
      </c>
      <c r="M19" s="133" t="str">
        <f t="shared" si="2"/>
        <v>SI</v>
      </c>
      <c r="N19" s="133" t="str">
        <f t="shared" si="2"/>
        <v>SI</v>
      </c>
      <c r="O19" s="133" t="str">
        <f t="shared" si="2"/>
        <v>SI</v>
      </c>
      <c r="P19" s="160">
        <f t="shared" si="3"/>
        <v>1484</v>
      </c>
    </row>
    <row r="20" spans="2:16" ht="34.5" customHeight="1" thickBot="1" x14ac:dyDescent="0.3">
      <c r="B20" s="108">
        <v>6</v>
      </c>
      <c r="C20" s="109" t="s">
        <v>101</v>
      </c>
      <c r="D20" s="108" t="s">
        <v>98</v>
      </c>
      <c r="E20" s="110">
        <v>800</v>
      </c>
      <c r="F20" s="111">
        <v>32041</v>
      </c>
      <c r="G20" s="111">
        <f t="shared" si="0"/>
        <v>25632800</v>
      </c>
      <c r="H20" s="159">
        <f t="shared" si="1"/>
        <v>0</v>
      </c>
      <c r="I20" s="129" t="s">
        <v>101</v>
      </c>
      <c r="J20" s="129" t="s">
        <v>98</v>
      </c>
      <c r="K20" s="130">
        <v>800</v>
      </c>
      <c r="L20" s="157">
        <v>34032</v>
      </c>
      <c r="M20" s="133" t="str">
        <f t="shared" si="2"/>
        <v>SI</v>
      </c>
      <c r="N20" s="133" t="str">
        <f t="shared" si="2"/>
        <v>SI</v>
      </c>
      <c r="O20" s="133" t="str">
        <f t="shared" si="2"/>
        <v>SI</v>
      </c>
      <c r="P20" s="160">
        <f t="shared" si="3"/>
        <v>1991</v>
      </c>
    </row>
    <row r="21" spans="2:16" ht="34.5" customHeight="1" thickBot="1" x14ac:dyDescent="0.3">
      <c r="B21" s="108">
        <v>7</v>
      </c>
      <c r="C21" s="109" t="s">
        <v>48</v>
      </c>
      <c r="D21" s="108" t="s">
        <v>98</v>
      </c>
      <c r="E21" s="110">
        <v>200</v>
      </c>
      <c r="F21" s="111">
        <v>27908</v>
      </c>
      <c r="G21" s="111">
        <f t="shared" si="0"/>
        <v>5581600</v>
      </c>
      <c r="H21" s="159">
        <f t="shared" si="1"/>
        <v>0</v>
      </c>
      <c r="I21" s="128" t="s">
        <v>48</v>
      </c>
      <c r="J21" s="129" t="s">
        <v>98</v>
      </c>
      <c r="K21" s="130">
        <v>200</v>
      </c>
      <c r="L21" s="157">
        <v>28348</v>
      </c>
      <c r="M21" s="133" t="str">
        <f t="shared" si="2"/>
        <v>SI</v>
      </c>
      <c r="N21" s="133" t="str">
        <f t="shared" si="2"/>
        <v>SI</v>
      </c>
      <c r="O21" s="133" t="str">
        <f t="shared" si="2"/>
        <v>SI</v>
      </c>
      <c r="P21" s="160">
        <f t="shared" si="3"/>
        <v>440</v>
      </c>
    </row>
    <row r="22" spans="2:16" ht="34.5" customHeight="1" thickBot="1" x14ac:dyDescent="0.3">
      <c r="B22" s="108">
        <v>8</v>
      </c>
      <c r="C22" s="109" t="s">
        <v>102</v>
      </c>
      <c r="D22" s="108" t="s">
        <v>40</v>
      </c>
      <c r="E22" s="110">
        <v>1800</v>
      </c>
      <c r="F22" s="111">
        <v>9486</v>
      </c>
      <c r="G22" s="111">
        <f t="shared" si="0"/>
        <v>17074800</v>
      </c>
      <c r="H22" s="159">
        <f t="shared" si="1"/>
        <v>0</v>
      </c>
      <c r="I22" s="128" t="s">
        <v>102</v>
      </c>
      <c r="J22" s="129" t="s">
        <v>40</v>
      </c>
      <c r="K22" s="130">
        <v>1800</v>
      </c>
      <c r="L22" s="157">
        <v>10095</v>
      </c>
      <c r="M22" s="133" t="str">
        <f t="shared" si="2"/>
        <v>SI</v>
      </c>
      <c r="N22" s="133" t="str">
        <f t="shared" si="2"/>
        <v>SI</v>
      </c>
      <c r="O22" s="133" t="str">
        <f t="shared" si="2"/>
        <v>SI</v>
      </c>
      <c r="P22" s="160">
        <f t="shared" si="3"/>
        <v>609</v>
      </c>
    </row>
    <row r="23" spans="2:16" ht="34.5" customHeight="1" thickBot="1" x14ac:dyDescent="0.3">
      <c r="B23" s="108">
        <v>9</v>
      </c>
      <c r="C23" s="109" t="s">
        <v>103</v>
      </c>
      <c r="D23" s="108" t="s">
        <v>40</v>
      </c>
      <c r="E23" s="110">
        <v>1799</v>
      </c>
      <c r="F23" s="111">
        <v>14177</v>
      </c>
      <c r="G23" s="111">
        <f t="shared" si="0"/>
        <v>25504423</v>
      </c>
      <c r="H23" s="159">
        <f t="shared" si="1"/>
        <v>0</v>
      </c>
      <c r="I23" s="128" t="s">
        <v>103</v>
      </c>
      <c r="J23" s="129" t="s">
        <v>40</v>
      </c>
      <c r="K23" s="130">
        <v>1799</v>
      </c>
      <c r="L23" s="158">
        <v>14743</v>
      </c>
      <c r="M23" s="133" t="str">
        <f t="shared" si="2"/>
        <v>SI</v>
      </c>
      <c r="N23" s="133" t="str">
        <f t="shared" si="2"/>
        <v>SI</v>
      </c>
      <c r="O23" s="133" t="str">
        <f t="shared" si="2"/>
        <v>SI</v>
      </c>
      <c r="P23" s="160">
        <f t="shared" si="3"/>
        <v>566</v>
      </c>
    </row>
    <row r="24" spans="2:16" ht="34.5" customHeight="1" x14ac:dyDescent="0.25">
      <c r="B24" s="112"/>
      <c r="C24" s="112"/>
      <c r="D24" s="112"/>
      <c r="E24" s="237" t="s">
        <v>104</v>
      </c>
      <c r="F24" s="237"/>
      <c r="G24" s="113">
        <f>SUM(G15:G23)</f>
        <v>1200857023</v>
      </c>
    </row>
    <row r="25" spans="2:16" ht="34.5" customHeight="1" x14ac:dyDescent="0.25">
      <c r="B25" s="112"/>
      <c r="C25" s="112"/>
      <c r="D25" s="112"/>
      <c r="E25" s="237" t="s">
        <v>127</v>
      </c>
      <c r="F25" s="237"/>
      <c r="G25" s="113">
        <f>+ROUND((G24*19%),0)</f>
        <v>228162834</v>
      </c>
      <c r="H25" s="159">
        <f>+G24*0.19-G25</f>
        <v>0.37000000476837158</v>
      </c>
    </row>
    <row r="26" spans="2:16" ht="34.5" customHeight="1" x14ac:dyDescent="0.25">
      <c r="B26" s="112"/>
      <c r="C26" s="112"/>
      <c r="D26" s="112"/>
      <c r="E26" s="237" t="s">
        <v>128</v>
      </c>
      <c r="F26" s="237"/>
      <c r="G26" s="114">
        <f>+G24+G25</f>
        <v>1429019857</v>
      </c>
      <c r="H26" s="160">
        <f>+G24+G25-G26</f>
        <v>0</v>
      </c>
      <c r="I26" s="200">
        <v>1429019857</v>
      </c>
      <c r="J26" s="198" t="s">
        <v>168</v>
      </c>
    </row>
    <row r="27" spans="2:16" x14ac:dyDescent="0.25">
      <c r="I27" s="160">
        <f>+I26-G26</f>
        <v>0</v>
      </c>
    </row>
    <row r="29" spans="2:16" ht="27.75" customHeight="1" x14ac:dyDescent="0.25">
      <c r="B29" s="238" t="s">
        <v>52</v>
      </c>
      <c r="C29" s="238"/>
      <c r="D29" s="238"/>
      <c r="E29" s="238"/>
      <c r="F29" s="238"/>
      <c r="G29" s="238"/>
    </row>
    <row r="30" spans="2:16" x14ac:dyDescent="0.25">
      <c r="B30" s="115"/>
      <c r="C30" s="115"/>
      <c r="D30" s="115"/>
      <c r="E30" s="115"/>
      <c r="F30" s="115"/>
      <c r="G30" s="115"/>
    </row>
    <row r="31" spans="2:16" x14ac:dyDescent="0.25">
      <c r="B31" s="238" t="s">
        <v>129</v>
      </c>
      <c r="C31" s="238"/>
      <c r="D31" s="238"/>
      <c r="E31" s="238"/>
      <c r="F31" s="238"/>
      <c r="G31" s="238"/>
    </row>
    <row r="32" spans="2:16" x14ac:dyDescent="0.25">
      <c r="B32" s="116"/>
      <c r="C32" s="116"/>
      <c r="D32" s="116"/>
      <c r="E32" s="116"/>
      <c r="F32" s="116"/>
      <c r="G32" s="116"/>
    </row>
    <row r="33" spans="2:7" x14ac:dyDescent="0.25">
      <c r="B33" s="117"/>
      <c r="C33" s="117"/>
      <c r="D33" s="117"/>
      <c r="E33" s="117"/>
      <c r="F33" s="117"/>
      <c r="G33" s="117"/>
    </row>
    <row r="34" spans="2:7" x14ac:dyDescent="0.25">
      <c r="B34" s="118"/>
      <c r="C34" s="118"/>
      <c r="D34" s="117"/>
      <c r="E34" s="117"/>
      <c r="F34" s="117"/>
      <c r="G34" s="117"/>
    </row>
    <row r="35" spans="2:7" x14ac:dyDescent="0.25">
      <c r="B35" s="117" t="s">
        <v>130</v>
      </c>
      <c r="C35" s="117"/>
      <c r="D35" s="117"/>
      <c r="E35" s="117"/>
      <c r="F35" s="117"/>
      <c r="G35" s="117"/>
    </row>
    <row r="36" spans="2:7" x14ac:dyDescent="0.25">
      <c r="B36" s="117" t="s">
        <v>131</v>
      </c>
      <c r="C36" s="117"/>
      <c r="D36" s="117"/>
      <c r="E36" s="117"/>
      <c r="F36" s="117"/>
      <c r="G36" s="117"/>
    </row>
    <row r="37" spans="2:7" x14ac:dyDescent="0.25">
      <c r="B37" s="117" t="s">
        <v>132</v>
      </c>
      <c r="C37" s="117"/>
      <c r="D37" s="117"/>
      <c r="E37" s="117"/>
      <c r="F37" s="117"/>
      <c r="G37" s="117"/>
    </row>
    <row r="38" spans="2:7" x14ac:dyDescent="0.25">
      <c r="B38" s="117" t="s">
        <v>133</v>
      </c>
      <c r="C38" s="117"/>
      <c r="D38" s="117"/>
      <c r="E38" s="117"/>
      <c r="F38" s="117"/>
      <c r="G38" s="117"/>
    </row>
    <row r="39" spans="2:7" x14ac:dyDescent="0.25">
      <c r="B39" s="117" t="s">
        <v>134</v>
      </c>
    </row>
  </sheetData>
  <mergeCells count="9">
    <mergeCell ref="E26:F26"/>
    <mergeCell ref="B29:G29"/>
    <mergeCell ref="B31:G31"/>
    <mergeCell ref="B2:G2"/>
    <mergeCell ref="B10:G10"/>
    <mergeCell ref="B13:C13"/>
    <mergeCell ref="D13:G13"/>
    <mergeCell ref="E24:F24"/>
    <mergeCell ref="E25:F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5"/>
  <sheetViews>
    <sheetView zoomScale="70" zoomScaleNormal="70" workbookViewId="0">
      <selection activeCell="A29" sqref="A29"/>
    </sheetView>
  </sheetViews>
  <sheetFormatPr baseColWidth="10" defaultRowHeight="15" x14ac:dyDescent="0.25"/>
  <cols>
    <col min="1" max="1" width="4" customWidth="1"/>
    <col min="3" max="3" width="49.85546875" customWidth="1"/>
    <col min="4" max="4" width="18.42578125" customWidth="1"/>
    <col min="5" max="5" width="15.5703125" customWidth="1"/>
    <col min="6" max="6" width="26.140625" customWidth="1"/>
    <col min="7" max="7" width="24.42578125" customWidth="1"/>
    <col min="8" max="8" width="8.42578125" customWidth="1"/>
    <col min="9" max="9" width="40" customWidth="1"/>
    <col min="10" max="10" width="14.28515625" customWidth="1"/>
    <col min="12" max="12" width="13.7109375" customWidth="1"/>
    <col min="13" max="15" width="5.85546875" customWidth="1"/>
  </cols>
  <sheetData>
    <row r="2" spans="2:16" x14ac:dyDescent="0.25">
      <c r="B2" s="67"/>
      <c r="C2" s="67"/>
      <c r="D2" s="67"/>
      <c r="E2" s="67"/>
      <c r="F2" s="67"/>
      <c r="G2" s="67"/>
      <c r="H2" s="67"/>
    </row>
    <row r="3" spans="2:16" x14ac:dyDescent="0.25">
      <c r="B3" s="67"/>
      <c r="C3" s="67"/>
      <c r="D3" s="67"/>
      <c r="E3" s="67"/>
      <c r="F3" s="67"/>
      <c r="G3" s="67"/>
      <c r="H3" s="67"/>
    </row>
    <row r="4" spans="2:16" ht="15.75" x14ac:dyDescent="0.25">
      <c r="B4" s="243" t="s">
        <v>142</v>
      </c>
      <c r="C4" s="243"/>
      <c r="D4" s="243"/>
      <c r="E4" s="243"/>
      <c r="F4" s="243"/>
      <c r="G4" s="243"/>
      <c r="H4" s="67"/>
    </row>
    <row r="5" spans="2:16" ht="15.75" x14ac:dyDescent="0.25">
      <c r="B5" s="180"/>
      <c r="C5" s="180"/>
      <c r="D5" s="180"/>
      <c r="E5" s="180"/>
      <c r="F5" s="180"/>
      <c r="G5" s="180"/>
      <c r="H5" s="67"/>
    </row>
    <row r="6" spans="2:16" ht="28.5" customHeight="1" thickBot="1" x14ac:dyDescent="0.3">
      <c r="B6" s="172" t="s">
        <v>143</v>
      </c>
      <c r="C6" s="172" t="s">
        <v>144</v>
      </c>
      <c r="D6" s="172" t="s">
        <v>145</v>
      </c>
      <c r="E6" s="172" t="s">
        <v>146</v>
      </c>
      <c r="F6" s="172" t="s">
        <v>147</v>
      </c>
      <c r="G6" s="173" t="s">
        <v>148</v>
      </c>
      <c r="H6" s="67"/>
    </row>
    <row r="7" spans="2:16" ht="30.75" customHeight="1" thickBot="1" x14ac:dyDescent="0.3">
      <c r="B7" s="174">
        <v>1</v>
      </c>
      <c r="C7" s="175" t="s">
        <v>149</v>
      </c>
      <c r="D7" s="175" t="s">
        <v>150</v>
      </c>
      <c r="E7" s="176">
        <v>1300</v>
      </c>
      <c r="F7" s="186">
        <v>38000</v>
      </c>
      <c r="G7" s="185">
        <v>49400000</v>
      </c>
      <c r="H7" s="67">
        <f>+E7*F7-G7</f>
        <v>0</v>
      </c>
      <c r="I7" s="128" t="s">
        <v>139</v>
      </c>
      <c r="J7" s="129" t="s">
        <v>96</v>
      </c>
      <c r="K7" s="130">
        <v>1300</v>
      </c>
      <c r="L7" s="156">
        <v>38844</v>
      </c>
      <c r="M7" s="133" t="str">
        <f>IF(C7=I7,"SI","NO")</f>
        <v>NO</v>
      </c>
      <c r="N7" s="133" t="str">
        <f>IF(D7=J7,"SI","NO")</f>
        <v>SI</v>
      </c>
      <c r="O7" s="133" t="str">
        <f>IF(E7=K7,"SI","NO")</f>
        <v>SI</v>
      </c>
      <c r="P7" s="160">
        <f>+L7-F7</f>
        <v>844</v>
      </c>
    </row>
    <row r="8" spans="2:16" ht="30.75" customHeight="1" thickBot="1" x14ac:dyDescent="0.3">
      <c r="B8" s="174">
        <v>2</v>
      </c>
      <c r="C8" s="175" t="s">
        <v>151</v>
      </c>
      <c r="D8" s="175" t="s">
        <v>150</v>
      </c>
      <c r="E8" s="176">
        <v>1300</v>
      </c>
      <c r="F8" s="186">
        <v>49000</v>
      </c>
      <c r="G8" s="185">
        <v>63700000</v>
      </c>
      <c r="H8" s="67">
        <f t="shared" ref="H8:H15" si="0">+E8*F8-G8</f>
        <v>0</v>
      </c>
      <c r="I8" s="128" t="s">
        <v>140</v>
      </c>
      <c r="J8" s="129" t="s">
        <v>96</v>
      </c>
      <c r="K8" s="130">
        <v>1300</v>
      </c>
      <c r="L8" s="157">
        <v>49585</v>
      </c>
      <c r="M8" s="133" t="str">
        <f t="shared" ref="M8:O15" si="1">IF(C8=I8,"SI","NO")</f>
        <v>NO</v>
      </c>
      <c r="N8" s="133" t="str">
        <f t="shared" si="1"/>
        <v>SI</v>
      </c>
      <c r="O8" s="133" t="str">
        <f t="shared" si="1"/>
        <v>SI</v>
      </c>
      <c r="P8" s="160">
        <f t="shared" ref="P8:P15" si="2">+L8-F8</f>
        <v>585</v>
      </c>
    </row>
    <row r="9" spans="2:16" ht="30.75" customHeight="1" thickBot="1" x14ac:dyDescent="0.3">
      <c r="B9" s="174">
        <v>3</v>
      </c>
      <c r="C9" s="175" t="s">
        <v>152</v>
      </c>
      <c r="D9" s="175" t="s">
        <v>153</v>
      </c>
      <c r="E9" s="176">
        <v>34000</v>
      </c>
      <c r="F9" s="186">
        <v>24500</v>
      </c>
      <c r="G9" s="185">
        <v>833000000</v>
      </c>
      <c r="H9" s="67">
        <f t="shared" si="0"/>
        <v>0</v>
      </c>
      <c r="I9" s="128" t="s">
        <v>138</v>
      </c>
      <c r="J9" s="129" t="s">
        <v>98</v>
      </c>
      <c r="K9" s="130">
        <v>34000</v>
      </c>
      <c r="L9" s="157">
        <v>25506</v>
      </c>
      <c r="M9" s="133" t="str">
        <f t="shared" si="1"/>
        <v>NO</v>
      </c>
      <c r="N9" s="133" t="str">
        <f t="shared" si="1"/>
        <v>SI</v>
      </c>
      <c r="O9" s="133" t="str">
        <f t="shared" si="1"/>
        <v>SI</v>
      </c>
      <c r="P9" s="160">
        <f t="shared" si="2"/>
        <v>1006</v>
      </c>
    </row>
    <row r="10" spans="2:16" ht="30.75" customHeight="1" thickBot="1" x14ac:dyDescent="0.3">
      <c r="B10" s="174">
        <v>4</v>
      </c>
      <c r="C10" s="175" t="s">
        <v>154</v>
      </c>
      <c r="D10" s="175" t="s">
        <v>153</v>
      </c>
      <c r="E10" s="176">
        <v>5600</v>
      </c>
      <c r="F10" s="186">
        <v>29000</v>
      </c>
      <c r="G10" s="185">
        <v>162400000</v>
      </c>
      <c r="H10" s="67">
        <f t="shared" si="0"/>
        <v>0</v>
      </c>
      <c r="I10" s="129" t="s">
        <v>99</v>
      </c>
      <c r="J10" s="129" t="s">
        <v>98</v>
      </c>
      <c r="K10" s="130">
        <v>5600</v>
      </c>
      <c r="L10" s="157">
        <v>29187</v>
      </c>
      <c r="M10" s="133" t="str">
        <f t="shared" si="1"/>
        <v>SI</v>
      </c>
      <c r="N10" s="133" t="str">
        <f t="shared" si="1"/>
        <v>SI</v>
      </c>
      <c r="O10" s="133" t="str">
        <f t="shared" si="1"/>
        <v>SI</v>
      </c>
      <c r="P10" s="160">
        <f t="shared" si="2"/>
        <v>187</v>
      </c>
    </row>
    <row r="11" spans="2:16" ht="30.75" customHeight="1" thickBot="1" x14ac:dyDescent="0.3">
      <c r="B11" s="174">
        <v>5</v>
      </c>
      <c r="C11" s="175" t="s">
        <v>155</v>
      </c>
      <c r="D11" s="175" t="s">
        <v>156</v>
      </c>
      <c r="E11" s="177">
        <v>730</v>
      </c>
      <c r="F11" s="186">
        <v>50000</v>
      </c>
      <c r="G11" s="185">
        <v>36500000</v>
      </c>
      <c r="H11" s="67">
        <f t="shared" si="0"/>
        <v>0</v>
      </c>
      <c r="I11" s="128" t="s">
        <v>47</v>
      </c>
      <c r="J11" s="129" t="s">
        <v>100</v>
      </c>
      <c r="K11" s="131">
        <v>730</v>
      </c>
      <c r="L11" s="157">
        <v>51104</v>
      </c>
      <c r="M11" s="133" t="str">
        <f t="shared" si="1"/>
        <v>SI</v>
      </c>
      <c r="N11" s="133" t="str">
        <f t="shared" si="1"/>
        <v>SI</v>
      </c>
      <c r="O11" s="133" t="str">
        <f t="shared" si="1"/>
        <v>SI</v>
      </c>
      <c r="P11" s="160">
        <f t="shared" si="2"/>
        <v>1104</v>
      </c>
    </row>
    <row r="12" spans="2:16" ht="30.75" customHeight="1" thickBot="1" x14ac:dyDescent="0.3">
      <c r="B12" s="174">
        <v>6</v>
      </c>
      <c r="C12" s="175" t="s">
        <v>157</v>
      </c>
      <c r="D12" s="175" t="s">
        <v>153</v>
      </c>
      <c r="E12" s="177">
        <v>800</v>
      </c>
      <c r="F12" s="186">
        <v>34000</v>
      </c>
      <c r="G12" s="185">
        <v>27200000</v>
      </c>
      <c r="H12" s="67">
        <f t="shared" si="0"/>
        <v>0</v>
      </c>
      <c r="I12" s="129" t="s">
        <v>101</v>
      </c>
      <c r="J12" s="129" t="s">
        <v>98</v>
      </c>
      <c r="K12" s="130">
        <v>800</v>
      </c>
      <c r="L12" s="157">
        <v>34032</v>
      </c>
      <c r="M12" s="133" t="str">
        <f t="shared" si="1"/>
        <v>SI</v>
      </c>
      <c r="N12" s="133" t="str">
        <f t="shared" si="1"/>
        <v>SI</v>
      </c>
      <c r="O12" s="133" t="str">
        <f t="shared" si="1"/>
        <v>SI</v>
      </c>
      <c r="P12" s="160">
        <f t="shared" si="2"/>
        <v>32</v>
      </c>
    </row>
    <row r="13" spans="2:16" ht="30.75" customHeight="1" thickBot="1" x14ac:dyDescent="0.3">
      <c r="B13" s="181">
        <v>7</v>
      </c>
      <c r="C13" s="182" t="s">
        <v>158</v>
      </c>
      <c r="D13" s="182" t="s">
        <v>153</v>
      </c>
      <c r="E13" s="183">
        <v>200</v>
      </c>
      <c r="F13" s="187">
        <v>28000</v>
      </c>
      <c r="G13" s="184">
        <v>5600000</v>
      </c>
      <c r="H13" s="67">
        <f t="shared" si="0"/>
        <v>0</v>
      </c>
      <c r="I13" s="128" t="s">
        <v>48</v>
      </c>
      <c r="J13" s="129" t="s">
        <v>98</v>
      </c>
      <c r="K13" s="130">
        <v>200</v>
      </c>
      <c r="L13" s="157">
        <v>28348</v>
      </c>
      <c r="M13" s="133" t="str">
        <f t="shared" si="1"/>
        <v>SI</v>
      </c>
      <c r="N13" s="133" t="str">
        <f t="shared" si="1"/>
        <v>SI</v>
      </c>
      <c r="O13" s="133" t="str">
        <f t="shared" si="1"/>
        <v>SI</v>
      </c>
      <c r="P13" s="160">
        <f t="shared" si="2"/>
        <v>348</v>
      </c>
    </row>
    <row r="14" spans="2:16" ht="30.75" customHeight="1" thickBot="1" x14ac:dyDescent="0.3">
      <c r="B14" s="174">
        <v>8</v>
      </c>
      <c r="C14" s="175" t="s">
        <v>159</v>
      </c>
      <c r="D14" s="175" t="s">
        <v>160</v>
      </c>
      <c r="E14" s="176">
        <v>1800</v>
      </c>
      <c r="F14" s="186">
        <v>10000</v>
      </c>
      <c r="G14" s="185">
        <v>18000000</v>
      </c>
      <c r="H14" s="67">
        <f t="shared" si="0"/>
        <v>0</v>
      </c>
      <c r="I14" s="128" t="s">
        <v>102</v>
      </c>
      <c r="J14" s="129" t="s">
        <v>40</v>
      </c>
      <c r="K14" s="130">
        <v>1800</v>
      </c>
      <c r="L14" s="157">
        <v>10095</v>
      </c>
      <c r="M14" s="133" t="str">
        <f t="shared" si="1"/>
        <v>SI</v>
      </c>
      <c r="N14" s="133" t="str">
        <f t="shared" si="1"/>
        <v>SI</v>
      </c>
      <c r="O14" s="133" t="str">
        <f t="shared" si="1"/>
        <v>SI</v>
      </c>
      <c r="P14" s="160">
        <f t="shared" si="2"/>
        <v>95</v>
      </c>
    </row>
    <row r="15" spans="2:16" ht="30.75" customHeight="1" thickBot="1" x14ac:dyDescent="0.3">
      <c r="B15" s="174">
        <v>9</v>
      </c>
      <c r="C15" s="175" t="s">
        <v>161</v>
      </c>
      <c r="D15" s="175" t="s">
        <v>160</v>
      </c>
      <c r="E15" s="176">
        <v>1799</v>
      </c>
      <c r="F15" s="186">
        <v>13000</v>
      </c>
      <c r="G15" s="185">
        <v>23387000</v>
      </c>
      <c r="H15" s="67">
        <f t="shared" si="0"/>
        <v>0</v>
      </c>
      <c r="I15" s="128" t="s">
        <v>103</v>
      </c>
      <c r="J15" s="129" t="s">
        <v>40</v>
      </c>
      <c r="K15" s="130">
        <v>1799</v>
      </c>
      <c r="L15" s="158">
        <v>14743</v>
      </c>
      <c r="M15" s="133" t="str">
        <f t="shared" si="1"/>
        <v>SI</v>
      </c>
      <c r="N15" s="133" t="str">
        <f t="shared" si="1"/>
        <v>SI</v>
      </c>
      <c r="O15" s="133" t="str">
        <f t="shared" si="1"/>
        <v>SI</v>
      </c>
      <c r="P15" s="160">
        <f t="shared" si="2"/>
        <v>1743</v>
      </c>
    </row>
    <row r="16" spans="2:16" ht="39" customHeight="1" x14ac:dyDescent="0.25">
      <c r="B16" s="244"/>
      <c r="C16" s="244"/>
      <c r="D16" s="244"/>
      <c r="E16" s="245"/>
      <c r="F16" s="172" t="s">
        <v>162</v>
      </c>
      <c r="G16" s="178">
        <v>1219187000</v>
      </c>
      <c r="H16" s="188">
        <f>+G7+G8+G9+G10+G11+G12+G13+G14+G15-G16</f>
        <v>0</v>
      </c>
    </row>
    <row r="17" spans="2:10" ht="15.75" x14ac:dyDescent="0.25">
      <c r="B17" s="246"/>
      <c r="C17" s="246"/>
      <c r="D17" s="246"/>
      <c r="E17" s="247"/>
      <c r="F17" s="172" t="s">
        <v>163</v>
      </c>
      <c r="G17" s="179">
        <v>231645530</v>
      </c>
      <c r="H17" s="67">
        <f>+(G16*19/100)-G17</f>
        <v>0</v>
      </c>
    </row>
    <row r="18" spans="2:10" ht="58.5" customHeight="1" x14ac:dyDescent="0.25">
      <c r="B18" s="246"/>
      <c r="C18" s="246"/>
      <c r="D18" s="246"/>
      <c r="E18" s="247"/>
      <c r="F18" s="172" t="s">
        <v>164</v>
      </c>
      <c r="G18" s="178">
        <v>1450832530</v>
      </c>
      <c r="H18" s="188">
        <f>+G16+G17-G18</f>
        <v>0</v>
      </c>
      <c r="I18" s="197">
        <v>1450832530</v>
      </c>
      <c r="J18" s="198" t="s">
        <v>168</v>
      </c>
    </row>
    <row r="19" spans="2:10" x14ac:dyDescent="0.25">
      <c r="B19" s="248" t="s">
        <v>165</v>
      </c>
      <c r="C19" s="248"/>
      <c r="D19" s="248"/>
      <c r="E19" s="248"/>
      <c r="F19" s="248"/>
      <c r="G19" s="248"/>
      <c r="H19" s="248"/>
      <c r="I19" s="196">
        <f>+G18-I18</f>
        <v>0</v>
      </c>
    </row>
    <row r="20" spans="2:10" x14ac:dyDescent="0.25">
      <c r="B20" s="248" t="s">
        <v>166</v>
      </c>
      <c r="C20" s="248"/>
      <c r="D20" s="248"/>
      <c r="E20" s="248"/>
      <c r="F20" s="248"/>
      <c r="G20" s="248"/>
      <c r="H20" s="248"/>
    </row>
    <row r="21" spans="2:10" x14ac:dyDescent="0.25">
      <c r="B21" s="246" t="s">
        <v>167</v>
      </c>
      <c r="C21" s="246"/>
      <c r="D21" s="246"/>
      <c r="E21" s="246"/>
      <c r="F21" s="246"/>
      <c r="G21" s="246"/>
      <c r="H21" s="246"/>
    </row>
    <row r="22" spans="2:10" x14ac:dyDescent="0.25">
      <c r="B22" s="67"/>
      <c r="C22" s="67"/>
      <c r="D22" s="67"/>
      <c r="E22" s="67"/>
      <c r="F22" s="67"/>
      <c r="G22" s="67"/>
      <c r="H22" s="67"/>
    </row>
    <row r="23" spans="2:10" x14ac:dyDescent="0.25">
      <c r="B23" s="67"/>
      <c r="C23" s="67"/>
      <c r="D23" s="67"/>
      <c r="E23" s="67"/>
      <c r="F23" s="67"/>
      <c r="G23" s="67"/>
      <c r="H23" s="67"/>
    </row>
    <row r="24" spans="2:10" x14ac:dyDescent="0.25">
      <c r="B24" s="67"/>
      <c r="C24" s="67"/>
      <c r="D24" s="67"/>
      <c r="E24" s="67"/>
      <c r="F24" s="67"/>
      <c r="G24" s="67"/>
      <c r="H24" s="67"/>
    </row>
    <row r="25" spans="2:10" x14ac:dyDescent="0.25">
      <c r="B25" s="67"/>
      <c r="C25" s="67"/>
      <c r="D25" s="67"/>
      <c r="E25" s="67"/>
      <c r="F25" s="67"/>
      <c r="G25" s="67"/>
      <c r="H25" s="67"/>
    </row>
  </sheetData>
  <mergeCells count="5">
    <mergeCell ref="B4:G4"/>
    <mergeCell ref="B16:E18"/>
    <mergeCell ref="B19:H19"/>
    <mergeCell ref="B20:H20"/>
    <mergeCell ref="B21:H2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K23"/>
  <sheetViews>
    <sheetView topLeftCell="A7" workbookViewId="0">
      <selection activeCell="B20" sqref="B20"/>
    </sheetView>
  </sheetViews>
  <sheetFormatPr baseColWidth="10" defaultColWidth="10.85546875" defaultRowHeight="15" x14ac:dyDescent="0.25"/>
  <cols>
    <col min="1" max="1" width="12.28515625" customWidth="1"/>
    <col min="2" max="2" width="61.85546875" customWidth="1"/>
    <col min="3" max="3" width="26.7109375" customWidth="1"/>
    <col min="4" max="4" width="18.85546875" style="34" customWidth="1"/>
    <col min="5" max="5" width="14.85546875" style="15" hidden="1" customWidth="1"/>
    <col min="6" max="6" width="28.140625" style="15" hidden="1" customWidth="1"/>
    <col min="7" max="7" width="18.42578125" style="15" hidden="1" customWidth="1"/>
    <col min="8" max="11" width="11.42578125" style="15" customWidth="1"/>
  </cols>
  <sheetData>
    <row r="1" spans="1:11" ht="15.75" x14ac:dyDescent="0.25">
      <c r="A1" s="1"/>
      <c r="B1" s="249" t="s">
        <v>0</v>
      </c>
      <c r="C1" s="250"/>
      <c r="D1" s="250"/>
      <c r="E1" s="2"/>
      <c r="F1" s="2"/>
      <c r="G1" s="2"/>
      <c r="H1" s="2"/>
      <c r="I1" s="2"/>
      <c r="J1" s="3"/>
      <c r="K1" s="3"/>
    </row>
    <row r="2" spans="1:11" ht="9.75" customHeight="1" x14ac:dyDescent="0.25">
      <c r="A2" s="4"/>
      <c r="B2" s="249"/>
      <c r="C2" s="250"/>
      <c r="D2" s="250"/>
      <c r="E2" s="2"/>
      <c r="F2" s="2"/>
      <c r="G2" s="2"/>
      <c r="H2" s="2"/>
      <c r="I2" s="2"/>
      <c r="J2" s="3"/>
      <c r="K2" s="3"/>
    </row>
    <row r="3" spans="1:11" ht="15.75" x14ac:dyDescent="0.25">
      <c r="A3" s="4"/>
      <c r="B3" s="251" t="s">
        <v>1</v>
      </c>
      <c r="C3" s="251"/>
      <c r="D3" s="251"/>
      <c r="E3" s="5"/>
      <c r="F3" s="5"/>
      <c r="G3" s="5"/>
      <c r="H3" s="5"/>
      <c r="I3" s="5"/>
      <c r="J3" s="3"/>
      <c r="K3" s="3"/>
    </row>
    <row r="4" spans="1:11" ht="15.75" x14ac:dyDescent="0.25">
      <c r="A4" s="4"/>
      <c r="B4" s="6"/>
      <c r="C4" s="7"/>
      <c r="D4" s="28"/>
      <c r="E4" s="8"/>
      <c r="F4" s="8"/>
      <c r="G4" s="8"/>
      <c r="H4" s="8"/>
      <c r="I4" s="8"/>
      <c r="J4" s="8"/>
      <c r="K4" s="8"/>
    </row>
    <row r="5" spans="1:11" ht="15.75" customHeight="1" x14ac:dyDescent="0.25">
      <c r="A5" s="9"/>
      <c r="B5" s="252" t="s">
        <v>141</v>
      </c>
      <c r="C5" s="253"/>
      <c r="D5" s="253"/>
      <c r="E5" s="8"/>
      <c r="F5" s="8"/>
      <c r="G5" s="8"/>
      <c r="H5" s="8"/>
      <c r="I5" s="8"/>
      <c r="J5" s="8"/>
      <c r="K5" s="8"/>
    </row>
    <row r="6" spans="1:11" ht="7.5" customHeight="1" x14ac:dyDescent="0.25">
      <c r="A6" s="10"/>
      <c r="B6" s="11"/>
      <c r="C6" s="12"/>
      <c r="D6" s="29"/>
      <c r="E6" s="8"/>
      <c r="F6" s="8"/>
      <c r="G6" s="8"/>
      <c r="H6" s="8"/>
      <c r="I6" s="8"/>
      <c r="J6" s="8"/>
      <c r="K6" s="8"/>
    </row>
    <row r="7" spans="1:11" ht="24" customHeight="1" x14ac:dyDescent="0.25">
      <c r="A7" s="13" t="s">
        <v>6</v>
      </c>
      <c r="B7" s="14"/>
      <c r="C7" s="14"/>
      <c r="D7" s="30"/>
    </row>
    <row r="8" spans="1:11" ht="36" customHeight="1" x14ac:dyDescent="0.25">
      <c r="A8" s="16" t="s">
        <v>2</v>
      </c>
      <c r="B8" s="17" t="s">
        <v>3</v>
      </c>
      <c r="C8" s="17" t="s">
        <v>4</v>
      </c>
      <c r="D8" s="31" t="s">
        <v>5</v>
      </c>
      <c r="F8" s="32" t="s">
        <v>7</v>
      </c>
      <c r="G8" s="32" t="s">
        <v>8</v>
      </c>
    </row>
    <row r="9" spans="1:11" ht="15" customHeight="1" x14ac:dyDescent="0.25">
      <c r="A9" s="18">
        <v>1</v>
      </c>
      <c r="B9" s="14" t="s">
        <v>19</v>
      </c>
      <c r="C9" s="19">
        <f>+'11-CM C&amp;M PROYEC'!G25</f>
        <v>1472249912</v>
      </c>
      <c r="D9" s="33">
        <f>+(1-ABS(($C$10-C9)/$C$10))*500</f>
        <v>486.51390989979802</v>
      </c>
      <c r="E9" s="15" t="str">
        <f>+IF(+(ABS(+$C$15-C9))=MIN($C$18:$C$20),"VALOR MINIMO","N/A")</f>
        <v>N/A</v>
      </c>
      <c r="F9" s="14">
        <f>+VLOOKUP(A9,[3]CONSOLIDADO!$A$6:$D$76,4,0)</f>
        <v>490</v>
      </c>
      <c r="G9" s="33">
        <f>+D9+F9</f>
        <v>976.51390989979802</v>
      </c>
      <c r="H9" s="169"/>
    </row>
    <row r="10" spans="1:11" ht="15.75" customHeight="1" x14ac:dyDescent="0.25">
      <c r="A10" s="18">
        <v>2</v>
      </c>
      <c r="B10" s="14" t="s">
        <v>28</v>
      </c>
      <c r="C10" s="19">
        <f>+'5-CONDETER-'!G28</f>
        <v>1433583051.5999999</v>
      </c>
      <c r="D10" s="33">
        <f>+(1-ABS(($C$10-C10)/$C$10))*500</f>
        <v>500</v>
      </c>
      <c r="E10" s="15" t="str">
        <f>+IF(+(ABS(+$C$15-C10))=MIN($C$18:$C$20),"VALOR MINIMO","N/A")</f>
        <v>N/A</v>
      </c>
      <c r="F10" s="14">
        <f>+VLOOKUP(A10,[3]CONSOLIDADO!$A$6:$D$76,4,0)</f>
        <v>500</v>
      </c>
      <c r="G10" s="33">
        <f t="shared" ref="G10:G11" si="0">+D10+F10</f>
        <v>1000</v>
      </c>
      <c r="H10" s="169"/>
    </row>
    <row r="11" spans="1:11" x14ac:dyDescent="0.25">
      <c r="A11" s="18">
        <v>3</v>
      </c>
      <c r="B11" s="14" t="s">
        <v>29</v>
      </c>
      <c r="C11" s="19">
        <f>+'3-TPD ING'!G26</f>
        <v>1429019857</v>
      </c>
      <c r="D11" s="33">
        <f>+(1-ABS(($C$10-C11)/$C$10))*500</f>
        <v>498.40846521068067</v>
      </c>
      <c r="E11" s="15" t="str">
        <f>+IF(+(ABS(+$C$15-C11))=MIN($C$18:$C$20),"VALOR MINIMO","N/A")</f>
        <v>N/A</v>
      </c>
      <c r="F11" s="14">
        <f>+VLOOKUP(A11,[3]CONSOLIDADO!$A$6:$D$76,4,0)</f>
        <v>490</v>
      </c>
      <c r="G11" s="33">
        <f t="shared" si="0"/>
        <v>988.40846521068067</v>
      </c>
      <c r="H11" s="169"/>
    </row>
    <row r="12" spans="1:11" x14ac:dyDescent="0.25">
      <c r="A12" s="18">
        <v>4</v>
      </c>
      <c r="B12" s="14" t="s">
        <v>23</v>
      </c>
      <c r="C12" s="19">
        <f>+'9- CONS VEA'!G18</f>
        <v>1450832530</v>
      </c>
      <c r="D12" s="33">
        <f>+(1-ABS(($C$10-C12)/$C$10))*500</f>
        <v>493.98378824974657</v>
      </c>
      <c r="G12" s="35"/>
    </row>
    <row r="13" spans="1:11" x14ac:dyDescent="0.25">
      <c r="A13" s="38"/>
      <c r="B13" s="15"/>
      <c r="C13" s="193"/>
      <c r="D13" s="194"/>
      <c r="G13" s="35"/>
    </row>
    <row r="14" spans="1:11" x14ac:dyDescent="0.25">
      <c r="D14" s="36"/>
      <c r="E14" s="20"/>
    </row>
    <row r="15" spans="1:11" ht="21" x14ac:dyDescent="0.35">
      <c r="B15" s="21" t="s">
        <v>9</v>
      </c>
      <c r="C15" s="22">
        <f>+HARMEAN(C9:C12)</f>
        <v>1446223011.9141293</v>
      </c>
      <c r="D15" s="168"/>
      <c r="E15" s="20"/>
    </row>
    <row r="16" spans="1:11" ht="21" x14ac:dyDescent="0.35">
      <c r="B16" s="21" t="s">
        <v>9</v>
      </c>
      <c r="C16" s="22">
        <f>1/((1/4)*(1/C9+1/C10+1/C11+1/C12))</f>
        <v>1446223011.9141293</v>
      </c>
      <c r="D16" s="170"/>
      <c r="E16" s="23"/>
    </row>
    <row r="17" spans="1:5" x14ac:dyDescent="0.25">
      <c r="B17" s="24"/>
      <c r="C17" s="25"/>
      <c r="D17" s="36"/>
      <c r="E17" s="23"/>
    </row>
    <row r="18" spans="1:5" ht="15" customHeight="1" x14ac:dyDescent="0.25">
      <c r="A18" s="18">
        <f>+A9</f>
        <v>1</v>
      </c>
      <c r="B18" s="14" t="str">
        <f>+B9</f>
        <v>CONSORCIO MOVILIDAD C&amp;M-PROYECTAMOS</v>
      </c>
      <c r="C18" s="26">
        <f>+C9-$C$16</f>
        <v>26026900.085870743</v>
      </c>
      <c r="D18" s="37"/>
      <c r="E18" s="38"/>
    </row>
    <row r="19" spans="1:5" x14ac:dyDescent="0.25">
      <c r="A19" s="18">
        <f t="shared" ref="A19:A21" si="1">+A10</f>
        <v>2</v>
      </c>
      <c r="B19" s="14" t="str">
        <f t="shared" ref="B19:B21" si="2">+B10</f>
        <v>CONSULTORES EN DESARROLLO TERRITORIAL SAS “CONDETER SAS”</v>
      </c>
      <c r="C19" s="26">
        <f>+C10-$C$16</f>
        <v>-12639960.314129353</v>
      </c>
      <c r="D19" s="37"/>
      <c r="E19" s="38"/>
    </row>
    <row r="20" spans="1:5" ht="15" customHeight="1" x14ac:dyDescent="0.25">
      <c r="A20" s="18">
        <f t="shared" si="1"/>
        <v>3</v>
      </c>
      <c r="B20" s="14" t="str">
        <f t="shared" si="2"/>
        <v>TRANSPORTE, PLANEACIÓN Y DISEÑO INGENIERIA S.A.</v>
      </c>
      <c r="C20" s="26">
        <f>+C11-$C$16</f>
        <v>-17203154.914129257</v>
      </c>
      <c r="D20" s="37"/>
      <c r="E20" s="38"/>
    </row>
    <row r="21" spans="1:5" x14ac:dyDescent="0.25">
      <c r="A21" s="18">
        <f t="shared" si="1"/>
        <v>4</v>
      </c>
      <c r="B21" s="14" t="str">
        <f t="shared" si="2"/>
        <v>CONSORCIO VEA-INFORMETRICS</v>
      </c>
      <c r="C21" s="26">
        <f>+C12-$C$16</f>
        <v>4609518.0858707428</v>
      </c>
      <c r="D21" s="37"/>
    </row>
    <row r="22" spans="1:5" ht="9" customHeight="1" x14ac:dyDescent="0.25">
      <c r="A22" s="38"/>
      <c r="B22" s="15"/>
      <c r="C22" s="195"/>
      <c r="D22" s="37"/>
    </row>
    <row r="23" spans="1:5" x14ac:dyDescent="0.25">
      <c r="C23" s="27">
        <f>+C19</f>
        <v>-12639960.314129353</v>
      </c>
      <c r="D23" s="37"/>
    </row>
  </sheetData>
  <mergeCells count="3">
    <mergeCell ref="B1:D2"/>
    <mergeCell ref="B3:D3"/>
    <mergeCell ref="B5:D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19"/>
  <sheetViews>
    <sheetView topLeftCell="A4" zoomScale="80" zoomScaleNormal="80" workbookViewId="0">
      <selection activeCell="K16" sqref="K16"/>
    </sheetView>
  </sheetViews>
  <sheetFormatPr baseColWidth="10" defaultColWidth="8" defaultRowHeight="15" x14ac:dyDescent="0.25"/>
  <cols>
    <col min="1" max="1" width="8" style="67"/>
    <col min="2" max="2" width="5.5703125" style="67" customWidth="1"/>
    <col min="3" max="3" width="39.85546875" style="67" customWidth="1"/>
    <col min="4" max="4" width="12.42578125" style="67" customWidth="1"/>
    <col min="5" max="5" width="13.5703125" style="67" customWidth="1"/>
    <col min="6" max="6" width="14.140625" style="67" customWidth="1"/>
    <col min="7" max="7" width="22.5703125" style="67" customWidth="1"/>
    <col min="8" max="8" width="7.7109375" style="67" customWidth="1"/>
    <col min="9" max="9" width="15.5703125" style="67" customWidth="1"/>
    <col min="10" max="10" width="40.42578125" style="67" customWidth="1"/>
    <col min="11" max="11" width="13.7109375" style="67" customWidth="1"/>
    <col min="12" max="12" width="10.5703125" style="67" customWidth="1"/>
    <col min="13" max="13" width="12.7109375" style="67" customWidth="1"/>
    <col min="14" max="16" width="7" style="67" customWidth="1"/>
    <col min="17" max="17" width="12.7109375" style="67" customWidth="1"/>
    <col min="18" max="16384" width="8" style="67"/>
  </cols>
  <sheetData>
    <row r="4" spans="2:17" ht="102.75" customHeight="1" x14ac:dyDescent="0.25">
      <c r="B4" s="246" t="s">
        <v>62</v>
      </c>
      <c r="C4" s="246"/>
      <c r="D4" s="246"/>
      <c r="E4" s="246"/>
      <c r="F4" s="246"/>
      <c r="G4" s="246"/>
      <c r="H4" s="246"/>
      <c r="I4" s="78"/>
    </row>
    <row r="5" spans="2:17" ht="24.75" thickBot="1" x14ac:dyDescent="0.3">
      <c r="B5" s="64" t="s">
        <v>63</v>
      </c>
      <c r="C5" s="64" t="s">
        <v>64</v>
      </c>
      <c r="D5" s="64" t="s">
        <v>65</v>
      </c>
      <c r="E5" s="64" t="s">
        <v>66</v>
      </c>
      <c r="F5" s="65" t="s">
        <v>67</v>
      </c>
      <c r="G5" s="66" t="s">
        <v>68</v>
      </c>
    </row>
    <row r="6" spans="2:17" ht="33" customHeight="1" thickBot="1" x14ac:dyDescent="0.25">
      <c r="B6" s="68">
        <v>1</v>
      </c>
      <c r="C6" s="69" t="s">
        <v>69</v>
      </c>
      <c r="D6" s="70" t="s">
        <v>70</v>
      </c>
      <c r="E6" s="71">
        <v>1300</v>
      </c>
      <c r="F6" s="72">
        <v>179604</v>
      </c>
      <c r="G6" s="72">
        <v>233484866</v>
      </c>
      <c r="H6" s="164">
        <f>+E6*F6-G6</f>
        <v>334</v>
      </c>
      <c r="I6" s="164">
        <f>+E6*F6</f>
        <v>233485200</v>
      </c>
      <c r="J6" s="128" t="s">
        <v>44</v>
      </c>
      <c r="K6" s="129" t="s">
        <v>96</v>
      </c>
      <c r="L6" s="130">
        <v>1300</v>
      </c>
      <c r="M6" s="156">
        <v>38844</v>
      </c>
      <c r="N6" s="132" t="str">
        <f>IF(C6=J6,"SI","NO")</f>
        <v>SI</v>
      </c>
      <c r="O6" s="132" t="str">
        <f>IF(D6=K6,"SI","NO")</f>
        <v>SI</v>
      </c>
      <c r="P6" s="132" t="str">
        <f>IF(E6=L6,"SI","NO")</f>
        <v>SI</v>
      </c>
      <c r="Q6" s="164">
        <f>+M6-F6</f>
        <v>-140760</v>
      </c>
    </row>
    <row r="7" spans="2:17" ht="33" customHeight="1" thickBot="1" x14ac:dyDescent="0.25">
      <c r="B7" s="68">
        <v>2</v>
      </c>
      <c r="C7" s="69" t="s">
        <v>71</v>
      </c>
      <c r="D7" s="70" t="s">
        <v>70</v>
      </c>
      <c r="E7" s="71">
        <v>1300</v>
      </c>
      <c r="F7" s="73">
        <v>209408</v>
      </c>
      <c r="G7" s="73">
        <v>272230312</v>
      </c>
      <c r="H7" s="164">
        <f t="shared" ref="H7:H14" si="0">+E7*F7-G7</f>
        <v>88</v>
      </c>
      <c r="I7" s="164">
        <f t="shared" ref="I7:I14" si="1">+E7*F7</f>
        <v>272230400</v>
      </c>
      <c r="J7" s="128" t="s">
        <v>97</v>
      </c>
      <c r="K7" s="129" t="s">
        <v>96</v>
      </c>
      <c r="L7" s="130">
        <v>1300</v>
      </c>
      <c r="M7" s="157">
        <v>49585</v>
      </c>
      <c r="N7" s="132" t="str">
        <f t="shared" ref="N7:N14" si="2">IF(C7=J7,"SI","NO")</f>
        <v>SI</v>
      </c>
      <c r="O7" s="132" t="str">
        <f t="shared" ref="O7:O14" si="3">IF(D7=K7,"SI","NO")</f>
        <v>SI</v>
      </c>
      <c r="P7" s="132" t="str">
        <f t="shared" ref="P7:P14" si="4">IF(E7=L7,"SI","NO")</f>
        <v>SI</v>
      </c>
      <c r="Q7" s="164">
        <f t="shared" ref="Q7:Q14" si="5">+M7-F7</f>
        <v>-159823</v>
      </c>
    </row>
    <row r="8" spans="2:17" ht="33" customHeight="1" thickBot="1" x14ac:dyDescent="0.25">
      <c r="B8" s="68">
        <v>3</v>
      </c>
      <c r="C8" s="69" t="s">
        <v>72</v>
      </c>
      <c r="D8" s="70" t="s">
        <v>73</v>
      </c>
      <c r="E8" s="71">
        <v>34000</v>
      </c>
      <c r="F8" s="72">
        <v>14441</v>
      </c>
      <c r="G8" s="72">
        <v>490991387</v>
      </c>
      <c r="H8" s="164">
        <f t="shared" si="0"/>
        <v>2613</v>
      </c>
      <c r="I8" s="164">
        <f t="shared" si="1"/>
        <v>490994000</v>
      </c>
      <c r="J8" s="128" t="s">
        <v>46</v>
      </c>
      <c r="K8" s="129" t="s">
        <v>98</v>
      </c>
      <c r="L8" s="130">
        <v>34000</v>
      </c>
      <c r="M8" s="157">
        <v>25506</v>
      </c>
      <c r="N8" s="132" t="str">
        <f t="shared" si="2"/>
        <v>SI</v>
      </c>
      <c r="O8" s="132" t="str">
        <f t="shared" si="3"/>
        <v>SI</v>
      </c>
      <c r="P8" s="132" t="str">
        <f t="shared" si="4"/>
        <v>SI</v>
      </c>
      <c r="Q8" s="161">
        <f t="shared" si="5"/>
        <v>11065</v>
      </c>
    </row>
    <row r="9" spans="2:17" ht="33" customHeight="1" thickBot="1" x14ac:dyDescent="0.25">
      <c r="B9" s="74">
        <v>4</v>
      </c>
      <c r="C9" s="69" t="s">
        <v>74</v>
      </c>
      <c r="D9" s="75" t="s">
        <v>73</v>
      </c>
      <c r="E9" s="76">
        <v>5600</v>
      </c>
      <c r="F9" s="72">
        <v>15014</v>
      </c>
      <c r="G9" s="72">
        <v>84078469</v>
      </c>
      <c r="H9" s="164">
        <f t="shared" si="0"/>
        <v>-69</v>
      </c>
      <c r="I9" s="164">
        <f t="shared" si="1"/>
        <v>84078400</v>
      </c>
      <c r="J9" s="129" t="s">
        <v>99</v>
      </c>
      <c r="K9" s="129" t="s">
        <v>98</v>
      </c>
      <c r="L9" s="130">
        <v>5600</v>
      </c>
      <c r="M9" s="157">
        <v>29187</v>
      </c>
      <c r="N9" s="132" t="str">
        <f t="shared" si="2"/>
        <v>SI</v>
      </c>
      <c r="O9" s="132" t="str">
        <f t="shared" si="3"/>
        <v>SI</v>
      </c>
      <c r="P9" s="132" t="str">
        <f t="shared" si="4"/>
        <v>SI</v>
      </c>
      <c r="Q9" s="161">
        <f t="shared" si="5"/>
        <v>14173</v>
      </c>
    </row>
    <row r="10" spans="2:17" ht="33" customHeight="1" thickBot="1" x14ac:dyDescent="0.25">
      <c r="B10" s="68">
        <v>5</v>
      </c>
      <c r="C10" s="69" t="s">
        <v>75</v>
      </c>
      <c r="D10" s="70" t="s">
        <v>76</v>
      </c>
      <c r="E10" s="68">
        <v>730</v>
      </c>
      <c r="F10" s="72">
        <v>30284</v>
      </c>
      <c r="G10" s="72">
        <v>22107324</v>
      </c>
      <c r="H10" s="164">
        <f t="shared" si="0"/>
        <v>-4</v>
      </c>
      <c r="I10" s="164">
        <f t="shared" si="1"/>
        <v>22107320</v>
      </c>
      <c r="J10" s="128" t="s">
        <v>47</v>
      </c>
      <c r="K10" s="129" t="s">
        <v>100</v>
      </c>
      <c r="L10" s="131">
        <v>730</v>
      </c>
      <c r="M10" s="157">
        <v>51104</v>
      </c>
      <c r="N10" s="132" t="str">
        <f t="shared" si="2"/>
        <v>SI</v>
      </c>
      <c r="O10" s="132" t="str">
        <f t="shared" si="3"/>
        <v>SI</v>
      </c>
      <c r="P10" s="132" t="str">
        <f t="shared" si="4"/>
        <v>SI</v>
      </c>
      <c r="Q10" s="161">
        <f t="shared" si="5"/>
        <v>20820</v>
      </c>
    </row>
    <row r="11" spans="2:17" ht="33" customHeight="1" thickBot="1" x14ac:dyDescent="0.25">
      <c r="B11" s="74">
        <v>6</v>
      </c>
      <c r="C11" s="77" t="s">
        <v>77</v>
      </c>
      <c r="D11" s="75" t="s">
        <v>73</v>
      </c>
      <c r="E11" s="74">
        <v>800</v>
      </c>
      <c r="F11" s="72">
        <v>17291</v>
      </c>
      <c r="G11" s="72">
        <v>13832544</v>
      </c>
      <c r="H11" s="164">
        <f t="shared" si="0"/>
        <v>256</v>
      </c>
      <c r="I11" s="164">
        <f t="shared" si="1"/>
        <v>13832800</v>
      </c>
      <c r="J11" s="129" t="s">
        <v>169</v>
      </c>
      <c r="K11" s="129" t="s">
        <v>98</v>
      </c>
      <c r="L11" s="130">
        <v>800</v>
      </c>
      <c r="M11" s="157">
        <v>34032</v>
      </c>
      <c r="N11" s="132" t="str">
        <f t="shared" si="2"/>
        <v>NO</v>
      </c>
      <c r="O11" s="132" t="str">
        <f t="shared" si="3"/>
        <v>SI</v>
      </c>
      <c r="P11" s="132" t="str">
        <f t="shared" si="4"/>
        <v>SI</v>
      </c>
      <c r="Q11" s="161">
        <f t="shared" si="5"/>
        <v>16741</v>
      </c>
    </row>
    <row r="12" spans="2:17" ht="33" customHeight="1" thickBot="1" x14ac:dyDescent="0.25">
      <c r="B12" s="74">
        <v>7</v>
      </c>
      <c r="C12" s="69" t="s">
        <v>78</v>
      </c>
      <c r="D12" s="75" t="s">
        <v>73</v>
      </c>
      <c r="E12" s="74">
        <v>200</v>
      </c>
      <c r="F12" s="72">
        <v>19207</v>
      </c>
      <c r="G12" s="72">
        <v>3841404</v>
      </c>
      <c r="H12" s="164">
        <f t="shared" si="0"/>
        <v>-4</v>
      </c>
      <c r="I12" s="164">
        <f t="shared" si="1"/>
        <v>3841400</v>
      </c>
      <c r="J12" s="128" t="s">
        <v>48</v>
      </c>
      <c r="K12" s="129" t="s">
        <v>98</v>
      </c>
      <c r="L12" s="130">
        <v>200</v>
      </c>
      <c r="M12" s="157">
        <v>28348</v>
      </c>
      <c r="N12" s="132" t="str">
        <f t="shared" si="2"/>
        <v>SI</v>
      </c>
      <c r="O12" s="132" t="str">
        <f t="shared" si="3"/>
        <v>SI</v>
      </c>
      <c r="P12" s="132" t="str">
        <f t="shared" si="4"/>
        <v>SI</v>
      </c>
      <c r="Q12" s="161">
        <f t="shared" si="5"/>
        <v>9141</v>
      </c>
    </row>
    <row r="13" spans="2:17" ht="33" customHeight="1" thickBot="1" x14ac:dyDescent="0.25">
      <c r="B13" s="74">
        <v>8</v>
      </c>
      <c r="C13" s="69" t="s">
        <v>79</v>
      </c>
      <c r="D13" s="75" t="s">
        <v>80</v>
      </c>
      <c r="E13" s="76">
        <v>1800</v>
      </c>
      <c r="F13" s="72">
        <v>29131</v>
      </c>
      <c r="G13" s="72">
        <v>52436486</v>
      </c>
      <c r="H13" s="164">
        <f t="shared" si="0"/>
        <v>-686</v>
      </c>
      <c r="I13" s="164">
        <f t="shared" si="1"/>
        <v>52435800</v>
      </c>
      <c r="J13" s="128" t="s">
        <v>102</v>
      </c>
      <c r="K13" s="129" t="s">
        <v>40</v>
      </c>
      <c r="L13" s="130">
        <v>1800</v>
      </c>
      <c r="M13" s="157">
        <v>10095</v>
      </c>
      <c r="N13" s="132" t="str">
        <f t="shared" si="2"/>
        <v>SI</v>
      </c>
      <c r="O13" s="132" t="str">
        <f t="shared" si="3"/>
        <v>SI</v>
      </c>
      <c r="P13" s="132" t="str">
        <f t="shared" si="4"/>
        <v>SI</v>
      </c>
      <c r="Q13" s="164">
        <f t="shared" si="5"/>
        <v>-19036</v>
      </c>
    </row>
    <row r="14" spans="2:17" ht="33" customHeight="1" thickBot="1" x14ac:dyDescent="0.25">
      <c r="B14" s="74">
        <v>9</v>
      </c>
      <c r="C14" s="69" t="s">
        <v>81</v>
      </c>
      <c r="D14" s="75" t="s">
        <v>80</v>
      </c>
      <c r="E14" s="76">
        <v>1799</v>
      </c>
      <c r="F14" s="72">
        <v>30257</v>
      </c>
      <c r="G14" s="72">
        <v>54431734</v>
      </c>
      <c r="H14" s="164">
        <f t="shared" si="0"/>
        <v>609</v>
      </c>
      <c r="I14" s="164">
        <f t="shared" si="1"/>
        <v>54432343</v>
      </c>
      <c r="J14" s="128" t="s">
        <v>103</v>
      </c>
      <c r="K14" s="129" t="s">
        <v>40</v>
      </c>
      <c r="L14" s="130">
        <v>1799</v>
      </c>
      <c r="M14" s="158">
        <v>14743</v>
      </c>
      <c r="N14" s="132" t="str">
        <f t="shared" si="2"/>
        <v>SI</v>
      </c>
      <c r="O14" s="132" t="str">
        <f t="shared" si="3"/>
        <v>SI</v>
      </c>
      <c r="P14" s="132" t="str">
        <f t="shared" si="4"/>
        <v>SI</v>
      </c>
      <c r="Q14" s="164">
        <f t="shared" si="5"/>
        <v>-15514</v>
      </c>
    </row>
    <row r="15" spans="2:17" ht="33" customHeight="1" x14ac:dyDescent="0.25">
      <c r="B15" s="244"/>
      <c r="C15" s="244"/>
      <c r="D15" s="245"/>
      <c r="E15" s="255" t="s">
        <v>82</v>
      </c>
      <c r="F15" s="256"/>
      <c r="G15" s="72">
        <v>1227434526</v>
      </c>
      <c r="H15" s="165">
        <f>SUM(H6:H14)</f>
        <v>3137</v>
      </c>
      <c r="I15" s="165">
        <f>SUM(I6:I14)</f>
        <v>1227437663</v>
      </c>
    </row>
    <row r="16" spans="2:17" ht="33" customHeight="1" x14ac:dyDescent="0.25">
      <c r="B16" s="246"/>
      <c r="C16" s="246"/>
      <c r="D16" s="247"/>
      <c r="E16" s="255" t="s">
        <v>83</v>
      </c>
      <c r="F16" s="256"/>
      <c r="G16" s="72">
        <v>233212560</v>
      </c>
      <c r="I16" s="161">
        <f>+I15*19/100</f>
        <v>233213155.97</v>
      </c>
    </row>
    <row r="17" spans="2:10" ht="33" customHeight="1" x14ac:dyDescent="0.2">
      <c r="B17" s="246"/>
      <c r="C17" s="246"/>
      <c r="D17" s="247"/>
      <c r="E17" s="257" t="s">
        <v>84</v>
      </c>
      <c r="F17" s="258"/>
      <c r="G17" s="73">
        <v>1460647086</v>
      </c>
      <c r="I17" s="165">
        <f>+I15+I16</f>
        <v>1460650818.97</v>
      </c>
      <c r="J17" s="135">
        <v>1499999376</v>
      </c>
    </row>
    <row r="18" spans="2:10" ht="65.25" customHeight="1" x14ac:dyDescent="0.25">
      <c r="B18" s="254" t="s">
        <v>85</v>
      </c>
      <c r="C18" s="254"/>
      <c r="D18" s="254"/>
      <c r="E18" s="254"/>
      <c r="F18" s="254"/>
      <c r="G18" s="254"/>
      <c r="H18" s="254"/>
      <c r="I18" s="166">
        <f>+I17-G17</f>
        <v>3732.9700000286102</v>
      </c>
      <c r="J18" s="167">
        <f>+J17-G17</f>
        <v>39352290</v>
      </c>
    </row>
    <row r="19" spans="2:10" ht="90" customHeight="1" x14ac:dyDescent="0.25">
      <c r="B19" s="254" t="s">
        <v>86</v>
      </c>
      <c r="C19" s="254"/>
      <c r="D19" s="254"/>
      <c r="E19" s="254"/>
      <c r="F19" s="254"/>
      <c r="G19" s="254"/>
      <c r="H19" s="254"/>
      <c r="I19" s="79"/>
      <c r="J19" s="161"/>
    </row>
  </sheetData>
  <mergeCells count="7">
    <mergeCell ref="B18:H18"/>
    <mergeCell ref="B19:H19"/>
    <mergeCell ref="B4:H4"/>
    <mergeCell ref="B15:D17"/>
    <mergeCell ref="E15:F15"/>
    <mergeCell ref="E16:F16"/>
    <mergeCell ref="E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RESUMEN</vt:lpstr>
      <vt:lpstr>PROPUESTA ECON</vt:lpstr>
      <vt:lpstr>11-CM C&amp;M PROYEC</vt:lpstr>
      <vt:lpstr>5-CONDETER-</vt:lpstr>
      <vt:lpstr>3-TPD ING</vt:lpstr>
      <vt:lpstr>9- CONS VEA</vt:lpstr>
      <vt:lpstr>MEDIA ARMÓNICA</vt:lpstr>
      <vt:lpstr>7-DATEXCO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MLSA</dc:creator>
  <cp:lastModifiedBy>hp</cp:lastModifiedBy>
  <cp:lastPrinted>2019-05-22T00:13:20Z</cp:lastPrinted>
  <dcterms:created xsi:type="dcterms:W3CDTF">2019-04-11T10:10:26Z</dcterms:created>
  <dcterms:modified xsi:type="dcterms:W3CDTF">2020-10-30T20:13:45Z</dcterms:modified>
</cp:coreProperties>
</file>