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2025\PUENTES\PUENTES\LA GUISITA\"/>
    </mc:Choice>
  </mc:AlternateContent>
  <xr:revisionPtr revIDLastSave="0" documentId="13_ncr:1_{CB23FF2F-A55A-4EB7-A546-608269093D7E}" xr6:coauthVersionLast="47" xr6:coauthVersionMax="47" xr10:uidLastSave="{00000000-0000-0000-0000-000000000000}"/>
  <bookViews>
    <workbookView xWindow="-108" yWindow="-108" windowWidth="23256" windowHeight="12456" tabRatio="878" firstSheet="1" activeTab="1" xr2:uid="{00000000-000D-0000-FFFF-FFFF00000000}"/>
  </bookViews>
  <sheets>
    <sheet name="BASICO" sheetId="15" state="hidden" r:id="rId1"/>
    <sheet name="PRESUPUESTO" sheetId="29" r:id="rId2"/>
    <sheet name="APUS" sheetId="40" r:id="rId3"/>
    <sheet name="MEMORIA CANTIDADES" sheetId="41" r:id="rId4"/>
    <sheet name="Memoria de Cantidades" sheetId="1" state="hidden" r:id="rId5"/>
    <sheet name="F.M " sheetId="13" r:id="rId6"/>
    <sheet name="DESGLOSE AIU" sheetId="23" r:id="rId7"/>
    <sheet name="BASICOS RURAL" sheetId="31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\a" localSheetId="0">[1]Insumos!#REF!</definedName>
    <definedName name="\a" localSheetId="7">[1]Insumos!#REF!</definedName>
    <definedName name="\a">[1]Insumos!#REF!</definedName>
    <definedName name="\b" localSheetId="0">[2]INSUMOS!#REF!</definedName>
    <definedName name="\b" localSheetId="7">[2]INSUMOS!#REF!</definedName>
    <definedName name="\b">[2]INSUMOS!#REF!</definedName>
    <definedName name="\i" localSheetId="0">[2]INSUMOS!#REF!</definedName>
    <definedName name="\i" localSheetId="7">[2]INSUMOS!#REF!</definedName>
    <definedName name="\i">[2]INSUMOS!#REF!</definedName>
    <definedName name="\m" localSheetId="0">[2]INSUMOS!#REF!</definedName>
    <definedName name="\m" localSheetId="7">[2]INSUMOS!#REF!</definedName>
    <definedName name="\m">[2]INSUMOS!#REF!</definedName>
    <definedName name="\r" localSheetId="0">[2]INSUMOS!#REF!</definedName>
    <definedName name="\r" localSheetId="7">[2]INSUMOS!#REF!</definedName>
    <definedName name="\r">[2]INSUMOS!#REF!</definedName>
    <definedName name="\t" localSheetId="0">[2]INSUMOS!#REF!</definedName>
    <definedName name="\t" localSheetId="7">[2]INSUMOS!#REF!</definedName>
    <definedName name="\t">[2]INSUMOS!#REF!</definedName>
    <definedName name="\x" localSheetId="0">[2]INSUMOS!#REF!</definedName>
    <definedName name="\x" localSheetId="7">[2]INSUMOS!#REF!</definedName>
    <definedName name="\x">[2]INSUMOS!#REF!</definedName>
    <definedName name="_________________________________apu1" localSheetId="0">[2]INSUMOS!#REF!</definedName>
    <definedName name="_________________________________apu1" localSheetId="7">[2]INSUMOS!#REF!</definedName>
    <definedName name="_________________________________apu1">[2]INSUMOS!#REF!</definedName>
    <definedName name="________________________________apu1" localSheetId="0">[2]INSUMOS!#REF!</definedName>
    <definedName name="________________________________apu1" localSheetId="7">[2]INSUMOS!#REF!</definedName>
    <definedName name="________________________________apu1">[2]INSUMOS!#REF!</definedName>
    <definedName name="_______________________________apu1" localSheetId="0">[2]INSUMOS!#REF!</definedName>
    <definedName name="_______________________________apu1" localSheetId="7">[2]INSUMOS!#REF!</definedName>
    <definedName name="_______________________________apu1">[2]INSUMOS!#REF!</definedName>
    <definedName name="______________________________apu1" localSheetId="0">[2]INSUMOS!#REF!</definedName>
    <definedName name="______________________________apu1" localSheetId="7">[2]INSUMOS!#REF!</definedName>
    <definedName name="______________________________apu1">[2]INSUMOS!#REF!</definedName>
    <definedName name="____________________________apu1" localSheetId="0">[2]INSUMOS!#REF!</definedName>
    <definedName name="____________________________apu1" localSheetId="7">[2]INSUMOS!#REF!</definedName>
    <definedName name="____________________________apu1">[2]INSUMOS!#REF!</definedName>
    <definedName name="___________________________apu1" localSheetId="0">[2]INSUMOS!#REF!</definedName>
    <definedName name="___________________________apu1" localSheetId="7">[2]INSUMOS!#REF!</definedName>
    <definedName name="___________________________apu1">[2]INSUMOS!#REF!</definedName>
    <definedName name="__________________________apu1" localSheetId="0">[2]INSUMOS!#REF!</definedName>
    <definedName name="__________________________apu1" localSheetId="7">[2]INSUMOS!#REF!</definedName>
    <definedName name="__________________________apu1">[2]INSUMOS!#REF!</definedName>
    <definedName name="_________________________apu1" localSheetId="0">[2]INSUMOS!#REF!</definedName>
    <definedName name="_________________________apu1" localSheetId="7">[2]INSUMOS!#REF!</definedName>
    <definedName name="_________________________apu1">[2]INSUMOS!#REF!</definedName>
    <definedName name="________________________apu1" localSheetId="0">[2]INSUMOS!#REF!</definedName>
    <definedName name="________________________apu1" localSheetId="7">[2]INSUMOS!#REF!</definedName>
    <definedName name="________________________apu1">[2]INSUMOS!#REF!</definedName>
    <definedName name="_______________________apu1" localSheetId="0">[2]INSUMOS!#REF!</definedName>
    <definedName name="_______________________apu1" localSheetId="7">[2]INSUMOS!#REF!</definedName>
    <definedName name="_______________________apu1">[2]INSUMOS!#REF!</definedName>
    <definedName name="_____________________apu1" localSheetId="0">[2]INSUMOS!#REF!</definedName>
    <definedName name="_____________________apu1" localSheetId="7">[2]INSUMOS!#REF!</definedName>
    <definedName name="_____________________apu1">[2]INSUMOS!#REF!</definedName>
    <definedName name="____________________apu1" localSheetId="0">[2]INSUMOS!#REF!</definedName>
    <definedName name="____________________apu1" localSheetId="7">[2]INSUMOS!#REF!</definedName>
    <definedName name="____________________apu1">[2]INSUMOS!#REF!</definedName>
    <definedName name="___________________apu1" localSheetId="0">[2]INSUMOS!#REF!</definedName>
    <definedName name="___________________apu1" localSheetId="7">[2]INSUMOS!#REF!</definedName>
    <definedName name="___________________apu1">[2]INSUMOS!#REF!</definedName>
    <definedName name="__________________apu1" localSheetId="0">[2]INSUMOS!#REF!</definedName>
    <definedName name="__________________apu1" localSheetId="7">[2]INSUMOS!#REF!</definedName>
    <definedName name="__________________apu1">[2]INSUMOS!#REF!</definedName>
    <definedName name="_________________apu1" localSheetId="0">[2]INSUMOS!#REF!</definedName>
    <definedName name="_________________apu1" localSheetId="7">[2]INSUMOS!#REF!</definedName>
    <definedName name="_________________apu1">[2]INSUMOS!#REF!</definedName>
    <definedName name="________________apu1" localSheetId="0">[2]INSUMOS!#REF!</definedName>
    <definedName name="________________apu1" localSheetId="7">[2]INSUMOS!#REF!</definedName>
    <definedName name="________________apu1">[2]INSUMOS!#REF!</definedName>
    <definedName name="_______________apu1" localSheetId="0">[2]INSUMOS!#REF!</definedName>
    <definedName name="_______________apu1" localSheetId="7">[2]INSUMOS!#REF!</definedName>
    <definedName name="_______________apu1">[2]INSUMOS!#REF!</definedName>
    <definedName name="______________apu1" localSheetId="0">[2]INSUMOS!#REF!</definedName>
    <definedName name="______________apu1" localSheetId="7">[2]INSUMOS!#REF!</definedName>
    <definedName name="______________apu1">[2]INSUMOS!#REF!</definedName>
    <definedName name="_____________apu1" localSheetId="0">[2]INSUMOS!#REF!</definedName>
    <definedName name="_____________apu1" localSheetId="7">[2]INSUMOS!#REF!</definedName>
    <definedName name="_____________apu1">[2]INSUMOS!#REF!</definedName>
    <definedName name="____________apu1" localSheetId="0">[2]INSUMOS!#REF!</definedName>
    <definedName name="____________apu1" localSheetId="7">[2]INSUMOS!#REF!</definedName>
    <definedName name="____________apu1">[2]INSUMOS!#REF!</definedName>
    <definedName name="___________apu1" localSheetId="0">[2]INSUMOS!#REF!</definedName>
    <definedName name="___________apu1" localSheetId="7">[2]INSUMOS!#REF!</definedName>
    <definedName name="___________apu1">[2]INSUMOS!#REF!</definedName>
    <definedName name="__________apu1" localSheetId="0">[2]INSUMOS!#REF!</definedName>
    <definedName name="__________apu1" localSheetId="7">[2]INSUMOS!#REF!</definedName>
    <definedName name="__________apu1">[2]INSUMOS!#REF!</definedName>
    <definedName name="_________apu1" localSheetId="0">[2]INSUMOS!#REF!</definedName>
    <definedName name="_________apu1" localSheetId="7">[2]INSUMOS!#REF!</definedName>
    <definedName name="_________apu1">[2]INSUMOS!#REF!</definedName>
    <definedName name="________apu1" localSheetId="0">[2]INSUMOS!#REF!</definedName>
    <definedName name="________apu1" localSheetId="7">[2]INSUMOS!#REF!</definedName>
    <definedName name="________apu1">[2]INSUMOS!#REF!</definedName>
    <definedName name="_______apu1" localSheetId="0">[2]INSUMOS!#REF!</definedName>
    <definedName name="_______apu1" localSheetId="7">[2]INSUMOS!#REF!</definedName>
    <definedName name="_______apu1">[2]INSUMOS!#REF!</definedName>
    <definedName name="______apu1" localSheetId="0">[2]INSUMOS!#REF!</definedName>
    <definedName name="______apu1" localSheetId="7">[2]INSUMOS!#REF!</definedName>
    <definedName name="______apu1">[2]INSUMOS!#REF!</definedName>
    <definedName name="_____apu1" localSheetId="0">[2]INSUMOS!#REF!</definedName>
    <definedName name="_____apu1" localSheetId="7">[2]INSUMOS!#REF!</definedName>
    <definedName name="_____apu1">[2]INSUMOS!#REF!</definedName>
    <definedName name="____apu1" localSheetId="0">[2]INSUMOS!#REF!</definedName>
    <definedName name="____apu1" localSheetId="7">[2]INSUMOS!#REF!</definedName>
    <definedName name="____apu1">[2]INSUMOS!#REF!</definedName>
    <definedName name="___apu1" localSheetId="0">[2]INSUMOS!#REF!</definedName>
    <definedName name="___apu1" localSheetId="7">[2]INSUMOS!#REF!</definedName>
    <definedName name="___apu1">[2]INSUMOS!#REF!</definedName>
    <definedName name="__apu1" localSheetId="0">[2]INSUMOS!#REF!</definedName>
    <definedName name="__apu1" localSheetId="7">[2]INSUMOS!#REF!</definedName>
    <definedName name="__apu1">[2]INSUMOS!#REF!</definedName>
    <definedName name="_A16400" localSheetId="7">#REF!</definedName>
    <definedName name="_A16400" localSheetId="1">#REF!</definedName>
    <definedName name="_A16400">#REF!</definedName>
    <definedName name="_apu1" localSheetId="0">[2]INSUMOS!#REF!</definedName>
    <definedName name="_apu1" localSheetId="7">[2]INSUMOS!#REF!</definedName>
    <definedName name="_apu1">[2]INSUMOS!#REF!</definedName>
    <definedName name="_xlnm._FilterDatabase" localSheetId="4" hidden="1">'Memoria de Cantidades'!$A$7:$A$30</definedName>
    <definedName name="_Key1" localSheetId="0" hidden="1">[2]INSUMOS!#REF!</definedName>
    <definedName name="_Key1" localSheetId="7" hidden="1">[2]INSUMOS!#REF!</definedName>
    <definedName name="_Key1" localSheetId="1" hidden="1">[2]INSUMOS!#REF!</definedName>
    <definedName name="_Key1" hidden="1">[2]INSUMOS!#REF!</definedName>
    <definedName name="_Order1" hidden="1">255</definedName>
    <definedName name="_Sort" localSheetId="0" hidden="1">[2]INSUMOS!#REF!</definedName>
    <definedName name="_Sort" localSheetId="7" hidden="1">[2]INSUMOS!#REF!</definedName>
    <definedName name="_Sort" hidden="1">[2]INSUMOS!#REF!</definedName>
    <definedName name="a" localSheetId="0">[1]Insumos!#REF!</definedName>
    <definedName name="A" localSheetId="6">#REF!</definedName>
    <definedName name="a">[1]Insumos!#REF!</definedName>
    <definedName name="ACERO" localSheetId="0">#REF!</definedName>
    <definedName name="ACERO" localSheetId="7">#REF!</definedName>
    <definedName name="ACERO" localSheetId="6">#REF!</definedName>
    <definedName name="ACERO">#REF!</definedName>
    <definedName name="ACTIVOS" localSheetId="0">#REF!</definedName>
    <definedName name="ACTIVOS" localSheetId="6">#REF!</definedName>
    <definedName name="ACTIVOS">#REF!</definedName>
    <definedName name="adfasdfsa" localSheetId="0">[1]Insumos!#REF!</definedName>
    <definedName name="adfasdfsa" localSheetId="7">[1]Insumos!#REF!</definedName>
    <definedName name="adfasdfsa" localSheetId="6">[1]Insumos!#REF!</definedName>
    <definedName name="adfasdfsa">[1]Insumos!#REF!</definedName>
    <definedName name="adfasfadfa" localSheetId="0">[1]Insumos!#REF!</definedName>
    <definedName name="adfasfadfa">[1]Insumos!#REF!</definedName>
    <definedName name="ADMON" localSheetId="0">#REF!</definedName>
    <definedName name="ADMON" localSheetId="7">#REF!</definedName>
    <definedName name="ADMON" localSheetId="6">#REF!</definedName>
    <definedName name="ADMON">#REF!</definedName>
    <definedName name="adsfadsfasdfafdasfdasfd" localSheetId="0">[2]INSUMOS!#REF!</definedName>
    <definedName name="adsfadsfasdfafdasfdasfd" localSheetId="7">[2]INSUMOS!#REF!</definedName>
    <definedName name="adsfadsfasdfafdasfdasfd" localSheetId="1">[2]INSUMOS!#REF!</definedName>
    <definedName name="adsfadsfasdfafdasfdasfd">[2]INSUMOS!#REF!</definedName>
    <definedName name="adsfadsfasfasdfasfdasdfadsfdsafdsa" localSheetId="0">[1]Insumos!#REF!</definedName>
    <definedName name="adsfadsfasfasdfasfdasdfadsfdsafdsa">[1]Insumos!#REF!</definedName>
    <definedName name="afdaffaf" localSheetId="0">[1]Insumos!#REF!</definedName>
    <definedName name="afdaffaf">[1]Insumos!#REF!</definedName>
    <definedName name="AGUA">[3]INSUMOS!$D$4</definedName>
    <definedName name="ALAMB">[3]INSUMOS!$D$169</definedName>
    <definedName name="ALAMBRE" localSheetId="0">#REF!</definedName>
    <definedName name="ALAMBRE" localSheetId="7">#REF!</definedName>
    <definedName name="ALAMBRE" localSheetId="6">#REF!</definedName>
    <definedName name="ALAMBRE">#REF!</definedName>
    <definedName name="ANDENESV" localSheetId="0">#REF!</definedName>
    <definedName name="ANDENESV" localSheetId="6">#REF!</definedName>
    <definedName name="ANDENESV">#REF!</definedName>
    <definedName name="ANTISB">[3]INSUMOS!$D$181</definedName>
    <definedName name="apu" localSheetId="0">[1]Insumos!#REF!</definedName>
    <definedName name="APU" localSheetId="7">[4]APU!$A:$H</definedName>
    <definedName name="APU" localSheetId="6">[5]APU!$A:$H</definedName>
    <definedName name="apu">[1]Insumos!#REF!</definedName>
    <definedName name="APUS" localSheetId="7">[6]APU!$A:$H</definedName>
    <definedName name="APUS" localSheetId="6">[7]APU!$A:$H</definedName>
    <definedName name="APUS">[8]APU!$A:$H</definedName>
    <definedName name="_xlnm.Extract" localSheetId="7">#REF!</definedName>
    <definedName name="_xlnm.Extract" localSheetId="1">#REF!</definedName>
    <definedName name="_xlnm.Extract">#REF!</definedName>
    <definedName name="_xlnm.Print_Area" localSheetId="2">APUS!$A$1:$H$108</definedName>
    <definedName name="_xlnm.Print_Area" localSheetId="0">BASICO!$A$1:$H$58</definedName>
    <definedName name="_xlnm.Print_Area" localSheetId="7">'BASICOS RURAL'!$A$1:$H$97</definedName>
    <definedName name="_xlnm.Print_Area" localSheetId="6">'DESGLOSE AIU'!$A$1:$F$58</definedName>
    <definedName name="_xlnm.Print_Area" localSheetId="5">'F.M '!$A$1:$H$41</definedName>
    <definedName name="_xlnm.Print_Area" localSheetId="3">'MEMORIA CANTIDADES'!$A$1:$I$146</definedName>
    <definedName name="_xlnm.Print_Area" localSheetId="4">'Memoria de Cantidades'!$A$1:$K$58</definedName>
    <definedName name="_xlnm.Print_Area" localSheetId="1">PRESUPUESTO!$A$1:$G$44</definedName>
    <definedName name="ARENA" localSheetId="0">#REF!</definedName>
    <definedName name="ARENA" localSheetId="7">#REF!</definedName>
    <definedName name="ARENA" localSheetId="6">#REF!</definedName>
    <definedName name="ARENA">#REF!</definedName>
    <definedName name="Arial" localSheetId="0">#REF!</definedName>
    <definedName name="Arial" localSheetId="6">#REF!</definedName>
    <definedName name="Arial">#REF!</definedName>
    <definedName name="asdfadsfadsfafda" localSheetId="0">[1]Insumos!#REF!</definedName>
    <definedName name="asdfadsfadsfafda" localSheetId="7">[1]Insumos!#REF!</definedName>
    <definedName name="asdfadsfadsfafda" localSheetId="6">[1]Insumos!#REF!</definedName>
    <definedName name="asdfadsfadsfafda">[1]Insumos!#REF!</definedName>
    <definedName name="asdfasdf" localSheetId="0">[2]INSUMOS!#REF!</definedName>
    <definedName name="asdfasdf">[2]INSUMOS!#REF!</definedName>
    <definedName name="AYU" localSheetId="0">#REF!</definedName>
    <definedName name="AYU" localSheetId="7">#REF!</definedName>
    <definedName name="AYU" localSheetId="6">#REF!</definedName>
    <definedName name="AYU">#REF!</definedName>
    <definedName name="b" localSheetId="0">[1]Insumos!#REF!</definedName>
    <definedName name="b" localSheetId="7">[1]Insumos!#REF!</definedName>
    <definedName name="b" localSheetId="1">[1]Insumos!#REF!</definedName>
    <definedName name="b">[1]Insumos!#REF!</definedName>
    <definedName name="BASE" localSheetId="0">#REF!</definedName>
    <definedName name="BASE" localSheetId="7">#REF!</definedName>
    <definedName name="BASE" localSheetId="6">#REF!</definedName>
    <definedName name="BASE">#REF!</definedName>
    <definedName name="Base_datos_IM" localSheetId="0">[1]Insumos!#REF!</definedName>
    <definedName name="Base_datos_IM" localSheetId="7">[1]Insumos!#REF!</definedName>
    <definedName name="Base_datos_IM" localSheetId="1">[1]Insumos!#REF!</definedName>
    <definedName name="Base_datos_IM">[1]Insumos!#REF!</definedName>
    <definedName name="_xlnm.Database" localSheetId="0">[1]Insumos!#REF!</definedName>
    <definedName name="_xlnm.Database" localSheetId="6">#REF!</definedName>
    <definedName name="_xlnm.Database">[1]Insumos!#REF!</definedName>
    <definedName name="BASEGRAV" localSheetId="0">#REF!</definedName>
    <definedName name="BASEGRAV" localSheetId="7">#REF!</definedName>
    <definedName name="BASEGRAV" localSheetId="6">#REF!</definedName>
    <definedName name="BASEGRAV">#REF!</definedName>
    <definedName name="BD_COD" localSheetId="0">#REF!</definedName>
    <definedName name="BD_COD" localSheetId="6">#REF!</definedName>
    <definedName name="BD_COD">#REF!</definedName>
    <definedName name="BD_DIL" localSheetId="0">#REF!</definedName>
    <definedName name="BD_DIL" localSheetId="6">#REF!</definedName>
    <definedName name="BD_DIL">#REF!</definedName>
    <definedName name="BORDE1">#N/A</definedName>
    <definedName name="CANGURO" localSheetId="0">#REF!</definedName>
    <definedName name="CANGURO" localSheetId="7">#REF!</definedName>
    <definedName name="CANGURO" localSheetId="6">#REF!</definedName>
    <definedName name="CANGURO">#REF!</definedName>
    <definedName name="Capitulo">[9]Capitulos!$B$1:$B$65536</definedName>
    <definedName name="CEM">[3]INSUMOS!$D$275</definedName>
    <definedName name="CEMENTO" localSheetId="0">#REF!</definedName>
    <definedName name="CEMENTO" localSheetId="7">#REF!</definedName>
    <definedName name="CEMENTO" localSheetId="6">#REF!</definedName>
    <definedName name="CEMENTO">#REF!</definedName>
    <definedName name="cesped" localSheetId="0">[10]Mater!#REF!</definedName>
    <definedName name="cesped" localSheetId="7">[10]Mater!#REF!</definedName>
    <definedName name="cesped" localSheetId="1">[10]Mater!#REF!</definedName>
    <definedName name="cesped">[10]Mater!#REF!</definedName>
    <definedName name="COMPRE" localSheetId="0">#REF!</definedName>
    <definedName name="COMPRE" localSheetId="7">#REF!</definedName>
    <definedName name="COMPRE" localSheetId="6">#REF!</definedName>
    <definedName name="COMPRE">#REF!</definedName>
    <definedName name="CONCRETO25" localSheetId="0">#REF!</definedName>
    <definedName name="CONCRETO25" localSheetId="6">#REF!</definedName>
    <definedName name="CONCRETO25">#REF!</definedName>
    <definedName name="Concreto2500v" localSheetId="0">#REF!</definedName>
    <definedName name="Concreto2500v" localSheetId="6">#REF!</definedName>
    <definedName name="Concreto2500v">#REF!</definedName>
    <definedName name="CONCRETO3" localSheetId="0">#REF!</definedName>
    <definedName name="CONCRETO3" localSheetId="6">#REF!</definedName>
    <definedName name="CONCRETO3">#REF!</definedName>
    <definedName name="concreto5" localSheetId="0">#REF!</definedName>
    <definedName name="concreto5" localSheetId="6">#REF!</definedName>
    <definedName name="concreto5">#REF!</definedName>
    <definedName name="Concreto5500v" localSheetId="0">#REF!</definedName>
    <definedName name="Concreto5500v" localSheetId="6">#REF!</definedName>
    <definedName name="Concreto5500v">#REF!</definedName>
    <definedName name="concretomuro" localSheetId="0">#REF!</definedName>
    <definedName name="concretomuro" localSheetId="6">#REF!</definedName>
    <definedName name="concretomuro">#REF!</definedName>
    <definedName name="_xlnm.Criteria" localSheetId="0">[2]INSUMOS!#REF!</definedName>
    <definedName name="_xlnm.Criteria" localSheetId="7">[2]INSUMOS!#REF!</definedName>
    <definedName name="_xlnm.Criteria" localSheetId="6">#REF!</definedName>
    <definedName name="_xlnm.Criteria" localSheetId="1">[2]INSUMOS!#REF!</definedName>
    <definedName name="_xlnm.Criteria">[2]INSUMOS!#REF!</definedName>
    <definedName name="Criterios_IM" localSheetId="0">[2]INSUMOS!#REF!</definedName>
    <definedName name="Criterios_IM" localSheetId="7">[2]INSUMOS!#REF!</definedName>
    <definedName name="Criterios_IM" localSheetId="6">[2]INSUMOS!#REF!</definedName>
    <definedName name="Criterios_IM">[2]INSUMOS!#REF!</definedName>
    <definedName name="Cronograma" localSheetId="0">[2]INSUMOS!#REF!</definedName>
    <definedName name="Cronograma">[2]INSUMOS!#REF!</definedName>
    <definedName name="CUAD" localSheetId="0">#REF!</definedName>
    <definedName name="CUAD" localSheetId="7">#REF!</definedName>
    <definedName name="CUAD" localSheetId="6">#REF!</definedName>
    <definedName name="CUAD">#REF!</definedName>
    <definedName name="Cuadrilla">'[9]Mano Obra'!$B$1:$B$65536</definedName>
    <definedName name="DEMOLICIONANDEN" localSheetId="0">#REF!</definedName>
    <definedName name="DEMOLICIONANDEN" localSheetId="7">#REF!</definedName>
    <definedName name="DEMOLICIONANDEN" localSheetId="6">#REF!</definedName>
    <definedName name="DEMOLICIONANDEN">#REF!</definedName>
    <definedName name="demolicionladrillo" localSheetId="0">#REF!</definedName>
    <definedName name="demolicionladrillo" localSheetId="6">#REF!</definedName>
    <definedName name="demolicionladrillo">#REF!</definedName>
    <definedName name="DEMOLICIONMURO" localSheetId="0">#REF!</definedName>
    <definedName name="DEMOLICIONMURO" localSheetId="6">#REF!</definedName>
    <definedName name="DEMOLICIONMURO">#REF!</definedName>
    <definedName name="demolicionpav" localSheetId="0">#REF!</definedName>
    <definedName name="demolicionpav" localSheetId="6">#REF!</definedName>
    <definedName name="demolicionpav">#REF!</definedName>
    <definedName name="DesgAIU">[11]APU!$A:$H</definedName>
    <definedName name="dfasfdasdfadsfasdfas" localSheetId="0">[1]Insumos!#REF!</definedName>
    <definedName name="dfasfdasdfadsfasdfas" localSheetId="7">[1]Insumos!#REF!</definedName>
    <definedName name="dfasfdasdfadsfasdfas" localSheetId="1">[1]Insumos!#REF!</definedName>
    <definedName name="dfasfdasdfadsfasdfas">[1]Insumos!#REF!</definedName>
    <definedName name="DIA" localSheetId="0">#REF!</definedName>
    <definedName name="DIA" localSheetId="7">#REF!</definedName>
    <definedName name="DIA" localSheetId="6">#REF!</definedName>
    <definedName name="DIA">#REF!</definedName>
    <definedName name="espejo" localSheetId="0">[1]Insumos!#REF!</definedName>
    <definedName name="espejo" localSheetId="7">[1]Insumos!#REF!</definedName>
    <definedName name="espejo" localSheetId="1">[1]Insumos!#REF!</definedName>
    <definedName name="espejo">[1]Insumos!#REF!</definedName>
    <definedName name="ESTACA" localSheetId="0">#REF!</definedName>
    <definedName name="ESTACA" localSheetId="7">#REF!</definedName>
    <definedName name="ESTACA" localSheetId="6">#REF!</definedName>
    <definedName name="ESTACA">#REF!</definedName>
    <definedName name="excavaconglomerado" localSheetId="0">#REF!</definedName>
    <definedName name="excavaconglomerado" localSheetId="6">#REF!</definedName>
    <definedName name="excavaconglomerado">#REF!</definedName>
    <definedName name="EXCAVAMANOV" localSheetId="0">#REF!</definedName>
    <definedName name="EXCAVAMANOV" localSheetId="6">#REF!</definedName>
    <definedName name="EXCAVAMANOV">#REF!</definedName>
    <definedName name="EXCAVAMAQUINAV" localSheetId="0">#REF!</definedName>
    <definedName name="EXCAVAMAQUINAV" localSheetId="6">#REF!</definedName>
    <definedName name="EXCAVAMAQUINAV">#REF!</definedName>
    <definedName name="EXCAVATIERRA" localSheetId="0">#REF!</definedName>
    <definedName name="EXCAVATIERRA" localSheetId="6">#REF!</definedName>
    <definedName name="EXCAVATIERRA">#REF!</definedName>
    <definedName name="EXPL" localSheetId="0">#REF!</definedName>
    <definedName name="EXPL" localSheetId="6">#REF!</definedName>
    <definedName name="EXPL">#REF!</definedName>
    <definedName name="filtrov" localSheetId="0">#REF!</definedName>
    <definedName name="filtrov" localSheetId="6">#REF!</definedName>
    <definedName name="filtrov">#REF!</definedName>
    <definedName name="FORMA" localSheetId="0">#REF!</definedName>
    <definedName name="FORMA" localSheetId="6">#REF!</definedName>
    <definedName name="FORMA">#REF!</definedName>
    <definedName name="GALON" localSheetId="0">#REF!</definedName>
    <definedName name="GALON" localSheetId="6">#REF!</definedName>
    <definedName name="GALON">#REF!</definedName>
    <definedName name="GEO" localSheetId="0">#REF!</definedName>
    <definedName name="GEO" localSheetId="6">#REF!</definedName>
    <definedName name="GEO">#REF!</definedName>
    <definedName name="GRAVILLA" localSheetId="0">#REF!</definedName>
    <definedName name="GRAVILLA" localSheetId="6">#REF!</definedName>
    <definedName name="GRAVILLA">#REF!</definedName>
    <definedName name="h" localSheetId="0">#REF!</definedName>
    <definedName name="h" localSheetId="7">#REF!</definedName>
    <definedName name="h" localSheetId="6">#REF!</definedName>
    <definedName name="h">#REF!</definedName>
    <definedName name="hierro60v" localSheetId="0">#REF!</definedName>
    <definedName name="hierro60v" localSheetId="6">#REF!</definedName>
    <definedName name="hierro60v">#REF!</definedName>
    <definedName name="HMEN" localSheetId="0">#REF!</definedName>
    <definedName name="HMEN" localSheetId="6">#REF!</definedName>
    <definedName name="HMEN">#REF!</definedName>
    <definedName name="i">#REF!</definedName>
    <definedName name="IMP" localSheetId="0">#REF!</definedName>
    <definedName name="IMP" localSheetId="6">#REF!</definedName>
    <definedName name="IMP">#REF!</definedName>
    <definedName name="inf" localSheetId="0">#REF!</definedName>
    <definedName name="inf" localSheetId="7">#REF!</definedName>
    <definedName name="inf" localSheetId="6">#REF!</definedName>
    <definedName name="inf">#REF!</definedName>
    <definedName name="Insumos" localSheetId="7">#REF!</definedName>
    <definedName name="Insumos" localSheetId="6">#REF!</definedName>
    <definedName name="INSUMOS">#N/A</definedName>
    <definedName name="Lavamanos" localSheetId="0">[1]Insumos!#REF!</definedName>
    <definedName name="Lavamanos" localSheetId="7">[1]Insumos!#REF!</definedName>
    <definedName name="Lavamanos" localSheetId="6">[1]Insumos!#REF!</definedName>
    <definedName name="Lavamanos" localSheetId="1">[1]Insumos!#REF!</definedName>
    <definedName name="Lavamanos">[1]Insumos!#REF!</definedName>
    <definedName name="leo" localSheetId="0">#REF!</definedName>
    <definedName name="leo" localSheetId="7">#REF!</definedName>
    <definedName name="leo" localSheetId="6">#REF!</definedName>
    <definedName name="leo">#REF!</definedName>
    <definedName name="Lista" localSheetId="0">#REF!</definedName>
    <definedName name="Lista" localSheetId="7">#REF!</definedName>
    <definedName name="Lista" localSheetId="6">#REF!</definedName>
    <definedName name="Lista">#REF!</definedName>
    <definedName name="LLANTAS" localSheetId="0">#REF!</definedName>
    <definedName name="LLANTAS" localSheetId="6">#REF!</definedName>
    <definedName name="LLANTAS">#REF!</definedName>
    <definedName name="llenov" localSheetId="0">#REF!</definedName>
    <definedName name="llenov" localSheetId="6">#REF!</definedName>
    <definedName name="llenov">#REF!</definedName>
    <definedName name="LOCALIZACIONV" localSheetId="0">#REF!</definedName>
    <definedName name="LOCALIZACIONV" localSheetId="6">#REF!</definedName>
    <definedName name="LOCALIZACIONV">#REF!</definedName>
    <definedName name="localizamuro" localSheetId="0">#REF!</definedName>
    <definedName name="localizamuro" localSheetId="6">#REF!</definedName>
    <definedName name="localizamuro">#REF!</definedName>
    <definedName name="MALLA" localSheetId="0">#REF!</definedName>
    <definedName name="MALLA" localSheetId="6">#REF!</definedName>
    <definedName name="MALLA">#REF!</definedName>
    <definedName name="Maquinaria">'[9]Maqui Equip'!$B$1:$B$65536</definedName>
    <definedName name="Materiales" localSheetId="0">#REF!</definedName>
    <definedName name="Materiales" localSheetId="7">#REF!</definedName>
    <definedName name="Materiales" localSheetId="6">#REF!</definedName>
    <definedName name="Materiales">#REF!</definedName>
    <definedName name="MDC" localSheetId="0">#REF!</definedName>
    <definedName name="MDC" localSheetId="6">#REF!</definedName>
    <definedName name="MDC">#REF!</definedName>
    <definedName name="MEZCLADORA" localSheetId="0">#REF!</definedName>
    <definedName name="MEZCLADORA" localSheetId="6">#REF!</definedName>
    <definedName name="MEZCLADORA">#REF!</definedName>
    <definedName name="MOTO" localSheetId="0">#REF!</definedName>
    <definedName name="MOTO" localSheetId="6">#REF!</definedName>
    <definedName name="MOTO">#REF!</definedName>
    <definedName name="motosierra" localSheetId="0">[10]Mater!#REF!</definedName>
    <definedName name="motosierra" localSheetId="7">[10]Mater!#REF!</definedName>
    <definedName name="motosierra" localSheetId="6">[10]Mater!#REF!</definedName>
    <definedName name="motosierra">[10]Mater!#REF!</definedName>
    <definedName name="OFI" localSheetId="0">#REF!</definedName>
    <definedName name="OFI" localSheetId="7">#REF!</definedName>
    <definedName name="OFI" localSheetId="6">#REF!</definedName>
    <definedName name="OFI">#REF!</definedName>
    <definedName name="OTROS" localSheetId="0">#REF!</definedName>
    <definedName name="OTROS" localSheetId="6">#REF!</definedName>
    <definedName name="OTROS">#REF!</definedName>
    <definedName name="PARTE1" localSheetId="0">#REF!</definedName>
    <definedName name="PARTE1" localSheetId="6">#REF!</definedName>
    <definedName name="PARTE1">#REF!</definedName>
    <definedName name="pavimento" localSheetId="0">#REF!</definedName>
    <definedName name="pavimento" localSheetId="6">#REF!</definedName>
    <definedName name="pavimento">#REF!</definedName>
    <definedName name="PREST" localSheetId="0">#REF!</definedName>
    <definedName name="PREST" localSheetId="6">#REF!</definedName>
    <definedName name="PREST">#REF!</definedName>
    <definedName name="PROPONE" localSheetId="0">#REF!</definedName>
    <definedName name="PROPONE" localSheetId="6">#REF!</definedName>
    <definedName name="PROPONE">#REF!</definedName>
    <definedName name="PUNT">[3]INSUMOS!$D$688</definedName>
    <definedName name="qdefqfqwreqwerqw" localSheetId="0">[1]Insumos!#REF!</definedName>
    <definedName name="qdefqfqwreqwerqw" localSheetId="7">[1]Insumos!#REF!</definedName>
    <definedName name="qdefqfqwreqwerqw" localSheetId="1">[1]Insumos!#REF!</definedName>
    <definedName name="qdefqfqwreqwerqw">[1]Insumos!#REF!</definedName>
    <definedName name="RAJON" localSheetId="0">#REF!</definedName>
    <definedName name="RAJON" localSheetId="7">#REF!</definedName>
    <definedName name="RAJON" localSheetId="6">#REF!</definedName>
    <definedName name="RAJON">#REF!</definedName>
    <definedName name="RECEBO" localSheetId="0">#REF!</definedName>
    <definedName name="RECEBO" localSheetId="6">#REF!</definedName>
    <definedName name="RECEBO">#REF!</definedName>
    <definedName name="RETIROV" localSheetId="0">#REF!</definedName>
    <definedName name="RETIROV" localSheetId="6">#REF!</definedName>
    <definedName name="RETIROV">#REF!</definedName>
    <definedName name="RETRO" localSheetId="0">#REF!</definedName>
    <definedName name="RETRO" localSheetId="6">#REF!</definedName>
    <definedName name="RETRO">#REF!</definedName>
    <definedName name="SARDINELV" localSheetId="0">#REF!</definedName>
    <definedName name="SARDINELV" localSheetId="6">#REF!</definedName>
    <definedName name="SARDINELV">#REF!</definedName>
    <definedName name="soladov" localSheetId="0">#REF!</definedName>
    <definedName name="soladov" localSheetId="6">#REF!</definedName>
    <definedName name="soladov">#REF!</definedName>
    <definedName name="SUBBASE" localSheetId="0">#REF!</definedName>
    <definedName name="SUBBASE" localSheetId="6">#REF!</definedName>
    <definedName name="SUBBASE">#REF!</definedName>
    <definedName name="TABLA">[3]INSUMOS!$D$793</definedName>
    <definedName name="TANQUE" localSheetId="0">#REF!</definedName>
    <definedName name="TANQUE" localSheetId="7">#REF!</definedName>
    <definedName name="TANQUE" localSheetId="6">#REF!</definedName>
    <definedName name="TANQUE">#REF!</definedName>
    <definedName name="TERMINADORA" localSheetId="0">#REF!</definedName>
    <definedName name="TERMINADORA" localSheetId="6">#REF!</definedName>
    <definedName name="TERMINADORA">#REF!</definedName>
    <definedName name="TEST1" localSheetId="0">#REF!</definedName>
    <definedName name="TEST1" localSheetId="6">#REF!</definedName>
    <definedName name="TEST1">#REF!</definedName>
    <definedName name="TOPO" localSheetId="0">#REF!</definedName>
    <definedName name="TOPO" localSheetId="7">#REF!</definedName>
    <definedName name="TOPO" localSheetId="6">#REF!</definedName>
    <definedName name="TOPO">#REF!</definedName>
    <definedName name="TRAB">[3]INSUMOS!$D$932</definedName>
    <definedName name="TUBO" localSheetId="0">#REF!</definedName>
    <definedName name="TUBO" localSheetId="7">#REF!</definedName>
    <definedName name="TUBO" localSheetId="6">#REF!</definedName>
    <definedName name="TUBO">#REF!</definedName>
    <definedName name="Unidades">[9]Unidades!$A$1:$A$65536</definedName>
    <definedName name="UTIL" localSheetId="0">#REF!</definedName>
    <definedName name="UTIL" localSheetId="7">#REF!</definedName>
    <definedName name="UTIL" localSheetId="6">#REF!</definedName>
    <definedName name="UTIL">#REF!</definedName>
    <definedName name="VIBRA">[3]INSUMOS!$D$1404</definedName>
    <definedName name="VIBRADOR" localSheetId="0">#REF!</definedName>
    <definedName name="VIBRADOR" localSheetId="7">#REF!</definedName>
    <definedName name="VIBRADOR" localSheetId="6">#REF!</definedName>
    <definedName name="VIBRADOR">#REF!</definedName>
    <definedName name="VIBRO" localSheetId="0">#REF!</definedName>
    <definedName name="VIBRO" localSheetId="6">#REF!</definedName>
    <definedName name="VIBRO">#REF!</definedName>
    <definedName name="VOLQUETA" localSheetId="0">#REF!</definedName>
    <definedName name="VOLQUETA" localSheetId="6">#REF!</definedName>
    <definedName name="VOLQUETA">#REF!</definedName>
    <definedName name="WW">#REF!</definedName>
    <definedName name="XXXXXX">#REF!</definedName>
    <definedName name="Z" localSheetId="0">[1]Insumos!#REF!</definedName>
    <definedName name="Z" localSheetId="7">[1]Insumos!#REF!</definedName>
    <definedName name="Z" localSheetId="6">[1]Insumos!#REF!</definedName>
    <definedName name="Z">[1]Insumos!#REF!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9" i="40" l="1"/>
  <c r="E401" i="40"/>
  <c r="G401" i="40" s="1"/>
  <c r="G15" i="40"/>
  <c r="I129" i="41" l="1"/>
  <c r="I113" i="41"/>
  <c r="F113" i="41"/>
  <c r="I96" i="41"/>
  <c r="I81" i="41"/>
  <c r="F65" i="41"/>
  <c r="I65" i="41" s="1"/>
  <c r="I51" i="41"/>
  <c r="I50" i="41"/>
  <c r="I36" i="41"/>
  <c r="I35" i="41"/>
  <c r="I34" i="41"/>
  <c r="I20" i="41"/>
  <c r="I19" i="41"/>
  <c r="G421" i="40"/>
  <c r="H412" i="40"/>
  <c r="F407" i="40"/>
  <c r="E365" i="40"/>
  <c r="G365" i="40" s="1"/>
  <c r="E360" i="40"/>
  <c r="G360" i="40" s="1"/>
  <c r="E359" i="40"/>
  <c r="G359" i="40" s="1"/>
  <c r="E198" i="40"/>
  <c r="G198" i="40" s="1"/>
  <c r="G352" i="40"/>
  <c r="G351" i="40"/>
  <c r="G350" i="40"/>
  <c r="G346" i="40"/>
  <c r="G345" i="40"/>
  <c r="E309" i="40"/>
  <c r="G309" i="40" s="1"/>
  <c r="E304" i="40"/>
  <c r="G304" i="40" s="1"/>
  <c r="E303" i="40"/>
  <c r="G303" i="40" s="1"/>
  <c r="G296" i="40"/>
  <c r="G295" i="40"/>
  <c r="G294" i="40"/>
  <c r="G290" i="40"/>
  <c r="G254" i="40"/>
  <c r="E254" i="40"/>
  <c r="G70" i="40"/>
  <c r="E249" i="40"/>
  <c r="G249" i="40" s="1"/>
  <c r="E248" i="40"/>
  <c r="G248" i="40" s="1"/>
  <c r="G241" i="40"/>
  <c r="G240" i="40"/>
  <c r="E235" i="40"/>
  <c r="G235" i="40" s="1"/>
  <c r="G234" i="40"/>
  <c r="E193" i="40"/>
  <c r="G193" i="40" s="1"/>
  <c r="E192" i="40"/>
  <c r="G192" i="40" s="1"/>
  <c r="G185" i="40"/>
  <c r="G178" i="40"/>
  <c r="E142" i="40"/>
  <c r="G142" i="40" s="1"/>
  <c r="E137" i="40"/>
  <c r="G137" i="40" s="1"/>
  <c r="E136" i="40"/>
  <c r="G136" i="40" s="1"/>
  <c r="M13" i="29"/>
  <c r="G129" i="40"/>
  <c r="G128" i="40"/>
  <c r="G127" i="40"/>
  <c r="E17" i="40"/>
  <c r="G17" i="40" s="1"/>
  <c r="G71" i="40"/>
  <c r="E87" i="40"/>
  <c r="G87" i="40" s="1"/>
  <c r="E82" i="40"/>
  <c r="G82" i="40" s="1"/>
  <c r="E81" i="40"/>
  <c r="G81" i="40" s="1"/>
  <c r="G77" i="40"/>
  <c r="G76" i="40"/>
  <c r="E34" i="40"/>
  <c r="G34" i="40" s="1"/>
  <c r="K10" i="29"/>
  <c r="A393" i="40"/>
  <c r="A337" i="40"/>
  <c r="A282" i="40"/>
  <c r="B396" i="40"/>
  <c r="M71" i="31"/>
  <c r="M70" i="31"/>
  <c r="M19" i="31" l="1"/>
  <c r="M24" i="31"/>
  <c r="M23" i="31"/>
  <c r="F36" i="23"/>
  <c r="F43" i="23" s="1"/>
  <c r="I127" i="41" l="1"/>
  <c r="C126" i="41"/>
  <c r="H396" i="40"/>
  <c r="H424" i="40"/>
  <c r="E416" i="40"/>
  <c r="G416" i="40" s="1"/>
  <c r="E415" i="40"/>
  <c r="G415" i="40" s="1"/>
  <c r="G408" i="40"/>
  <c r="G407" i="40"/>
  <c r="G406" i="40"/>
  <c r="G402" i="40"/>
  <c r="I111" i="41"/>
  <c r="C110" i="41"/>
  <c r="I108" i="41"/>
  <c r="E23" i="29" s="1"/>
  <c r="I94" i="41"/>
  <c r="C93" i="41"/>
  <c r="I79" i="41"/>
  <c r="C78" i="41"/>
  <c r="I63" i="41"/>
  <c r="C62" i="41"/>
  <c r="I60" i="41"/>
  <c r="E20" i="29" s="1"/>
  <c r="I48" i="41"/>
  <c r="C47" i="41"/>
  <c r="I32" i="41"/>
  <c r="C31" i="41"/>
  <c r="H418" i="40" l="1"/>
  <c r="G400" i="40" s="1"/>
  <c r="H403" i="40" s="1"/>
  <c r="I138" i="41"/>
  <c r="I124" i="41"/>
  <c r="E26" i="29" s="1"/>
  <c r="I76" i="41"/>
  <c r="E21" i="29" s="1"/>
  <c r="I91" i="41"/>
  <c r="E22" i="29" s="1"/>
  <c r="I45" i="41"/>
  <c r="E17" i="29" s="1"/>
  <c r="H285" i="40"/>
  <c r="B285" i="40"/>
  <c r="H312" i="40"/>
  <c r="G299" i="40"/>
  <c r="G298" i="40"/>
  <c r="E29" i="29" l="1"/>
  <c r="H426" i="40"/>
  <c r="F29" i="29" s="1"/>
  <c r="H300" i="40"/>
  <c r="H306" i="40"/>
  <c r="G289" i="40" l="1"/>
  <c r="H291" i="40" s="1"/>
  <c r="H314" i="40" s="1"/>
  <c r="F431" i="40"/>
  <c r="F432" i="40"/>
  <c r="F430" i="40"/>
  <c r="G29" i="29"/>
  <c r="G30" i="29" s="1"/>
  <c r="H433" i="40"/>
  <c r="H435" i="40" s="1"/>
  <c r="F23" i="29" l="1"/>
  <c r="G23" i="29" s="1"/>
  <c r="F318" i="40"/>
  <c r="F319" i="40"/>
  <c r="F320" i="40"/>
  <c r="H321" i="40" l="1"/>
  <c r="H323" i="40" s="1"/>
  <c r="H356" i="40" l="1"/>
  <c r="F31" i="23"/>
  <c r="F42" i="23" s="1"/>
  <c r="A14" i="41" l="1"/>
  <c r="C16" i="41"/>
  <c r="I17" i="41"/>
  <c r="B11" i="40"/>
  <c r="H11" i="40"/>
  <c r="B65" i="40"/>
  <c r="H65" i="40"/>
  <c r="B118" i="40"/>
  <c r="H118" i="40"/>
  <c r="B173" i="40"/>
  <c r="H173" i="40"/>
  <c r="B229" i="40"/>
  <c r="H229" i="40"/>
  <c r="G244" i="40"/>
  <c r="G243" i="40"/>
  <c r="G242" i="40"/>
  <c r="E29" i="40" l="1"/>
  <c r="G29" i="40" s="1"/>
  <c r="E28" i="40"/>
  <c r="G28" i="40" s="1"/>
  <c r="G23" i="40"/>
  <c r="G22" i="40"/>
  <c r="G21" i="40"/>
  <c r="H257" i="40" l="1"/>
  <c r="A226" i="40"/>
  <c r="H245" i="40" l="1"/>
  <c r="H251" i="40"/>
  <c r="G233" i="40" l="1"/>
  <c r="H236" i="40" s="1"/>
  <c r="H259" i="40" s="1"/>
  <c r="F22" i="29" l="1"/>
  <c r="G22" i="29" s="1"/>
  <c r="F264" i="40"/>
  <c r="F265" i="40"/>
  <c r="F263" i="40"/>
  <c r="H266" i="40" l="1"/>
  <c r="H268" i="40" s="1"/>
  <c r="H340" i="40" l="1"/>
  <c r="B340" i="40"/>
  <c r="H368" i="40"/>
  <c r="H362" i="40"/>
  <c r="G344" i="40" s="1"/>
  <c r="H347" i="40" l="1"/>
  <c r="H370" i="40" s="1"/>
  <c r="F26" i="29" l="1"/>
  <c r="G26" i="29" s="1"/>
  <c r="G27" i="29" s="1"/>
  <c r="F375" i="40" l="1"/>
  <c r="F374" i="40"/>
  <c r="F376" i="40"/>
  <c r="H377" i="40" l="1"/>
  <c r="H379" i="40" s="1"/>
  <c r="A8" i="41" l="1"/>
  <c r="H201" i="40"/>
  <c r="G184" i="40"/>
  <c r="G183" i="40"/>
  <c r="G179" i="40"/>
  <c r="A170" i="40"/>
  <c r="H145" i="40"/>
  <c r="G123" i="40"/>
  <c r="A115" i="40"/>
  <c r="H90" i="40"/>
  <c r="H84" i="40"/>
  <c r="G69" i="40" s="1"/>
  <c r="A62" i="40"/>
  <c r="H37" i="40"/>
  <c r="G16" i="40"/>
  <c r="A8" i="40"/>
  <c r="F6" i="40"/>
  <c r="F391" i="40" l="1"/>
  <c r="I29" i="41"/>
  <c r="E16" i="29" s="1"/>
  <c r="F280" i="40"/>
  <c r="H189" i="40"/>
  <c r="F224" i="40"/>
  <c r="H78" i="40"/>
  <c r="H133" i="40"/>
  <c r="H72" i="40"/>
  <c r="F335" i="40"/>
  <c r="H139" i="40"/>
  <c r="G122" i="40" s="1"/>
  <c r="H124" i="40" s="1"/>
  <c r="H25" i="40"/>
  <c r="H195" i="40"/>
  <c r="G177" i="40" s="1"/>
  <c r="H180" i="40" s="1"/>
  <c r="H31" i="40"/>
  <c r="H18" i="40" s="1"/>
  <c r="F113" i="40"/>
  <c r="F168" i="40"/>
  <c r="F60" i="40"/>
  <c r="H92" i="40" l="1"/>
  <c r="H147" i="40"/>
  <c r="H203" i="40"/>
  <c r="H39" i="40"/>
  <c r="F16" i="29" l="1"/>
  <c r="F21" i="29"/>
  <c r="G21" i="29" s="1"/>
  <c r="F20" i="29"/>
  <c r="G20" i="29" s="1"/>
  <c r="F17" i="29"/>
  <c r="G17" i="29" s="1"/>
  <c r="F44" i="40"/>
  <c r="F207" i="40"/>
  <c r="F208" i="40"/>
  <c r="F209" i="40"/>
  <c r="F45" i="40"/>
  <c r="F43" i="40"/>
  <c r="F98" i="40"/>
  <c r="F97" i="40"/>
  <c r="F96" i="40"/>
  <c r="F151" i="40"/>
  <c r="F153" i="40"/>
  <c r="F152" i="40"/>
  <c r="G24" i="29" l="1"/>
  <c r="H210" i="40"/>
  <c r="H212" i="40" s="1"/>
  <c r="H99" i="40"/>
  <c r="H101" i="40" s="1"/>
  <c r="H46" i="40"/>
  <c r="H48" i="40" s="1"/>
  <c r="H154" i="40"/>
  <c r="H156" i="40" s="1"/>
  <c r="G16" i="29" l="1"/>
  <c r="G18" i="29" s="1"/>
  <c r="G31" i="29" s="1"/>
  <c r="E45" i="23" l="1"/>
  <c r="F34" i="29"/>
  <c r="F33" i="29"/>
  <c r="F19" i="23" l="1"/>
  <c r="D42" i="23"/>
  <c r="G34" i="29"/>
  <c r="J43" i="23" s="1"/>
  <c r="G33" i="29"/>
  <c r="J42" i="23" s="1"/>
  <c r="G56" i="31"/>
  <c r="G6" i="31"/>
  <c r="E6" i="23"/>
  <c r="H81" i="31" l="1"/>
  <c r="H77" i="31"/>
  <c r="F72" i="31"/>
  <c r="G72" i="31" s="1"/>
  <c r="G70" i="31"/>
  <c r="F71" i="31"/>
  <c r="M69" i="31"/>
  <c r="F69" i="31" s="1"/>
  <c r="G69" i="31" s="1"/>
  <c r="H66" i="31"/>
  <c r="M66" i="31"/>
  <c r="M65" i="31"/>
  <c r="G71" i="31" l="1"/>
  <c r="H73" i="31" s="1"/>
  <c r="H83" i="31" s="1"/>
  <c r="G87" i="31" l="1"/>
  <c r="G86" i="31"/>
  <c r="H88" i="31" l="1"/>
  <c r="H90" i="31" s="1"/>
  <c r="A7" i="31" l="1"/>
  <c r="A57" i="31" s="1"/>
  <c r="A8" i="23" l="1"/>
  <c r="A50" i="31" l="1"/>
  <c r="A97" i="31" s="1"/>
  <c r="A49" i="31"/>
  <c r="A96" i="31" s="1"/>
  <c r="A48" i="31"/>
  <c r="A95" i="31" s="1"/>
  <c r="H34" i="31"/>
  <c r="H30" i="31"/>
  <c r="G23" i="31"/>
  <c r="F24" i="31"/>
  <c r="G24" i="31" s="1"/>
  <c r="M22" i="31"/>
  <c r="F22" i="31" s="1"/>
  <c r="G22" i="31" s="1"/>
  <c r="H19" i="31"/>
  <c r="M18" i="31"/>
  <c r="M17" i="31"/>
  <c r="H26" i="31" l="1"/>
  <c r="H36" i="31" s="1"/>
  <c r="G40" i="31" l="1"/>
  <c r="G39" i="31"/>
  <c r="H41" i="31" s="1"/>
  <c r="H43" i="31" s="1"/>
  <c r="B8" i="13" l="1"/>
  <c r="E25" i="23" l="1"/>
  <c r="F23" i="23"/>
  <c r="F22" i="23"/>
  <c r="D30" i="23"/>
  <c r="D46" i="1" l="1"/>
  <c r="G33" i="1"/>
  <c r="D21" i="1" l="1"/>
  <c r="H19" i="1"/>
  <c r="H27" i="1"/>
  <c r="H21" i="1" l="1"/>
  <c r="D43" i="1" l="1"/>
  <c r="K43" i="1" s="1"/>
  <c r="K46" i="1"/>
  <c r="K45" i="1"/>
  <c r="D44" i="1"/>
  <c r="K44" i="1" s="1"/>
  <c r="D42" i="1"/>
  <c r="K42" i="1" s="1"/>
  <c r="G31" i="1"/>
  <c r="K40" i="1"/>
  <c r="D41" i="1"/>
  <c r="K41" i="1" s="1"/>
  <c r="D39" i="1"/>
  <c r="K39" i="1" s="1"/>
  <c r="D38" i="1"/>
  <c r="K38" i="1" s="1"/>
  <c r="D36" i="1"/>
  <c r="K36" i="1" s="1"/>
  <c r="D37" i="1"/>
  <c r="K37" i="1" s="1"/>
  <c r="K35" i="1" l="1"/>
  <c r="B12" i="1" l="1"/>
  <c r="B15" i="1" s="1"/>
  <c r="B17" i="1" s="1"/>
  <c r="B19" i="1" s="1"/>
  <c r="B21" i="1" s="1"/>
  <c r="B23" i="1" s="1"/>
  <c r="B25" i="1" s="1"/>
  <c r="B27" i="1" s="1"/>
  <c r="B29" i="1" s="1"/>
  <c r="B31" i="1" s="1"/>
  <c r="B33" i="1" s="1"/>
  <c r="B58" i="1" l="1"/>
  <c r="B49" i="1" l="1"/>
  <c r="B47" i="1"/>
  <c r="B35" i="1"/>
  <c r="K50" i="1"/>
  <c r="K49" i="1" s="1"/>
  <c r="K48" i="1"/>
  <c r="K47" i="1" l="1"/>
  <c r="D58" i="15" l="1"/>
  <c r="D57" i="15"/>
  <c r="D56" i="15"/>
  <c r="E58" i="1"/>
  <c r="E57" i="1"/>
  <c r="E56" i="1"/>
  <c r="B57" i="1" l="1"/>
  <c r="B56" i="1"/>
  <c r="A57" i="15"/>
  <c r="A56" i="15"/>
  <c r="A58" i="15" l="1"/>
  <c r="A6" i="1" l="1"/>
  <c r="A7" i="15"/>
  <c r="H15" i="1" l="1"/>
  <c r="F32" i="15" l="1"/>
  <c r="K20" i="1" l="1"/>
  <c r="K18" i="1" l="1"/>
  <c r="K32" i="1" l="1"/>
  <c r="K30" i="1"/>
  <c r="H29" i="1"/>
  <c r="K24" i="1"/>
  <c r="K16" i="1"/>
  <c r="G12" i="1" l="1"/>
  <c r="K11" i="1" s="1"/>
  <c r="G10" i="1"/>
  <c r="K9" i="1" s="1"/>
  <c r="G26" i="15" l="1"/>
  <c r="G25" i="15"/>
  <c r="H40" i="15" l="1"/>
  <c r="E32" i="15"/>
  <c r="G32" i="15" s="1"/>
  <c r="E31" i="15"/>
  <c r="G31" i="15" s="1"/>
  <c r="G24" i="15"/>
  <c r="G23" i="15"/>
  <c r="H28" i="15" l="1"/>
  <c r="H34" i="15"/>
  <c r="G14" i="15" s="1"/>
  <c r="H20" i="15" s="1"/>
  <c r="H42" i="15" s="1"/>
  <c r="G48" i="15" l="1"/>
  <c r="G47" i="15"/>
  <c r="G46" i="15"/>
  <c r="H49" i="15" l="1"/>
  <c r="H51" i="15" s="1"/>
  <c r="G13" i="13" l="1"/>
  <c r="G30" i="13" l="1"/>
  <c r="G32" i="13" s="1"/>
  <c r="G33" i="13" s="1"/>
  <c r="C14" i="23" s="1"/>
  <c r="E14" i="23" s="1"/>
  <c r="B17" i="23" s="1"/>
  <c r="E17" i="23" s="1"/>
  <c r="E26" i="23" s="1"/>
  <c r="F17" i="23" l="1"/>
  <c r="K28" i="1"/>
  <c r="K14" i="1" l="1"/>
  <c r="K26" i="1"/>
  <c r="K22" i="1"/>
  <c r="F21" i="23" l="1"/>
  <c r="F26" i="23" s="1"/>
  <c r="F41" i="23" s="1"/>
  <c r="D43" i="23"/>
  <c r="I43" i="23" s="1"/>
  <c r="H43" i="23" s="1"/>
  <c r="D35" i="23"/>
  <c r="D36" i="23" s="1"/>
  <c r="D41" i="23" l="1"/>
  <c r="F32" i="29"/>
  <c r="D31" i="23"/>
  <c r="I41" i="23" l="1"/>
  <c r="D44" i="23"/>
  <c r="F44" i="23"/>
  <c r="I42" i="23"/>
  <c r="H42" i="23" s="1"/>
  <c r="G32" i="29" l="1"/>
  <c r="G35" i="29" l="1"/>
  <c r="G36" i="29" s="1"/>
  <c r="J41" i="23"/>
  <c r="H41" i="23" s="1"/>
  <c r="E46" i="23"/>
  <c r="E47" i="23" s="1"/>
  <c r="E440" i="40" l="1"/>
  <c r="E161" i="40"/>
  <c r="E217" i="40"/>
  <c r="E53" i="40"/>
  <c r="E384" i="40"/>
  <c r="E328" i="40"/>
  <c r="E106" i="40"/>
  <c r="E273" i="40"/>
  <c r="E329" i="40"/>
  <c r="E54" i="40"/>
  <c r="E385" i="40"/>
  <c r="E218" i="40"/>
  <c r="E274" i="40"/>
  <c r="E441" i="40"/>
  <c r="E107" i="40"/>
  <c r="E162" i="40"/>
</calcChain>
</file>

<file path=xl/sharedStrings.xml><?xml version="1.0" encoding="utf-8"?>
<sst xmlns="http://schemas.openxmlformats.org/spreadsheetml/2006/main" count="1188" uniqueCount="318">
  <si>
    <t>REPUBLICA DE COLOMBIA</t>
  </si>
  <si>
    <t>DEPARTAMENTO DEL PUTUMAYO</t>
  </si>
  <si>
    <t>MEMORIA DE CANTIDADES</t>
  </si>
  <si>
    <t>ITEM</t>
  </si>
  <si>
    <t xml:space="preserve">Descripción </t>
  </si>
  <si>
    <t>Und</t>
  </si>
  <si>
    <t>L (m)</t>
  </si>
  <si>
    <t>A (m)</t>
  </si>
  <si>
    <t>H(m)</t>
  </si>
  <si>
    <t>Área(m2)</t>
  </si>
  <si>
    <t>Volumen(m3)</t>
  </si>
  <si>
    <t>Kg</t>
  </si>
  <si>
    <t>Unidad</t>
  </si>
  <si>
    <t>Cantidad</t>
  </si>
  <si>
    <t>PRELIMINARES</t>
  </si>
  <si>
    <t>Localización y replanteo</t>
  </si>
  <si>
    <t>m2</t>
  </si>
  <si>
    <t>m3</t>
  </si>
  <si>
    <t>TRANSPORTE</t>
  </si>
  <si>
    <t xml:space="preserve">DESCRIPCION </t>
  </si>
  <si>
    <t>UNIDAD</t>
  </si>
  <si>
    <t>CANTIDAD</t>
  </si>
  <si>
    <t>VR/UNITARIO</t>
  </si>
  <si>
    <t>VR/TOTAL</t>
  </si>
  <si>
    <t>SUBTOTAL</t>
  </si>
  <si>
    <t>ANALISIS DE PRECIOS UNITARIOS</t>
  </si>
  <si>
    <t>ACTIVIDAD:</t>
  </si>
  <si>
    <t xml:space="preserve">Unidad: </t>
  </si>
  <si>
    <t>I</t>
  </si>
  <si>
    <t>EQUIPO</t>
  </si>
  <si>
    <t>DESCRIPCIÓN</t>
  </si>
  <si>
    <t>Tipo</t>
  </si>
  <si>
    <t>Tarifa/Día</t>
  </si>
  <si>
    <t>Rend</t>
  </si>
  <si>
    <t>V. Unitario.</t>
  </si>
  <si>
    <t xml:space="preserve">        SUBTOTAL.</t>
  </si>
  <si>
    <t>II</t>
  </si>
  <si>
    <t>MATERIALES EN OBRA.</t>
  </si>
  <si>
    <t>Cant.</t>
  </si>
  <si>
    <t>Precio Unit.</t>
  </si>
  <si>
    <t xml:space="preserve"> </t>
  </si>
  <si>
    <t xml:space="preserve">        SUBTOTAL </t>
  </si>
  <si>
    <t>III</t>
  </si>
  <si>
    <t>MANO DE OBRA.</t>
  </si>
  <si>
    <t>CAN</t>
  </si>
  <si>
    <t>Jornal</t>
  </si>
  <si>
    <t>Prestac</t>
  </si>
  <si>
    <t>Jornal Total</t>
  </si>
  <si>
    <t>Rend.</t>
  </si>
  <si>
    <t xml:space="preserve">        SUBTOTAL</t>
  </si>
  <si>
    <t>IV</t>
  </si>
  <si>
    <t>Prec.Unitario</t>
  </si>
  <si>
    <t>Vr. Unitario</t>
  </si>
  <si>
    <t>TOTAL COSTOS DIRECTOS.</t>
  </si>
  <si>
    <t>V</t>
  </si>
  <si>
    <t>COSTOS INDIRECTOS.</t>
  </si>
  <si>
    <t>%</t>
  </si>
  <si>
    <t xml:space="preserve">   COSTO DIRECTO</t>
  </si>
  <si>
    <t xml:space="preserve">    V. UNITARIO</t>
  </si>
  <si>
    <t>ADMINISTRACIÓN</t>
  </si>
  <si>
    <t>IMPREVISTOS</t>
  </si>
  <si>
    <t>UTILIDAD</t>
  </si>
  <si>
    <t>TOTAL COSTOS INDIRECTOS</t>
  </si>
  <si>
    <t>TOTAL PRECIO UNITARIO.</t>
  </si>
  <si>
    <t>MUNICIPIO DE SAN MIGUEL</t>
  </si>
  <si>
    <t>Herremienta menor</t>
  </si>
  <si>
    <t>Oficial</t>
  </si>
  <si>
    <t>Ayudante</t>
  </si>
  <si>
    <t>TOTAL</t>
  </si>
  <si>
    <t>Excavacion manual</t>
  </si>
  <si>
    <t>ml</t>
  </si>
  <si>
    <t>und</t>
  </si>
  <si>
    <t>FACTOR PRESTACIONAL</t>
  </si>
  <si>
    <t>A.</t>
  </si>
  <si>
    <t>VALOR BASE (Sueldo)</t>
  </si>
  <si>
    <t>B.</t>
  </si>
  <si>
    <t>PRESTACIONES SOCIALES</t>
  </si>
  <si>
    <t>a.</t>
  </si>
  <si>
    <t xml:space="preserve">Cesantías  </t>
  </si>
  <si>
    <t>(A/12)</t>
  </si>
  <si>
    <t>b.</t>
  </si>
  <si>
    <t>Intereses sobre cesantía</t>
  </si>
  <si>
    <t>(a*12%)</t>
  </si>
  <si>
    <t>c.</t>
  </si>
  <si>
    <t>Prima anual</t>
  </si>
  <si>
    <t>d.</t>
  </si>
  <si>
    <t>Caja de Compensación</t>
  </si>
  <si>
    <t>% A</t>
  </si>
  <si>
    <t>e.</t>
  </si>
  <si>
    <t>SENA</t>
  </si>
  <si>
    <t>f.</t>
  </si>
  <si>
    <t>ICBF</t>
  </si>
  <si>
    <t>g.</t>
  </si>
  <si>
    <t>Sistema de seguridad social : Salud</t>
  </si>
  <si>
    <t>h.</t>
  </si>
  <si>
    <t>Sistema de seguridad social : Pensiòn</t>
  </si>
  <si>
    <t>i.</t>
  </si>
  <si>
    <t>ARP personal en obra</t>
  </si>
  <si>
    <t>j.</t>
  </si>
  <si>
    <t>ARP personal en oficina</t>
  </si>
  <si>
    <t>k.</t>
  </si>
  <si>
    <t>Vacaciones</t>
  </si>
  <si>
    <t>(15/360*100)</t>
  </si>
  <si>
    <t>l.</t>
  </si>
  <si>
    <t>Ausencias justificadas</t>
  </si>
  <si>
    <t>(3/360*100)</t>
  </si>
  <si>
    <t>m.</t>
  </si>
  <si>
    <t>Auxilio de transporte personal sueldo  &lt;  $ 923.000</t>
  </si>
  <si>
    <t>n.</t>
  </si>
  <si>
    <t>Indemnizaciones</t>
  </si>
  <si>
    <t>o</t>
  </si>
  <si>
    <t xml:space="preserve">Subsidio familiar </t>
  </si>
  <si>
    <t>p</t>
  </si>
  <si>
    <t xml:space="preserve">Bonoficación rereación </t>
  </si>
  <si>
    <t>C.</t>
  </si>
  <si>
    <t>SUMA (A + B)</t>
  </si>
  <si>
    <t>E.</t>
  </si>
  <si>
    <t xml:space="preserve">FACTOR PRESTACIONAL </t>
  </si>
  <si>
    <t>FACTOR PRESTACIONAL FINAL</t>
  </si>
  <si>
    <t>Seguridad Industrial</t>
  </si>
  <si>
    <t>TOTAL ADMINISTRACION</t>
  </si>
  <si>
    <t>TOTAL UTILIDAD</t>
  </si>
  <si>
    <t>Subbase compactada con material de selección</t>
  </si>
  <si>
    <t>Demolicion placa existente</t>
  </si>
  <si>
    <t>Retiro tuberia existente en mal estado</t>
  </si>
  <si>
    <t>kg</t>
  </si>
  <si>
    <t>Suministro y aplicación de curador tipo antisol para concreto rigido</t>
  </si>
  <si>
    <t>Cemento gris</t>
  </si>
  <si>
    <t>Arena</t>
  </si>
  <si>
    <t>Triturado</t>
  </si>
  <si>
    <t>Agua</t>
  </si>
  <si>
    <t>lt</t>
  </si>
  <si>
    <t>ESTRUCTURA SANITARIA Y DE PAVIMENTO</t>
  </si>
  <si>
    <t>Retiro de material de excavacion y demolicion</t>
  </si>
  <si>
    <t>Relleno con material de sitio seleccionado, compactado</t>
  </si>
  <si>
    <t>SAN MIGUEL - PUTUMAYO</t>
  </si>
  <si>
    <t>Vo.Bo.</t>
  </si>
  <si>
    <t>ALABORÓ:</t>
  </si>
  <si>
    <t>Relleno con material crudo de rio</t>
  </si>
  <si>
    <t>Calle 5 entre crr 5 a crr 3.</t>
  </si>
  <si>
    <t>Calle 3 entre crr 2 y crr 3</t>
  </si>
  <si>
    <t>Sector la Vega calle 3 entre crr 2 y 3</t>
  </si>
  <si>
    <t>APU-BASICO</t>
  </si>
  <si>
    <t>Instalacion de tuberia 6" (incluye encamado en arena)</t>
  </si>
  <si>
    <t>Kit silla tee 6" a  12"</t>
  </si>
  <si>
    <t>ALCANTARILLADO SANITARIO Y PLUVIAL</t>
  </si>
  <si>
    <t>DESCRIPCION</t>
  </si>
  <si>
    <t xml:space="preserve"> Concreto MR 21 Mpa</t>
  </si>
  <si>
    <t>Placa en concreto rigido de 21 MPA, e=20 cm incluye juntas de expansion y sellado</t>
  </si>
  <si>
    <t>Carrera 3 sector de la entrada hasta estación de policia.</t>
  </si>
  <si>
    <t>Carrera 3 entre calles 5 y 3.</t>
  </si>
  <si>
    <t>Carrera 2 al descole del aserradero</t>
  </si>
  <si>
    <t>Calle 4</t>
  </si>
  <si>
    <t>carrera 2</t>
  </si>
  <si>
    <t>Calle 3 entre crr 2 y crr 3 pluvial</t>
  </si>
  <si>
    <t>Carrera 2 al descole del aserradero pluvial</t>
  </si>
  <si>
    <t>Carrera 3 - calle 3 y calle 4 sumideros</t>
  </si>
  <si>
    <t>Carreras  2,3 Y 4,  Calles 3, 4 Y 5</t>
  </si>
  <si>
    <t>Carrera 2, 3 - calle 3 y 4 tuberia sumideros</t>
  </si>
  <si>
    <t>SECRETARIO DE PLANEACION Y OBRAS PUBLICAS</t>
  </si>
  <si>
    <t>FACTOR PRESTACIONAL PARA PERSONAL PROFESIONAL, ADMINISTRATIVO Y TECNICO</t>
  </si>
  <si>
    <t>SECRETARIA DE PLANEACIÓN Y OBRA PÚBLICAS</t>
  </si>
  <si>
    <t>CÓDIGO</t>
  </si>
  <si>
    <t>SERIE Y SUBSERIE</t>
  </si>
  <si>
    <t>NIT. 800252922-2</t>
  </si>
  <si>
    <t>Modelo Integrado de Planeación y Gestión</t>
  </si>
  <si>
    <t>VERSIÓN</t>
  </si>
  <si>
    <t>PRESUPUESTO</t>
  </si>
  <si>
    <t>FECHA DEL FORMATO</t>
  </si>
  <si>
    <t>D/M/A</t>
  </si>
  <si>
    <t>SALARIO PERSONAL ADMINISTRATIVO DE OBRA</t>
  </si>
  <si>
    <t>PERSONAL</t>
  </si>
  <si>
    <t xml:space="preserve">SUELDO BASICO </t>
  </si>
  <si>
    <t>SUELDO + PRESTACIONES</t>
  </si>
  <si>
    <t>Residente de Obra</t>
  </si>
  <si>
    <t xml:space="preserve">1. ADMINISTRACION </t>
  </si>
  <si>
    <t>1.1. PERSONAL ADMINISTRATIVO DE OBRA</t>
  </si>
  <si>
    <t>DEDICACION</t>
  </si>
  <si>
    <t>MESES</t>
  </si>
  <si>
    <t>VALOR PARCIAL</t>
  </si>
  <si>
    <t>% SOBRE COSTO DIRECTO</t>
  </si>
  <si>
    <t xml:space="preserve">1.2. COSTOS DEL PROCESO </t>
  </si>
  <si>
    <t>Polizas y legalizacion del contrato</t>
  </si>
  <si>
    <t>1.3. GASTOS DE OBRA</t>
  </si>
  <si>
    <t>Edicion de informes</t>
  </si>
  <si>
    <t>Otros</t>
  </si>
  <si>
    <t>IMPUESTOS DE OBRA</t>
  </si>
  <si>
    <t>Otras obigaciones (Impuestos de ley)</t>
  </si>
  <si>
    <t>2. IMPREVISTOS</t>
  </si>
  <si>
    <t>PORCENTAJE</t>
  </si>
  <si>
    <t>3. UTILIDAD</t>
  </si>
  <si>
    <t>TOTAL COSTO DIRECTO A.I.U</t>
  </si>
  <si>
    <t>RESUMEN</t>
  </si>
  <si>
    <t xml:space="preserve">ADMINISTRACION </t>
  </si>
  <si>
    <t>COSTO DIRECTO</t>
  </si>
  <si>
    <t>SECRETARIA DE PLANEACIÓN Y OBRAS PÚBLICAS</t>
  </si>
  <si>
    <t>CODIGO</t>
  </si>
  <si>
    <t xml:space="preserve">PRESUPUESTO GENERAL </t>
  </si>
  <si>
    <t>ARQ. GUILLERMO YAMID VALLEJOS BENAVIDES</t>
  </si>
  <si>
    <t>subtotal</t>
  </si>
  <si>
    <t>M3</t>
  </si>
  <si>
    <t>M2</t>
  </si>
  <si>
    <t xml:space="preserve">Reviso: </t>
  </si>
  <si>
    <t>Apoyo Profesional SPOPM</t>
  </si>
  <si>
    <t>COSTO INDIRECTO (32%)</t>
  </si>
  <si>
    <t>TOTAL OBRA</t>
  </si>
  <si>
    <t>AGUA</t>
  </si>
  <si>
    <t>LTS</t>
  </si>
  <si>
    <t>BASICO I</t>
  </si>
  <si>
    <t>HERRAMIENTA Y EQUIPO</t>
  </si>
  <si>
    <t>ALQUILER EQUIPOS</t>
  </si>
  <si>
    <t>TROMPO</t>
  </si>
  <si>
    <t>capa 2 bultos dia</t>
  </si>
  <si>
    <t>VIBRO</t>
  </si>
  <si>
    <t>alquiler dia</t>
  </si>
  <si>
    <t xml:space="preserve">COSTOS PUESTO EN ZONA RURAL DISPERSA </t>
  </si>
  <si>
    <t>CEMENTO</t>
  </si>
  <si>
    <t>bulto 50Kg, con transpr</t>
  </si>
  <si>
    <t>CEMENTO GRIS TIPO 1</t>
  </si>
  <si>
    <t>KG</t>
  </si>
  <si>
    <t>ARENA</t>
  </si>
  <si>
    <t>TRITURADO</t>
  </si>
  <si>
    <t>ARENA DE RIO</t>
  </si>
  <si>
    <t>H-H</t>
  </si>
  <si>
    <t>MORTERO 1:3</t>
  </si>
  <si>
    <t>ANCHO</t>
  </si>
  <si>
    <t>ALTO</t>
  </si>
  <si>
    <t>AREA</t>
  </si>
  <si>
    <t>No. ELEM.</t>
  </si>
  <si>
    <t>viaje de volqueta 5 M3</t>
  </si>
  <si>
    <t>Obreros</t>
  </si>
  <si>
    <t>TOTAL COSTO DIRECTO</t>
  </si>
  <si>
    <t>TOTAL COSTO INDIRECTO</t>
  </si>
  <si>
    <t>Ing. Jeisson Arled Buesaquillo Madroñero</t>
  </si>
  <si>
    <t>Tarifa/Hora</t>
  </si>
  <si>
    <t>BASICO ll</t>
  </si>
  <si>
    <t>CONCRETO 3000 PSI</t>
  </si>
  <si>
    <t>TRITURADO 1/2" - 3/4"</t>
  </si>
  <si>
    <t>DESGLOCE A.I.U - I.E.R AGUA CLARA SEDE CAMPESTRE HELICONIAS</t>
  </si>
  <si>
    <t>UND</t>
  </si>
  <si>
    <t>ML</t>
  </si>
  <si>
    <t>GLB</t>
  </si>
  <si>
    <t>Tarifa/Dia</t>
  </si>
  <si>
    <t xml:space="preserve">Cant </t>
  </si>
  <si>
    <t>Equipo de soldadura electrica AC/DC 110/220</t>
  </si>
  <si>
    <t>GAL</t>
  </si>
  <si>
    <t>Soldador</t>
  </si>
  <si>
    <t>LARGO</t>
  </si>
  <si>
    <t>Cant Dia/m3</t>
  </si>
  <si>
    <t xml:space="preserve">REALIZO: ING JEISSON ARLED BUESAQUILLO </t>
  </si>
  <si>
    <t>_________________________________________</t>
  </si>
  <si>
    <t>Redn  ml/Dia</t>
  </si>
  <si>
    <t>Redn  m2/Dia</t>
  </si>
  <si>
    <t>________________________________________________</t>
  </si>
  <si>
    <t>MARTILLO DEMOLEDOR</t>
  </si>
  <si>
    <t>Tornillo autoperforante 2" Hexagonal</t>
  </si>
  <si>
    <t>xx</t>
  </si>
  <si>
    <t>MANTENIMIENTO Y REPARACION DE PUENTE VEHICULAR VIA LA GUISITA EN EL MUNICIPIO DE SAN MIGUEL PUTUMAYO</t>
  </si>
  <si>
    <t>PUENTE VEHICULAR LA GUISITA</t>
  </si>
  <si>
    <t>TUBERIA 12"</t>
  </si>
  <si>
    <t>TUBERIA 6"</t>
  </si>
  <si>
    <t>TUBERIA 3 1/2"</t>
  </si>
  <si>
    <t>TUBERIA 8"</t>
  </si>
  <si>
    <t>12 METROS</t>
  </si>
  <si>
    <t>9.30 METROS</t>
  </si>
  <si>
    <t>TUBERIA 20"</t>
  </si>
  <si>
    <t>MANTENIMIENTO Y REPARACION DE ESTRUCTURA PRINCIPAL</t>
  </si>
  <si>
    <t xml:space="preserve">Manetimiento y reparacion de pilares en H Tuberia 12" </t>
  </si>
  <si>
    <t>MANTENIMIENTO Y REPARACION DE ELEMENTOS COMPLEMENTARIOS</t>
  </si>
  <si>
    <t>Mantenimiento y reparacion de barandas o pasamanos metalicos Tuberia 3 1/2"</t>
  </si>
  <si>
    <t>Mantenimiento y reparacion de soporte vertical para aletas Tuberia 6"</t>
  </si>
  <si>
    <t>Mantenimiento y reparacion de soporte horizontal para aletas Tuberia 3 1/2"</t>
  </si>
  <si>
    <t>MANTENIMIENTO Y REPARACION DE LOSA DE RODADURA</t>
  </si>
  <si>
    <t>Mantenimiento y reparacion de losa de rodadura en Lamina 12mm</t>
  </si>
  <si>
    <t>PINTURA BASE Y ANTICORROSIVO</t>
  </si>
  <si>
    <t>Reparacion de pintura para tuberia longitudinal y transversal</t>
  </si>
  <si>
    <t>Mantenimiento y reparacion de vigas longitudinales y transversales Tuberia 6"</t>
  </si>
  <si>
    <t>Retroexcavadora</t>
  </si>
  <si>
    <t>H-M</t>
  </si>
  <si>
    <t>Tuberia acero al carbon 12"</t>
  </si>
  <si>
    <t>Soldadura  SMAW E7018 5/32</t>
  </si>
  <si>
    <t>Bridas, uniones, tornilleria</t>
  </si>
  <si>
    <t>Ayudante soldador</t>
  </si>
  <si>
    <t>Transporte tuberia</t>
  </si>
  <si>
    <t>Tonelada</t>
  </si>
  <si>
    <t>Tuberia acero al carbon 6"</t>
  </si>
  <si>
    <t>Hora</t>
  </si>
  <si>
    <t>Tuberia acero al carbon 3 1/2"</t>
  </si>
  <si>
    <t>Mantenimiento y reparacion de aletas laterales en estribos Lamina alfajor 4.5mm</t>
  </si>
  <si>
    <t>Lamina alfajor 4.5mm</t>
  </si>
  <si>
    <t>Preparación superficial: limpieza con cepillo/raspado y desengrase</t>
  </si>
  <si>
    <t xml:space="preserve">Imprimante epóxico </t>
  </si>
  <si>
    <t xml:space="preserve">Catalizador </t>
  </si>
  <si>
    <t>Rend Ml/Dia</t>
  </si>
  <si>
    <t>Transporte pintura</t>
  </si>
  <si>
    <t>Transporte Lamina</t>
  </si>
  <si>
    <t>Transporte lamina</t>
  </si>
  <si>
    <t>ESTRUCTURA H</t>
  </si>
  <si>
    <t>TUBERIA VERTICAL PARA H</t>
  </si>
  <si>
    <t>TUBERIA HORIZONTAL PARA H</t>
  </si>
  <si>
    <t>TUBERIA DE SOPORTE HORIZONTAL</t>
  </si>
  <si>
    <t>LONGITUD</t>
  </si>
  <si>
    <t>TUBERIA DE SOPORTE VERTICAL</t>
  </si>
  <si>
    <t>ESTRUCTURA DE RODADURA</t>
  </si>
  <si>
    <t>TUBERIA LONGITUDINAL DE RODADURA</t>
  </si>
  <si>
    <t>TUBERIA BARANDAS</t>
  </si>
  <si>
    <t>TUBERIA HORIZONTAL</t>
  </si>
  <si>
    <t>TUBERIA VERTICAL</t>
  </si>
  <si>
    <t>ALETAS EN ESTRIBOS</t>
  </si>
  <si>
    <t>LAMINA DE CONTENCION EN ESTRIBOS</t>
  </si>
  <si>
    <t>ESTRUCTURA DE ALETAS</t>
  </si>
  <si>
    <t>TUBERIA VERTICAL DE CONTENCION</t>
  </si>
  <si>
    <t>TUBERIA HORIZONTAL DE CONTENCION</t>
  </si>
  <si>
    <t>LAMINA ALFAJOR DE RODADURA</t>
  </si>
  <si>
    <t>PUENTE LA GUISITA</t>
  </si>
  <si>
    <t>ESTRUCUTRA Y LOSA DE RODADURA</t>
  </si>
  <si>
    <t>_______________________________________________</t>
  </si>
  <si>
    <t>Compresor de 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</si>
</sst>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&quot;€&quot;_-;\-* #,##0.00\ &quot;€&quot;_-;_-* &quot;-&quot;??\ &quot;€&quot;_-;_-@_-"/>
    <numFmt numFmtId="168" formatCode="_-* #,##0.00\ _€_-;\-* #,##0.00\ _€_-;_-* &quot;-&quot;??\ _€_-;_-@_-"/>
    <numFmt numFmtId="169" formatCode="_(&quot;$&quot;\ * #,##0.000_);_(&quot;$&quot;\ * \(#,##0.000\);_(&quot;$&quot;\ * &quot;-&quot;??_);_(@_)"/>
    <numFmt numFmtId="170" formatCode="_ &quot;$&quot;\ * #,##0.00_ ;_ &quot;$&quot;\ * \-#,##0.00_ ;_ &quot;$&quot;\ * &quot;-&quot;??_ ;_ @_ "/>
    <numFmt numFmtId="171" formatCode="_ &quot;$&quot;\ * #,##0_ ;_ &quot;$&quot;\ * \-#,##0_ ;_ &quot;$&quot;\ * &quot;-&quot;??_ ;_ @_ "/>
    <numFmt numFmtId="172" formatCode="#,##0.0"/>
    <numFmt numFmtId="173" formatCode="_ &quot;$&quot;\ * #,##0_ ;_ &quot;$&quot;\ * \-#,##0_ ;_ &quot;$&quot;\ * &quot;-&quot;_ ;_ @_ "/>
    <numFmt numFmtId="174" formatCode="_(&quot;C$&quot;* #,##0.00_);_(&quot;C$&quot;* \(#,##0.00\);_(&quot;C$&quot;* &quot;-&quot;??_);_(@_)"/>
    <numFmt numFmtId="175" formatCode="0.000"/>
    <numFmt numFmtId="176" formatCode="0.0"/>
    <numFmt numFmtId="177" formatCode="_-[$$-240A]\ * #,##0.00_ ;_-[$$-240A]\ * \-#,##0.00\ ;_-[$$-240A]\ * &quot;-&quot;??_ ;_-@_ "/>
    <numFmt numFmtId="178" formatCode="_-[$$-240A]\ * #,##0_ ;_-[$$-240A]\ * \-#,##0\ ;_-[$$-240A]\ * &quot;-&quot;??_ ;_-@_ "/>
    <numFmt numFmtId="179" formatCode="0.0%"/>
    <numFmt numFmtId="180" formatCode="0.000000%"/>
    <numFmt numFmtId="181" formatCode="#,##0.000"/>
    <numFmt numFmtId="182" formatCode="_-&quot;$&quot;* #,##0.0_-;\-&quot;$&quot;* #,##0.0_-;_-&quot;$&quot;* &quot;-&quot;_-;_-@_-"/>
    <numFmt numFmtId="183" formatCode="_-&quot;$&quot;\ * #,##0_-;\-&quot;$&quot;\ * #,##0_-;_-&quot;$&quot;\ * &quot;-&quot;??_-;_-@_-"/>
    <numFmt numFmtId="184" formatCode="_(&quot;$&quot;* #,##0.00_);_(&quot;$&quot;* \(#,##0.00\);_(&quot;$&quot;* &quot;-&quot;??_);_(@_)"/>
    <numFmt numFmtId="185" formatCode="_-&quot;$&quot;* #,##0.00_-;\-&quot;$&quot;* #,##0.00_-;_-&quot;$&quot;* &quot;-&quot;_-;_-@_-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11"/>
      <name val="Calibri"/>
      <family val="2"/>
      <scheme val="minor"/>
    </font>
    <font>
      <sz val="1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name val="Arial Narrow"/>
      <family val="2"/>
    </font>
    <font>
      <sz val="11"/>
      <color rgb="FF000000"/>
      <name val="Calibri"/>
      <family val="2"/>
    </font>
    <font>
      <sz val="10"/>
      <color rgb="FF000000"/>
      <name val="Arial Narrow"/>
      <family val="2"/>
    </font>
    <font>
      <b/>
      <sz val="8"/>
      <color theme="1"/>
      <name val="Arial Narrow"/>
      <family val="2"/>
    </font>
    <font>
      <sz val="11"/>
      <color theme="1"/>
      <name val="Arial Narrow"/>
      <family val="2"/>
    </font>
    <font>
      <sz val="8"/>
      <color theme="1"/>
      <name val="Arial Narrow"/>
      <family val="2"/>
    </font>
    <font>
      <b/>
      <i/>
      <sz val="11"/>
      <name val="Arial Narrow"/>
      <family val="2"/>
    </font>
    <font>
      <b/>
      <i/>
      <sz val="11"/>
      <color theme="1"/>
      <name val="Arial Narrow"/>
      <family val="2"/>
    </font>
    <font>
      <sz val="11"/>
      <color rgb="FFFF0000"/>
      <name val="Arial Narrow"/>
      <family val="2"/>
    </font>
    <font>
      <sz val="11"/>
      <color rgb="FF000000"/>
      <name val="Calibri"/>
      <family val="2"/>
      <scheme val="minor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indexed="8"/>
      <name val="Arial Narrow"/>
      <family val="2"/>
    </font>
    <font>
      <sz val="8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12" fillId="0" borderId="0"/>
    <xf numFmtId="17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0" fontId="22" fillId="0" borderId="0"/>
    <xf numFmtId="44" fontId="2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99">
    <xf numFmtId="0" fontId="0" fillId="0" borderId="0" xfId="0"/>
    <xf numFmtId="0" fontId="2" fillId="2" borderId="0" xfId="0" applyFont="1" applyFill="1"/>
    <xf numFmtId="0" fontId="0" fillId="3" borderId="0" xfId="0" applyFill="1"/>
    <xf numFmtId="0" fontId="3" fillId="0" borderId="0" xfId="2"/>
    <xf numFmtId="2" fontId="3" fillId="0" borderId="0" xfId="2" applyNumberFormat="1"/>
    <xf numFmtId="0" fontId="3" fillId="0" borderId="0" xfId="2" applyAlignme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wrapText="1"/>
    </xf>
    <xf numFmtId="0" fontId="17" fillId="0" borderId="0" xfId="0" applyFont="1"/>
    <xf numFmtId="0" fontId="13" fillId="0" borderId="6" xfId="0" applyFont="1" applyBorder="1" applyAlignment="1">
      <alignment vertical="center"/>
    </xf>
    <xf numFmtId="0" fontId="13" fillId="0" borderId="7" xfId="0" applyFont="1" applyBorder="1" applyAlignment="1">
      <alignment wrapText="1"/>
    </xf>
    <xf numFmtId="0" fontId="13" fillId="0" borderId="0" xfId="0" applyFont="1"/>
    <xf numFmtId="0" fontId="14" fillId="0" borderId="4" xfId="0" applyFont="1" applyBorder="1" applyAlignment="1">
      <alignment vertical="center"/>
    </xf>
    <xf numFmtId="0" fontId="14" fillId="0" borderId="0" xfId="0" applyFont="1" applyAlignment="1">
      <alignment wrapText="1"/>
    </xf>
    <xf numFmtId="0" fontId="14" fillId="0" borderId="0" xfId="0" applyFont="1"/>
    <xf numFmtId="0" fontId="13" fillId="0" borderId="0" xfId="0" applyFont="1" applyAlignment="1">
      <alignment wrapText="1"/>
    </xf>
    <xf numFmtId="175" fontId="14" fillId="0" borderId="0" xfId="0" applyNumberFormat="1" applyFont="1"/>
    <xf numFmtId="2" fontId="14" fillId="0" borderId="4" xfId="0" applyNumberFormat="1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4" fontId="14" fillId="0" borderId="0" xfId="0" applyNumberFormat="1" applyFont="1" applyAlignment="1">
      <alignment wrapText="1"/>
    </xf>
    <xf numFmtId="0" fontId="14" fillId="0" borderId="5" xfId="0" applyFont="1" applyBorder="1"/>
    <xf numFmtId="0" fontId="7" fillId="0" borderId="0" xfId="0" applyFont="1"/>
    <xf numFmtId="0" fontId="14" fillId="0" borderId="9" xfId="0" applyFont="1" applyBorder="1" applyAlignment="1">
      <alignment vertical="center"/>
    </xf>
    <xf numFmtId="0" fontId="14" fillId="0" borderId="10" xfId="0" applyFont="1" applyBorder="1"/>
    <xf numFmtId="0" fontId="14" fillId="0" borderId="11" xfId="0" applyFont="1" applyBorder="1"/>
    <xf numFmtId="0" fontId="17" fillId="0" borderId="4" xfId="0" applyFont="1" applyBorder="1" applyAlignment="1">
      <alignment vertical="center"/>
    </xf>
    <xf numFmtId="0" fontId="17" fillId="0" borderId="5" xfId="0" applyFont="1" applyBorder="1"/>
    <xf numFmtId="0" fontId="14" fillId="0" borderId="20" xfId="0" applyFont="1" applyBorder="1" applyAlignment="1">
      <alignment wrapText="1"/>
    </xf>
    <xf numFmtId="0" fontId="14" fillId="0" borderId="20" xfId="0" applyFont="1" applyBorder="1"/>
    <xf numFmtId="175" fontId="14" fillId="0" borderId="20" xfId="0" applyNumberFormat="1" applyFont="1" applyBorder="1"/>
    <xf numFmtId="0" fontId="14" fillId="0" borderId="10" xfId="0" applyFont="1" applyBorder="1" applyAlignment="1">
      <alignment vertical="center"/>
    </xf>
    <xf numFmtId="2" fontId="14" fillId="0" borderId="0" xfId="0" applyNumberFormat="1" applyFont="1" applyAlignment="1">
      <alignment horizontal="center"/>
    </xf>
    <xf numFmtId="2" fontId="13" fillId="0" borderId="5" xfId="0" applyNumberFormat="1" applyFont="1" applyBorder="1" applyAlignment="1">
      <alignment horizontal="center"/>
    </xf>
    <xf numFmtId="2" fontId="14" fillId="0" borderId="0" xfId="13" applyNumberFormat="1" applyFont="1" applyFill="1" applyBorder="1" applyAlignment="1">
      <alignment horizontal="center"/>
    </xf>
    <xf numFmtId="2" fontId="14" fillId="0" borderId="5" xfId="0" applyNumberFormat="1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5" borderId="0" xfId="0" applyFont="1" applyFill="1" applyAlignment="1">
      <alignment horizontal="left" vertical="center" wrapText="1"/>
    </xf>
    <xf numFmtId="0" fontId="13" fillId="5" borderId="0" xfId="0" applyFont="1" applyFill="1" applyAlignment="1">
      <alignment vertical="center"/>
    </xf>
    <xf numFmtId="0" fontId="13" fillId="5" borderId="5" xfId="0" applyFont="1" applyFill="1" applyBorder="1" applyAlignment="1">
      <alignment vertical="center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vertical="center"/>
    </xf>
    <xf numFmtId="2" fontId="14" fillId="0" borderId="0" xfId="0" applyNumberFormat="1" applyFont="1" applyAlignment="1">
      <alignment horizontal="center" vertical="center"/>
    </xf>
    <xf numFmtId="2" fontId="13" fillId="0" borderId="5" xfId="0" applyNumberFormat="1" applyFont="1" applyBorder="1" applyAlignment="1">
      <alignment horizontal="center" vertical="center"/>
    </xf>
    <xf numFmtId="0" fontId="13" fillId="5" borderId="4" xfId="0" applyFont="1" applyFill="1" applyBorder="1" applyAlignment="1">
      <alignment vertical="center"/>
    </xf>
    <xf numFmtId="0" fontId="16" fillId="4" borderId="0" xfId="0" applyFont="1" applyFill="1" applyAlignment="1">
      <alignment vertical="center"/>
    </xf>
    <xf numFmtId="0" fontId="16" fillId="4" borderId="0" xfId="0" applyFont="1" applyFill="1" applyAlignment="1">
      <alignment horizontal="center" vertical="center"/>
    </xf>
    <xf numFmtId="0" fontId="3" fillId="4" borderId="0" xfId="2" applyFill="1"/>
    <xf numFmtId="0" fontId="3" fillId="4" borderId="10" xfId="2" applyFill="1" applyBorder="1"/>
    <xf numFmtId="0" fontId="3" fillId="4" borderId="4" xfId="2" applyFill="1" applyBorder="1"/>
    <xf numFmtId="0" fontId="3" fillId="4" borderId="5" xfId="2" applyFill="1" applyBorder="1"/>
    <xf numFmtId="0" fontId="7" fillId="4" borderId="0" xfId="2" applyFont="1" applyFill="1"/>
    <xf numFmtId="0" fontId="7" fillId="4" borderId="5" xfId="2" applyFont="1" applyFill="1" applyBorder="1"/>
    <xf numFmtId="0" fontId="3" fillId="4" borderId="23" xfId="2" applyFill="1" applyBorder="1"/>
    <xf numFmtId="0" fontId="3" fillId="4" borderId="24" xfId="2" applyFill="1" applyBorder="1"/>
    <xf numFmtId="4" fontId="3" fillId="4" borderId="25" xfId="2" applyNumberFormat="1" applyFill="1" applyBorder="1"/>
    <xf numFmtId="0" fontId="3" fillId="4" borderId="26" xfId="2" applyFill="1" applyBorder="1"/>
    <xf numFmtId="0" fontId="3" fillId="4" borderId="27" xfId="2" applyFill="1" applyBorder="1"/>
    <xf numFmtId="4" fontId="3" fillId="4" borderId="20" xfId="2" applyNumberFormat="1" applyFill="1" applyBorder="1"/>
    <xf numFmtId="0" fontId="3" fillId="4" borderId="20" xfId="2" applyFill="1" applyBorder="1"/>
    <xf numFmtId="0" fontId="3" fillId="4" borderId="19" xfId="2" applyFill="1" applyBorder="1"/>
    <xf numFmtId="0" fontId="3" fillId="4" borderId="28" xfId="2" applyFill="1" applyBorder="1"/>
    <xf numFmtId="0" fontId="7" fillId="4" borderId="17" xfId="2" applyFont="1" applyFill="1" applyBorder="1" applyAlignment="1">
      <alignment horizontal="center"/>
    </xf>
    <xf numFmtId="0" fontId="7" fillId="4" borderId="15" xfId="2" applyFont="1" applyFill="1" applyBorder="1" applyAlignment="1">
      <alignment horizontal="center"/>
    </xf>
    <xf numFmtId="0" fontId="3" fillId="4" borderId="14" xfId="2" applyFill="1" applyBorder="1" applyAlignment="1">
      <alignment horizontal="center"/>
    </xf>
    <xf numFmtId="0" fontId="3" fillId="4" borderId="29" xfId="2" applyFill="1" applyBorder="1" applyAlignment="1">
      <alignment horizontal="center"/>
    </xf>
    <xf numFmtId="0" fontId="3" fillId="4" borderId="30" xfId="2" applyFill="1" applyBorder="1" applyAlignment="1">
      <alignment horizontal="center"/>
    </xf>
    <xf numFmtId="0" fontId="3" fillId="4" borderId="15" xfId="2" applyFill="1" applyBorder="1" applyAlignment="1">
      <alignment horizontal="center"/>
    </xf>
    <xf numFmtId="0" fontId="3" fillId="4" borderId="14" xfId="2" applyFill="1" applyBorder="1"/>
    <xf numFmtId="0" fontId="3" fillId="4" borderId="30" xfId="2" applyFill="1" applyBorder="1"/>
    <xf numFmtId="0" fontId="3" fillId="4" borderId="29" xfId="2" applyFill="1" applyBorder="1"/>
    <xf numFmtId="4" fontId="3" fillId="4" borderId="15" xfId="2" applyNumberFormat="1" applyFill="1" applyBorder="1"/>
    <xf numFmtId="4" fontId="3" fillId="4" borderId="29" xfId="2" applyNumberFormat="1" applyFill="1" applyBorder="1"/>
    <xf numFmtId="4" fontId="3" fillId="4" borderId="5" xfId="2" applyNumberFormat="1" applyFill="1" applyBorder="1"/>
    <xf numFmtId="2" fontId="3" fillId="4" borderId="5" xfId="2" applyNumberFormat="1" applyFill="1" applyBorder="1"/>
    <xf numFmtId="0" fontId="3" fillId="4" borderId="15" xfId="2" applyFill="1" applyBorder="1"/>
    <xf numFmtId="0" fontId="3" fillId="4" borderId="31" xfId="2" applyFill="1" applyBorder="1"/>
    <xf numFmtId="4" fontId="3" fillId="4" borderId="0" xfId="2" applyNumberFormat="1" applyFill="1"/>
    <xf numFmtId="2" fontId="3" fillId="4" borderId="16" xfId="2" applyNumberFormat="1" applyFill="1" applyBorder="1"/>
    <xf numFmtId="0" fontId="7" fillId="4" borderId="14" xfId="2" applyFont="1" applyFill="1" applyBorder="1" applyAlignment="1">
      <alignment horizontal="center"/>
    </xf>
    <xf numFmtId="0" fontId="3" fillId="4" borderId="23" xfId="2" applyFill="1" applyBorder="1" applyAlignment="1">
      <alignment horizontal="center"/>
    </xf>
    <xf numFmtId="4" fontId="3" fillId="4" borderId="15" xfId="2" applyNumberFormat="1" applyFill="1" applyBorder="1" applyAlignment="1">
      <alignment horizontal="center"/>
    </xf>
    <xf numFmtId="2" fontId="3" fillId="4" borderId="29" xfId="2" applyNumberFormat="1" applyFill="1" applyBorder="1"/>
    <xf numFmtId="3" fontId="3" fillId="4" borderId="15" xfId="2" applyNumberFormat="1" applyFill="1" applyBorder="1"/>
    <xf numFmtId="172" fontId="3" fillId="4" borderId="15" xfId="2" applyNumberFormat="1" applyFill="1" applyBorder="1"/>
    <xf numFmtId="164" fontId="3" fillId="4" borderId="15" xfId="1" applyFont="1" applyFill="1" applyBorder="1"/>
    <xf numFmtId="9" fontId="3" fillId="4" borderId="15" xfId="2" applyNumberFormat="1" applyFill="1" applyBorder="1"/>
    <xf numFmtId="176" fontId="3" fillId="4" borderId="15" xfId="2" applyNumberFormat="1" applyFill="1" applyBorder="1"/>
    <xf numFmtId="0" fontId="11" fillId="4" borderId="30" xfId="2" applyFont="1" applyFill="1" applyBorder="1" applyAlignment="1">
      <alignment horizontal="center"/>
    </xf>
    <xf numFmtId="0" fontId="11" fillId="4" borderId="15" xfId="2" applyFont="1" applyFill="1" applyBorder="1" applyAlignment="1">
      <alignment horizontal="center"/>
    </xf>
    <xf numFmtId="4" fontId="7" fillId="4" borderId="0" xfId="2" applyNumberFormat="1" applyFont="1" applyFill="1"/>
    <xf numFmtId="0" fontId="3" fillId="4" borderId="17" xfId="2" applyFill="1" applyBorder="1" applyAlignment="1">
      <alignment horizontal="center"/>
    </xf>
    <xf numFmtId="4" fontId="3" fillId="4" borderId="30" xfId="2" applyNumberFormat="1" applyFill="1" applyBorder="1"/>
    <xf numFmtId="3" fontId="3" fillId="4" borderId="30" xfId="2" applyNumberFormat="1" applyFill="1" applyBorder="1"/>
    <xf numFmtId="4" fontId="3" fillId="4" borderId="10" xfId="2" applyNumberFormat="1" applyFill="1" applyBorder="1"/>
    <xf numFmtId="0" fontId="7" fillId="4" borderId="20" xfId="2" applyFont="1" applyFill="1" applyBorder="1"/>
    <xf numFmtId="4" fontId="7" fillId="4" borderId="20" xfId="2" applyNumberFormat="1" applyFont="1" applyFill="1" applyBorder="1"/>
    <xf numFmtId="4" fontId="3" fillId="4" borderId="4" xfId="2" applyNumberFormat="1" applyFill="1" applyBorder="1"/>
    <xf numFmtId="0" fontId="9" fillId="4" borderId="4" xfId="0" applyFont="1" applyFill="1" applyBorder="1" applyAlignment="1">
      <alignment horizontal="left" vertical="center"/>
    </xf>
    <xf numFmtId="0" fontId="9" fillId="4" borderId="0" xfId="0" applyFont="1" applyFill="1"/>
    <xf numFmtId="0" fontId="9" fillId="4" borderId="4" xfId="0" applyFont="1" applyFill="1" applyBorder="1" applyAlignment="1">
      <alignment vertical="center"/>
    </xf>
    <xf numFmtId="0" fontId="9" fillId="4" borderId="10" xfId="0" applyFont="1" applyFill="1" applyBorder="1"/>
    <xf numFmtId="4" fontId="3" fillId="4" borderId="11" xfId="2" applyNumberFormat="1" applyFill="1" applyBorder="1"/>
    <xf numFmtId="3" fontId="9" fillId="4" borderId="9" xfId="2" applyNumberFormat="1" applyFont="1" applyFill="1" applyBorder="1"/>
    <xf numFmtId="177" fontId="3" fillId="4" borderId="15" xfId="2" applyNumberFormat="1" applyFill="1" applyBorder="1"/>
    <xf numFmtId="165" fontId="19" fillId="0" borderId="0" xfId="3" applyFont="1"/>
    <xf numFmtId="0" fontId="19" fillId="0" borderId="0" xfId="0" applyFont="1"/>
    <xf numFmtId="169" fontId="19" fillId="0" borderId="0" xfId="0" applyNumberFormat="1" applyFont="1"/>
    <xf numFmtId="171" fontId="16" fillId="0" borderId="0" xfId="3" applyNumberFormat="1" applyFont="1" applyFill="1" applyAlignment="1">
      <alignment horizontal="center" vertical="center"/>
    </xf>
    <xf numFmtId="164" fontId="19" fillId="0" borderId="0" xfId="1" applyFont="1" applyFill="1"/>
    <xf numFmtId="170" fontId="16" fillId="4" borderId="0" xfId="3" applyNumberFormat="1" applyFont="1" applyFill="1" applyAlignment="1">
      <alignment horizontal="center" vertical="center"/>
    </xf>
    <xf numFmtId="171" fontId="16" fillId="4" borderId="0" xfId="3" applyNumberFormat="1" applyFont="1" applyFill="1" applyAlignment="1">
      <alignment horizontal="center" vertical="center"/>
    </xf>
    <xf numFmtId="0" fontId="19" fillId="0" borderId="0" xfId="0" applyFont="1" applyAlignment="1">
      <alignment horizontal="center"/>
    </xf>
    <xf numFmtId="0" fontId="18" fillId="4" borderId="15" xfId="2" applyFont="1" applyFill="1" applyBorder="1"/>
    <xf numFmtId="0" fontId="18" fillId="0" borderId="0" xfId="2" applyFont="1"/>
    <xf numFmtId="0" fontId="18" fillId="4" borderId="4" xfId="2" applyFont="1" applyFill="1" applyBorder="1"/>
    <xf numFmtId="0" fontId="18" fillId="4" borderId="0" xfId="2" applyFont="1" applyFill="1"/>
    <xf numFmtId="4" fontId="18" fillId="4" borderId="20" xfId="2" applyNumberFormat="1" applyFont="1" applyFill="1" applyBorder="1"/>
    <xf numFmtId="0" fontId="18" fillId="4" borderId="20" xfId="2" applyFont="1" applyFill="1" applyBorder="1"/>
    <xf numFmtId="0" fontId="18" fillId="4" borderId="19" xfId="2" applyFont="1" applyFill="1" applyBorder="1"/>
    <xf numFmtId="0" fontId="21" fillId="4" borderId="15" xfId="2" applyFont="1" applyFill="1" applyBorder="1" applyAlignment="1">
      <alignment horizontal="center"/>
    </xf>
    <xf numFmtId="4" fontId="18" fillId="4" borderId="15" xfId="2" applyNumberFormat="1" applyFont="1" applyFill="1" applyBorder="1"/>
    <xf numFmtId="4" fontId="18" fillId="4" borderId="0" xfId="2" applyNumberFormat="1" applyFont="1" applyFill="1"/>
    <xf numFmtId="4" fontId="18" fillId="4" borderId="15" xfId="2" applyNumberFormat="1" applyFont="1" applyFill="1" applyBorder="1" applyAlignment="1">
      <alignment horizontal="center"/>
    </xf>
    <xf numFmtId="3" fontId="18" fillId="4" borderId="15" xfId="2" applyNumberFormat="1" applyFont="1" applyFill="1" applyBorder="1"/>
    <xf numFmtId="164" fontId="18" fillId="4" borderId="15" xfId="1" applyFont="1" applyFill="1" applyBorder="1"/>
    <xf numFmtId="9" fontId="18" fillId="4" borderId="15" xfId="2" applyNumberFormat="1" applyFont="1" applyFill="1" applyBorder="1"/>
    <xf numFmtId="172" fontId="18" fillId="4" borderId="15" xfId="2" applyNumberFormat="1" applyFont="1" applyFill="1" applyBorder="1"/>
    <xf numFmtId="0" fontId="21" fillId="4" borderId="0" xfId="2" applyFont="1" applyFill="1"/>
    <xf numFmtId="4" fontId="21" fillId="4" borderId="0" xfId="2" applyNumberFormat="1" applyFont="1" applyFill="1"/>
    <xf numFmtId="3" fontId="18" fillId="4" borderId="0" xfId="2" applyNumberFormat="1" applyFont="1" applyFill="1"/>
    <xf numFmtId="177" fontId="18" fillId="4" borderId="15" xfId="13" applyNumberFormat="1" applyFont="1" applyFill="1" applyBorder="1"/>
    <xf numFmtId="170" fontId="18" fillId="4" borderId="20" xfId="3" applyNumberFormat="1" applyFont="1" applyFill="1" applyBorder="1" applyAlignment="1">
      <alignment horizontal="center" vertical="center"/>
    </xf>
    <xf numFmtId="171" fontId="18" fillId="4" borderId="20" xfId="3" applyNumberFormat="1" applyFont="1" applyFill="1" applyBorder="1" applyAlignment="1">
      <alignment horizontal="center" vertical="center"/>
    </xf>
    <xf numFmtId="2" fontId="18" fillId="4" borderId="15" xfId="2" applyNumberFormat="1" applyFont="1" applyFill="1" applyBorder="1"/>
    <xf numFmtId="2" fontId="18" fillId="4" borderId="0" xfId="2" applyNumberFormat="1" applyFont="1" applyFill="1"/>
    <xf numFmtId="3" fontId="21" fillId="4" borderId="0" xfId="2" applyNumberFormat="1" applyFont="1" applyFill="1"/>
    <xf numFmtId="0" fontId="18" fillId="0" borderId="0" xfId="2" applyFont="1" applyAlignment="1">
      <alignment horizontal="left"/>
    </xf>
    <xf numFmtId="0" fontId="21" fillId="0" borderId="0" xfId="2" applyFont="1" applyAlignment="1">
      <alignment wrapText="1"/>
    </xf>
    <xf numFmtId="2" fontId="18" fillId="4" borderId="35" xfId="2" applyNumberFormat="1" applyFont="1" applyFill="1" applyBorder="1"/>
    <xf numFmtId="0" fontId="18" fillId="4" borderId="15" xfId="2" quotePrefix="1" applyFont="1" applyFill="1" applyBorder="1" applyAlignment="1">
      <alignment horizontal="center"/>
    </xf>
    <xf numFmtId="2" fontId="18" fillId="4" borderId="15" xfId="2" applyNumberFormat="1" applyFont="1" applyFill="1" applyBorder="1" applyAlignment="1">
      <alignment horizontal="center"/>
    </xf>
    <xf numFmtId="2" fontId="18" fillId="4" borderId="15" xfId="8" applyNumberFormat="1" applyFont="1" applyFill="1" applyBorder="1" applyAlignment="1">
      <alignment horizontal="center"/>
    </xf>
    <xf numFmtId="0" fontId="18" fillId="4" borderId="15" xfId="8" quotePrefix="1" applyFont="1" applyFill="1" applyBorder="1" applyAlignment="1">
      <alignment horizontal="center"/>
    </xf>
    <xf numFmtId="0" fontId="18" fillId="4" borderId="35" xfId="2" applyFont="1" applyFill="1" applyBorder="1"/>
    <xf numFmtId="4" fontId="18" fillId="4" borderId="35" xfId="2" applyNumberFormat="1" applyFont="1" applyFill="1" applyBorder="1"/>
    <xf numFmtId="177" fontId="18" fillId="4" borderId="35" xfId="13" applyNumberFormat="1" applyFont="1" applyFill="1" applyBorder="1"/>
    <xf numFmtId="3" fontId="18" fillId="4" borderId="35" xfId="2" applyNumberFormat="1" applyFont="1" applyFill="1" applyBorder="1"/>
    <xf numFmtId="0" fontId="18" fillId="4" borderId="40" xfId="2" applyFont="1" applyFill="1" applyBorder="1"/>
    <xf numFmtId="0" fontId="18" fillId="4" borderId="25" xfId="2" applyFont="1" applyFill="1" applyBorder="1"/>
    <xf numFmtId="3" fontId="21" fillId="4" borderId="40" xfId="2" applyNumberFormat="1" applyFont="1" applyFill="1" applyBorder="1"/>
    <xf numFmtId="3" fontId="18" fillId="4" borderId="40" xfId="2" applyNumberFormat="1" applyFont="1" applyFill="1" applyBorder="1"/>
    <xf numFmtId="3" fontId="18" fillId="4" borderId="19" xfId="2" applyNumberFormat="1" applyFont="1" applyFill="1" applyBorder="1"/>
    <xf numFmtId="3" fontId="18" fillId="4" borderId="20" xfId="2" applyNumberFormat="1" applyFont="1" applyFill="1" applyBorder="1"/>
    <xf numFmtId="3" fontId="18" fillId="4" borderId="21" xfId="2" applyNumberFormat="1" applyFont="1" applyFill="1" applyBorder="1"/>
    <xf numFmtId="0" fontId="20" fillId="0" borderId="15" xfId="0" applyFont="1" applyBorder="1" applyAlignment="1">
      <alignment horizontal="center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3" fillId="0" borderId="0" xfId="16" applyFont="1"/>
    <xf numFmtId="0" fontId="20" fillId="0" borderId="0" xfId="16" applyFont="1" applyAlignment="1">
      <alignment vertical="center"/>
    </xf>
    <xf numFmtId="0" fontId="20" fillId="0" borderId="15" xfId="16" applyFont="1" applyBorder="1" applyAlignment="1">
      <alignment vertical="center"/>
    </xf>
    <xf numFmtId="0" fontId="20" fillId="0" borderId="15" xfId="16" applyFont="1" applyBorder="1" applyAlignment="1">
      <alignment horizontal="left" vertical="center"/>
    </xf>
    <xf numFmtId="44" fontId="19" fillId="0" borderId="15" xfId="17" applyFont="1" applyBorder="1" applyAlignment="1">
      <alignment vertical="center"/>
    </xf>
    <xf numFmtId="0" fontId="20" fillId="0" borderId="15" xfId="16" applyFont="1" applyBorder="1" applyAlignment="1">
      <alignment horizontal="center" vertical="center" wrapText="1"/>
    </xf>
    <xf numFmtId="0" fontId="19" fillId="0" borderId="15" xfId="16" applyFont="1" applyBorder="1"/>
    <xf numFmtId="9" fontId="19" fillId="0" borderId="15" xfId="16" applyNumberFormat="1" applyFont="1" applyBorder="1" applyAlignment="1">
      <alignment horizontal="center"/>
    </xf>
    <xf numFmtId="0" fontId="19" fillId="0" borderId="15" xfId="16" applyFont="1" applyBorder="1" applyAlignment="1">
      <alignment horizontal="center"/>
    </xf>
    <xf numFmtId="178" fontId="19" fillId="0" borderId="15" xfId="16" applyNumberFormat="1" applyFont="1" applyBorder="1"/>
    <xf numFmtId="0" fontId="19" fillId="0" borderId="0" xfId="16" applyFont="1"/>
    <xf numFmtId="0" fontId="20" fillId="0" borderId="15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3" fontId="20" fillId="0" borderId="15" xfId="0" applyNumberFormat="1" applyFont="1" applyBorder="1" applyAlignment="1">
      <alignment horizontal="center" vertical="center" wrapText="1"/>
    </xf>
    <xf numFmtId="14" fontId="20" fillId="0" borderId="15" xfId="0" applyNumberFormat="1" applyFont="1" applyBorder="1" applyAlignment="1">
      <alignment horizontal="center" vertic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4" fontId="20" fillId="0" borderId="15" xfId="0" applyNumberFormat="1" applyFont="1" applyBorder="1" applyAlignment="1">
      <alignment vertical="center" wrapText="1"/>
    </xf>
    <xf numFmtId="4" fontId="20" fillId="0" borderId="19" xfId="0" applyNumberFormat="1" applyFont="1" applyBorder="1" applyAlignment="1">
      <alignment vertical="center"/>
    </xf>
    <xf numFmtId="4" fontId="20" fillId="0" borderId="25" xfId="0" applyNumberFormat="1" applyFont="1" applyBorder="1" applyAlignment="1">
      <alignment vertical="center"/>
    </xf>
    <xf numFmtId="4" fontId="20" fillId="0" borderId="29" xfId="0" applyNumberFormat="1" applyFont="1" applyBorder="1" applyAlignment="1">
      <alignment vertical="center"/>
    </xf>
    <xf numFmtId="4" fontId="20" fillId="0" borderId="15" xfId="0" applyNumberFormat="1" applyFont="1" applyBorder="1" applyAlignment="1">
      <alignment vertical="center"/>
    </xf>
    <xf numFmtId="4" fontId="18" fillId="0" borderId="15" xfId="2" applyNumberFormat="1" applyFont="1" applyBorder="1"/>
    <xf numFmtId="3" fontId="18" fillId="0" borderId="15" xfId="2" applyNumberFormat="1" applyFont="1" applyBorder="1"/>
    <xf numFmtId="177" fontId="20" fillId="0" borderId="15" xfId="16" applyNumberFormat="1" applyFont="1" applyBorder="1" applyAlignment="1">
      <alignment horizontal="center" vertical="center" wrapText="1"/>
    </xf>
    <xf numFmtId="177" fontId="19" fillId="0" borderId="15" xfId="16" applyNumberFormat="1" applyFont="1" applyBorder="1"/>
    <xf numFmtId="177" fontId="20" fillId="0" borderId="15" xfId="16" applyNumberFormat="1" applyFont="1" applyBorder="1" applyAlignment="1">
      <alignment vertical="center" wrapText="1"/>
    </xf>
    <xf numFmtId="177" fontId="19" fillId="0" borderId="15" xfId="17" applyNumberFormat="1" applyFont="1" applyBorder="1" applyAlignment="1">
      <alignment vertical="center" wrapText="1"/>
    </xf>
    <xf numFmtId="177" fontId="19" fillId="0" borderId="15" xfId="19" applyNumberFormat="1" applyFont="1" applyBorder="1" applyAlignment="1">
      <alignment vertical="center"/>
    </xf>
    <xf numFmtId="177" fontId="19" fillId="0" borderId="15" xfId="16" applyNumberFormat="1" applyFont="1" applyBorder="1" applyAlignment="1">
      <alignment vertical="center"/>
    </xf>
    <xf numFmtId="177" fontId="20" fillId="7" borderId="15" xfId="17" applyNumberFormat="1" applyFont="1" applyFill="1" applyBorder="1" applyAlignment="1">
      <alignment horizontal="left"/>
    </xf>
    <xf numFmtId="177" fontId="20" fillId="0" borderId="0" xfId="17" applyNumberFormat="1" applyFont="1" applyFill="1" applyBorder="1" applyAlignment="1"/>
    <xf numFmtId="177" fontId="19" fillId="0" borderId="0" xfId="16" applyNumberFormat="1" applyFont="1"/>
    <xf numFmtId="165" fontId="19" fillId="0" borderId="15" xfId="18" applyNumberFormat="1" applyFont="1" applyBorder="1"/>
    <xf numFmtId="165" fontId="0" fillId="0" borderId="0" xfId="14" applyFont="1"/>
    <xf numFmtId="14" fontId="24" fillId="0" borderId="18" xfId="0" applyNumberFormat="1" applyFont="1" applyBorder="1" applyAlignment="1">
      <alignment horizontal="center" vertical="center"/>
    </xf>
    <xf numFmtId="0" fontId="25" fillId="0" borderId="0" xfId="0" applyFont="1"/>
    <xf numFmtId="0" fontId="27" fillId="4" borderId="15" xfId="2" applyFont="1" applyFill="1" applyBorder="1" applyAlignment="1">
      <alignment horizontal="center"/>
    </xf>
    <xf numFmtId="0" fontId="27" fillId="4" borderId="15" xfId="2" applyFont="1" applyFill="1" applyBorder="1"/>
    <xf numFmtId="0" fontId="21" fillId="4" borderId="18" xfId="2" applyFont="1" applyFill="1" applyBorder="1" applyAlignment="1">
      <alignment horizontal="center"/>
    </xf>
    <xf numFmtId="0" fontId="18" fillId="4" borderId="18" xfId="2" applyFont="1" applyFill="1" applyBorder="1"/>
    <xf numFmtId="0" fontId="18" fillId="4" borderId="18" xfId="2" applyFont="1" applyFill="1" applyBorder="1" applyAlignment="1">
      <alignment horizontal="center" vertical="center"/>
    </xf>
    <xf numFmtId="4" fontId="18" fillId="4" borderId="18" xfId="2" applyNumberFormat="1" applyFont="1" applyFill="1" applyBorder="1" applyAlignment="1">
      <alignment vertical="center"/>
    </xf>
    <xf numFmtId="0" fontId="29" fillId="0" borderId="0" xfId="0" applyFont="1"/>
    <xf numFmtId="0" fontId="18" fillId="4" borderId="15" xfId="2" applyFont="1" applyFill="1" applyBorder="1" applyAlignment="1">
      <alignment horizontal="center" vertical="center"/>
    </xf>
    <xf numFmtId="4" fontId="18" fillId="4" borderId="15" xfId="2" applyNumberFormat="1" applyFont="1" applyFill="1" applyBorder="1" applyAlignment="1">
      <alignment vertical="center"/>
    </xf>
    <xf numFmtId="182" fontId="18" fillId="4" borderId="35" xfId="23" applyNumberFormat="1" applyFont="1" applyFill="1" applyBorder="1"/>
    <xf numFmtId="2" fontId="18" fillId="0" borderId="29" xfId="2" applyNumberFormat="1" applyFont="1" applyBorder="1"/>
    <xf numFmtId="44" fontId="25" fillId="0" borderId="0" xfId="0" applyNumberFormat="1" applyFont="1"/>
    <xf numFmtId="0" fontId="18" fillId="0" borderId="15" xfId="2" applyFont="1" applyBorder="1"/>
    <xf numFmtId="164" fontId="18" fillId="4" borderId="35" xfId="23" applyNumberFormat="1" applyFont="1" applyFill="1" applyBorder="1"/>
    <xf numFmtId="42" fontId="18" fillId="4" borderId="15" xfId="23" applyFont="1" applyFill="1" applyBorder="1" applyAlignment="1">
      <alignment horizontal="center"/>
    </xf>
    <xf numFmtId="181" fontId="18" fillId="4" borderId="15" xfId="2" applyNumberFormat="1" applyFont="1" applyFill="1" applyBorder="1" applyAlignment="1">
      <alignment horizontal="center"/>
    </xf>
    <xf numFmtId="178" fontId="18" fillId="4" borderId="15" xfId="24" applyNumberFormat="1" applyFont="1" applyFill="1" applyBorder="1"/>
    <xf numFmtId="177" fontId="18" fillId="4" borderId="35" xfId="24" applyNumberFormat="1" applyFont="1" applyFill="1" applyBorder="1"/>
    <xf numFmtId="4" fontId="18" fillId="4" borderId="15" xfId="23" applyNumberFormat="1" applyFont="1" applyFill="1" applyBorder="1"/>
    <xf numFmtId="164" fontId="18" fillId="4" borderId="15" xfId="23" applyNumberFormat="1" applyFont="1" applyFill="1" applyBorder="1"/>
    <xf numFmtId="183" fontId="18" fillId="0" borderId="15" xfId="25" applyNumberFormat="1" applyFont="1" applyBorder="1"/>
    <xf numFmtId="165" fontId="18" fillId="4" borderId="15" xfId="14" applyFont="1" applyFill="1" applyBorder="1"/>
    <xf numFmtId="165" fontId="18" fillId="4" borderId="35" xfId="14" applyFont="1" applyFill="1" applyBorder="1"/>
    <xf numFmtId="9" fontId="18" fillId="4" borderId="15" xfId="2" applyNumberFormat="1" applyFont="1" applyFill="1" applyBorder="1" applyAlignment="1">
      <alignment horizontal="center"/>
    </xf>
    <xf numFmtId="165" fontId="18" fillId="4" borderId="15" xfId="14" applyFont="1" applyFill="1" applyBorder="1" applyAlignment="1">
      <alignment horizontal="center" vertical="center"/>
    </xf>
    <xf numFmtId="3" fontId="18" fillId="4" borderId="15" xfId="2" applyNumberFormat="1" applyFont="1" applyFill="1" applyBorder="1" applyAlignment="1">
      <alignment horizontal="center"/>
    </xf>
    <xf numFmtId="165" fontId="0" fillId="0" borderId="0" xfId="0" applyNumberFormat="1"/>
    <xf numFmtId="0" fontId="15" fillId="4" borderId="0" xfId="0" applyFont="1" applyFill="1" applyAlignment="1">
      <alignment horizontal="center" vertical="center" wrapText="1"/>
    </xf>
    <xf numFmtId="170" fontId="15" fillId="4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0" fillId="0" borderId="0" xfId="0" applyFont="1" applyAlignment="1">
      <alignment horizontal="center" vertical="center" wrapText="1"/>
    </xf>
    <xf numFmtId="171" fontId="15" fillId="4" borderId="0" xfId="3" applyNumberFormat="1" applyFont="1" applyFill="1" applyBorder="1" applyAlignment="1">
      <alignment horizontal="center" vertical="center"/>
    </xf>
    <xf numFmtId="165" fontId="15" fillId="4" borderId="0" xfId="14" applyFont="1" applyFill="1" applyBorder="1" applyAlignment="1">
      <alignment horizontal="center" vertical="center"/>
    </xf>
    <xf numFmtId="0" fontId="19" fillId="0" borderId="15" xfId="0" applyFont="1" applyBorder="1" applyAlignment="1">
      <alignment horizontal="center" vertical="center" wrapText="1"/>
    </xf>
    <xf numFmtId="4" fontId="3" fillId="0" borderId="9" xfId="0" applyNumberFormat="1" applyFont="1" applyBorder="1" applyAlignment="1">
      <alignment horizontal="center" vertical="center" wrapText="1"/>
    </xf>
    <xf numFmtId="184" fontId="31" fillId="0" borderId="15" xfId="14" applyNumberFormat="1" applyFont="1" applyFill="1" applyBorder="1" applyAlignment="1">
      <alignment horizontal="center" vertical="center"/>
    </xf>
    <xf numFmtId="2" fontId="31" fillId="0" borderId="15" xfId="0" applyNumberFormat="1" applyFont="1" applyBorder="1" applyAlignment="1">
      <alignment horizontal="center" vertical="center"/>
    </xf>
    <xf numFmtId="4" fontId="21" fillId="4" borderId="9" xfId="2" applyNumberFormat="1" applyFont="1" applyFill="1" applyBorder="1" applyAlignment="1">
      <alignment horizontal="center" vertical="center" wrapText="1"/>
    </xf>
    <xf numFmtId="4" fontId="21" fillId="4" borderId="10" xfId="2" applyNumberFormat="1" applyFont="1" applyFill="1" applyBorder="1" applyAlignment="1">
      <alignment horizontal="center" vertical="center" wrapText="1"/>
    </xf>
    <xf numFmtId="4" fontId="21" fillId="4" borderId="11" xfId="2" applyNumberFormat="1" applyFont="1" applyFill="1" applyBorder="1" applyAlignment="1">
      <alignment horizontal="center" vertical="center" wrapText="1"/>
    </xf>
    <xf numFmtId="0" fontId="18" fillId="4" borderId="15" xfId="2" applyFont="1" applyFill="1" applyBorder="1" applyAlignment="1">
      <alignment horizontal="center"/>
    </xf>
    <xf numFmtId="0" fontId="24" fillId="0" borderId="15" xfId="0" applyFont="1" applyBorder="1" applyAlignment="1">
      <alignment horizontal="center" vertical="center"/>
    </xf>
    <xf numFmtId="0" fontId="18" fillId="4" borderId="40" xfId="2" applyFont="1" applyFill="1" applyBorder="1" applyAlignment="1">
      <alignment horizontal="center" wrapText="1"/>
    </xf>
    <xf numFmtId="0" fontId="18" fillId="4" borderId="0" xfId="2" applyFont="1" applyFill="1" applyAlignment="1">
      <alignment horizontal="center" wrapText="1"/>
    </xf>
    <xf numFmtId="0" fontId="18" fillId="4" borderId="35" xfId="2" applyFont="1" applyFill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0" fillId="0" borderId="49" xfId="0" applyBorder="1"/>
    <xf numFmtId="0" fontId="32" fillId="0" borderId="15" xfId="0" applyFont="1" applyBorder="1" applyAlignment="1">
      <alignment horizontal="center" vertical="center"/>
    </xf>
    <xf numFmtId="2" fontId="25" fillId="0" borderId="15" xfId="0" applyNumberFormat="1" applyFont="1" applyBorder="1" applyAlignment="1">
      <alignment horizontal="center" vertical="center"/>
    </xf>
    <xf numFmtId="2" fontId="32" fillId="0" borderId="15" xfId="0" applyNumberFormat="1" applyFont="1" applyBorder="1" applyAlignment="1">
      <alignment horizontal="center" vertical="center"/>
    </xf>
    <xf numFmtId="0" fontId="32" fillId="0" borderId="0" xfId="16" applyFont="1" applyAlignment="1">
      <alignment horizontal="center"/>
    </xf>
    <xf numFmtId="0" fontId="25" fillId="0" borderId="15" xfId="0" applyFont="1" applyBorder="1" applyAlignment="1">
      <alignment horizontal="center" vertical="center"/>
    </xf>
    <xf numFmtId="165" fontId="18" fillId="4" borderId="15" xfId="14" applyFont="1" applyFill="1" applyBorder="1" applyAlignment="1">
      <alignment horizontal="center"/>
    </xf>
    <xf numFmtId="165" fontId="25" fillId="0" borderId="0" xfId="3" applyFont="1"/>
    <xf numFmtId="0" fontId="18" fillId="4" borderId="15" xfId="0" applyFont="1" applyFill="1" applyBorder="1" applyAlignment="1">
      <alignment horizontal="center" vertical="center"/>
    </xf>
    <xf numFmtId="165" fontId="27" fillId="4" borderId="15" xfId="14" applyFont="1" applyFill="1" applyBorder="1" applyAlignment="1">
      <alignment horizontal="center" vertical="center"/>
    </xf>
    <xf numFmtId="0" fontId="21" fillId="4" borderId="15" xfId="0" applyFont="1" applyFill="1" applyBorder="1" applyAlignment="1">
      <alignment horizontal="center" vertical="center"/>
    </xf>
    <xf numFmtId="170" fontId="21" fillId="4" borderId="15" xfId="3" applyNumberFormat="1" applyFont="1" applyFill="1" applyBorder="1" applyAlignment="1">
      <alignment horizontal="center" vertical="center"/>
    </xf>
    <xf numFmtId="171" fontId="21" fillId="4" borderId="15" xfId="3" applyNumberFormat="1" applyFont="1" applyFill="1" applyBorder="1" applyAlignment="1">
      <alignment horizontal="center" vertical="center"/>
    </xf>
    <xf numFmtId="165" fontId="21" fillId="4" borderId="15" xfId="14" applyFont="1" applyFill="1" applyBorder="1" applyAlignment="1">
      <alignment horizontal="center" vertical="center"/>
    </xf>
    <xf numFmtId="0" fontId="20" fillId="0" borderId="15" xfId="16" applyFont="1" applyBorder="1" applyAlignment="1">
      <alignment horizontal="center" vertical="center"/>
    </xf>
    <xf numFmtId="177" fontId="20" fillId="0" borderId="15" xfId="16" applyNumberFormat="1" applyFont="1" applyBorder="1" applyAlignment="1">
      <alignment horizontal="center" vertical="center"/>
    </xf>
    <xf numFmtId="0" fontId="32" fillId="0" borderId="0" xfId="0" applyFont="1" applyAlignment="1">
      <alignment horizontal="right" vertical="center"/>
    </xf>
    <xf numFmtId="2" fontId="32" fillId="0" borderId="0" xfId="0" applyNumberFormat="1" applyFont="1" applyAlignment="1">
      <alignment horizontal="center" vertical="center"/>
    </xf>
    <xf numFmtId="44" fontId="18" fillId="4" borderId="15" xfId="25" applyFont="1" applyFill="1" applyBorder="1"/>
    <xf numFmtId="177" fontId="18" fillId="4" borderId="15" xfId="24" applyNumberFormat="1" applyFont="1" applyFill="1" applyBorder="1"/>
    <xf numFmtId="2" fontId="18" fillId="4" borderId="15" xfId="2" applyNumberFormat="1" applyFont="1" applyFill="1" applyBorder="1" applyAlignment="1">
      <alignment horizontal="center" vertical="center"/>
    </xf>
    <xf numFmtId="4" fontId="18" fillId="4" borderId="15" xfId="2" applyNumberFormat="1" applyFont="1" applyFill="1" applyBorder="1" applyAlignment="1">
      <alignment horizontal="center" vertical="center"/>
    </xf>
    <xf numFmtId="44" fontId="18" fillId="4" borderId="15" xfId="25" applyFont="1" applyFill="1" applyBorder="1" applyAlignment="1">
      <alignment vertical="center"/>
    </xf>
    <xf numFmtId="0" fontId="32" fillId="0" borderId="0" xfId="0" applyFont="1" applyAlignment="1">
      <alignment horizontal="center" vertical="center"/>
    </xf>
    <xf numFmtId="2" fontId="25" fillId="0" borderId="0" xfId="0" applyNumberFormat="1" applyFont="1" applyAlignment="1">
      <alignment horizontal="center" vertical="center"/>
    </xf>
    <xf numFmtId="9" fontId="18" fillId="4" borderId="15" xfId="21" applyFont="1" applyFill="1" applyBorder="1"/>
    <xf numFmtId="185" fontId="21" fillId="0" borderId="15" xfId="1" applyNumberFormat="1" applyFont="1" applyFill="1" applyBorder="1"/>
    <xf numFmtId="165" fontId="18" fillId="0" borderId="15" xfId="14" applyFont="1" applyBorder="1"/>
    <xf numFmtId="14" fontId="20" fillId="0" borderId="15" xfId="16" applyNumberFormat="1" applyFont="1" applyBorder="1" applyAlignment="1">
      <alignment horizontal="center" vertical="center"/>
    </xf>
    <xf numFmtId="0" fontId="18" fillId="4" borderId="24" xfId="2" applyFont="1" applyFill="1" applyBorder="1"/>
    <xf numFmtId="4" fontId="18" fillId="4" borderId="24" xfId="2" applyNumberFormat="1" applyFont="1" applyFill="1" applyBorder="1"/>
    <xf numFmtId="0" fontId="18" fillId="4" borderId="36" xfId="2" applyFont="1" applyFill="1" applyBorder="1"/>
    <xf numFmtId="0" fontId="25" fillId="0" borderId="35" xfId="0" applyFont="1" applyBorder="1"/>
    <xf numFmtId="170" fontId="18" fillId="4" borderId="19" xfId="26" applyNumberFormat="1" applyFont="1" applyFill="1" applyBorder="1" applyAlignment="1">
      <alignment horizontal="center" vertical="center"/>
    </xf>
    <xf numFmtId="4" fontId="21" fillId="4" borderId="40" xfId="2" applyNumberFormat="1" applyFont="1" applyFill="1" applyBorder="1"/>
    <xf numFmtId="4" fontId="21" fillId="4" borderId="19" xfId="2" applyNumberFormat="1" applyFont="1" applyFill="1" applyBorder="1"/>
    <xf numFmtId="0" fontId="25" fillId="0" borderId="20" xfId="0" applyFont="1" applyBorder="1"/>
    <xf numFmtId="0" fontId="25" fillId="0" borderId="21" xfId="0" applyFont="1" applyBorder="1"/>
    <xf numFmtId="3" fontId="21" fillId="9" borderId="15" xfId="0" applyNumberFormat="1" applyFont="1" applyFill="1" applyBorder="1" applyAlignment="1">
      <alignment horizontal="center" vertical="center"/>
    </xf>
    <xf numFmtId="176" fontId="21" fillId="9" borderId="33" xfId="2" applyNumberFormat="1" applyFont="1" applyFill="1" applyBorder="1" applyAlignment="1">
      <alignment horizontal="center" vertical="center"/>
    </xf>
    <xf numFmtId="0" fontId="21" fillId="9" borderId="22" xfId="2" applyFont="1" applyFill="1" applyBorder="1" applyAlignment="1">
      <alignment horizontal="center" vertical="center"/>
    </xf>
    <xf numFmtId="0" fontId="21" fillId="9" borderId="34" xfId="2" applyFont="1" applyFill="1" applyBorder="1" applyAlignment="1">
      <alignment horizontal="center" vertical="center"/>
    </xf>
    <xf numFmtId="4" fontId="21" fillId="4" borderId="50" xfId="2" applyNumberFormat="1" applyFont="1" applyFill="1" applyBorder="1" applyAlignment="1">
      <alignment horizontal="center" vertical="center" wrapText="1"/>
    </xf>
    <xf numFmtId="4" fontId="21" fillId="4" borderId="49" xfId="2" applyNumberFormat="1" applyFont="1" applyFill="1" applyBorder="1" applyAlignment="1">
      <alignment horizontal="center" vertical="center" wrapText="1"/>
    </xf>
    <xf numFmtId="176" fontId="21" fillId="9" borderId="22" xfId="2" applyNumberFormat="1" applyFont="1" applyFill="1" applyBorder="1" applyAlignment="1">
      <alignment horizontal="center" vertical="center"/>
    </xf>
    <xf numFmtId="165" fontId="1" fillId="0" borderId="0" xfId="14" applyFont="1" applyAlignment="1">
      <alignment horizontal="left"/>
    </xf>
    <xf numFmtId="165" fontId="35" fillId="0" borderId="0" xfId="14" applyFont="1" applyAlignment="1">
      <alignment horizontal="left"/>
    </xf>
    <xf numFmtId="165" fontId="35" fillId="0" borderId="0" xfId="3" applyFont="1" applyAlignment="1">
      <alignment horizontal="left"/>
    </xf>
    <xf numFmtId="171" fontId="36" fillId="0" borderId="0" xfId="3" applyNumberFormat="1" applyFont="1" applyFill="1" applyAlignment="1">
      <alignment horizontal="left" vertical="center"/>
    </xf>
    <xf numFmtId="165" fontId="1" fillId="0" borderId="0" xfId="3" applyFont="1" applyAlignment="1">
      <alignment horizontal="left"/>
    </xf>
    <xf numFmtId="0" fontId="20" fillId="0" borderId="46" xfId="0" applyFont="1" applyBorder="1" applyAlignment="1">
      <alignment horizontal="center"/>
    </xf>
    <xf numFmtId="0" fontId="19" fillId="0" borderId="0" xfId="16" applyFont="1" applyAlignment="1">
      <alignment horizontal="center"/>
    </xf>
    <xf numFmtId="185" fontId="18" fillId="4" borderId="15" xfId="1" applyNumberFormat="1" applyFont="1" applyFill="1" applyBorder="1"/>
    <xf numFmtId="177" fontId="32" fillId="0" borderId="15" xfId="0" applyNumberFormat="1" applyFont="1" applyBorder="1"/>
    <xf numFmtId="165" fontId="23" fillId="0" borderId="0" xfId="14" applyFont="1"/>
    <xf numFmtId="177" fontId="23" fillId="0" borderId="0" xfId="16" applyNumberFormat="1" applyFont="1"/>
    <xf numFmtId="44" fontId="23" fillId="0" borderId="0" xfId="16" applyNumberFormat="1" applyFont="1"/>
    <xf numFmtId="0" fontId="19" fillId="0" borderId="0" xfId="0" applyFont="1" applyAlignment="1">
      <alignment horizontal="center" vertical="center" wrapText="1"/>
    </xf>
    <xf numFmtId="0" fontId="20" fillId="0" borderId="0" xfId="16" applyFont="1" applyAlignment="1">
      <alignment horizontal="center" wrapText="1"/>
    </xf>
    <xf numFmtId="0" fontId="20" fillId="6" borderId="0" xfId="16" applyFont="1" applyFill="1" applyAlignment="1">
      <alignment horizontal="center" vertical="center"/>
    </xf>
    <xf numFmtId="0" fontId="20" fillId="0" borderId="0" xfId="16" applyFont="1" applyAlignment="1">
      <alignment horizontal="center" vertical="center"/>
    </xf>
    <xf numFmtId="44" fontId="19" fillId="0" borderId="0" xfId="17" applyFont="1" applyBorder="1" applyAlignment="1">
      <alignment horizontal="center" vertical="center"/>
    </xf>
    <xf numFmtId="0" fontId="20" fillId="6" borderId="0" xfId="16" applyFont="1" applyFill="1" applyAlignment="1">
      <alignment horizontal="center"/>
    </xf>
    <xf numFmtId="0" fontId="20" fillId="0" borderId="0" xfId="16" applyFont="1" applyAlignment="1">
      <alignment horizontal="center" vertical="center" wrapText="1"/>
    </xf>
    <xf numFmtId="9" fontId="19" fillId="0" borderId="0" xfId="20" applyFont="1" applyBorder="1" applyAlignment="1">
      <alignment horizontal="center"/>
    </xf>
    <xf numFmtId="177" fontId="20" fillId="0" borderId="0" xfId="16" applyNumberFormat="1" applyFont="1" applyAlignment="1">
      <alignment horizontal="center"/>
    </xf>
    <xf numFmtId="0" fontId="20" fillId="0" borderId="46" xfId="16" applyFont="1" applyBorder="1" applyAlignment="1">
      <alignment horizontal="center" vertical="center"/>
    </xf>
    <xf numFmtId="177" fontId="20" fillId="0" borderId="46" xfId="16" applyNumberFormat="1" applyFont="1" applyBorder="1" applyAlignment="1">
      <alignment horizontal="center" vertical="center"/>
    </xf>
    <xf numFmtId="0" fontId="19" fillId="0" borderId="4" xfId="16" applyFont="1" applyBorder="1" applyAlignment="1">
      <alignment vertical="center"/>
    </xf>
    <xf numFmtId="177" fontId="20" fillId="0" borderId="0" xfId="16" applyNumberFormat="1" applyFont="1" applyAlignment="1">
      <alignment vertical="center"/>
    </xf>
    <xf numFmtId="0" fontId="20" fillId="0" borderId="5" xfId="16" applyFont="1" applyBorder="1" applyAlignment="1">
      <alignment vertical="center"/>
    </xf>
    <xf numFmtId="0" fontId="19" fillId="0" borderId="4" xfId="16" applyFont="1" applyBorder="1"/>
    <xf numFmtId="0" fontId="19" fillId="0" borderId="5" xfId="16" applyFont="1" applyBorder="1"/>
    <xf numFmtId="0" fontId="20" fillId="0" borderId="14" xfId="16" applyFont="1" applyBorder="1" applyAlignment="1">
      <alignment vertical="center"/>
    </xf>
    <xf numFmtId="0" fontId="19" fillId="0" borderId="14" xfId="16" applyFont="1" applyBorder="1" applyAlignment="1">
      <alignment vertical="center"/>
    </xf>
    <xf numFmtId="0" fontId="20" fillId="0" borderId="14" xfId="16" applyFont="1" applyBorder="1" applyAlignment="1">
      <alignment horizontal="center" vertical="center" wrapText="1"/>
    </xf>
    <xf numFmtId="0" fontId="20" fillId="0" borderId="16" xfId="16" applyFont="1" applyBorder="1" applyAlignment="1">
      <alignment horizontal="center" vertical="center" wrapText="1"/>
    </xf>
    <xf numFmtId="0" fontId="19" fillId="0" borderId="14" xfId="16" applyFont="1" applyBorder="1"/>
    <xf numFmtId="10" fontId="19" fillId="0" borderId="16" xfId="16" applyNumberFormat="1" applyFont="1" applyBorder="1" applyAlignment="1">
      <alignment horizontal="right" vertical="center"/>
    </xf>
    <xf numFmtId="0" fontId="20" fillId="0" borderId="16" xfId="16" applyFont="1" applyBorder="1" applyAlignment="1">
      <alignment vertical="center" wrapText="1"/>
    </xf>
    <xf numFmtId="10" fontId="19" fillId="0" borderId="16" xfId="16" applyNumberFormat="1" applyFont="1" applyBorder="1" applyAlignment="1">
      <alignment vertical="center" wrapText="1"/>
    </xf>
    <xf numFmtId="0" fontId="19" fillId="0" borderId="16" xfId="16" applyFont="1" applyBorder="1"/>
    <xf numFmtId="10" fontId="19" fillId="0" borderId="16" xfId="16" applyNumberFormat="1" applyFont="1" applyBorder="1" applyAlignment="1">
      <alignment vertical="center"/>
    </xf>
    <xf numFmtId="178" fontId="19" fillId="0" borderId="16" xfId="16" applyNumberFormat="1" applyFont="1" applyBorder="1"/>
    <xf numFmtId="179" fontId="19" fillId="0" borderId="16" xfId="16" applyNumberFormat="1" applyFont="1" applyBorder="1" applyAlignment="1">
      <alignment vertical="center"/>
    </xf>
    <xf numFmtId="9" fontId="20" fillId="7" borderId="16" xfId="16" applyNumberFormat="1" applyFont="1" applyFill="1" applyBorder="1"/>
    <xf numFmtId="0" fontId="20" fillId="0" borderId="4" xfId="16" applyFont="1" applyBorder="1" applyAlignment="1">
      <alignment horizontal="right"/>
    </xf>
    <xf numFmtId="0" fontId="20" fillId="0" borderId="0" xfId="16" applyFont="1" applyAlignment="1">
      <alignment horizontal="right"/>
    </xf>
    <xf numFmtId="180" fontId="20" fillId="0" borderId="5" xfId="16" applyNumberFormat="1" applyFont="1" applyBorder="1"/>
    <xf numFmtId="0" fontId="20" fillId="0" borderId="16" xfId="16" applyFont="1" applyBorder="1" applyAlignment="1">
      <alignment vertical="center"/>
    </xf>
    <xf numFmtId="9" fontId="19" fillId="0" borderId="16" xfId="16" applyNumberFormat="1" applyFont="1" applyBorder="1" applyAlignment="1">
      <alignment horizontal="center"/>
    </xf>
    <xf numFmtId="9" fontId="20" fillId="7" borderId="16" xfId="16" applyNumberFormat="1" applyFont="1" applyFill="1" applyBorder="1" applyAlignment="1">
      <alignment horizontal="center"/>
    </xf>
    <xf numFmtId="9" fontId="20" fillId="0" borderId="5" xfId="16" applyNumberFormat="1" applyFont="1" applyBorder="1" applyAlignment="1">
      <alignment horizontal="center"/>
    </xf>
    <xf numFmtId="9" fontId="19" fillId="0" borderId="16" xfId="20" applyFont="1" applyBorder="1" applyAlignment="1">
      <alignment horizontal="center"/>
    </xf>
    <xf numFmtId="0" fontId="19" fillId="0" borderId="4" xfId="0" applyFont="1" applyBorder="1"/>
    <xf numFmtId="0" fontId="16" fillId="4" borderId="10" xfId="0" applyFont="1" applyFill="1" applyBorder="1" applyAlignment="1">
      <alignment horizontal="center" vertical="center"/>
    </xf>
    <xf numFmtId="0" fontId="18" fillId="4" borderId="1" xfId="2" applyFont="1" applyFill="1" applyBorder="1"/>
    <xf numFmtId="0" fontId="18" fillId="4" borderId="2" xfId="2" applyFont="1" applyFill="1" applyBorder="1"/>
    <xf numFmtId="0" fontId="18" fillId="4" borderId="2" xfId="2" applyFont="1" applyFill="1" applyBorder="1" applyAlignment="1">
      <alignment horizontal="right"/>
    </xf>
    <xf numFmtId="2" fontId="18" fillId="4" borderId="2" xfId="2" applyNumberFormat="1" applyFont="1" applyFill="1" applyBorder="1"/>
    <xf numFmtId="2" fontId="18" fillId="4" borderId="3" xfId="2" applyNumberFormat="1" applyFont="1" applyFill="1" applyBorder="1"/>
    <xf numFmtId="2" fontId="18" fillId="4" borderId="5" xfId="2" applyNumberFormat="1" applyFont="1" applyFill="1" applyBorder="1"/>
    <xf numFmtId="4" fontId="18" fillId="4" borderId="28" xfId="2" applyNumberFormat="1" applyFont="1" applyFill="1" applyBorder="1"/>
    <xf numFmtId="3" fontId="18" fillId="4" borderId="5" xfId="2" applyNumberFormat="1" applyFont="1" applyFill="1" applyBorder="1"/>
    <xf numFmtId="3" fontId="21" fillId="4" borderId="4" xfId="2" applyNumberFormat="1" applyFont="1" applyFill="1" applyBorder="1"/>
    <xf numFmtId="3" fontId="18" fillId="4" borderId="9" xfId="2" applyNumberFormat="1" applyFont="1" applyFill="1" applyBorder="1"/>
    <xf numFmtId="3" fontId="18" fillId="4" borderId="10" xfId="2" applyNumberFormat="1" applyFont="1" applyFill="1" applyBorder="1"/>
    <xf numFmtId="3" fontId="18" fillId="4" borderId="11" xfId="2" applyNumberFormat="1" applyFont="1" applyFill="1" applyBorder="1"/>
    <xf numFmtId="0" fontId="20" fillId="0" borderId="51" xfId="0" applyFont="1" applyBorder="1" applyAlignment="1">
      <alignment wrapText="1"/>
    </xf>
    <xf numFmtId="0" fontId="19" fillId="0" borderId="4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2" fontId="21" fillId="4" borderId="65" xfId="2" quotePrefix="1" applyNumberFormat="1" applyFont="1" applyFill="1" applyBorder="1" applyAlignment="1">
      <alignment horizontal="center"/>
    </xf>
    <xf numFmtId="0" fontId="21" fillId="4" borderId="14" xfId="2" applyFont="1" applyFill="1" applyBorder="1"/>
    <xf numFmtId="2" fontId="18" fillId="4" borderId="16" xfId="2" applyNumberFormat="1" applyFont="1" applyFill="1" applyBorder="1"/>
    <xf numFmtId="2" fontId="18" fillId="4" borderId="16" xfId="8" applyNumberFormat="1" applyFont="1" applyFill="1" applyBorder="1"/>
    <xf numFmtId="2" fontId="21" fillId="4" borderId="16" xfId="2" applyNumberFormat="1" applyFont="1" applyFill="1" applyBorder="1"/>
    <xf numFmtId="0" fontId="18" fillId="4" borderId="43" xfId="2" applyFont="1" applyFill="1" applyBorder="1"/>
    <xf numFmtId="0" fontId="18" fillId="4" borderId="44" xfId="2" applyFont="1" applyFill="1" applyBorder="1"/>
    <xf numFmtId="2" fontId="21" fillId="4" borderId="44" xfId="2" applyNumberFormat="1" applyFont="1" applyFill="1" applyBorder="1" applyAlignment="1">
      <alignment horizontal="center"/>
    </xf>
    <xf numFmtId="2" fontId="21" fillId="4" borderId="45" xfId="2" applyNumberFormat="1" applyFont="1" applyFill="1" applyBorder="1"/>
    <xf numFmtId="0" fontId="0" fillId="0" borderId="0" xfId="0" applyAlignment="1">
      <alignment horizontal="left"/>
    </xf>
    <xf numFmtId="165" fontId="0" fillId="0" borderId="0" xfId="14" applyFont="1" applyAlignment="1">
      <alignment horizontal="left"/>
    </xf>
    <xf numFmtId="165" fontId="30" fillId="0" borderId="0" xfId="14" applyFont="1" applyAlignment="1">
      <alignment horizontal="left" vertical="center" wrapText="1"/>
    </xf>
    <xf numFmtId="0" fontId="19" fillId="0" borderId="0" xfId="0" applyFont="1" applyAlignment="1">
      <alignment horizontal="left"/>
    </xf>
    <xf numFmtId="8" fontId="30" fillId="0" borderId="0" xfId="0" applyNumberFormat="1" applyFont="1" applyAlignment="1">
      <alignment horizontal="left" vertical="center" wrapText="1"/>
    </xf>
    <xf numFmtId="164" fontId="19" fillId="0" borderId="0" xfId="1" applyFont="1" applyFill="1" applyAlignment="1">
      <alignment horizontal="left"/>
    </xf>
    <xf numFmtId="0" fontId="25" fillId="0" borderId="15" xfId="0" applyFont="1" applyBorder="1" applyAlignment="1">
      <alignment vertical="center"/>
    </xf>
    <xf numFmtId="170" fontId="16" fillId="4" borderId="0" xfId="3" applyNumberFormat="1" applyFont="1" applyFill="1" applyBorder="1" applyAlignment="1">
      <alignment horizontal="center" vertical="center"/>
    </xf>
    <xf numFmtId="171" fontId="16" fillId="4" borderId="0" xfId="3" applyNumberFormat="1" applyFont="1" applyFill="1" applyBorder="1" applyAlignment="1">
      <alignment horizontal="center" vertical="center"/>
    </xf>
    <xf numFmtId="0" fontId="32" fillId="4" borderId="0" xfId="0" applyFont="1" applyFill="1" applyAlignment="1">
      <alignment horizontal="right" vertical="center"/>
    </xf>
    <xf numFmtId="2" fontId="32" fillId="4" borderId="0" xfId="0" applyNumberFormat="1" applyFont="1" applyFill="1" applyAlignment="1">
      <alignment horizontal="center" vertical="center"/>
    </xf>
    <xf numFmtId="0" fontId="19" fillId="4" borderId="0" xfId="0" applyFont="1" applyFill="1"/>
    <xf numFmtId="0" fontId="0" fillId="4" borderId="0" xfId="0" applyFill="1"/>
    <xf numFmtId="165" fontId="19" fillId="0" borderId="0" xfId="14" applyFont="1"/>
    <xf numFmtId="0" fontId="3" fillId="0" borderId="11" xfId="0" applyFont="1" applyBorder="1" applyAlignment="1">
      <alignment horizontal="center" vertical="center" wrapText="1"/>
    </xf>
    <xf numFmtId="4" fontId="8" fillId="4" borderId="1" xfId="2" applyNumberFormat="1" applyFont="1" applyFill="1" applyBorder="1" applyAlignment="1">
      <alignment horizontal="center"/>
    </xf>
    <xf numFmtId="4" fontId="8" fillId="4" borderId="2" xfId="2" applyNumberFormat="1" applyFont="1" applyFill="1" applyBorder="1" applyAlignment="1">
      <alignment horizontal="center"/>
    </xf>
    <xf numFmtId="4" fontId="8" fillId="4" borderId="3" xfId="2" applyNumberFormat="1" applyFont="1" applyFill="1" applyBorder="1" applyAlignment="1">
      <alignment horizontal="center"/>
    </xf>
    <xf numFmtId="4" fontId="7" fillId="4" borderId="4" xfId="2" applyNumberFormat="1" applyFont="1" applyFill="1" applyBorder="1" applyAlignment="1">
      <alignment horizontal="center"/>
    </xf>
    <xf numFmtId="4" fontId="7" fillId="4" borderId="0" xfId="2" applyNumberFormat="1" applyFont="1" applyFill="1" applyAlignment="1">
      <alignment horizontal="center"/>
    </xf>
    <xf numFmtId="4" fontId="7" fillId="4" borderId="5" xfId="2" applyNumberFormat="1" applyFont="1" applyFill="1" applyBorder="1" applyAlignment="1">
      <alignment horizontal="center"/>
    </xf>
    <xf numFmtId="0" fontId="6" fillId="4" borderId="4" xfId="2" applyFont="1" applyFill="1" applyBorder="1" applyAlignment="1">
      <alignment horizontal="center" vertical="center"/>
    </xf>
    <xf numFmtId="0" fontId="6" fillId="4" borderId="0" xfId="2" applyFont="1" applyFill="1" applyAlignment="1">
      <alignment horizontal="center" vertical="center"/>
    </xf>
    <xf numFmtId="0" fontId="6" fillId="4" borderId="5" xfId="2" applyFont="1" applyFill="1" applyBorder="1" applyAlignment="1">
      <alignment horizontal="center" vertical="center"/>
    </xf>
    <xf numFmtId="4" fontId="10" fillId="4" borderId="39" xfId="2" applyNumberFormat="1" applyFont="1" applyFill="1" applyBorder="1" applyAlignment="1">
      <alignment horizontal="center" vertical="center" wrapText="1"/>
    </xf>
    <xf numFmtId="4" fontId="10" fillId="4" borderId="32" xfId="2" applyNumberFormat="1" applyFont="1" applyFill="1" applyBorder="1" applyAlignment="1">
      <alignment horizontal="center" vertical="center" wrapText="1"/>
    </xf>
    <xf numFmtId="4" fontId="10" fillId="4" borderId="38" xfId="2" applyNumberFormat="1" applyFont="1" applyFill="1" applyBorder="1" applyAlignment="1">
      <alignment horizontal="center" vertical="center" wrapText="1"/>
    </xf>
    <xf numFmtId="0" fontId="25" fillId="0" borderId="29" xfId="0" applyFont="1" applyBorder="1" applyAlignment="1">
      <alignment horizontal="left" vertical="center" wrapText="1"/>
    </xf>
    <xf numFmtId="0" fontId="25" fillId="0" borderId="30" xfId="0" applyFont="1" applyBorder="1" applyAlignment="1">
      <alignment horizontal="left" vertical="center" wrapText="1"/>
    </xf>
    <xf numFmtId="0" fontId="21" fillId="4" borderId="29" xfId="0" applyFont="1" applyFill="1" applyBorder="1" applyAlignment="1">
      <alignment horizontal="right" vertical="center" wrapText="1"/>
    </xf>
    <xf numFmtId="0" fontId="21" fillId="4" borderId="32" xfId="0" applyFont="1" applyFill="1" applyBorder="1" applyAlignment="1">
      <alignment horizontal="right" vertical="center" wrapText="1"/>
    </xf>
    <xf numFmtId="0" fontId="21" fillId="4" borderId="30" xfId="0" applyFont="1" applyFill="1" applyBorder="1" applyAlignment="1">
      <alignment horizontal="right" vertical="center" wrapText="1"/>
    </xf>
    <xf numFmtId="4" fontId="21" fillId="9" borderId="29" xfId="0" applyNumberFormat="1" applyFont="1" applyFill="1" applyBorder="1" applyAlignment="1">
      <alignment horizontal="left" vertical="center"/>
    </xf>
    <xf numFmtId="4" fontId="21" fillId="9" borderId="32" xfId="0" applyNumberFormat="1" applyFont="1" applyFill="1" applyBorder="1" applyAlignment="1">
      <alignment horizontal="left" vertical="center"/>
    </xf>
    <xf numFmtId="4" fontId="21" fillId="9" borderId="30" xfId="0" applyNumberFormat="1" applyFont="1" applyFill="1" applyBorder="1" applyAlignment="1">
      <alignment horizontal="left" vertical="center"/>
    </xf>
    <xf numFmtId="0" fontId="27" fillId="4" borderId="15" xfId="0" applyFont="1" applyFill="1" applyBorder="1" applyAlignment="1">
      <alignment horizontal="right" vertical="center"/>
    </xf>
    <xf numFmtId="0" fontId="19" fillId="0" borderId="15" xfId="0" applyFont="1" applyBorder="1" applyAlignment="1">
      <alignment horizontal="center"/>
    </xf>
    <xf numFmtId="0" fontId="20" fillId="0" borderId="18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/>
    </xf>
    <xf numFmtId="0" fontId="20" fillId="0" borderId="30" xfId="0" applyFont="1" applyBorder="1" applyAlignment="1">
      <alignment horizontal="center"/>
    </xf>
    <xf numFmtId="0" fontId="20" fillId="0" borderId="15" xfId="0" applyFont="1" applyBorder="1" applyAlignment="1">
      <alignment horizontal="center"/>
    </xf>
    <xf numFmtId="4" fontId="20" fillId="0" borderId="25" xfId="0" applyNumberFormat="1" applyFont="1" applyBorder="1" applyAlignment="1">
      <alignment horizontal="center" vertical="center" wrapText="1"/>
    </xf>
    <xf numFmtId="4" fontId="20" fillId="0" borderId="36" xfId="0" applyNumberFormat="1" applyFont="1" applyBorder="1" applyAlignment="1">
      <alignment horizontal="center" vertical="center" wrapText="1"/>
    </xf>
    <xf numFmtId="4" fontId="20" fillId="0" borderId="19" xfId="0" applyNumberFormat="1" applyFont="1" applyBorder="1" applyAlignment="1">
      <alignment horizontal="center" vertical="center" wrapText="1"/>
    </xf>
    <xf numFmtId="4" fontId="20" fillId="0" borderId="21" xfId="0" applyNumberFormat="1" applyFont="1" applyBorder="1" applyAlignment="1">
      <alignment horizontal="center" vertical="center" wrapText="1"/>
    </xf>
    <xf numFmtId="3" fontId="20" fillId="0" borderId="18" xfId="0" applyNumberFormat="1" applyFont="1" applyBorder="1" applyAlignment="1">
      <alignment horizontal="center" vertical="center" wrapText="1"/>
    </xf>
    <xf numFmtId="3" fontId="20" fillId="0" borderId="12" xfId="0" applyNumberFormat="1" applyFont="1" applyBorder="1" applyAlignment="1">
      <alignment horizontal="center" vertical="center" wrapText="1"/>
    </xf>
    <xf numFmtId="4" fontId="20" fillId="0" borderId="29" xfId="0" applyNumberFormat="1" applyFont="1" applyBorder="1" applyAlignment="1">
      <alignment horizontal="center" vertical="center" wrapText="1"/>
    </xf>
    <xf numFmtId="4" fontId="20" fillId="0" borderId="30" xfId="0" applyNumberFormat="1" applyFont="1" applyBorder="1" applyAlignment="1">
      <alignment horizontal="center" vertical="center" wrapText="1"/>
    </xf>
    <xf numFmtId="4" fontId="20" fillId="0" borderId="15" xfId="0" applyNumberFormat="1" applyFont="1" applyBorder="1" applyAlignment="1">
      <alignment horizontal="center" vertical="center" wrapText="1"/>
    </xf>
    <xf numFmtId="0" fontId="25" fillId="0" borderId="15" xfId="0" applyFont="1" applyBorder="1" applyAlignment="1">
      <alignment horizontal="left" vertical="center" wrapText="1"/>
    </xf>
    <xf numFmtId="0" fontId="25" fillId="0" borderId="15" xfId="0" applyFont="1" applyBorder="1" applyAlignment="1">
      <alignment horizontal="left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/>
    </xf>
    <xf numFmtId="0" fontId="32" fillId="0" borderId="7" xfId="0" applyFont="1" applyBorder="1" applyAlignment="1">
      <alignment horizontal="center"/>
    </xf>
    <xf numFmtId="0" fontId="32" fillId="0" borderId="8" xfId="0" applyFont="1" applyBorder="1" applyAlignment="1">
      <alignment horizontal="center"/>
    </xf>
    <xf numFmtId="0" fontId="21" fillId="4" borderId="15" xfId="0" applyFont="1" applyFill="1" applyBorder="1" applyAlignment="1">
      <alignment horizontal="center" vertical="center"/>
    </xf>
    <xf numFmtId="0" fontId="21" fillId="8" borderId="29" xfId="0" applyFont="1" applyFill="1" applyBorder="1" applyAlignment="1">
      <alignment horizontal="center" vertical="center"/>
    </xf>
    <xf numFmtId="0" fontId="21" fillId="8" borderId="32" xfId="0" applyFont="1" applyFill="1" applyBorder="1" applyAlignment="1">
      <alignment horizontal="center" vertical="center"/>
    </xf>
    <xf numFmtId="0" fontId="21" fillId="8" borderId="30" xfId="0" applyFont="1" applyFill="1" applyBorder="1" applyAlignment="1">
      <alignment horizontal="center" vertical="center"/>
    </xf>
    <xf numFmtId="0" fontId="32" fillId="0" borderId="29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0" xfId="0" applyFont="1" applyBorder="1" applyAlignment="1">
      <alignment horizontal="right"/>
    </xf>
    <xf numFmtId="0" fontId="18" fillId="4" borderId="29" xfId="2" applyFont="1" applyFill="1" applyBorder="1" applyAlignment="1">
      <alignment horizontal="right"/>
    </xf>
    <xf numFmtId="0" fontId="18" fillId="4" borderId="32" xfId="2" applyFont="1" applyFill="1" applyBorder="1" applyAlignment="1">
      <alignment horizontal="right"/>
    </xf>
    <xf numFmtId="168" fontId="32" fillId="0" borderId="29" xfId="13" applyFont="1" applyBorder="1" applyAlignment="1">
      <alignment horizontal="right"/>
    </xf>
    <xf numFmtId="168" fontId="32" fillId="0" borderId="32" xfId="13" applyFont="1" applyBorder="1" applyAlignment="1">
      <alignment horizontal="right"/>
    </xf>
    <xf numFmtId="168" fontId="32" fillId="0" borderId="30" xfId="13" applyFont="1" applyBorder="1" applyAlignment="1">
      <alignment horizontal="right"/>
    </xf>
    <xf numFmtId="0" fontId="18" fillId="4" borderId="29" xfId="2" applyFont="1" applyFill="1" applyBorder="1" applyAlignment="1">
      <alignment horizontal="left"/>
    </xf>
    <xf numFmtId="0" fontId="18" fillId="4" borderId="30" xfId="2" applyFont="1" applyFill="1" applyBorder="1" applyAlignment="1">
      <alignment horizontal="left"/>
    </xf>
    <xf numFmtId="4" fontId="21" fillId="4" borderId="25" xfId="2" applyNumberFormat="1" applyFont="1" applyFill="1" applyBorder="1" applyAlignment="1">
      <alignment horizontal="center" vertical="center" wrapText="1"/>
    </xf>
    <xf numFmtId="4" fontId="21" fillId="4" borderId="24" xfId="2" applyNumberFormat="1" applyFont="1" applyFill="1" applyBorder="1" applyAlignment="1">
      <alignment horizontal="center" vertical="center" wrapText="1"/>
    </xf>
    <xf numFmtId="4" fontId="21" fillId="4" borderId="36" xfId="2" applyNumberFormat="1" applyFont="1" applyFill="1" applyBorder="1" applyAlignment="1">
      <alignment horizontal="center" vertical="center" wrapText="1"/>
    </xf>
    <xf numFmtId="4" fontId="21" fillId="4" borderId="52" xfId="2" applyNumberFormat="1" applyFont="1" applyFill="1" applyBorder="1" applyAlignment="1">
      <alignment horizontal="center" vertical="center" wrapText="1"/>
    </xf>
    <xf numFmtId="4" fontId="21" fillId="4" borderId="2" xfId="2" applyNumberFormat="1" applyFont="1" applyFill="1" applyBorder="1" applyAlignment="1">
      <alignment horizontal="center" vertical="center" wrapText="1"/>
    </xf>
    <xf numFmtId="4" fontId="21" fillId="4" borderId="53" xfId="2" applyNumberFormat="1" applyFont="1" applyFill="1" applyBorder="1" applyAlignment="1">
      <alignment horizontal="center" vertical="center" wrapText="1"/>
    </xf>
    <xf numFmtId="4" fontId="21" fillId="4" borderId="50" xfId="2" applyNumberFormat="1" applyFont="1" applyFill="1" applyBorder="1" applyAlignment="1">
      <alignment horizontal="center" vertical="center" wrapText="1"/>
    </xf>
    <xf numFmtId="4" fontId="21" fillId="4" borderId="10" xfId="2" applyNumberFormat="1" applyFont="1" applyFill="1" applyBorder="1" applyAlignment="1">
      <alignment horizontal="center" vertical="center" wrapText="1"/>
    </xf>
    <xf numFmtId="4" fontId="21" fillId="4" borderId="49" xfId="2" applyNumberFormat="1" applyFont="1" applyFill="1" applyBorder="1" applyAlignment="1">
      <alignment horizontal="center" vertical="center" wrapText="1"/>
    </xf>
    <xf numFmtId="0" fontId="21" fillId="9" borderId="47" xfId="2" applyFont="1" applyFill="1" applyBorder="1" applyAlignment="1">
      <alignment horizontal="center" vertical="center" wrapText="1"/>
    </xf>
    <xf numFmtId="0" fontId="21" fillId="9" borderId="7" xfId="2" applyFont="1" applyFill="1" applyBorder="1" applyAlignment="1">
      <alignment horizontal="center" vertical="center" wrapText="1"/>
    </xf>
    <xf numFmtId="0" fontId="21" fillId="9" borderId="48" xfId="2" applyFont="1" applyFill="1" applyBorder="1" applyAlignment="1">
      <alignment horizontal="center" vertical="center" wrapText="1"/>
    </xf>
    <xf numFmtId="0" fontId="21" fillId="4" borderId="29" xfId="2" applyFont="1" applyFill="1" applyBorder="1" applyAlignment="1">
      <alignment horizontal="left"/>
    </xf>
    <xf numFmtId="0" fontId="21" fillId="4" borderId="32" xfId="2" applyFont="1" applyFill="1" applyBorder="1" applyAlignment="1">
      <alignment horizontal="left"/>
    </xf>
    <xf numFmtId="0" fontId="21" fillId="4" borderId="30" xfId="2" applyFont="1" applyFill="1" applyBorder="1" applyAlignment="1">
      <alignment horizontal="left"/>
    </xf>
    <xf numFmtId="0" fontId="18" fillId="4" borderId="29" xfId="2" applyFont="1" applyFill="1" applyBorder="1" applyAlignment="1">
      <alignment horizontal="center"/>
    </xf>
    <xf numFmtId="0" fontId="18" fillId="4" borderId="30" xfId="2" applyFont="1" applyFill="1" applyBorder="1" applyAlignment="1">
      <alignment horizontal="center"/>
    </xf>
    <xf numFmtId="9" fontId="18" fillId="4" borderId="29" xfId="2" applyNumberFormat="1" applyFont="1" applyFill="1" applyBorder="1" applyAlignment="1">
      <alignment horizontal="center"/>
    </xf>
    <xf numFmtId="177" fontId="18" fillId="4" borderId="29" xfId="13" applyNumberFormat="1" applyFont="1" applyFill="1" applyBorder="1" applyAlignment="1">
      <alignment horizontal="center"/>
    </xf>
    <xf numFmtId="177" fontId="18" fillId="4" borderId="30" xfId="13" applyNumberFormat="1" applyFont="1" applyFill="1" applyBorder="1" applyAlignment="1">
      <alignment horizontal="center"/>
    </xf>
    <xf numFmtId="4" fontId="18" fillId="4" borderId="29" xfId="2" applyNumberFormat="1" applyFont="1" applyFill="1" applyBorder="1" applyAlignment="1">
      <alignment horizontal="center"/>
    </xf>
    <xf numFmtId="4" fontId="18" fillId="4" borderId="30" xfId="2" applyNumberFormat="1" applyFont="1" applyFill="1" applyBorder="1" applyAlignment="1">
      <alignment horizontal="center"/>
    </xf>
    <xf numFmtId="0" fontId="21" fillId="4" borderId="25" xfId="2" applyFont="1" applyFill="1" applyBorder="1" applyAlignment="1">
      <alignment horizontal="center" vertical="center"/>
    </xf>
    <xf numFmtId="0" fontId="21" fillId="4" borderId="36" xfId="2" applyFont="1" applyFill="1" applyBorder="1" applyAlignment="1">
      <alignment horizontal="center" vertical="center"/>
    </xf>
    <xf numFmtId="0" fontId="21" fillId="4" borderId="40" xfId="2" applyFont="1" applyFill="1" applyBorder="1" applyAlignment="1">
      <alignment horizontal="center" vertical="center"/>
    </xf>
    <xf numFmtId="0" fontId="21" fillId="4" borderId="35" xfId="2" applyFont="1" applyFill="1" applyBorder="1" applyAlignment="1">
      <alignment horizontal="center" vertical="center"/>
    </xf>
    <xf numFmtId="0" fontId="21" fillId="4" borderId="19" xfId="2" applyFont="1" applyFill="1" applyBorder="1" applyAlignment="1">
      <alignment horizontal="center" vertical="center"/>
    </xf>
    <xf numFmtId="0" fontId="21" fillId="4" borderId="21" xfId="2" applyFont="1" applyFill="1" applyBorder="1" applyAlignment="1">
      <alignment horizontal="center" vertical="center"/>
    </xf>
    <xf numFmtId="0" fontId="18" fillId="4" borderId="25" xfId="2" applyFont="1" applyFill="1" applyBorder="1" applyAlignment="1">
      <alignment horizontal="center"/>
    </xf>
    <xf numFmtId="0" fontId="18" fillId="4" borderId="36" xfId="2" applyFont="1" applyFill="1" applyBorder="1" applyAlignment="1">
      <alignment horizontal="center"/>
    </xf>
    <xf numFmtId="0" fontId="18" fillId="4" borderId="40" xfId="2" applyFont="1" applyFill="1" applyBorder="1" applyAlignment="1">
      <alignment horizontal="center"/>
    </xf>
    <xf numFmtId="0" fontId="18" fillId="4" borderId="35" xfId="2" applyFont="1" applyFill="1" applyBorder="1" applyAlignment="1">
      <alignment horizontal="center"/>
    </xf>
    <xf numFmtId="0" fontId="18" fillId="4" borderId="19" xfId="2" applyFont="1" applyFill="1" applyBorder="1" applyAlignment="1">
      <alignment horizontal="center"/>
    </xf>
    <xf numFmtId="0" fontId="18" fillId="4" borderId="21" xfId="2" applyFont="1" applyFill="1" applyBorder="1" applyAlignment="1">
      <alignment horizontal="center"/>
    </xf>
    <xf numFmtId="4" fontId="21" fillId="4" borderId="18" xfId="2" applyNumberFormat="1" applyFont="1" applyFill="1" applyBorder="1" applyAlignment="1">
      <alignment horizontal="center" vertical="center" wrapText="1"/>
    </xf>
    <xf numFmtId="4" fontId="21" fillId="4" borderId="12" xfId="2" applyNumberFormat="1" applyFont="1" applyFill="1" applyBorder="1" applyAlignment="1">
      <alignment horizontal="center" vertical="center" wrapText="1"/>
    </xf>
    <xf numFmtId="4" fontId="18" fillId="4" borderId="25" xfId="2" applyNumberFormat="1" applyFont="1" applyFill="1" applyBorder="1" applyAlignment="1">
      <alignment horizontal="center" vertical="center" wrapText="1"/>
    </xf>
    <xf numFmtId="4" fontId="18" fillId="4" borderId="36" xfId="2" applyNumberFormat="1" applyFont="1" applyFill="1" applyBorder="1" applyAlignment="1">
      <alignment horizontal="center" vertical="center" wrapText="1"/>
    </xf>
    <xf numFmtId="4" fontId="18" fillId="4" borderId="19" xfId="2" applyNumberFormat="1" applyFont="1" applyFill="1" applyBorder="1" applyAlignment="1">
      <alignment horizontal="center" vertical="center" wrapText="1"/>
    </xf>
    <xf numFmtId="4" fontId="18" fillId="4" borderId="21" xfId="2" applyNumberFormat="1" applyFont="1" applyFill="1" applyBorder="1" applyAlignment="1">
      <alignment horizontal="center" vertical="center" wrapText="1"/>
    </xf>
    <xf numFmtId="0" fontId="33" fillId="0" borderId="29" xfId="2" applyFont="1" applyBorder="1" applyAlignment="1">
      <alignment horizontal="left"/>
    </xf>
    <xf numFmtId="0" fontId="33" fillId="0" borderId="30" xfId="2" applyFont="1" applyBorder="1" applyAlignment="1">
      <alignment horizontal="left"/>
    </xf>
    <xf numFmtId="4" fontId="18" fillId="4" borderId="29" xfId="2" applyNumberFormat="1" applyFont="1" applyFill="1" applyBorder="1" applyAlignment="1">
      <alignment horizontal="left"/>
    </xf>
    <xf numFmtId="4" fontId="18" fillId="4" borderId="30" xfId="2" applyNumberFormat="1" applyFont="1" applyFill="1" applyBorder="1" applyAlignment="1">
      <alignment horizontal="left"/>
    </xf>
    <xf numFmtId="4" fontId="21" fillId="4" borderId="1" xfId="2" applyNumberFormat="1" applyFont="1" applyFill="1" applyBorder="1" applyAlignment="1">
      <alignment horizontal="center" vertical="center" wrapText="1"/>
    </xf>
    <xf numFmtId="4" fontId="21" fillId="4" borderId="3" xfId="2" applyNumberFormat="1" applyFont="1" applyFill="1" applyBorder="1" applyAlignment="1">
      <alignment horizontal="center" vertical="center" wrapText="1"/>
    </xf>
    <xf numFmtId="4" fontId="21" fillId="4" borderId="9" xfId="2" applyNumberFormat="1" applyFont="1" applyFill="1" applyBorder="1" applyAlignment="1">
      <alignment horizontal="center" vertical="center" wrapText="1"/>
    </xf>
    <xf numFmtId="4" fontId="21" fillId="4" borderId="11" xfId="2" applyNumberFormat="1" applyFont="1" applyFill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/>
    </xf>
    <xf numFmtId="170" fontId="18" fillId="4" borderId="0" xfId="3" applyNumberFormat="1" applyFont="1" applyFill="1" applyBorder="1" applyAlignment="1">
      <alignment horizontal="center" vertical="center"/>
    </xf>
    <xf numFmtId="0" fontId="32" fillId="0" borderId="15" xfId="0" applyFont="1" applyBorder="1" applyAlignment="1">
      <alignment horizontal="right" vertical="center"/>
    </xf>
    <xf numFmtId="2" fontId="25" fillId="0" borderId="29" xfId="0" applyNumberFormat="1" applyFont="1" applyBorder="1" applyAlignment="1">
      <alignment horizontal="center" vertical="center"/>
    </xf>
    <xf numFmtId="2" fontId="25" fillId="0" borderId="30" xfId="0" applyNumberFormat="1" applyFont="1" applyBorder="1" applyAlignment="1">
      <alignment horizontal="center" vertical="center"/>
    </xf>
    <xf numFmtId="0" fontId="32" fillId="0" borderId="29" xfId="0" applyFont="1" applyBorder="1" applyAlignment="1">
      <alignment horizontal="right" vertical="center"/>
    </xf>
    <xf numFmtId="0" fontId="32" fillId="0" borderId="32" xfId="0" applyFont="1" applyBorder="1" applyAlignment="1">
      <alignment horizontal="right" vertical="center"/>
    </xf>
    <xf numFmtId="0" fontId="32" fillId="0" borderId="30" xfId="0" applyFont="1" applyBorder="1" applyAlignment="1">
      <alignment horizontal="right" vertical="center"/>
    </xf>
    <xf numFmtId="0" fontId="32" fillId="0" borderId="15" xfId="0" applyFont="1" applyBorder="1" applyAlignment="1">
      <alignment horizontal="center" vertical="center"/>
    </xf>
    <xf numFmtId="0" fontId="32" fillId="0" borderId="25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36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3" fontId="20" fillId="0" borderId="15" xfId="0" applyNumberFormat="1" applyFont="1" applyBorder="1" applyAlignment="1">
      <alignment horizontal="center" vertical="center" wrapText="1"/>
    </xf>
    <xf numFmtId="4" fontId="20" fillId="0" borderId="50" xfId="0" applyNumberFormat="1" applyFont="1" applyBorder="1" applyAlignment="1">
      <alignment horizontal="center" vertical="center" wrapText="1"/>
    </xf>
    <xf numFmtId="4" fontId="20" fillId="0" borderId="49" xfId="0" applyNumberFormat="1" applyFont="1" applyBorder="1" applyAlignment="1">
      <alignment horizontal="center" vertical="center" wrapText="1"/>
    </xf>
    <xf numFmtId="4" fontId="20" fillId="0" borderId="24" xfId="0" applyNumberFormat="1" applyFont="1" applyBorder="1" applyAlignment="1">
      <alignment horizontal="center" vertical="center" wrapText="1"/>
    </xf>
    <xf numFmtId="4" fontId="20" fillId="0" borderId="10" xfId="0" applyNumberFormat="1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/>
    </xf>
    <xf numFmtId="14" fontId="20" fillId="0" borderId="44" xfId="0" applyNumberFormat="1" applyFont="1" applyBorder="1" applyAlignment="1">
      <alignment horizontal="center" vertical="center"/>
    </xf>
    <xf numFmtId="4" fontId="18" fillId="0" borderId="1" xfId="0" applyNumberFormat="1" applyFont="1" applyBorder="1" applyAlignment="1">
      <alignment horizontal="center" vertical="center" wrapText="1"/>
    </xf>
    <xf numFmtId="4" fontId="18" fillId="0" borderId="2" xfId="0" applyNumberFormat="1" applyFont="1" applyBorder="1" applyAlignment="1">
      <alignment horizontal="center" vertical="center" wrapText="1"/>
    </xf>
    <xf numFmtId="4" fontId="18" fillId="0" borderId="3" xfId="0" applyNumberFormat="1" applyFont="1" applyBorder="1" applyAlignment="1">
      <alignment horizontal="center" vertical="center" wrapText="1"/>
    </xf>
    <xf numFmtId="4" fontId="18" fillId="0" borderId="9" xfId="0" applyNumberFormat="1" applyFont="1" applyBorder="1" applyAlignment="1">
      <alignment horizontal="center" vertical="center" wrapText="1"/>
    </xf>
    <xf numFmtId="4" fontId="18" fillId="0" borderId="10" xfId="0" applyNumberFormat="1" applyFont="1" applyBorder="1" applyAlignment="1">
      <alignment horizontal="center" vertical="center" wrapText="1"/>
    </xf>
    <xf numFmtId="4" fontId="18" fillId="0" borderId="1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9" xfId="0" applyBorder="1" applyAlignment="1">
      <alignment horizontal="center"/>
    </xf>
    <xf numFmtId="0" fontId="20" fillId="0" borderId="52" xfId="0" applyFont="1" applyBorder="1" applyAlignment="1">
      <alignment horizontal="center" vertical="center" wrapText="1"/>
    </xf>
    <xf numFmtId="0" fontId="20" fillId="0" borderId="53" xfId="0" applyFont="1" applyBorder="1" applyAlignment="1">
      <alignment horizontal="center" vertical="center" wrapText="1"/>
    </xf>
    <xf numFmtId="0" fontId="20" fillId="0" borderId="40" xfId="0" applyFont="1" applyBorder="1" applyAlignment="1">
      <alignment horizontal="center" vertical="center" wrapText="1"/>
    </xf>
    <xf numFmtId="0" fontId="20" fillId="0" borderId="35" xfId="0" applyFont="1" applyBorder="1" applyAlignment="1">
      <alignment horizontal="center" vertical="center" wrapText="1"/>
    </xf>
    <xf numFmtId="0" fontId="20" fillId="0" borderId="51" xfId="0" applyFont="1" applyBorder="1" applyAlignment="1">
      <alignment horizontal="center"/>
    </xf>
    <xf numFmtId="0" fontId="20" fillId="0" borderId="54" xfId="0" applyFont="1" applyBorder="1" applyAlignment="1">
      <alignment horizontal="center"/>
    </xf>
    <xf numFmtId="0" fontId="20" fillId="0" borderId="46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4" fontId="20" fillId="0" borderId="20" xfId="0" applyNumberFormat="1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4" fontId="20" fillId="0" borderId="32" xfId="0" applyNumberFormat="1" applyFont="1" applyBorder="1" applyAlignment="1">
      <alignment horizontal="center" vertical="center" wrapText="1"/>
    </xf>
    <xf numFmtId="0" fontId="32" fillId="0" borderId="15" xfId="16" applyFont="1" applyBorder="1" applyAlignment="1">
      <alignment horizontal="center"/>
    </xf>
    <xf numFmtId="4" fontId="32" fillId="0" borderId="0" xfId="16" applyNumberFormat="1" applyFont="1" applyAlignment="1">
      <alignment horizontal="center"/>
    </xf>
    <xf numFmtId="0" fontId="32" fillId="0" borderId="0" xfId="16" applyFont="1" applyAlignment="1">
      <alignment horizontal="center"/>
    </xf>
    <xf numFmtId="0" fontId="13" fillId="5" borderId="0" xfId="0" applyFont="1" applyFill="1" applyAlignment="1">
      <alignment horizontal="left" vertical="center" wrapText="1"/>
    </xf>
    <xf numFmtId="0" fontId="13" fillId="5" borderId="5" xfId="0" applyFont="1" applyFill="1" applyBorder="1" applyAlignment="1">
      <alignment horizontal="left" vertical="center" wrapText="1"/>
    </xf>
    <xf numFmtId="4" fontId="7" fillId="0" borderId="6" xfId="2" applyNumberFormat="1" applyFont="1" applyBorder="1" applyAlignment="1">
      <alignment horizontal="center" vertical="center" wrapText="1"/>
    </xf>
    <xf numFmtId="4" fontId="7" fillId="0" borderId="7" xfId="2" applyNumberFormat="1" applyFont="1" applyBorder="1" applyAlignment="1">
      <alignment horizontal="center" vertical="center" wrapText="1"/>
    </xf>
    <xf numFmtId="4" fontId="7" fillId="0" borderId="8" xfId="2" applyNumberFormat="1" applyFont="1" applyBorder="1" applyAlignment="1">
      <alignment horizontal="center" vertical="center" wrapText="1"/>
    </xf>
    <xf numFmtId="4" fontId="4" fillId="0" borderId="1" xfId="2" applyNumberFormat="1" applyFont="1" applyBorder="1" applyAlignment="1">
      <alignment horizontal="center"/>
    </xf>
    <xf numFmtId="4" fontId="4" fillId="0" borderId="2" xfId="2" applyNumberFormat="1" applyFont="1" applyBorder="1" applyAlignment="1">
      <alignment horizontal="center"/>
    </xf>
    <xf numFmtId="4" fontId="4" fillId="0" borderId="3" xfId="2" applyNumberFormat="1" applyFont="1" applyBorder="1" applyAlignment="1">
      <alignment horizontal="center"/>
    </xf>
    <xf numFmtId="4" fontId="5" fillId="0" borderId="4" xfId="2" applyNumberFormat="1" applyFont="1" applyBorder="1" applyAlignment="1">
      <alignment horizontal="center"/>
    </xf>
    <xf numFmtId="4" fontId="5" fillId="0" borderId="0" xfId="2" applyNumberFormat="1" applyFont="1" applyAlignment="1">
      <alignment horizontal="center"/>
    </xf>
    <xf numFmtId="4" fontId="5" fillId="0" borderId="5" xfId="2" applyNumberFormat="1" applyFont="1" applyBorder="1" applyAlignment="1">
      <alignment horizontal="center"/>
    </xf>
    <xf numFmtId="0" fontId="7" fillId="5" borderId="6" xfId="2" applyFont="1" applyFill="1" applyBorder="1" applyAlignment="1">
      <alignment horizontal="center" vertical="center"/>
    </xf>
    <xf numFmtId="0" fontId="7" fillId="5" borderId="7" xfId="2" applyFont="1" applyFill="1" applyBorder="1" applyAlignment="1">
      <alignment horizontal="center" vertical="center"/>
    </xf>
    <xf numFmtId="0" fontId="7" fillId="5" borderId="8" xfId="2" applyFont="1" applyFill="1" applyBorder="1" applyAlignment="1">
      <alignment horizontal="center" vertical="center"/>
    </xf>
    <xf numFmtId="175" fontId="18" fillId="4" borderId="0" xfId="2" applyNumberFormat="1" applyFont="1" applyFill="1" applyAlignment="1">
      <alignment horizontal="left" wrapText="1"/>
    </xf>
    <xf numFmtId="0" fontId="21" fillId="4" borderId="23" xfId="2" applyFont="1" applyFill="1" applyBorder="1" applyAlignment="1">
      <alignment horizontal="center" vertical="top"/>
    </xf>
    <xf numFmtId="0" fontId="21" fillId="4" borderId="24" xfId="2" applyFont="1" applyFill="1" applyBorder="1" applyAlignment="1">
      <alignment horizontal="center" vertical="top"/>
    </xf>
    <xf numFmtId="0" fontId="21" fillId="4" borderId="36" xfId="2" applyFont="1" applyFill="1" applyBorder="1" applyAlignment="1">
      <alignment horizontal="center" vertical="top"/>
    </xf>
    <xf numFmtId="175" fontId="21" fillId="4" borderId="0" xfId="2" applyNumberFormat="1" applyFont="1" applyFill="1" applyAlignment="1">
      <alignment horizontal="left" wrapText="1"/>
    </xf>
    <xf numFmtId="0" fontId="21" fillId="4" borderId="29" xfId="2" applyFont="1" applyFill="1" applyBorder="1" applyAlignment="1">
      <alignment horizontal="center"/>
    </xf>
    <xf numFmtId="0" fontId="21" fillId="4" borderId="30" xfId="2" applyFont="1" applyFill="1" applyBorder="1" applyAlignment="1">
      <alignment horizontal="center"/>
    </xf>
    <xf numFmtId="0" fontId="21" fillId="4" borderId="55" xfId="2" applyFont="1" applyFill="1" applyBorder="1" applyAlignment="1">
      <alignment horizontal="center"/>
    </xf>
    <xf numFmtId="0" fontId="21" fillId="4" borderId="57" xfId="2" applyFont="1" applyFill="1" applyBorder="1" applyAlignment="1">
      <alignment horizontal="center"/>
    </xf>
    <xf numFmtId="0" fontId="18" fillId="4" borderId="29" xfId="8" applyFont="1" applyFill="1" applyBorder="1" applyAlignment="1">
      <alignment horizontal="left"/>
    </xf>
    <xf numFmtId="0" fontId="18" fillId="4" borderId="30" xfId="8" applyFont="1" applyFill="1" applyBorder="1" applyAlignment="1">
      <alignment horizontal="left"/>
    </xf>
    <xf numFmtId="0" fontId="20" fillId="0" borderId="37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/>
    </xf>
    <xf numFmtId="0" fontId="19" fillId="0" borderId="46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20" fillId="0" borderId="64" xfId="0" applyFont="1" applyBorder="1" applyAlignment="1">
      <alignment horizontal="center" vertical="center" wrapText="1"/>
    </xf>
    <xf numFmtId="0" fontId="20" fillId="0" borderId="18" xfId="16" applyFont="1" applyBorder="1" applyAlignment="1">
      <alignment horizontal="center" vertical="center" wrapText="1"/>
    </xf>
    <xf numFmtId="0" fontId="20" fillId="0" borderId="12" xfId="16" applyFont="1" applyBorder="1" applyAlignment="1">
      <alignment horizontal="center" vertical="center" wrapText="1"/>
    </xf>
    <xf numFmtId="0" fontId="20" fillId="0" borderId="25" xfId="16" applyFont="1" applyBorder="1" applyAlignment="1">
      <alignment horizontal="center" vertical="center"/>
    </xf>
    <xf numFmtId="0" fontId="20" fillId="0" borderId="36" xfId="16" applyFont="1" applyBorder="1" applyAlignment="1">
      <alignment horizontal="center" vertical="center"/>
    </xf>
    <xf numFmtId="0" fontId="20" fillId="0" borderId="19" xfId="16" applyFont="1" applyBorder="1" applyAlignment="1">
      <alignment horizontal="center" vertical="center"/>
    </xf>
    <xf numFmtId="0" fontId="20" fillId="0" borderId="21" xfId="16" applyFont="1" applyBorder="1" applyAlignment="1">
      <alignment horizontal="center" vertical="center"/>
    </xf>
    <xf numFmtId="0" fontId="19" fillId="0" borderId="29" xfId="16" applyFont="1" applyBorder="1" applyAlignment="1">
      <alignment horizontal="center" vertical="center"/>
    </xf>
    <xf numFmtId="0" fontId="19" fillId="0" borderId="30" xfId="16" applyFont="1" applyBorder="1" applyAlignment="1">
      <alignment horizontal="center" vertical="center"/>
    </xf>
    <xf numFmtId="0" fontId="20" fillId="0" borderId="29" xfId="16" applyFont="1" applyBorder="1" applyAlignment="1">
      <alignment horizontal="center" vertical="center"/>
    </xf>
    <xf numFmtId="0" fontId="20" fillId="0" borderId="30" xfId="16" applyFont="1" applyBorder="1" applyAlignment="1">
      <alignment horizontal="center" vertical="center"/>
    </xf>
    <xf numFmtId="177" fontId="20" fillId="0" borderId="18" xfId="16" applyNumberFormat="1" applyFont="1" applyBorder="1" applyAlignment="1">
      <alignment horizontal="center" vertical="center"/>
    </xf>
    <xf numFmtId="177" fontId="20" fillId="0" borderId="12" xfId="16" applyNumberFormat="1" applyFont="1" applyBorder="1" applyAlignment="1">
      <alignment horizontal="center" vertical="center"/>
    </xf>
    <xf numFmtId="0" fontId="19" fillId="0" borderId="59" xfId="16" applyFont="1" applyBorder="1" applyAlignment="1">
      <alignment horizontal="center"/>
    </xf>
    <xf numFmtId="0" fontId="19" fillId="0" borderId="60" xfId="16" applyFont="1" applyBorder="1" applyAlignment="1">
      <alignment horizontal="center"/>
    </xf>
    <xf numFmtId="0" fontId="19" fillId="0" borderId="13" xfId="16" applyFont="1" applyBorder="1" applyAlignment="1">
      <alignment horizontal="center"/>
    </xf>
    <xf numFmtId="0" fontId="20" fillId="0" borderId="52" xfId="16" applyFont="1" applyBorder="1" applyAlignment="1">
      <alignment horizontal="center" vertical="center" wrapText="1"/>
    </xf>
    <xf numFmtId="0" fontId="20" fillId="0" borderId="53" xfId="16" applyFont="1" applyBorder="1" applyAlignment="1">
      <alignment horizontal="center" vertical="center" wrapText="1"/>
    </xf>
    <xf numFmtId="0" fontId="20" fillId="0" borderId="19" xfId="16" applyFont="1" applyBorder="1" applyAlignment="1">
      <alignment horizontal="center" vertical="center" wrapText="1"/>
    </xf>
    <xf numFmtId="0" fontId="20" fillId="0" borderId="21" xfId="16" applyFont="1" applyBorder="1" applyAlignment="1">
      <alignment horizontal="center" vertical="center" wrapText="1"/>
    </xf>
    <xf numFmtId="0" fontId="19" fillId="0" borderId="58" xfId="16" applyFont="1" applyBorder="1" applyAlignment="1">
      <alignment horizontal="center" vertical="center"/>
    </xf>
    <xf numFmtId="0" fontId="19" fillId="0" borderId="31" xfId="16" applyFont="1" applyBorder="1" applyAlignment="1">
      <alignment horizontal="center" vertical="center"/>
    </xf>
    <xf numFmtId="0" fontId="19" fillId="0" borderId="61" xfId="16" applyFont="1" applyBorder="1" applyAlignment="1">
      <alignment horizontal="center" vertical="center"/>
    </xf>
    <xf numFmtId="0" fontId="20" fillId="0" borderId="39" xfId="16" applyFont="1" applyBorder="1" applyAlignment="1">
      <alignment horizontal="right"/>
    </xf>
    <xf numFmtId="0" fontId="20" fillId="0" borderId="32" xfId="16" applyFont="1" applyBorder="1" applyAlignment="1">
      <alignment horizontal="right"/>
    </xf>
    <xf numFmtId="0" fontId="20" fillId="0" borderId="30" xfId="16" applyFont="1" applyBorder="1" applyAlignment="1">
      <alignment horizontal="right"/>
    </xf>
    <xf numFmtId="177" fontId="20" fillId="0" borderId="29" xfId="16" applyNumberFormat="1" applyFont="1" applyBorder="1" applyAlignment="1">
      <alignment horizontal="center"/>
    </xf>
    <xf numFmtId="177" fontId="20" fillId="0" borderId="38" xfId="16" applyNumberFormat="1" applyFont="1" applyBorder="1" applyAlignment="1">
      <alignment horizontal="center"/>
    </xf>
    <xf numFmtId="0" fontId="19" fillId="0" borderId="39" xfId="16" applyFont="1" applyBorder="1" applyAlignment="1">
      <alignment horizontal="left"/>
    </xf>
    <xf numFmtId="0" fontId="19" fillId="0" borderId="30" xfId="16" applyFont="1" applyBorder="1" applyAlignment="1">
      <alignment horizontal="left"/>
    </xf>
    <xf numFmtId="177" fontId="19" fillId="0" borderId="29" xfId="16" applyNumberFormat="1" applyFont="1" applyBorder="1" applyAlignment="1">
      <alignment horizontal="center" vertical="center" wrapText="1"/>
    </xf>
    <xf numFmtId="177" fontId="19" fillId="0" borderId="30" xfId="16" applyNumberFormat="1" applyFont="1" applyBorder="1" applyAlignment="1">
      <alignment horizontal="center" vertical="center" wrapText="1"/>
    </xf>
    <xf numFmtId="0" fontId="20" fillId="6" borderId="39" xfId="16" applyFont="1" applyFill="1" applyBorder="1" applyAlignment="1">
      <alignment horizontal="center"/>
    </xf>
    <xf numFmtId="0" fontId="20" fillId="6" borderId="32" xfId="16" applyFont="1" applyFill="1" applyBorder="1" applyAlignment="1">
      <alignment horizontal="center"/>
    </xf>
    <xf numFmtId="0" fontId="20" fillId="6" borderId="38" xfId="16" applyFont="1" applyFill="1" applyBorder="1" applyAlignment="1">
      <alignment horizontal="center"/>
    </xf>
    <xf numFmtId="177" fontId="20" fillId="7" borderId="29" xfId="16" applyNumberFormat="1" applyFont="1" applyFill="1" applyBorder="1" applyAlignment="1">
      <alignment horizontal="center"/>
    </xf>
    <xf numFmtId="177" fontId="20" fillId="7" borderId="30" xfId="16" applyNumberFormat="1" applyFont="1" applyFill="1" applyBorder="1" applyAlignment="1">
      <alignment horizontal="center"/>
    </xf>
    <xf numFmtId="0" fontId="20" fillId="7" borderId="39" xfId="16" applyFont="1" applyFill="1" applyBorder="1" applyAlignment="1">
      <alignment horizontal="right"/>
    </xf>
    <xf numFmtId="0" fontId="20" fillId="7" borderId="32" xfId="16" applyFont="1" applyFill="1" applyBorder="1" applyAlignment="1">
      <alignment horizontal="right"/>
    </xf>
    <xf numFmtId="0" fontId="20" fillId="7" borderId="30" xfId="16" applyFont="1" applyFill="1" applyBorder="1" applyAlignment="1">
      <alignment horizontal="right"/>
    </xf>
    <xf numFmtId="44" fontId="19" fillId="0" borderId="29" xfId="17" applyFont="1" applyBorder="1" applyAlignment="1">
      <alignment horizontal="center" vertical="center"/>
    </xf>
    <xf numFmtId="44" fontId="19" fillId="0" borderId="38" xfId="17" applyFont="1" applyBorder="1" applyAlignment="1">
      <alignment horizontal="center" vertical="center"/>
    </xf>
    <xf numFmtId="0" fontId="20" fillId="0" borderId="39" xfId="16" applyFont="1" applyBorder="1" applyAlignment="1">
      <alignment horizontal="center" vertical="center"/>
    </xf>
    <xf numFmtId="0" fontId="20" fillId="0" borderId="39" xfId="16" applyFont="1" applyBorder="1" applyAlignment="1">
      <alignment horizontal="left"/>
    </xf>
    <xf numFmtId="0" fontId="20" fillId="0" borderId="32" xfId="16" applyFont="1" applyBorder="1" applyAlignment="1">
      <alignment horizontal="left"/>
    </xf>
    <xf numFmtId="0" fontId="20" fillId="0" borderId="38" xfId="16" applyFont="1" applyBorder="1" applyAlignment="1">
      <alignment horizontal="left"/>
    </xf>
    <xf numFmtId="0" fontId="20" fillId="7" borderId="39" xfId="16" applyFont="1" applyFill="1" applyBorder="1" applyAlignment="1">
      <alignment horizontal="center"/>
    </xf>
    <xf numFmtId="0" fontId="20" fillId="7" borderId="32" xfId="16" applyFont="1" applyFill="1" applyBorder="1" applyAlignment="1">
      <alignment horizontal="center"/>
    </xf>
    <xf numFmtId="0" fontId="20" fillId="7" borderId="30" xfId="16" applyFont="1" applyFill="1" applyBorder="1" applyAlignment="1">
      <alignment horizontal="center"/>
    </xf>
    <xf numFmtId="177" fontId="20" fillId="0" borderId="29" xfId="19" applyNumberFormat="1" applyFont="1" applyBorder="1" applyAlignment="1">
      <alignment horizontal="center"/>
    </xf>
    <xf numFmtId="177" fontId="20" fillId="0" borderId="38" xfId="19" applyNumberFormat="1" applyFont="1" applyBorder="1" applyAlignment="1">
      <alignment horizontal="center"/>
    </xf>
    <xf numFmtId="0" fontId="20" fillId="0" borderId="29" xfId="16" applyFont="1" applyBorder="1" applyAlignment="1">
      <alignment horizontal="center" vertical="center" wrapText="1"/>
    </xf>
    <xf numFmtId="0" fontId="20" fillId="0" borderId="30" xfId="16" applyFont="1" applyBorder="1" applyAlignment="1">
      <alignment horizontal="center" vertical="center" wrapText="1"/>
    </xf>
    <xf numFmtId="2" fontId="19" fillId="0" borderId="29" xfId="16" applyNumberFormat="1" applyFont="1" applyBorder="1" applyAlignment="1">
      <alignment horizontal="center" vertical="center"/>
    </xf>
    <xf numFmtId="2" fontId="19" fillId="0" borderId="30" xfId="16" applyNumberFormat="1" applyFont="1" applyBorder="1" applyAlignment="1">
      <alignment horizontal="center" vertical="center"/>
    </xf>
    <xf numFmtId="0" fontId="20" fillId="0" borderId="38" xfId="16" applyFont="1" applyBorder="1" applyAlignment="1">
      <alignment horizontal="center" vertical="center"/>
    </xf>
    <xf numFmtId="0" fontId="20" fillId="6" borderId="39" xfId="16" applyFont="1" applyFill="1" applyBorder="1" applyAlignment="1">
      <alignment horizontal="center" vertical="center"/>
    </xf>
    <xf numFmtId="0" fontId="20" fillId="6" borderId="32" xfId="16" applyFont="1" applyFill="1" applyBorder="1" applyAlignment="1">
      <alignment horizontal="center" vertical="center"/>
    </xf>
    <xf numFmtId="0" fontId="20" fillId="6" borderId="38" xfId="16" applyFont="1" applyFill="1" applyBorder="1" applyAlignment="1">
      <alignment horizontal="center" vertical="center"/>
    </xf>
    <xf numFmtId="0" fontId="20" fillId="0" borderId="1" xfId="16" applyFont="1" applyBorder="1" applyAlignment="1">
      <alignment horizontal="center" wrapText="1"/>
    </xf>
    <xf numFmtId="0" fontId="20" fillId="0" borderId="2" xfId="16" applyFont="1" applyBorder="1" applyAlignment="1">
      <alignment horizontal="center" wrapText="1"/>
    </xf>
    <xf numFmtId="0" fontId="20" fillId="0" borderId="3" xfId="16" applyFont="1" applyBorder="1" applyAlignment="1">
      <alignment horizontal="center" wrapText="1"/>
    </xf>
    <xf numFmtId="0" fontId="20" fillId="0" borderId="39" xfId="16" applyFont="1" applyBorder="1" applyAlignment="1">
      <alignment horizontal="left" vertical="center" wrapText="1"/>
    </xf>
    <xf numFmtId="0" fontId="20" fillId="0" borderId="30" xfId="16" applyFont="1" applyBorder="1" applyAlignment="1">
      <alignment horizontal="left" vertical="center" wrapText="1"/>
    </xf>
    <xf numFmtId="0" fontId="19" fillId="0" borderId="39" xfId="16" applyFont="1" applyBorder="1" applyAlignment="1">
      <alignment horizontal="left" vertical="center" wrapText="1"/>
    </xf>
    <xf numFmtId="0" fontId="19" fillId="0" borderId="30" xfId="16" applyFont="1" applyBorder="1" applyAlignment="1">
      <alignment horizontal="left" vertical="center" wrapText="1"/>
    </xf>
    <xf numFmtId="0" fontId="20" fillId="0" borderId="39" xfId="16" applyFont="1" applyBorder="1" applyAlignment="1">
      <alignment horizontal="left" wrapText="1"/>
    </xf>
    <xf numFmtId="0" fontId="20" fillId="0" borderId="30" xfId="16" applyFont="1" applyBorder="1" applyAlignment="1">
      <alignment horizontal="left" wrapText="1"/>
    </xf>
    <xf numFmtId="0" fontId="19" fillId="0" borderId="39" xfId="16" applyFont="1" applyBorder="1" applyAlignment="1">
      <alignment horizontal="left" wrapText="1"/>
    </xf>
    <xf numFmtId="0" fontId="19" fillId="0" borderId="30" xfId="16" applyFont="1" applyBorder="1" applyAlignment="1">
      <alignment horizontal="left" wrapText="1"/>
    </xf>
    <xf numFmtId="0" fontId="19" fillId="0" borderId="0" xfId="16" applyFont="1" applyAlignment="1">
      <alignment horizontal="center"/>
    </xf>
    <xf numFmtId="0" fontId="20" fillId="0" borderId="30" xfId="16" applyFont="1" applyBorder="1" applyAlignment="1">
      <alignment horizontal="left"/>
    </xf>
    <xf numFmtId="0" fontId="20" fillId="7" borderId="62" xfId="16" applyFont="1" applyFill="1" applyBorder="1" applyAlignment="1">
      <alignment horizontal="right"/>
    </xf>
    <xf numFmtId="0" fontId="20" fillId="7" borderId="56" xfId="16" applyFont="1" applyFill="1" applyBorder="1" applyAlignment="1">
      <alignment horizontal="right"/>
    </xf>
    <xf numFmtId="0" fontId="20" fillId="7" borderId="57" xfId="16" applyFont="1" applyFill="1" applyBorder="1" applyAlignment="1">
      <alignment horizontal="right"/>
    </xf>
    <xf numFmtId="177" fontId="20" fillId="7" borderId="55" xfId="16" applyNumberFormat="1" applyFont="1" applyFill="1" applyBorder="1" applyAlignment="1">
      <alignment horizontal="center"/>
    </xf>
    <xf numFmtId="177" fontId="20" fillId="7" borderId="63" xfId="16" applyNumberFormat="1" applyFont="1" applyFill="1" applyBorder="1" applyAlignment="1">
      <alignment horizontal="center"/>
    </xf>
    <xf numFmtId="0" fontId="18" fillId="4" borderId="1" xfId="2" applyFont="1" applyFill="1" applyBorder="1" applyAlignment="1">
      <alignment horizontal="center" vertical="center" wrapText="1"/>
    </xf>
    <xf numFmtId="0" fontId="18" fillId="4" borderId="2" xfId="2" applyFont="1" applyFill="1" applyBorder="1" applyAlignment="1">
      <alignment horizontal="center" vertical="center" wrapText="1"/>
    </xf>
    <xf numFmtId="0" fontId="18" fillId="4" borderId="3" xfId="2" applyFont="1" applyFill="1" applyBorder="1" applyAlignment="1">
      <alignment horizontal="center" vertical="center" wrapText="1"/>
    </xf>
    <xf numFmtId="0" fontId="18" fillId="4" borderId="4" xfId="2" applyFont="1" applyFill="1" applyBorder="1" applyAlignment="1">
      <alignment horizontal="center" vertical="center" wrapText="1"/>
    </xf>
    <xf numFmtId="0" fontId="18" fillId="4" borderId="0" xfId="2" applyFont="1" applyFill="1" applyAlignment="1">
      <alignment horizontal="center" vertical="center" wrapText="1"/>
    </xf>
    <xf numFmtId="0" fontId="18" fillId="4" borderId="5" xfId="2" applyFont="1" applyFill="1" applyBorder="1" applyAlignment="1">
      <alignment horizontal="center" vertical="center" wrapText="1"/>
    </xf>
    <xf numFmtId="0" fontId="18" fillId="4" borderId="9" xfId="2" applyFont="1" applyFill="1" applyBorder="1" applyAlignment="1">
      <alignment horizontal="center" vertical="center" wrapText="1"/>
    </xf>
    <xf numFmtId="0" fontId="18" fillId="4" borderId="10" xfId="2" applyFont="1" applyFill="1" applyBorder="1" applyAlignment="1">
      <alignment horizontal="center" vertical="center" wrapText="1"/>
    </xf>
    <xf numFmtId="0" fontId="18" fillId="4" borderId="11" xfId="2" applyFont="1" applyFill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/>
    </xf>
    <xf numFmtId="0" fontId="25" fillId="0" borderId="41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6" fillId="0" borderId="29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20" fillId="0" borderId="4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35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 wrapText="1"/>
    </xf>
    <xf numFmtId="2" fontId="18" fillId="0" borderId="29" xfId="2" applyNumberFormat="1" applyFont="1" applyBorder="1" applyAlignment="1">
      <alignment horizontal="left"/>
    </xf>
    <xf numFmtId="2" fontId="18" fillId="0" borderId="30" xfId="2" applyNumberFormat="1" applyFont="1" applyBorder="1" applyAlignment="1">
      <alignment horizontal="left"/>
    </xf>
    <xf numFmtId="0" fontId="18" fillId="4" borderId="29" xfId="2" applyFont="1" applyFill="1" applyBorder="1" applyAlignment="1">
      <alignment horizontal="left" vertical="center"/>
    </xf>
    <xf numFmtId="0" fontId="18" fillId="4" borderId="30" xfId="2" applyFont="1" applyFill="1" applyBorder="1" applyAlignment="1">
      <alignment horizontal="left" vertical="center"/>
    </xf>
    <xf numFmtId="0" fontId="28" fillId="0" borderId="7" xfId="0" applyFont="1" applyBorder="1" applyAlignment="1">
      <alignment horizontal="center"/>
    </xf>
    <xf numFmtId="0" fontId="28" fillId="0" borderId="8" xfId="0" applyFont="1" applyBorder="1" applyAlignment="1">
      <alignment horizontal="center"/>
    </xf>
    <xf numFmtId="4" fontId="27" fillId="4" borderId="29" xfId="2" applyNumberFormat="1" applyFont="1" applyFill="1" applyBorder="1" applyAlignment="1">
      <alignment horizontal="center" wrapText="1"/>
    </xf>
    <xf numFmtId="4" fontId="27" fillId="4" borderId="32" xfId="2" applyNumberFormat="1" applyFont="1" applyFill="1" applyBorder="1" applyAlignment="1">
      <alignment horizontal="center" wrapText="1"/>
    </xf>
    <xf numFmtId="4" fontId="27" fillId="4" borderId="30" xfId="2" applyNumberFormat="1" applyFont="1" applyFill="1" applyBorder="1" applyAlignment="1">
      <alignment horizontal="center" wrapText="1"/>
    </xf>
    <xf numFmtId="0" fontId="18" fillId="4" borderId="25" xfId="2" applyFont="1" applyFill="1" applyBorder="1" applyAlignment="1">
      <alignment horizontal="left" vertical="center"/>
    </xf>
    <xf numFmtId="0" fontId="18" fillId="4" borderId="36" xfId="2" applyFont="1" applyFill="1" applyBorder="1" applyAlignment="1">
      <alignment horizontal="left" vertical="center"/>
    </xf>
    <xf numFmtId="0" fontId="21" fillId="4" borderId="0" xfId="2" applyFont="1" applyFill="1" applyAlignment="1">
      <alignment horizontal="center" vertical="center"/>
    </xf>
  </cellXfs>
  <cellStyles count="34">
    <cellStyle name="Millares" xfId="13" builtinId="3"/>
    <cellStyle name="Millares 2" xfId="4" xr:uid="{00000000-0005-0000-0000-000001000000}"/>
    <cellStyle name="Millares 2 2" xfId="6" xr:uid="{00000000-0005-0000-0000-000002000000}"/>
    <cellStyle name="Millares 2 3" xfId="27" xr:uid="{00000000-0005-0000-0000-000003000000}"/>
    <cellStyle name="Millares 3" xfId="24" xr:uid="{00000000-0005-0000-0000-000004000000}"/>
    <cellStyle name="Millares 3 2" xfId="32" xr:uid="{00000000-0005-0000-0000-000005000000}"/>
    <cellStyle name="Millares 4" xfId="19" xr:uid="{00000000-0005-0000-0000-000006000000}"/>
    <cellStyle name="Millares 4 2" xfId="30" xr:uid="{00000000-0005-0000-0000-000007000000}"/>
    <cellStyle name="Moneda" xfId="14" builtinId="4"/>
    <cellStyle name="Moneda [0]" xfId="1" builtinId="7"/>
    <cellStyle name="Moneda [0] 2" xfId="11" xr:uid="{00000000-0005-0000-0000-00000A000000}"/>
    <cellStyle name="Moneda [0] 3" xfId="23" xr:uid="{00000000-0005-0000-0000-00000B000000}"/>
    <cellStyle name="Moneda [0] 3 2" xfId="31" xr:uid="{00000000-0005-0000-0000-00000C000000}"/>
    <cellStyle name="Moneda 2" xfId="3" xr:uid="{00000000-0005-0000-0000-00000D000000}"/>
    <cellStyle name="Moneda 2 2" xfId="18" xr:uid="{00000000-0005-0000-0000-00000E000000}"/>
    <cellStyle name="Moneda 2 2 2" xfId="29" xr:uid="{00000000-0005-0000-0000-00000F000000}"/>
    <cellStyle name="Moneda 2 5" xfId="26" xr:uid="{00000000-0005-0000-0000-000010000000}"/>
    <cellStyle name="Moneda 3" xfId="7" xr:uid="{00000000-0005-0000-0000-000011000000}"/>
    <cellStyle name="Moneda 4" xfId="12" xr:uid="{00000000-0005-0000-0000-000012000000}"/>
    <cellStyle name="Moneda 5" xfId="17" xr:uid="{00000000-0005-0000-0000-000013000000}"/>
    <cellStyle name="Moneda 5 2" xfId="28" xr:uid="{00000000-0005-0000-0000-000014000000}"/>
    <cellStyle name="Moneda 6" xfId="25" xr:uid="{00000000-0005-0000-0000-000015000000}"/>
    <cellStyle name="Moneda 6 2" xfId="33" xr:uid="{00000000-0005-0000-0000-000016000000}"/>
    <cellStyle name="Normal" xfId="0" builtinId="0"/>
    <cellStyle name="Normal 10" xfId="8" xr:uid="{00000000-0005-0000-0000-000018000000}"/>
    <cellStyle name="Normal 2" xfId="2" xr:uid="{00000000-0005-0000-0000-000019000000}"/>
    <cellStyle name="Normal 2 3" xfId="22" xr:uid="{00000000-0005-0000-0000-00001A000000}"/>
    <cellStyle name="Normal 2 4" xfId="15" xr:uid="{00000000-0005-0000-0000-00001B000000}"/>
    <cellStyle name="Normal 3" xfId="5" xr:uid="{00000000-0005-0000-0000-00001C000000}"/>
    <cellStyle name="Normal 3 2" xfId="9" xr:uid="{00000000-0005-0000-0000-00001D000000}"/>
    <cellStyle name="Normal 4" xfId="16" xr:uid="{00000000-0005-0000-0000-00001E000000}"/>
    <cellStyle name="Porcentaje" xfId="21" builtinId="5"/>
    <cellStyle name="Porcentaje 2" xfId="20" xr:uid="{00000000-0005-0000-0000-000020000000}"/>
    <cellStyle name="Porcentaje 2 2" xfId="10" xr:uid="{00000000-0005-0000-0000-00002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externalLink" Target="externalLinks/externalLink1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228600</xdr:colOff>
      <xdr:row>2</xdr:row>
      <xdr:rowOff>114300</xdr:rowOff>
    </xdr:from>
    <xdr:to>
      <xdr:col>26</xdr:col>
      <xdr:colOff>681717</xdr:colOff>
      <xdr:row>5</xdr:row>
      <xdr:rowOff>140277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D8DB51E3-E2B9-41DC-B605-65A1826C700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44325540" y="480060"/>
          <a:ext cx="1237978" cy="57461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114301</xdr:colOff>
      <xdr:row>0</xdr:row>
      <xdr:rowOff>30480</xdr:rowOff>
    </xdr:from>
    <xdr:to>
      <xdr:col>1</xdr:col>
      <xdr:colOff>784861</xdr:colOff>
      <xdr:row>5</xdr:row>
      <xdr:rowOff>124069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1FCA3EB-8774-45F3-A10E-CBA61B7EEC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1" y="30480"/>
          <a:ext cx="1104900" cy="1007989"/>
        </a:xfrm>
        <a:prstGeom prst="rect">
          <a:avLst/>
        </a:prstGeom>
      </xdr:spPr>
    </xdr:pic>
    <xdr:clientData/>
  </xdr:twoCellAnchor>
  <xdr:twoCellAnchor editAs="oneCell">
    <xdr:from>
      <xdr:col>6</xdr:col>
      <xdr:colOff>121589</xdr:colOff>
      <xdr:row>0</xdr:row>
      <xdr:rowOff>53340</xdr:rowOff>
    </xdr:from>
    <xdr:to>
      <xdr:col>7</xdr:col>
      <xdr:colOff>2876</xdr:colOff>
      <xdr:row>5</xdr:row>
      <xdr:rowOff>63611</xdr:rowOff>
    </xdr:to>
    <xdr:pic>
      <xdr:nvPicPr>
        <xdr:cNvPr id="5" name="Imagen 4" descr="logo PDET descarga">
          <a:extLst>
            <a:ext uri="{FF2B5EF4-FFF2-40B4-BE49-F238E27FC236}">
              <a16:creationId xmlns:a16="http://schemas.microsoft.com/office/drawing/2014/main" id="{8941CC00-69AE-4AC7-BA17-987EAE6F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991516" y="53340"/>
          <a:ext cx="1338612" cy="93262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345556</xdr:colOff>
      <xdr:row>0</xdr:row>
      <xdr:rowOff>64394</xdr:rowOff>
    </xdr:from>
    <xdr:to>
      <xdr:col>1</xdr:col>
      <xdr:colOff>957145</xdr:colOff>
      <xdr:row>5</xdr:row>
      <xdr:rowOff>52665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7569AAE-393B-4D22-BCE6-5C2C9F187C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64394"/>
          <a:ext cx="1207937" cy="1192459"/>
        </a:xfrm>
        <a:prstGeom prst="rect">
          <a:avLst/>
        </a:prstGeom>
      </xdr:spPr>
    </xdr:pic>
    <xdr:clientData/>
  </xdr:twoCellAnchor>
  <xdr:twoCellAnchor editAs="oneCell">
    <xdr:from>
      <xdr:col>6</xdr:col>
      <xdr:colOff>301328</xdr:colOff>
      <xdr:row>0</xdr:row>
      <xdr:rowOff>182209</xdr:rowOff>
    </xdr:from>
    <xdr:to>
      <xdr:col>7</xdr:col>
      <xdr:colOff>697479</xdr:colOff>
      <xdr:row>4</xdr:row>
      <xdr:rowOff>96320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2DF35528-DE3B-4B10-B530-2588C5D9FE0E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262480" y="182209"/>
          <a:ext cx="1391460" cy="89871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0</xdr:col>
      <xdr:colOff>356258</xdr:colOff>
      <xdr:row>54</xdr:row>
      <xdr:rowOff>107203</xdr:rowOff>
    </xdr:from>
    <xdr:ext cx="1180406" cy="1192272"/>
    <xdr:pic>
      <xdr:nvPicPr>
        <xdr:cNvPr id="4" name="Imagen 3">
          <a:extLst>
            <a:ext uri="{FF2B5EF4-FFF2-40B4-BE49-F238E27FC236}">
              <a16:creationId xmlns:a16="http://schemas.microsoft.com/office/drawing/2014/main" id="{053F0A24-A09C-4B2A-919E-998D17F53D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6258" y="11815461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299746</xdr:colOff>
      <xdr:row>55</xdr:row>
      <xdr:rowOff>9389</xdr:rowOff>
    </xdr:from>
    <xdr:ext cx="1415728" cy="889599"/>
    <xdr:pic>
      <xdr:nvPicPr>
        <xdr:cNvPr id="5" name="Imagen 4" descr="logo PDET descarga">
          <a:extLst>
            <a:ext uri="{FF2B5EF4-FFF2-40B4-BE49-F238E27FC236}">
              <a16:creationId xmlns:a16="http://schemas.microsoft.com/office/drawing/2014/main" id="{2F9CA56D-290A-4498-B947-311B8DA28F0E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260898" y="11931692"/>
          <a:ext cx="1415728" cy="88959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290682</xdr:colOff>
      <xdr:row>107</xdr:row>
      <xdr:rowOff>104104</xdr:rowOff>
    </xdr:from>
    <xdr:ext cx="1180406" cy="1192272"/>
    <xdr:pic>
      <xdr:nvPicPr>
        <xdr:cNvPr id="6" name="Imagen 5">
          <a:extLst>
            <a:ext uri="{FF2B5EF4-FFF2-40B4-BE49-F238E27FC236}">
              <a16:creationId xmlns:a16="http://schemas.microsoft.com/office/drawing/2014/main" id="{6E43BCA4-BEDD-4D51-B8A7-8232763968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682" y="34554638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338926</xdr:colOff>
      <xdr:row>108</xdr:row>
      <xdr:rowOff>101895</xdr:rowOff>
    </xdr:from>
    <xdr:ext cx="1415728" cy="829199"/>
    <xdr:pic>
      <xdr:nvPicPr>
        <xdr:cNvPr id="9" name="Imagen 8" descr="logo PDET descarga">
          <a:extLst>
            <a:ext uri="{FF2B5EF4-FFF2-40B4-BE49-F238E27FC236}">
              <a16:creationId xmlns:a16="http://schemas.microsoft.com/office/drawing/2014/main" id="{CD368984-F7A5-42BF-B191-731A11957EA7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300078" y="34766474"/>
          <a:ext cx="1415728" cy="82919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162</xdr:row>
      <xdr:rowOff>64394</xdr:rowOff>
    </xdr:from>
    <xdr:ext cx="1180406" cy="1192272"/>
    <xdr:pic>
      <xdr:nvPicPr>
        <xdr:cNvPr id="10" name="Imagen 9">
          <a:extLst>
            <a:ext uri="{FF2B5EF4-FFF2-40B4-BE49-F238E27FC236}">
              <a16:creationId xmlns:a16="http://schemas.microsoft.com/office/drawing/2014/main" id="{F6275EAD-59B2-4AF4-97B0-6F2DEB52C0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71188811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162</xdr:row>
      <xdr:rowOff>96591</xdr:rowOff>
    </xdr:from>
    <xdr:ext cx="1415728" cy="731552"/>
    <xdr:pic>
      <xdr:nvPicPr>
        <xdr:cNvPr id="11" name="Imagen 10" descr="logo PDET descarga">
          <a:extLst>
            <a:ext uri="{FF2B5EF4-FFF2-40B4-BE49-F238E27FC236}">
              <a16:creationId xmlns:a16="http://schemas.microsoft.com/office/drawing/2014/main" id="{4921077C-D57B-4FDB-893E-3EAE304A9AF4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320183" y="71221008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466977</xdr:colOff>
      <xdr:row>329</xdr:row>
      <xdr:rowOff>74721</xdr:rowOff>
    </xdr:from>
    <xdr:ext cx="1180406" cy="1192272"/>
    <xdr:pic>
      <xdr:nvPicPr>
        <xdr:cNvPr id="16" name="Imagen 15">
          <a:extLst>
            <a:ext uri="{FF2B5EF4-FFF2-40B4-BE49-F238E27FC236}">
              <a16:creationId xmlns:a16="http://schemas.microsoft.com/office/drawing/2014/main" id="{70952990-2905-4FF2-85E6-27D21EC566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977" y="71554836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401541</xdr:colOff>
      <xdr:row>330</xdr:row>
      <xdr:rowOff>0</xdr:rowOff>
    </xdr:from>
    <xdr:ext cx="1415728" cy="731552"/>
    <xdr:pic>
      <xdr:nvPicPr>
        <xdr:cNvPr id="17" name="Imagen 16" descr="logo PDET descarga">
          <a:extLst>
            <a:ext uri="{FF2B5EF4-FFF2-40B4-BE49-F238E27FC236}">
              <a16:creationId xmlns:a16="http://schemas.microsoft.com/office/drawing/2014/main" id="{DDA62F5C-0B1C-4951-8055-91B8DD4F2459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696193" y="9606337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218</xdr:row>
      <xdr:rowOff>64394</xdr:rowOff>
    </xdr:from>
    <xdr:ext cx="1180406" cy="1192272"/>
    <xdr:pic>
      <xdr:nvPicPr>
        <xdr:cNvPr id="46" name="Imagen 45">
          <a:extLst>
            <a:ext uri="{FF2B5EF4-FFF2-40B4-BE49-F238E27FC236}">
              <a16:creationId xmlns:a16="http://schemas.microsoft.com/office/drawing/2014/main" id="{2E918A79-16F4-4AA2-8DE3-7EC8764D37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7132398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218</xdr:row>
      <xdr:rowOff>96591</xdr:rowOff>
    </xdr:from>
    <xdr:ext cx="1415728" cy="731552"/>
    <xdr:pic>
      <xdr:nvPicPr>
        <xdr:cNvPr id="47" name="Imagen 46" descr="logo PDET descarga">
          <a:extLst>
            <a:ext uri="{FF2B5EF4-FFF2-40B4-BE49-F238E27FC236}">
              <a16:creationId xmlns:a16="http://schemas.microsoft.com/office/drawing/2014/main" id="{98AB0216-8E83-4F68-8F27-0AEF3679A99F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320183" y="7135618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274</xdr:row>
      <xdr:rowOff>64394</xdr:rowOff>
    </xdr:from>
    <xdr:ext cx="1180406" cy="1192272"/>
    <xdr:pic>
      <xdr:nvPicPr>
        <xdr:cNvPr id="12" name="Imagen 11">
          <a:extLst>
            <a:ext uri="{FF2B5EF4-FFF2-40B4-BE49-F238E27FC236}">
              <a16:creationId xmlns:a16="http://schemas.microsoft.com/office/drawing/2014/main" id="{A1892E8B-3F9E-4597-9607-B3DA3E618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59699899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274</xdr:row>
      <xdr:rowOff>96591</xdr:rowOff>
    </xdr:from>
    <xdr:ext cx="1415728" cy="731552"/>
    <xdr:pic>
      <xdr:nvPicPr>
        <xdr:cNvPr id="15" name="Imagen 14" descr="logo PDET descarga">
          <a:extLst>
            <a:ext uri="{FF2B5EF4-FFF2-40B4-BE49-F238E27FC236}">
              <a16:creationId xmlns:a16="http://schemas.microsoft.com/office/drawing/2014/main" id="{5FFDBBA5-EF2B-4350-8A23-55CA93EFAB2E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636789" y="59732096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463281</xdr:colOff>
      <xdr:row>385</xdr:row>
      <xdr:rowOff>181938</xdr:rowOff>
    </xdr:from>
    <xdr:ext cx="1180406" cy="1192272"/>
    <xdr:pic>
      <xdr:nvPicPr>
        <xdr:cNvPr id="34" name="Imagen 33">
          <a:extLst>
            <a:ext uri="{FF2B5EF4-FFF2-40B4-BE49-F238E27FC236}">
              <a16:creationId xmlns:a16="http://schemas.microsoft.com/office/drawing/2014/main" id="{593106F4-9457-48A0-957A-0AA9DE8375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3281" y="95999157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333435</xdr:colOff>
      <xdr:row>386</xdr:row>
      <xdr:rowOff>171236</xdr:rowOff>
    </xdr:from>
    <xdr:ext cx="1415728" cy="731552"/>
    <xdr:pic>
      <xdr:nvPicPr>
        <xdr:cNvPr id="35" name="Imagen 34" descr="logo PDET descarga">
          <a:extLst>
            <a:ext uri="{FF2B5EF4-FFF2-40B4-BE49-F238E27FC236}">
              <a16:creationId xmlns:a16="http://schemas.microsoft.com/office/drawing/2014/main" id="{E9603ADD-0302-4A35-A72F-58F58B56CDD1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530036" y="96202500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458121</xdr:colOff>
      <xdr:row>0</xdr:row>
      <xdr:rowOff>125669</xdr:rowOff>
    </xdr:from>
    <xdr:to>
      <xdr:col>1</xdr:col>
      <xdr:colOff>595752</xdr:colOff>
      <xdr:row>5</xdr:row>
      <xdr:rowOff>35722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B2DB93F-6057-483C-AA44-155E248288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8121" y="125669"/>
          <a:ext cx="1147447" cy="1047090"/>
        </a:xfrm>
        <a:prstGeom prst="rect">
          <a:avLst/>
        </a:prstGeom>
      </xdr:spPr>
    </xdr:pic>
    <xdr:clientData/>
  </xdr:twoCellAnchor>
  <xdr:twoCellAnchor editAs="oneCell">
    <xdr:from>
      <xdr:col>8</xdr:col>
      <xdr:colOff>190203</xdr:colOff>
      <xdr:row>0</xdr:row>
      <xdr:rowOff>198535</xdr:rowOff>
    </xdr:from>
    <xdr:to>
      <xdr:col>8</xdr:col>
      <xdr:colOff>1251799</xdr:colOff>
      <xdr:row>3</xdr:row>
      <xdr:rowOff>127136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DA84141E-926E-401B-9079-FC721EFBD12D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8864778" y="198535"/>
          <a:ext cx="1061596" cy="70119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122766</xdr:colOff>
      <xdr:row>0</xdr:row>
      <xdr:rowOff>211667</xdr:rowOff>
    </xdr:from>
    <xdr:to>
      <xdr:col>2</xdr:col>
      <xdr:colOff>575733</xdr:colOff>
      <xdr:row>5</xdr:row>
      <xdr:rowOff>19506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4766" y="211667"/>
          <a:ext cx="1104900" cy="1010106"/>
        </a:xfrm>
        <a:prstGeom prst="rect">
          <a:avLst/>
        </a:prstGeom>
      </xdr:spPr>
    </xdr:pic>
    <xdr:clientData/>
  </xdr:twoCellAnchor>
  <xdr:twoCellAnchor editAs="oneCell">
    <xdr:from>
      <xdr:col>6</xdr:col>
      <xdr:colOff>201083</xdr:colOff>
      <xdr:row>2</xdr:row>
      <xdr:rowOff>31750</xdr:rowOff>
    </xdr:from>
    <xdr:to>
      <xdr:col>6</xdr:col>
      <xdr:colOff>1258358</xdr:colOff>
      <xdr:row>4</xdr:row>
      <xdr:rowOff>78528</xdr:rowOff>
    </xdr:to>
    <xdr:pic>
      <xdr:nvPicPr>
        <xdr:cNvPr id="5" name="Imagen 4" descr="logo PDET descarga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572250" y="486833"/>
          <a:ext cx="1057275" cy="60769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207721</xdr:colOff>
      <xdr:row>0</xdr:row>
      <xdr:rowOff>38100</xdr:rowOff>
    </xdr:from>
    <xdr:to>
      <xdr:col>0</xdr:col>
      <xdr:colOff>1211856</xdr:colOff>
      <xdr:row>5</xdr:row>
      <xdr:rowOff>160020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721" y="38100"/>
          <a:ext cx="1004135" cy="998220"/>
        </a:xfrm>
        <a:prstGeom prst="rect">
          <a:avLst/>
        </a:prstGeom>
      </xdr:spPr>
    </xdr:pic>
    <xdr:clientData/>
  </xdr:twoCellAnchor>
  <xdr:twoCellAnchor editAs="oneCell">
    <xdr:from>
      <xdr:col>5</xdr:col>
      <xdr:colOff>161925</xdr:colOff>
      <xdr:row>0</xdr:row>
      <xdr:rowOff>152400</xdr:rowOff>
    </xdr:from>
    <xdr:to>
      <xdr:col>5</xdr:col>
      <xdr:colOff>1219200</xdr:colOff>
      <xdr:row>4</xdr:row>
      <xdr:rowOff>78105</xdr:rowOff>
    </xdr:to>
    <xdr:pic>
      <xdr:nvPicPr>
        <xdr:cNvPr id="5" name="Imagen 4" descr="logo PDET descarga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638925" y="152400"/>
          <a:ext cx="1057275" cy="62674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130628</xdr:colOff>
      <xdr:row>0</xdr:row>
      <xdr:rowOff>0</xdr:rowOff>
    </xdr:from>
    <xdr:to>
      <xdr:col>1</xdr:col>
      <xdr:colOff>2040</xdr:colOff>
      <xdr:row>5</xdr:row>
      <xdr:rowOff>82703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E46F459-56DC-4CFB-8C18-9307054B0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628" y="76200"/>
          <a:ext cx="1104900" cy="997103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0</xdr:row>
      <xdr:rowOff>0</xdr:rowOff>
    </xdr:from>
    <xdr:to>
      <xdr:col>7</xdr:col>
      <xdr:colOff>1196382</xdr:colOff>
      <xdr:row>4</xdr:row>
      <xdr:rowOff>112395</xdr:rowOff>
    </xdr:to>
    <xdr:pic>
      <xdr:nvPicPr>
        <xdr:cNvPr id="5" name="Imagen 4" descr="logo PDET descarga">
          <a:extLst>
            <a:ext uri="{FF2B5EF4-FFF2-40B4-BE49-F238E27FC236}">
              <a16:creationId xmlns:a16="http://schemas.microsoft.com/office/drawing/2014/main" id="{0FD2E021-03D5-4D6C-8BFE-39E772B3D1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086600" y="0"/>
          <a:ext cx="1224957" cy="83629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0</xdr:col>
      <xdr:colOff>130628</xdr:colOff>
      <xdr:row>50</xdr:row>
      <xdr:rowOff>99391</xdr:rowOff>
    </xdr:from>
    <xdr:ext cx="1104900" cy="1026921"/>
    <xdr:pic>
      <xdr:nvPicPr>
        <xdr:cNvPr id="3" name="Imagen 2">
          <a:extLst>
            <a:ext uri="{FF2B5EF4-FFF2-40B4-BE49-F238E27FC236}">
              <a16:creationId xmlns:a16="http://schemas.microsoft.com/office/drawing/2014/main" id="{B289D3BE-CF3A-4558-A883-8ADC7799B2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628" y="9601200"/>
          <a:ext cx="1104900" cy="1026921"/>
        </a:xfrm>
        <a:prstGeom prst="rect">
          <a:avLst/>
        </a:prstGeom>
      </xdr:spPr>
    </xdr:pic>
    <xdr:clientData/>
  </xdr:oneCellAnchor>
  <xdr:oneCellAnchor>
    <xdr:from>
      <xdr:col>6</xdr:col>
      <xdr:colOff>811696</xdr:colOff>
      <xdr:row>50</xdr:row>
      <xdr:rowOff>69574</xdr:rowOff>
    </xdr:from>
    <xdr:ext cx="1259329" cy="867769"/>
    <xdr:pic>
      <xdr:nvPicPr>
        <xdr:cNvPr id="4" name="Imagen 3" descr="logo PDET descarga">
          <a:extLst>
            <a:ext uri="{FF2B5EF4-FFF2-40B4-BE49-F238E27FC236}">
              <a16:creationId xmlns:a16="http://schemas.microsoft.com/office/drawing/2014/main" id="{4A0ADB45-88B1-4E0E-821D-D96807A3594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411279" y="9571383"/>
          <a:ext cx="1259329" cy="86776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n&#225;lisis%20Unitarios%20-%20Franci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PUS%20-%20Nuevo%20Amanec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RETERAS\carreteras\VIAS%20VASCULARES\UNITARIO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ompartido\Carpetas%20Compartidas\PLANEACION\JANETH%20GUERRERO\Documents%20and%20Settings\Administrador\Escritorio\LICITACIONES%202009\LA%20CRUZ%20TAJUMBINA\Programcion%20la%20Cruz%20tajumbina\APU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20.2\Carpetas%20Compartidas\Documents%20and%20Settings\Administrador\Escritorio\LICITACIONES%202009\LA%20CRUZ%20TAJUMBINA\Programcion%20la%20Cruz%20tajumbina\AP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ompartido\Carpetas%20Compartidas\PLANEACION\JANETH%20GUERRERO\PROGRAMACION%202007\PROPUESTA%20ORQUIDEAS\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20.2\Carpetas%20Compartidas\PROGRAMACION%202007\PROPUESTA%20ORQUIDEAS\APU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OGRAMACION%202007/PROPUESTA%20ORQUIDEAS/APU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NIERO2\My%20Documents\Mis%20documentos\Andres\Presupuestos\Administra%20UQ%20V%201.0\Administra%20Planeaci&#243;n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emestre%209%20IX\Concreto%20II\Muro\Dise&#241;o%20muro%20contencion\APUS%20Y%20PRESUPUESTO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Administrador\Escritorio\LICITACIONES%202009\LA%20CRUZ%20TAJUMBINA\Programcion%20la%20Cruz%20tajumbina\APU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SUS\Desktop\MUNICIPIO%20DE%20SAN%20%20MIGUEL\PROYECTOS%20PLANEACION\0.1%20MINIMAS_CUANTIAS\0.12%20Mejoramiento%20aula%20albania\0.2%20PPTO%20escuela%20albania\0.2%20PPTO%20MANTENIMIENTO_ALBANIA_vf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ecios unitarios"/>
      <sheetName val="Análisis - Resumido"/>
      <sheetName val="Base"/>
      <sheetName val="Datos"/>
      <sheetName val="46W9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prestacional"/>
      <sheetName val="Cuadrillas"/>
      <sheetName val="APUS Preliminares"/>
      <sheetName val="APUS Alcantarillado"/>
      <sheetName val="precios unitarios"/>
      <sheetName val="precios unitarios (2)"/>
      <sheetName val="cantidades de obra"/>
      <sheetName val="INSUMOS"/>
      <sheetName val="valor total"/>
      <sheetName val="genéricos"/>
      <sheetName val="Item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.P.U."/>
      <sheetName val="A.P.U. (2)"/>
      <sheetName val="RESUMEN VIAS"/>
      <sheetName val="Hoja1"/>
      <sheetName val="COSTOS POR KM"/>
      <sheetName val="RESUMEN UNITARIOS"/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EO TOTAL OBRA"/>
      <sheetName val="COSTOS OFICINA"/>
      <sheetName val="Format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AUTOMATICA"/>
      <sheetName val="4. Ficha tecnica por actividad"/>
      <sheetName val="Listas"/>
      <sheetName val="3. Mediciones"/>
      <sheetName val="0. Tareas"/>
      <sheetName val="1. Estructura WBS"/>
      <sheetName val="PRESUPUESTO"/>
      <sheetName val="Base Dat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1,1"/>
      <sheetName val="12"/>
      <sheetName val="13"/>
      <sheetName val="14"/>
      <sheetName val="15"/>
      <sheetName val="16"/>
      <sheetName val="17"/>
      <sheetName val="17,1"/>
      <sheetName val="17,2"/>
      <sheetName val="18"/>
      <sheetName val="18,1"/>
      <sheetName val="18,2"/>
      <sheetName val="19"/>
      <sheetName val="19,1"/>
      <sheetName val="19,2"/>
      <sheetName val="20"/>
      <sheetName val="21"/>
      <sheetName val="22"/>
      <sheetName val="23"/>
      <sheetName val="26"/>
      <sheetName val="27"/>
      <sheetName val="28"/>
      <sheetName val="29"/>
      <sheetName val="31"/>
      <sheetName val="30"/>
      <sheetName val="32"/>
      <sheetName val="33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</sheetNames>
    <sheetDataSet>
      <sheetData sheetId="0" refreshError="1">
        <row r="4">
          <cell r="D4">
            <v>7</v>
          </cell>
        </row>
        <row r="169">
          <cell r="D169">
            <v>1601.38</v>
          </cell>
        </row>
        <row r="181">
          <cell r="D181">
            <v>4189.9000000000005</v>
          </cell>
        </row>
        <row r="275">
          <cell r="D275">
            <v>18375</v>
          </cell>
        </row>
        <row r="688">
          <cell r="D688">
            <v>1046.32</v>
          </cell>
        </row>
        <row r="793">
          <cell r="D793">
            <v>3849.9982399999999</v>
          </cell>
        </row>
        <row r="932">
          <cell r="D932">
            <v>880.00000000000011</v>
          </cell>
        </row>
        <row r="1404">
          <cell r="D1404">
            <v>17241.37931034483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0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0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0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0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0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0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0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0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0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0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0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0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0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0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0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0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0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0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0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0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0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0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0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0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0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0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0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0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0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0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0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0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0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0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0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0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0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0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0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9.7999954223632813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20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62.5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74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274.949951171875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8.55999755859375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427.3076171875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3636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1212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181.7999267578125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181.7999267578125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54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14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249.5999755859375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200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16968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175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16260.9921875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175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1236.037109375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808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1854.056640625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1346.666015625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55045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685.39990234375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8904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1251.19921875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441.268798828125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125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881.67919921875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125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535.2998046875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650.44970703125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50.853485107421875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165.0499267578125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53.529998779296875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75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107.05999755859375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600.5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808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25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1111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25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46965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825.14990234375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1224.119140625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650.44970703125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0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0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0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0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0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0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0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0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0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0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0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0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0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0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0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0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0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0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0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0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0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0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0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0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0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0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0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0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0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0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0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0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0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0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0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0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0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0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0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9.7999954223632813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20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62.5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74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274.949951171875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8.55999755859375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427.3076171875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3636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1212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181.7999267578125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181.7999267578125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54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14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249.5999755859375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200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16968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175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16260.9921875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175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1236.037109375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808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1854.056640625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1346.666015625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55045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685.39990234375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8904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1251.19921875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441.268798828125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125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881.67919921875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125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535.2998046875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650.44970703125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50.853485107421875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165.0499267578125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53.529998779296875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75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107.05999755859375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600.5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808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25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1111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25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46965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825.14990234375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1224.119140625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650.44970703125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 t="str">
            <v/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 t="str">
            <v/>
          </cell>
          <cell r="F26">
            <v>0</v>
          </cell>
          <cell r="G26">
            <v>0</v>
          </cell>
        </row>
        <row r="27">
          <cell r="D27" t="str">
            <v/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 t="str">
            <v/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 t="str">
            <v/>
          </cell>
          <cell r="F74">
            <v>0</v>
          </cell>
          <cell r="G74">
            <v>0</v>
          </cell>
        </row>
        <row r="75">
          <cell r="D75" t="str">
            <v/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 t="str">
            <v/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 t="str">
            <v/>
          </cell>
          <cell r="F122">
            <v>0</v>
          </cell>
          <cell r="G122">
            <v>0</v>
          </cell>
        </row>
        <row r="123">
          <cell r="D123" t="str">
            <v/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 t="str">
            <v/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 t="str">
            <v/>
          </cell>
          <cell r="F170">
            <v>0</v>
          </cell>
          <cell r="G170">
            <v>0</v>
          </cell>
        </row>
        <row r="171">
          <cell r="D171" t="str">
            <v/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 t="str">
            <v/>
          </cell>
          <cell r="F203">
            <v>0</v>
          </cell>
          <cell r="G203">
            <v>0</v>
          </cell>
        </row>
        <row r="204">
          <cell r="D204" t="str">
            <v/>
          </cell>
          <cell r="F204">
            <v>0</v>
          </cell>
          <cell r="G204">
            <v>0</v>
          </cell>
        </row>
        <row r="205">
          <cell r="D205" t="str">
            <v/>
          </cell>
          <cell r="F205">
            <v>0</v>
          </cell>
          <cell r="G205">
            <v>0</v>
          </cell>
        </row>
        <row r="206">
          <cell r="D206" t="str">
            <v/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 t="str">
            <v/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 t="str">
            <v/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 t="str">
            <v/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 t="str">
            <v/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 t="str">
            <v/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 t="str">
            <v/>
          </cell>
          <cell r="F468">
            <v>0</v>
          </cell>
          <cell r="G468">
            <v>0</v>
          </cell>
        </row>
        <row r="469">
          <cell r="D469" t="str">
            <v/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 t="str">
            <v/>
          </cell>
          <cell r="E481">
            <v>0</v>
          </cell>
          <cell r="G481">
            <v>0</v>
          </cell>
        </row>
        <row r="482">
          <cell r="D482" t="str">
            <v/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 t="str">
            <v/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 t="str">
            <v/>
          </cell>
          <cell r="E530">
            <v>0</v>
          </cell>
          <cell r="G530">
            <v>0</v>
          </cell>
        </row>
        <row r="531">
          <cell r="D531" t="str">
            <v/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 t="str">
            <v/>
          </cell>
          <cell r="F565">
            <v>0</v>
          </cell>
          <cell r="G565">
            <v>0</v>
          </cell>
        </row>
        <row r="566">
          <cell r="D566" t="str">
            <v/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 t="str">
            <v/>
          </cell>
          <cell r="E578">
            <v>0</v>
          </cell>
          <cell r="G578">
            <v>0</v>
          </cell>
        </row>
        <row r="579">
          <cell r="D579" t="str">
            <v/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 t="str">
            <v/>
          </cell>
          <cell r="F613">
            <v>0</v>
          </cell>
          <cell r="G613">
            <v>0</v>
          </cell>
        </row>
        <row r="614">
          <cell r="D614" t="str">
            <v/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 t="str">
            <v/>
          </cell>
          <cell r="E626">
            <v>0</v>
          </cell>
          <cell r="G626">
            <v>0</v>
          </cell>
        </row>
        <row r="627">
          <cell r="D627" t="str">
            <v/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 t="str">
            <v/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 t="str">
            <v/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 t="str">
            <v/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 t="str">
            <v/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 t="str">
            <v/>
          </cell>
          <cell r="E756">
            <v>0</v>
          </cell>
          <cell r="F756">
            <v>0</v>
          </cell>
          <cell r="G756">
            <v>0</v>
          </cell>
        </row>
        <row r="757">
          <cell r="D757" t="str">
            <v/>
          </cell>
          <cell r="E757">
            <v>0</v>
          </cell>
          <cell r="F757">
            <v>0</v>
          </cell>
          <cell r="G757">
            <v>0</v>
          </cell>
        </row>
        <row r="758">
          <cell r="D758" t="str">
            <v/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 t="str">
            <v/>
          </cell>
          <cell r="E770">
            <v>0</v>
          </cell>
          <cell r="G770">
            <v>0</v>
          </cell>
        </row>
        <row r="771">
          <cell r="D771" t="str">
            <v/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 t="str">
            <v/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 t="str">
            <v/>
          </cell>
          <cell r="E823">
            <v>0</v>
          </cell>
          <cell r="G823">
            <v>0</v>
          </cell>
        </row>
        <row r="824">
          <cell r="D824" t="str">
            <v/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 t="str">
            <v/>
          </cell>
          <cell r="E858">
            <v>0</v>
          </cell>
          <cell r="F858">
            <v>0</v>
          </cell>
          <cell r="G858">
            <v>0</v>
          </cell>
        </row>
        <row r="859">
          <cell r="D859" t="str">
            <v/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 t="str">
            <v/>
          </cell>
          <cell r="E871">
            <v>0</v>
          </cell>
          <cell r="G871">
            <v>0</v>
          </cell>
        </row>
        <row r="872">
          <cell r="D872" t="str">
            <v/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 t="str">
            <v/>
          </cell>
          <cell r="E906">
            <v>0</v>
          </cell>
          <cell r="F906">
            <v>0</v>
          </cell>
          <cell r="G906">
            <v>0</v>
          </cell>
        </row>
        <row r="907">
          <cell r="D907" t="str">
            <v/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 t="str">
            <v/>
          </cell>
          <cell r="E919">
            <v>0</v>
          </cell>
          <cell r="G919">
            <v>0</v>
          </cell>
        </row>
        <row r="920">
          <cell r="D920" t="str">
            <v/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 t="str">
            <v/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 t="str">
            <v/>
          </cell>
          <cell r="E966">
            <v>0</v>
          </cell>
          <cell r="G966">
            <v>0</v>
          </cell>
        </row>
        <row r="967">
          <cell r="D967" t="str">
            <v/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 t="str">
            <v/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 t="str">
            <v/>
          </cell>
          <cell r="E1014">
            <v>0</v>
          </cell>
          <cell r="G1014">
            <v>0</v>
          </cell>
        </row>
        <row r="1015">
          <cell r="D1015" t="str">
            <v/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 t="str">
            <v/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 t="str">
            <v/>
          </cell>
          <cell r="E1062">
            <v>0</v>
          </cell>
          <cell r="G1062">
            <v>0</v>
          </cell>
        </row>
        <row r="1063">
          <cell r="D1063" t="str">
            <v/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 t="str">
            <v/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 t="str">
            <v/>
          </cell>
          <cell r="E1111">
            <v>0</v>
          </cell>
          <cell r="G1111">
            <v>0</v>
          </cell>
        </row>
        <row r="1112">
          <cell r="D1112" t="str">
            <v/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 t="str">
            <v/>
          </cell>
          <cell r="F1145">
            <v>0</v>
          </cell>
          <cell r="G1145">
            <v>0</v>
          </cell>
        </row>
        <row r="1146">
          <cell r="D1146" t="str">
            <v/>
          </cell>
          <cell r="F1146">
            <v>0</v>
          </cell>
          <cell r="G1146">
            <v>0</v>
          </cell>
        </row>
        <row r="1147">
          <cell r="D1147" t="str">
            <v/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 t="str">
            <v/>
          </cell>
          <cell r="E1159">
            <v>0</v>
          </cell>
          <cell r="G1159">
            <v>0</v>
          </cell>
        </row>
        <row r="1160">
          <cell r="D1160" t="str">
            <v/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 t="str">
            <v/>
          </cell>
          <cell r="F1193">
            <v>0</v>
          </cell>
          <cell r="G1193">
            <v>0</v>
          </cell>
        </row>
        <row r="1194">
          <cell r="D1194" t="str">
            <v/>
          </cell>
          <cell r="F1194">
            <v>0</v>
          </cell>
          <cell r="G1194">
            <v>0</v>
          </cell>
        </row>
        <row r="1195">
          <cell r="D1195" t="str">
            <v/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 t="str">
            <v/>
          </cell>
          <cell r="E1207">
            <v>0</v>
          </cell>
          <cell r="G1207">
            <v>0</v>
          </cell>
        </row>
        <row r="1208">
          <cell r="D1208" t="str">
            <v/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 t="str">
            <v/>
          </cell>
          <cell r="F1242">
            <v>0</v>
          </cell>
          <cell r="G1242">
            <v>0</v>
          </cell>
        </row>
        <row r="1243">
          <cell r="D1243" t="str">
            <v/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 t="str">
            <v/>
          </cell>
          <cell r="E1255">
            <v>0</v>
          </cell>
          <cell r="G1255">
            <v>0</v>
          </cell>
        </row>
        <row r="1256">
          <cell r="D1256" t="str">
            <v/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 t="str">
            <v/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 t="str">
            <v/>
          </cell>
          <cell r="E1306">
            <v>0</v>
          </cell>
          <cell r="G1306">
            <v>0</v>
          </cell>
        </row>
        <row r="1307">
          <cell r="D1307" t="str">
            <v/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DAT PROY"/>
      <sheetName val="PLANTILLA APU"/>
      <sheetName val="APUS"/>
      <sheetName val="APUS Res"/>
      <sheetName val="COST DIR"/>
      <sheetName val="PORC PART CAP"/>
      <sheetName val="PORC PART ITEM"/>
      <sheetName val="ADMIN"/>
      <sheetName val="PRESUP"/>
      <sheetName val="Ing insumo"/>
      <sheetName val="Ing cap"/>
      <sheetName val="Ing MO"/>
      <sheetName val="Ing MyE"/>
      <sheetName val="Ing unid"/>
      <sheetName val="Capitulos"/>
      <sheetName val="Unidades"/>
      <sheetName val="Insumos"/>
      <sheetName val="Maqui Equip"/>
      <sheetName val="Mano Obra"/>
      <sheetName val="Insum"/>
      <sheetName val="LISTA DE PRECIOS"/>
      <sheetName val="PARAFISC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">
          <cell r="B1" t="str">
            <v>Nombre</v>
          </cell>
        </row>
        <row r="2">
          <cell r="B2">
            <v>0</v>
          </cell>
        </row>
        <row r="3">
          <cell r="B3" t="str">
            <v>Act. Preliminares - Limpieza Terreno</v>
          </cell>
        </row>
        <row r="4">
          <cell r="B4" t="str">
            <v>Cableado Estructurado</v>
          </cell>
        </row>
        <row r="5">
          <cell r="B5" t="str">
            <v>Carpintería de Madera</v>
          </cell>
        </row>
        <row r="6">
          <cell r="B6" t="str">
            <v>Carpintería Metálica</v>
          </cell>
        </row>
        <row r="7">
          <cell r="B7" t="str">
            <v>Cielosrasos</v>
          </cell>
        </row>
        <row r="8">
          <cell r="B8" t="str">
            <v>Cimentación y Estructura</v>
          </cell>
        </row>
        <row r="9">
          <cell r="B9" t="str">
            <v>Cubiertas</v>
          </cell>
        </row>
        <row r="10">
          <cell r="B10" t="str">
            <v>Enchapes y Accesorios</v>
          </cell>
        </row>
        <row r="11">
          <cell r="B11" t="str">
            <v>Equipos Especiales</v>
          </cell>
        </row>
        <row r="12">
          <cell r="B12" t="str">
            <v>Inst. Eléctricas, TV. y Sonido</v>
          </cell>
        </row>
        <row r="13">
          <cell r="B13" t="str">
            <v>Inst. Gas</v>
          </cell>
        </row>
        <row r="14">
          <cell r="B14" t="str">
            <v>Inst. Hidráulicas, Sanitarias y Latonería</v>
          </cell>
        </row>
        <row r="15">
          <cell r="B15" t="str">
            <v>Mampostería</v>
          </cell>
        </row>
        <row r="16">
          <cell r="B16" t="str">
            <v>Morteros, Concretos, y Ensayos</v>
          </cell>
        </row>
        <row r="17">
          <cell r="B17" t="str">
            <v>Pañetes, Repellos y Revoques</v>
          </cell>
        </row>
        <row r="18">
          <cell r="B18" t="str">
            <v>Pintura</v>
          </cell>
        </row>
        <row r="19">
          <cell r="B19" t="str">
            <v>Pisos</v>
          </cell>
        </row>
        <row r="20">
          <cell r="B20" t="str">
            <v>Redes Servicios y Desagües</v>
          </cell>
        </row>
        <row r="21">
          <cell r="B21" t="str">
            <v>Urbanismo y Obras Exteriores</v>
          </cell>
        </row>
        <row r="22">
          <cell r="B22" t="str">
            <v>Varios</v>
          </cell>
        </row>
        <row r="23">
          <cell r="B23" t="str">
            <v>Vias</v>
          </cell>
        </row>
        <row r="24">
          <cell r="B24" t="str">
            <v>Vidrios y Cerraduras</v>
          </cell>
        </row>
      </sheetData>
      <sheetData sheetId="16">
        <row r="1">
          <cell r="A1" t="str">
            <v>Descripcion</v>
          </cell>
        </row>
        <row r="2">
          <cell r="A2">
            <v>0</v>
          </cell>
        </row>
        <row r="3">
          <cell r="A3" t="str">
            <v>Arroba</v>
          </cell>
        </row>
        <row r="4">
          <cell r="A4" t="str">
            <v>Bolsa</v>
          </cell>
        </row>
        <row r="5">
          <cell r="A5" t="str">
            <v>bolsa metro cúbico</v>
          </cell>
        </row>
        <row r="6">
          <cell r="A6" t="str">
            <v>Bulto</v>
          </cell>
        </row>
        <row r="7">
          <cell r="A7" t="str">
            <v>Caja por 7</v>
          </cell>
        </row>
        <row r="8">
          <cell r="A8" t="str">
            <v>Día</v>
          </cell>
        </row>
        <row r="9">
          <cell r="A9" t="str">
            <v>Especial</v>
          </cell>
        </row>
        <row r="10">
          <cell r="A10" t="str">
            <v>frasco</v>
          </cell>
        </row>
        <row r="11">
          <cell r="A11" t="str">
            <v>Frasco</v>
          </cell>
        </row>
        <row r="12">
          <cell r="A12" t="str">
            <v>Galón</v>
          </cell>
        </row>
        <row r="13">
          <cell r="A13" t="str">
            <v>galón</v>
          </cell>
        </row>
        <row r="14">
          <cell r="A14" t="str">
            <v>Global</v>
          </cell>
        </row>
        <row r="15">
          <cell r="A15" t="str">
            <v>Hora</v>
          </cell>
        </row>
        <row r="16">
          <cell r="A16" t="str">
            <v>Hora Cuadrilla</v>
          </cell>
        </row>
        <row r="17">
          <cell r="A17" t="str">
            <v>Hora Hombre</v>
          </cell>
        </row>
        <row r="18">
          <cell r="A18" t="str">
            <v>juego</v>
          </cell>
        </row>
        <row r="19">
          <cell r="A19" t="str">
            <v>Juego</v>
          </cell>
        </row>
        <row r="20">
          <cell r="A20" t="str">
            <v>Kilo</v>
          </cell>
        </row>
        <row r="21">
          <cell r="A21" t="str">
            <v>Kilo Watio</v>
          </cell>
        </row>
        <row r="22">
          <cell r="A22" t="str">
            <v>Kilogramo</v>
          </cell>
        </row>
        <row r="23">
          <cell r="A23" t="str">
            <v>Lamina</v>
          </cell>
        </row>
        <row r="24">
          <cell r="A24" t="str">
            <v>Libra</v>
          </cell>
        </row>
        <row r="25">
          <cell r="A25" t="str">
            <v>Litro</v>
          </cell>
        </row>
        <row r="26">
          <cell r="A26" t="str">
            <v>mes</v>
          </cell>
        </row>
        <row r="27">
          <cell r="A27" t="str">
            <v>Mes</v>
          </cell>
        </row>
        <row r="28">
          <cell r="A28" t="str">
            <v>Metro</v>
          </cell>
        </row>
        <row r="29">
          <cell r="A29" t="str">
            <v>Metro Cuadrado</v>
          </cell>
        </row>
        <row r="30">
          <cell r="A30" t="str">
            <v>Metro Cúbico</v>
          </cell>
        </row>
        <row r="31">
          <cell r="A31" t="str">
            <v>metro cúbico - kilómetro</v>
          </cell>
        </row>
        <row r="32">
          <cell r="A32" t="str">
            <v>metro lineal</v>
          </cell>
        </row>
        <row r="33">
          <cell r="A33" t="str">
            <v>Par</v>
          </cell>
        </row>
        <row r="34">
          <cell r="A34" t="str">
            <v>pie</v>
          </cell>
        </row>
        <row r="35">
          <cell r="A35" t="str">
            <v>pie cuadrado</v>
          </cell>
        </row>
        <row r="36">
          <cell r="A36" t="str">
            <v>pie cúbico</v>
          </cell>
        </row>
        <row r="37">
          <cell r="A37" t="str">
            <v>Porcentaje</v>
          </cell>
        </row>
        <row r="38">
          <cell r="A38" t="str">
            <v>Quintal</v>
          </cell>
        </row>
        <row r="39">
          <cell r="A39" t="str">
            <v>Rollo</v>
          </cell>
        </row>
        <row r="40">
          <cell r="A40" t="str">
            <v>Sección</v>
          </cell>
        </row>
        <row r="41">
          <cell r="A41" t="str">
            <v>Semana</v>
          </cell>
        </row>
        <row r="42">
          <cell r="A42" t="str">
            <v>sin desc</v>
          </cell>
        </row>
        <row r="43">
          <cell r="A43" t="str">
            <v>sin desc</v>
          </cell>
        </row>
        <row r="44">
          <cell r="A44" t="str">
            <v>Tarifa Hora</v>
          </cell>
        </row>
        <row r="45">
          <cell r="A45" t="str">
            <v>Tonelada</v>
          </cell>
        </row>
        <row r="46">
          <cell r="A46" t="str">
            <v>Unidad</v>
          </cell>
        </row>
        <row r="47">
          <cell r="A47" t="str">
            <v>unidad</v>
          </cell>
        </row>
        <row r="48">
          <cell r="A48" t="str">
            <v>Viaje</v>
          </cell>
        </row>
      </sheetData>
      <sheetData sheetId="17">
        <row r="1">
          <cell r="B1" t="str">
            <v>Descripcion Insumo</v>
          </cell>
        </row>
      </sheetData>
      <sheetData sheetId="18">
        <row r="1">
          <cell r="B1" t="str">
            <v>Maquinaria y Equipo</v>
          </cell>
        </row>
        <row r="2">
          <cell r="B2">
            <v>0</v>
          </cell>
        </row>
        <row r="3">
          <cell r="B3" t="str">
            <v>ABSORCIÓN DE BLOQUES, LADRILLOS F</v>
          </cell>
        </row>
        <row r="4">
          <cell r="B4" t="str">
            <v>ANDAMIO COLGANTE 40mt.</v>
          </cell>
        </row>
        <row r="5">
          <cell r="B5" t="str">
            <v>ANDAMIO TUBULAR (SECC.)</v>
          </cell>
        </row>
        <row r="6">
          <cell r="B6" t="str">
            <v>ANDAMIO TUBULAR (SECC.)</v>
          </cell>
        </row>
        <row r="7">
          <cell r="B7" t="str">
            <v>APISONADOR CANGURO</v>
          </cell>
        </row>
        <row r="8">
          <cell r="B8" t="str">
            <v>AUTOBOMBA PARA CONCRETO</v>
          </cell>
        </row>
        <row r="9">
          <cell r="B9" t="str">
            <v>BALDE PARA PLUMA ADICIONAL</v>
          </cell>
        </row>
        <row r="10">
          <cell r="B10" t="str">
            <v>BANDA PARA REMOVER ESCOMBROS</v>
          </cell>
        </row>
        <row r="11">
          <cell r="B11" t="str">
            <v>BARANDA PROTECTORA /CAMARA</v>
          </cell>
        </row>
        <row r="12">
          <cell r="B12" t="str">
            <v>BENITIN DE 2.5 TONELADAS</v>
          </cell>
        </row>
        <row r="13">
          <cell r="B13" t="str">
            <v>BOMBA ESTACIONARIA DE CONCRETO</v>
          </cell>
        </row>
        <row r="14">
          <cell r="B14" t="str">
            <v>BULLDOZER D-6 CATERPILLAR</v>
          </cell>
        </row>
        <row r="15">
          <cell r="B15" t="str">
            <v>CAMION 3 TONELADAS REDES</v>
          </cell>
        </row>
        <row r="16">
          <cell r="B16" t="str">
            <v>CAMION DE 4.5 TONELADAS</v>
          </cell>
        </row>
        <row r="17">
          <cell r="B17" t="str">
            <v>CAMION DE 8.0 TONELADAS</v>
          </cell>
        </row>
        <row r="18">
          <cell r="B18" t="str">
            <v>CAMPERO</v>
          </cell>
        </row>
        <row r="19">
          <cell r="B19" t="str">
            <v>CARGADOR .50 M3 SOBRE LLANTAS</v>
          </cell>
        </row>
        <row r="20">
          <cell r="B20" t="str">
            <v>CARGADOR BOBCAT+Oper.       753</v>
          </cell>
        </row>
        <row r="21">
          <cell r="B21" t="str">
            <v>CARGADOR BOBCAT+Oper.       853</v>
          </cell>
        </row>
        <row r="22">
          <cell r="B22" t="str">
            <v>CARGADOR RETROEXCAVADOR</v>
          </cell>
        </row>
        <row r="23">
          <cell r="B23" t="str">
            <v>CERCHA METALICA DE 3MT</v>
          </cell>
        </row>
        <row r="24">
          <cell r="B24" t="str">
            <v>CERCHAS METALICAS (3 METROS)</v>
          </cell>
        </row>
        <row r="25">
          <cell r="B25" t="str">
            <v>CILINDRO PRUEBA CONCRETO (Alq)</v>
          </cell>
        </row>
        <row r="26">
          <cell r="B26" t="str">
            <v>CILINDRO VIBRATORIO 3 TON</v>
          </cell>
        </row>
        <row r="27">
          <cell r="B27" t="str">
            <v>CINTURON DE SEGURIDAD</v>
          </cell>
        </row>
        <row r="28">
          <cell r="B28" t="str">
            <v>COMPACTADOR DINAMAR</v>
          </cell>
        </row>
        <row r="29">
          <cell r="B29" t="str">
            <v>COMPRESOR 2 MARTILLOS 185 PCM</v>
          </cell>
        </row>
        <row r="30">
          <cell r="B30" t="str">
            <v>COMPRESOR 2 MARTILLOS 185 PCM</v>
          </cell>
        </row>
        <row r="31">
          <cell r="B31" t="str">
            <v>COMPRESOR 250 PCM</v>
          </cell>
        </row>
        <row r="32">
          <cell r="B32" t="str">
            <v>COMPRESOR DE 375 CPM S/C</v>
          </cell>
        </row>
        <row r="33">
          <cell r="B33" t="str">
            <v>COMPRESOR DE 375 CPM S/C</v>
          </cell>
        </row>
        <row r="34">
          <cell r="B34" t="str">
            <v>COMPRESOR DE 750 CPM S/C</v>
          </cell>
        </row>
        <row r="35">
          <cell r="B35" t="str">
            <v>COMPRESOR DE 750 CPM S/C</v>
          </cell>
        </row>
        <row r="36">
          <cell r="B36" t="str">
            <v>COMPRESOR Oper.+Comb</v>
          </cell>
        </row>
        <row r="37">
          <cell r="B37" t="str">
            <v>COMPRESOR Oper.+Comb</v>
          </cell>
        </row>
        <row r="38">
          <cell r="B38" t="str">
            <v>COMPRESOR Oper.+Comb</v>
          </cell>
        </row>
        <row r="39">
          <cell r="B39" t="str">
            <v>CONO DE ABRAHAMS (SLUM Concr)</v>
          </cell>
        </row>
        <row r="40">
          <cell r="B40" t="str">
            <v>CONO DE ABRAMS (Alquiler)</v>
          </cell>
        </row>
        <row r="41">
          <cell r="B41" t="str">
            <v>CORTADORA DE LADRILLO</v>
          </cell>
        </row>
        <row r="42">
          <cell r="B42" t="str">
            <v>CORTADORA LADRILLO (POR CORTE)</v>
          </cell>
        </row>
        <row r="43">
          <cell r="B43" t="str">
            <v>CORTADORA SIN DISCO</v>
          </cell>
        </row>
        <row r="44">
          <cell r="B44" t="str">
            <v>CORTADORA SIN DISCO</v>
          </cell>
        </row>
        <row r="45">
          <cell r="B45" t="str">
            <v>CORTE DE NÚCLEOS DE CONCRETO</v>
          </cell>
        </row>
        <row r="46">
          <cell r="B46" t="str">
            <v>CRUCETAS CORTAS</v>
          </cell>
        </row>
        <row r="47">
          <cell r="B47" t="str">
            <v>CRUCETAS CORTAS y/o LARGAS</v>
          </cell>
        </row>
        <row r="48">
          <cell r="B48" t="str">
            <v>CRUCETAS LARGAS</v>
          </cell>
        </row>
        <row r="49">
          <cell r="B49" t="str">
            <v>DISEÑO DE MEZCLA ASFÁLTICA,</v>
          </cell>
        </row>
        <row r="50">
          <cell r="B50" t="str">
            <v>DISEÑO DE MEZCLAS DE MORTERO.</v>
          </cell>
        </row>
        <row r="51">
          <cell r="B51" t="str">
            <v>DISEÑO DE UNA MEZCLA DE</v>
          </cell>
        </row>
        <row r="52">
          <cell r="B52" t="str">
            <v>ELEVADOR 1000 KILOS</v>
          </cell>
        </row>
        <row r="53">
          <cell r="B53" t="str">
            <v>ELEVADOR 250 KILOS</v>
          </cell>
        </row>
        <row r="54">
          <cell r="B54" t="str">
            <v>EQUIPO DE COMPACTACION</v>
          </cell>
        </row>
        <row r="55">
          <cell r="B55" t="str">
            <v>EQUIPO DE COMPACTACION</v>
          </cell>
        </row>
        <row r="56">
          <cell r="B56" t="str">
            <v>EQUIPO DE TOPOGRAFIA</v>
          </cell>
        </row>
        <row r="57">
          <cell r="B57" t="str">
            <v>EQUIPO SOLDADURA ELECTRICA</v>
          </cell>
        </row>
        <row r="58">
          <cell r="B58" t="str">
            <v>ESCALERA EXTENCIBLE EN AL. DE 6</v>
          </cell>
        </row>
        <row r="59">
          <cell r="B59" t="str">
            <v>ESCALERILLA Trans. VERTICAL</v>
          </cell>
        </row>
        <row r="60">
          <cell r="B60" t="str">
            <v>ESFUERZO CORTANTE EN MALLAS</v>
          </cell>
        </row>
        <row r="61">
          <cell r="B61" t="str">
            <v>ESTABILIDAD MARSHALL (1 BRIQUETA)</v>
          </cell>
        </row>
        <row r="62">
          <cell r="B62" t="str">
            <v>EXCAVACION MECANICA Y RETIRO</v>
          </cell>
        </row>
        <row r="63">
          <cell r="B63" t="str">
            <v>EXCAVADORA HIDRAUL.PC-60+Oper.</v>
          </cell>
        </row>
        <row r="64">
          <cell r="B64" t="str">
            <v>EXTRACCIÓN DE ANCLAJES O</v>
          </cell>
        </row>
        <row r="65">
          <cell r="B65" t="str">
            <v>FORCLAMPS</v>
          </cell>
        </row>
        <row r="66">
          <cell r="B66" t="str">
            <v>FORMALETA ENTREPISO 1 SEMANA</v>
          </cell>
        </row>
        <row r="67">
          <cell r="B67" t="str">
            <v>FORMALETA ENTREPISO 4 SEMANAS</v>
          </cell>
        </row>
        <row r="68">
          <cell r="B68" t="str">
            <v>FORMALETA ENTREPISO POR M2</v>
          </cell>
        </row>
        <row r="69">
          <cell r="B69" t="str">
            <v>FORMALETA SARDINEL ML</v>
          </cell>
        </row>
        <row r="70">
          <cell r="B70" t="str">
            <v>GRUA AUTODESPLEGABLE+OPERARIO</v>
          </cell>
        </row>
        <row r="71">
          <cell r="B71" t="str">
            <v>GRUA EXTENSION PARA POSTES</v>
          </cell>
        </row>
        <row r="72">
          <cell r="B72" t="str">
            <v>GRUA HIDRAULICA (CARRO)</v>
          </cell>
        </row>
        <row r="73">
          <cell r="B73" t="str">
            <v>GRUA POTAIN 428 BRAZO 40 MTS</v>
          </cell>
        </row>
        <row r="74">
          <cell r="B74" t="str">
            <v>HERRAMIENTA MENOR (% Mano d Obra)</v>
          </cell>
        </row>
        <row r="75">
          <cell r="B75" t="str">
            <v>JUEGO DE RUEDAS PARA ANDAMIO(4)</v>
          </cell>
        </row>
        <row r="76">
          <cell r="B76" t="str">
            <v>JUEGO POLEAS ANTENAYA</v>
          </cell>
        </row>
        <row r="77">
          <cell r="B77" t="str">
            <v>LLAVES TENSORAS</v>
          </cell>
        </row>
        <row r="78">
          <cell r="B78" t="str">
            <v>MARTILLO ROMPEDOR</v>
          </cell>
        </row>
        <row r="79">
          <cell r="B79" t="str">
            <v>MARTILLO ROTATORIO</v>
          </cell>
        </row>
        <row r="80">
          <cell r="B80" t="str">
            <v>MEZCLADORA DE CONCRETO</v>
          </cell>
        </row>
        <row r="81">
          <cell r="B81" t="str">
            <v>MICRO AIRINCLUSOR DE AIRE</v>
          </cell>
        </row>
        <row r="82">
          <cell r="B82" t="str">
            <v>MICRO AIRINCLUSOR DE AIRE</v>
          </cell>
        </row>
        <row r="83">
          <cell r="B83" t="str">
            <v>MINICARGADOR BOBCAT</v>
          </cell>
        </row>
        <row r="84">
          <cell r="B84" t="str">
            <v>MINICARGADOR BOBCAT</v>
          </cell>
        </row>
        <row r="85">
          <cell r="B85" t="str">
            <v>MONTACARGAS</v>
          </cell>
        </row>
        <row r="86">
          <cell r="B86" t="str">
            <v>MORDAZA 0.60 mt CON CUÑA</v>
          </cell>
        </row>
        <row r="87">
          <cell r="B87" t="str">
            <v>MORDAZA 0.80 mt CON CUÑA</v>
          </cell>
        </row>
        <row r="88">
          <cell r="B88" t="str">
            <v>MORDAZA 1.00 mt CON CUÑA</v>
          </cell>
        </row>
        <row r="89">
          <cell r="B89" t="str">
            <v>MORDAZA 2.40 mt CON CUÑA</v>
          </cell>
        </row>
        <row r="90">
          <cell r="B90" t="str">
            <v>MORDAZAS ALQUILADAS (24 dias)</v>
          </cell>
        </row>
        <row r="91">
          <cell r="B91" t="str">
            <v>MOTOBOMBA A GASOLINA DE 2"</v>
          </cell>
        </row>
        <row r="92">
          <cell r="B92" t="str">
            <v>MOTOBOMBA ELECTRICA DE 2"</v>
          </cell>
        </row>
        <row r="93">
          <cell r="B93" t="str">
            <v>PALA DRAGA SOBRE ORUGA</v>
          </cell>
        </row>
        <row r="94">
          <cell r="B94" t="str">
            <v>PARAL TELESCOPICO (UN)</v>
          </cell>
        </row>
        <row r="95">
          <cell r="B95" t="str">
            <v>PARAL TELESCOPICO (UN)</v>
          </cell>
        </row>
        <row r="96">
          <cell r="B96" t="str">
            <v>PARALES - MES</v>
          </cell>
        </row>
        <row r="97">
          <cell r="B97" t="str">
            <v>PARALES - SEMANA</v>
          </cell>
        </row>
        <row r="98">
          <cell r="B98" t="str">
            <v>PERFORACIÓN CON EQUIPO</v>
          </cell>
        </row>
        <row r="99">
          <cell r="B99" t="str">
            <v>PERROS FIJOS Y GIRATORIOS</v>
          </cell>
        </row>
        <row r="100">
          <cell r="B100" t="str">
            <v>PESCANTE PARA ANDAMIO</v>
          </cell>
        </row>
        <row r="101">
          <cell r="B101" t="str">
            <v>PISON DE MANO</v>
          </cell>
        </row>
        <row r="102">
          <cell r="B102" t="str">
            <v>PLANCHONES ALQUILADOS</v>
          </cell>
        </row>
        <row r="103">
          <cell r="B103" t="str">
            <v>PLANCHONES MADERA</v>
          </cell>
        </row>
        <row r="104">
          <cell r="B104" t="str">
            <v>PLANCHONES METALICOS</v>
          </cell>
        </row>
        <row r="105">
          <cell r="B105" t="str">
            <v>PLUMA 250 KG ELECTRICA Trif.</v>
          </cell>
        </row>
        <row r="106">
          <cell r="B106" t="str">
            <v>PLUMA ELECTRICA</v>
          </cell>
        </row>
        <row r="107">
          <cell r="B107" t="str">
            <v>PLUMA ELECTRICA 250 kg</v>
          </cell>
        </row>
        <row r="108">
          <cell r="B108" t="str">
            <v>PLUMA ELECTRICA/ DIA</v>
          </cell>
        </row>
        <row r="109">
          <cell r="B109" t="str">
            <v>PULIDORA MANUAL SIN DISCO</v>
          </cell>
        </row>
        <row r="110">
          <cell r="B110" t="str">
            <v>PULIDORA MANUAL SIN DISCO</v>
          </cell>
        </row>
        <row r="111">
          <cell r="B111" t="str">
            <v>RANA A GASOLINA DE 50X74 CM</v>
          </cell>
        </row>
        <row r="112">
          <cell r="B112" t="str">
            <v>RANA Ó VIBROCOMPACTADOR</v>
          </cell>
        </row>
        <row r="113">
          <cell r="B113" t="str">
            <v>RANA VIBROCOMPACTADORA/DIA</v>
          </cell>
        </row>
        <row r="114">
          <cell r="B114" t="str">
            <v>RANA VIBROCOMPACTADORA/DIA</v>
          </cell>
        </row>
        <row r="115">
          <cell r="B115" t="str">
            <v>RETROEXCAVADORA JCB 814</v>
          </cell>
        </row>
        <row r="116">
          <cell r="B116" t="str">
            <v>RODILLO D/PINTAS Y SONDEO</v>
          </cell>
        </row>
        <row r="117">
          <cell r="B117" t="str">
            <v>RODILLO VIBRATORIO "BENITIN"</v>
          </cell>
        </row>
        <row r="118">
          <cell r="B118" t="str">
            <v>RUEDAS</v>
          </cell>
        </row>
        <row r="119">
          <cell r="B119" t="str">
            <v>RUEDAS PARA ANDAMIO TUBULAR</v>
          </cell>
        </row>
        <row r="120">
          <cell r="B120" t="str">
            <v>TABLERO EN PINO PATULA</v>
          </cell>
        </row>
        <row r="121">
          <cell r="B121" t="str">
            <v>TABLERO METALICO (1.40 x 0.60)</v>
          </cell>
        </row>
        <row r="122">
          <cell r="B122" t="str">
            <v>TALADRO ROTOMARTILLO HASTA 3/4"</v>
          </cell>
        </row>
        <row r="123">
          <cell r="B123" t="str">
            <v>TALADRO ROTOMARTILLO HASTA 3/4"</v>
          </cell>
        </row>
        <row r="124">
          <cell r="B124" t="str">
            <v>TORREGRUA (DIFERENTES TAMAÑOS)</v>
          </cell>
        </row>
        <row r="125">
          <cell r="B125" t="str">
            <v>TRAYLER O GATO PARA CABLES</v>
          </cell>
        </row>
        <row r="126">
          <cell r="B126" t="str">
            <v>TRINQUETE</v>
          </cell>
        </row>
        <row r="127">
          <cell r="B127" t="str">
            <v>VENTAS CONO DE ABRAMS PARA</v>
          </cell>
        </row>
        <row r="128">
          <cell r="B128" t="str">
            <v>VIBRADOR A GASOLINA</v>
          </cell>
        </row>
        <row r="129">
          <cell r="B129" t="str">
            <v>VIBRADOR ELECTRICO</v>
          </cell>
        </row>
        <row r="130">
          <cell r="B130" t="str">
            <v>VIBRO DYNAPAC 2.5 TONELADAS</v>
          </cell>
        </row>
        <row r="131">
          <cell r="B131" t="str">
            <v>VIBRO DYNAPAC 2.5 TONELADAS</v>
          </cell>
        </row>
        <row r="132">
          <cell r="B132" t="str">
            <v>VIBRO INGERSOLL RAND 3</v>
          </cell>
        </row>
        <row r="133">
          <cell r="B133" t="str">
            <v>VIBRO INGERSOLL RAND 3</v>
          </cell>
        </row>
        <row r="134">
          <cell r="B134" t="str">
            <v>VIBRO REX 7 TONELADAS</v>
          </cell>
        </row>
        <row r="135">
          <cell r="B135" t="str">
            <v>VIBROCOMPACTADORA ELECTRICA</v>
          </cell>
        </row>
        <row r="136">
          <cell r="B136" t="str">
            <v>VOLQUETA (VIAJE 6M3 Max.3O KM)</v>
          </cell>
        </row>
        <row r="137">
          <cell r="B137" t="str">
            <v>VOLQUETA (VIAJE 6M3.)</v>
          </cell>
        </row>
      </sheetData>
      <sheetData sheetId="19">
        <row r="1">
          <cell r="B1" t="str">
            <v>Cuadrilla</v>
          </cell>
        </row>
        <row r="2">
          <cell r="B2">
            <v>0</v>
          </cell>
        </row>
        <row r="3">
          <cell r="B3" t="str">
            <v>0:0:1</v>
          </cell>
        </row>
      </sheetData>
      <sheetData sheetId="20" refreshError="1"/>
      <sheetData sheetId="21" refreshError="1"/>
      <sheetData sheetId="2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 prest"/>
      <sheetName val="Cuadrillas"/>
      <sheetName val="Costos"/>
      <sheetName val="A.I.U."/>
      <sheetName val="% Sena"/>
      <sheetName val="Camp"/>
      <sheetName val="Valla"/>
      <sheetName val="Soport"/>
      <sheetName val="Cinta"/>
      <sheetName val="Barric"/>
      <sheetName val="Señal"/>
      <sheetName val="Localiz"/>
      <sheetName val="Descap"/>
      <sheetName val="Exc cimie"/>
      <sheetName val="Exc. Manual"/>
      <sheetName val="Arm.Acero"/>
      <sheetName val="Perfil Talud"/>
      <sheetName val="Form Base Vastago"/>
      <sheetName val="Form h&gt;2.80m"/>
      <sheetName val="Coloc conc"/>
      <sheetName val="Conc altura"/>
      <sheetName val="Llenos comp"/>
      <sheetName val="Ret Mater"/>
      <sheetName val="Propuesta"/>
      <sheetName val="Demarc."/>
      <sheetName val="Conc 2500"/>
      <sheetName val="Conc 3000"/>
      <sheetName val="Mater"/>
      <sheetName val="Flujo"/>
      <sheetName val="Cronog"/>
      <sheetName val="FINDE2"/>
      <sheetName val="Insumos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0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0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0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0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0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0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0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0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0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0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0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0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0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0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0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0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0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0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0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0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0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0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0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0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0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0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0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0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0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0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0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0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0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0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0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0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0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0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0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ICO"/>
      <sheetName val="MEMORIA DE CANTIDADES DE OBRA "/>
      <sheetName val="APU"/>
      <sheetName val="CRONOGRAMA"/>
      <sheetName val="Memoria de Cantidades"/>
      <sheetName val="Presupuesto"/>
      <sheetName val="F.M "/>
      <sheetName val="CRONOGRAMA--"/>
      <sheetName val="DESGLOSE AIU"/>
      <sheetName val="BASICOS RURAL"/>
      <sheetName val="BASICOS URBANOS"/>
    </sheetNames>
    <sheetDataSet>
      <sheetData sheetId="0"/>
      <sheetData sheetId="1"/>
      <sheetData sheetId="2"/>
      <sheetData sheetId="3"/>
      <sheetData sheetId="4"/>
      <sheetData sheetId="5">
        <row r="8">
          <cell r="A8" t="str">
            <v>ADECUACION Y MEJORAMIENTO DE LA RED SANITARIA Y OBRAS COMPLEMENTARIAS DE LA ESCUELA NUEVA ALBANIA DE LA INSTITUCION EDUCATIVA SAN JOSE DEL MUNICIPIO DE SAN MIGUEL PUTUMAYO</v>
          </cell>
        </row>
        <row r="73">
          <cell r="C73" t="str">
            <v>ARQ. GUILLERMO YAMID VALLEJOS BENAVIDES</v>
          </cell>
        </row>
        <row r="74">
          <cell r="C74" t="str">
            <v>SECRETARIO DE PLANEACION Y OBRAS PUBLICAS</v>
          </cell>
        </row>
        <row r="75">
          <cell r="C75" t="str">
            <v>SAN MIGUEL - PUTUMAYO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tabColor theme="6" tint="-0.249977111117893"/>
  </sheetPr>
  <dimension ref="A1:M58"/>
  <sheetViews>
    <sheetView view="pageBreakPreview" zoomScale="70" zoomScaleNormal="70" zoomScaleSheetLayoutView="70" workbookViewId="0">
      <selection activeCell="G17" sqref="G17"/>
    </sheetView>
  </sheetViews>
  <sheetFormatPr baseColWidth="10" defaultColWidth="11.44140625" defaultRowHeight="13.2" x14ac:dyDescent="0.25"/>
  <cols>
    <col min="1" max="1" width="8.33203125" style="47" customWidth="1"/>
    <col min="2" max="2" width="39.33203125" style="47" customWidth="1"/>
    <col min="3" max="3" width="11.44140625" style="47"/>
    <col min="4" max="4" width="11.6640625" style="47" bestFit="1" customWidth="1"/>
    <col min="5" max="6" width="11.44140625" style="47"/>
    <col min="7" max="7" width="12.6640625" style="47" bestFit="1" customWidth="1"/>
    <col min="8" max="8" width="13.44140625" style="47" customWidth="1"/>
    <col min="9" max="16384" width="11.44140625" style="3"/>
  </cols>
  <sheetData>
    <row r="1" spans="1:8" ht="15.6" x14ac:dyDescent="0.3">
      <c r="A1" s="377" t="s">
        <v>0</v>
      </c>
      <c r="B1" s="378"/>
      <c r="C1" s="378"/>
      <c r="D1" s="378"/>
      <c r="E1" s="378"/>
      <c r="F1" s="378"/>
      <c r="G1" s="378"/>
      <c r="H1" s="379"/>
    </row>
    <row r="2" spans="1:8" x14ac:dyDescent="0.25">
      <c r="A2" s="380" t="s">
        <v>1</v>
      </c>
      <c r="B2" s="381"/>
      <c r="C2" s="381"/>
      <c r="D2" s="381"/>
      <c r="E2" s="381"/>
      <c r="F2" s="381"/>
      <c r="G2" s="381"/>
      <c r="H2" s="382"/>
    </row>
    <row r="3" spans="1:8" x14ac:dyDescent="0.25">
      <c r="A3" s="380" t="s">
        <v>64</v>
      </c>
      <c r="B3" s="381"/>
      <c r="C3" s="381"/>
      <c r="D3" s="381"/>
      <c r="E3" s="381"/>
      <c r="F3" s="381"/>
      <c r="G3" s="381"/>
      <c r="H3" s="382"/>
    </row>
    <row r="4" spans="1:8" x14ac:dyDescent="0.25">
      <c r="A4" s="49"/>
      <c r="E4" s="51"/>
      <c r="F4" s="51"/>
      <c r="G4" s="51"/>
      <c r="H4" s="52"/>
    </row>
    <row r="5" spans="1:8" ht="15" customHeight="1" x14ac:dyDescent="0.25">
      <c r="A5" s="383" t="s">
        <v>142</v>
      </c>
      <c r="B5" s="384"/>
      <c r="C5" s="384"/>
      <c r="D5" s="384"/>
      <c r="E5" s="384"/>
      <c r="F5" s="384"/>
      <c r="G5" s="384"/>
      <c r="H5" s="385"/>
    </row>
    <row r="6" spans="1:8" x14ac:dyDescent="0.25">
      <c r="A6" s="97"/>
      <c r="H6" s="50"/>
    </row>
    <row r="7" spans="1:8" ht="47.25" customHeight="1" x14ac:dyDescent="0.25">
      <c r="A7" s="386" t="e">
        <f>+#REF!</f>
        <v>#REF!</v>
      </c>
      <c r="B7" s="387"/>
      <c r="C7" s="387"/>
      <c r="D7" s="387"/>
      <c r="E7" s="387"/>
      <c r="F7" s="387"/>
      <c r="G7" s="387"/>
      <c r="H7" s="388"/>
    </row>
    <row r="8" spans="1:8" x14ac:dyDescent="0.25">
      <c r="A8" s="49"/>
      <c r="H8" s="50"/>
    </row>
    <row r="9" spans="1:8" x14ac:dyDescent="0.25">
      <c r="A9" s="53" t="s">
        <v>26</v>
      </c>
      <c r="B9" s="54"/>
      <c r="C9" s="54"/>
      <c r="D9" s="54"/>
      <c r="E9" s="54"/>
      <c r="F9" s="54"/>
      <c r="G9" s="55"/>
      <c r="H9" s="56"/>
    </row>
    <row r="10" spans="1:8" x14ac:dyDescent="0.25">
      <c r="A10" s="57"/>
      <c r="B10" s="58" t="s">
        <v>147</v>
      </c>
      <c r="C10" s="59"/>
      <c r="D10" s="59"/>
      <c r="E10" s="59"/>
      <c r="F10" s="59"/>
      <c r="G10" s="60" t="s">
        <v>27</v>
      </c>
      <c r="H10" s="61" t="s">
        <v>17</v>
      </c>
    </row>
    <row r="11" spans="1:8" x14ac:dyDescent="0.25">
      <c r="A11" s="49"/>
      <c r="H11" s="50"/>
    </row>
    <row r="12" spans="1:8" x14ac:dyDescent="0.25">
      <c r="A12" s="62" t="s">
        <v>28</v>
      </c>
      <c r="B12" s="63" t="s">
        <v>29</v>
      </c>
      <c r="H12" s="50"/>
    </row>
    <row r="13" spans="1:8" x14ac:dyDescent="0.25">
      <c r="A13" s="64"/>
      <c r="B13" s="65" t="s">
        <v>30</v>
      </c>
      <c r="C13" s="66"/>
      <c r="D13" s="65" t="s">
        <v>31</v>
      </c>
      <c r="E13" s="67" t="s">
        <v>32</v>
      </c>
      <c r="F13" s="65" t="s">
        <v>33</v>
      </c>
      <c r="G13" s="67" t="s">
        <v>34</v>
      </c>
      <c r="H13" s="50"/>
    </row>
    <row r="14" spans="1:8" x14ac:dyDescent="0.25">
      <c r="A14" s="68"/>
      <c r="B14" s="65" t="s">
        <v>65</v>
      </c>
      <c r="C14" s="69"/>
      <c r="D14" s="70"/>
      <c r="E14" s="71"/>
      <c r="F14" s="72">
        <v>0.1</v>
      </c>
      <c r="G14" s="104">
        <f>H34*F14</f>
        <v>5130.9000000000005</v>
      </c>
      <c r="H14" s="73"/>
    </row>
    <row r="15" spans="1:8" x14ac:dyDescent="0.25">
      <c r="A15" s="68"/>
      <c r="B15" s="70"/>
      <c r="C15" s="69"/>
      <c r="D15" s="70"/>
      <c r="E15" s="71"/>
      <c r="F15" s="72"/>
      <c r="G15" s="71"/>
      <c r="H15" s="73"/>
    </row>
    <row r="16" spans="1:8" x14ac:dyDescent="0.25">
      <c r="A16" s="68"/>
      <c r="B16" s="70"/>
      <c r="C16" s="69"/>
      <c r="D16" s="70"/>
      <c r="E16" s="71"/>
      <c r="F16" s="72"/>
      <c r="G16" s="71"/>
      <c r="H16" s="74"/>
    </row>
    <row r="17" spans="1:13" x14ac:dyDescent="0.25">
      <c r="A17" s="68"/>
      <c r="B17" s="70"/>
      <c r="C17" s="69"/>
      <c r="D17" s="70"/>
      <c r="E17" s="71"/>
      <c r="F17" s="72"/>
      <c r="G17" s="71"/>
      <c r="H17" s="74"/>
    </row>
    <row r="18" spans="1:13" x14ac:dyDescent="0.25">
      <c r="A18" s="68"/>
      <c r="B18" s="70"/>
      <c r="C18" s="69"/>
      <c r="D18" s="75"/>
      <c r="E18" s="71"/>
      <c r="F18" s="71"/>
      <c r="G18" s="71"/>
      <c r="H18" s="74"/>
    </row>
    <row r="19" spans="1:13" x14ac:dyDescent="0.25">
      <c r="A19" s="76"/>
      <c r="B19" s="70"/>
      <c r="C19" s="69"/>
      <c r="D19" s="75"/>
      <c r="E19" s="71"/>
      <c r="F19" s="71"/>
      <c r="G19" s="71"/>
      <c r="H19" s="74"/>
    </row>
    <row r="20" spans="1:13" x14ac:dyDescent="0.25">
      <c r="A20" s="53"/>
      <c r="E20" s="77" t="s">
        <v>35</v>
      </c>
      <c r="F20" s="77"/>
      <c r="G20" s="77"/>
      <c r="H20" s="104">
        <f>ROUND(SUM(G14:G19),0)</f>
        <v>5131</v>
      </c>
      <c r="M20" s="5"/>
    </row>
    <row r="21" spans="1:13" x14ac:dyDescent="0.25">
      <c r="A21" s="79" t="s">
        <v>36</v>
      </c>
      <c r="B21" s="63" t="s">
        <v>37</v>
      </c>
      <c r="E21" s="77"/>
      <c r="F21" s="77"/>
      <c r="G21" s="77"/>
      <c r="H21" s="74"/>
    </row>
    <row r="22" spans="1:13" x14ac:dyDescent="0.25">
      <c r="A22" s="80"/>
      <c r="B22" s="65" t="s">
        <v>30</v>
      </c>
      <c r="C22" s="69"/>
      <c r="D22" s="70" t="s">
        <v>12</v>
      </c>
      <c r="E22" s="81" t="s">
        <v>38</v>
      </c>
      <c r="F22" s="81" t="s">
        <v>39</v>
      </c>
      <c r="G22" s="81" t="s">
        <v>34</v>
      </c>
      <c r="H22" s="74"/>
    </row>
    <row r="23" spans="1:13" x14ac:dyDescent="0.25">
      <c r="A23" s="68"/>
      <c r="B23" s="70" t="s">
        <v>127</v>
      </c>
      <c r="C23" s="69"/>
      <c r="D23" s="82" t="s">
        <v>125</v>
      </c>
      <c r="E23" s="83">
        <v>420</v>
      </c>
      <c r="F23" s="71">
        <v>650</v>
      </c>
      <c r="G23" s="104">
        <f>+F23*E23</f>
        <v>273000</v>
      </c>
      <c r="H23" s="74"/>
    </row>
    <row r="24" spans="1:13" x14ac:dyDescent="0.25">
      <c r="A24" s="68"/>
      <c r="B24" s="82" t="s">
        <v>128</v>
      </c>
      <c r="C24" s="69"/>
      <c r="D24" s="82" t="s">
        <v>17</v>
      </c>
      <c r="E24" s="71">
        <v>0.67</v>
      </c>
      <c r="F24" s="71">
        <v>60000</v>
      </c>
      <c r="G24" s="104">
        <f t="shared" ref="G24" si="0">+F24*E24</f>
        <v>40200</v>
      </c>
      <c r="H24" s="74"/>
    </row>
    <row r="25" spans="1:13" x14ac:dyDescent="0.25">
      <c r="A25" s="68"/>
      <c r="B25" s="82" t="s">
        <v>129</v>
      </c>
      <c r="C25" s="69"/>
      <c r="D25" s="82" t="s">
        <v>17</v>
      </c>
      <c r="E25" s="71">
        <v>0.67</v>
      </c>
      <c r="F25" s="71">
        <v>70000</v>
      </c>
      <c r="G25" s="104">
        <f>--E25*F25</f>
        <v>46900</v>
      </c>
      <c r="H25" s="74"/>
    </row>
    <row r="26" spans="1:13" x14ac:dyDescent="0.25">
      <c r="A26" s="68"/>
      <c r="B26" s="70" t="s">
        <v>130</v>
      </c>
      <c r="C26" s="69"/>
      <c r="D26" s="70" t="s">
        <v>131</v>
      </c>
      <c r="E26" s="71">
        <v>210</v>
      </c>
      <c r="F26" s="71">
        <v>50</v>
      </c>
      <c r="G26" s="104">
        <f>--E26*F26</f>
        <v>10500</v>
      </c>
      <c r="H26" s="74"/>
    </row>
    <row r="27" spans="1:13" x14ac:dyDescent="0.25">
      <c r="A27" s="68"/>
      <c r="B27" s="70"/>
      <c r="C27" s="69"/>
      <c r="D27" s="75"/>
      <c r="E27" s="71"/>
      <c r="F27" s="71"/>
      <c r="G27" s="71"/>
      <c r="H27" s="74"/>
    </row>
    <row r="28" spans="1:13" x14ac:dyDescent="0.25">
      <c r="A28" s="53" t="s">
        <v>40</v>
      </c>
      <c r="E28" s="77" t="s">
        <v>41</v>
      </c>
      <c r="F28" s="77"/>
      <c r="G28" s="77"/>
      <c r="H28" s="104">
        <f>(SUM(G23:G26))</f>
        <v>370600</v>
      </c>
    </row>
    <row r="29" spans="1:13" x14ac:dyDescent="0.25">
      <c r="A29" s="79" t="s">
        <v>42</v>
      </c>
      <c r="B29" s="63" t="s">
        <v>43</v>
      </c>
      <c r="E29" s="77"/>
      <c r="F29" s="77"/>
      <c r="G29" s="77"/>
      <c r="H29" s="74"/>
    </row>
    <row r="30" spans="1:13" x14ac:dyDescent="0.25">
      <c r="A30" s="68" t="s">
        <v>44</v>
      </c>
      <c r="B30" s="67" t="s">
        <v>30</v>
      </c>
      <c r="C30" s="67" t="s">
        <v>45</v>
      </c>
      <c r="D30" s="67" t="s">
        <v>46</v>
      </c>
      <c r="E30" s="81" t="s">
        <v>47</v>
      </c>
      <c r="F30" s="71" t="s">
        <v>48</v>
      </c>
      <c r="G30" s="71" t="s">
        <v>34</v>
      </c>
      <c r="H30" s="74"/>
    </row>
    <row r="31" spans="1:13" x14ac:dyDescent="0.25">
      <c r="A31" s="68">
        <v>6</v>
      </c>
      <c r="B31" s="75" t="s">
        <v>67</v>
      </c>
      <c r="C31" s="85">
        <v>30000</v>
      </c>
      <c r="D31" s="86">
        <v>0.75</v>
      </c>
      <c r="E31" s="83">
        <f>+(A31*C31)+(A31*C31*D31)</f>
        <v>315000</v>
      </c>
      <c r="F31" s="87">
        <v>7.5035875572971067</v>
      </c>
      <c r="G31" s="104">
        <f>(E31)/(F31)</f>
        <v>41979.919284565163</v>
      </c>
      <c r="H31" s="74"/>
    </row>
    <row r="32" spans="1:13" x14ac:dyDescent="0.25">
      <c r="A32" s="68">
        <v>1</v>
      </c>
      <c r="B32" s="75" t="s">
        <v>66</v>
      </c>
      <c r="C32" s="85">
        <v>40000</v>
      </c>
      <c r="D32" s="86">
        <v>0.75</v>
      </c>
      <c r="E32" s="83">
        <f>(A32*C32)+(D32*C32*A32)</f>
        <v>70000</v>
      </c>
      <c r="F32" s="87">
        <f>--F31</f>
        <v>7.5035875572971067</v>
      </c>
      <c r="G32" s="104">
        <f>E32/F32</f>
        <v>9328.8709521255914</v>
      </c>
      <c r="H32" s="74"/>
    </row>
    <row r="33" spans="1:8" x14ac:dyDescent="0.25">
      <c r="A33" s="68"/>
      <c r="B33" s="75"/>
      <c r="C33" s="75"/>
      <c r="D33" s="75"/>
      <c r="E33" s="71"/>
      <c r="F33" s="71"/>
      <c r="G33" s="71"/>
      <c r="H33" s="74"/>
    </row>
    <row r="34" spans="1:8" x14ac:dyDescent="0.25">
      <c r="A34" s="53"/>
      <c r="E34" s="77" t="s">
        <v>49</v>
      </c>
      <c r="F34" s="77"/>
      <c r="G34" s="77"/>
      <c r="H34" s="104">
        <f>ROUND(SUM(G31)+(G32),0)</f>
        <v>51309</v>
      </c>
    </row>
    <row r="35" spans="1:8" x14ac:dyDescent="0.25">
      <c r="A35" s="79" t="s">
        <v>50</v>
      </c>
      <c r="B35" s="63" t="s">
        <v>18</v>
      </c>
      <c r="E35" s="77"/>
      <c r="F35" s="77"/>
      <c r="G35" s="77"/>
      <c r="H35" s="74"/>
    </row>
    <row r="36" spans="1:8" x14ac:dyDescent="0.25">
      <c r="A36" s="68"/>
      <c r="B36" s="75" t="s">
        <v>30</v>
      </c>
      <c r="C36" s="88" t="s">
        <v>12</v>
      </c>
      <c r="D36" s="89" t="s">
        <v>13</v>
      </c>
      <c r="E36" s="89" t="s">
        <v>51</v>
      </c>
      <c r="F36" s="89"/>
      <c r="G36" s="71" t="s">
        <v>52</v>
      </c>
      <c r="H36" s="74"/>
    </row>
    <row r="37" spans="1:8" x14ac:dyDescent="0.25">
      <c r="A37" s="68"/>
      <c r="B37" s="75"/>
      <c r="C37" s="84"/>
      <c r="D37" s="75"/>
      <c r="E37" s="71"/>
      <c r="F37" s="71"/>
      <c r="G37" s="71"/>
      <c r="H37" s="74"/>
    </row>
    <row r="38" spans="1:8" x14ac:dyDescent="0.25">
      <c r="A38" s="68"/>
      <c r="B38" s="75"/>
      <c r="C38" s="83"/>
      <c r="D38" s="75"/>
      <c r="E38" s="71"/>
      <c r="F38" s="71"/>
      <c r="G38" s="71"/>
      <c r="H38" s="74"/>
    </row>
    <row r="39" spans="1:8" x14ac:dyDescent="0.25">
      <c r="A39" s="68"/>
      <c r="B39" s="75"/>
      <c r="C39" s="75"/>
      <c r="D39" s="75"/>
      <c r="E39" s="71"/>
      <c r="F39" s="71"/>
      <c r="G39" s="71"/>
      <c r="H39" s="74"/>
    </row>
    <row r="40" spans="1:8" x14ac:dyDescent="0.25">
      <c r="A40" s="53"/>
      <c r="E40" s="77" t="s">
        <v>49</v>
      </c>
      <c r="F40" s="77"/>
      <c r="G40" s="77"/>
      <c r="H40" s="78">
        <f>ROUND(SUM(G37)+(G38),0)</f>
        <v>0</v>
      </c>
    </row>
    <row r="41" spans="1:8" x14ac:dyDescent="0.25">
      <c r="A41" s="49"/>
      <c r="E41" s="77"/>
      <c r="F41" s="77"/>
      <c r="G41" s="77"/>
      <c r="H41" s="74"/>
    </row>
    <row r="42" spans="1:8" x14ac:dyDescent="0.25">
      <c r="A42" s="49"/>
      <c r="D42" s="51" t="s">
        <v>53</v>
      </c>
      <c r="E42" s="90"/>
      <c r="F42" s="90"/>
      <c r="G42" s="90"/>
      <c r="H42" s="104">
        <f>SUM(H20:H41)</f>
        <v>427040</v>
      </c>
    </row>
    <row r="43" spans="1:8" x14ac:dyDescent="0.25">
      <c r="A43" s="49"/>
      <c r="E43" s="77"/>
      <c r="F43" s="77"/>
      <c r="G43" s="77"/>
      <c r="H43" s="74"/>
    </row>
    <row r="44" spans="1:8" x14ac:dyDescent="0.25">
      <c r="A44" s="79" t="s">
        <v>54</v>
      </c>
      <c r="B44" s="63" t="s">
        <v>55</v>
      </c>
      <c r="E44" s="77"/>
      <c r="F44" s="77"/>
      <c r="G44" s="77"/>
      <c r="H44" s="74"/>
    </row>
    <row r="45" spans="1:8" x14ac:dyDescent="0.25">
      <c r="A45" s="91"/>
      <c r="B45" s="67" t="s">
        <v>30</v>
      </c>
      <c r="C45" s="67" t="s">
        <v>56</v>
      </c>
      <c r="D45" s="70" t="s">
        <v>57</v>
      </c>
      <c r="E45" s="92"/>
      <c r="F45" s="72" t="s">
        <v>58</v>
      </c>
      <c r="G45" s="92"/>
      <c r="H45" s="74"/>
    </row>
    <row r="46" spans="1:8" x14ac:dyDescent="0.25">
      <c r="A46" s="76"/>
      <c r="B46" s="67" t="s">
        <v>59</v>
      </c>
      <c r="C46" s="86">
        <v>0.23</v>
      </c>
      <c r="D46" s="70"/>
      <c r="E46" s="93"/>
      <c r="F46" s="70"/>
      <c r="G46" s="104">
        <f>+H42*C46</f>
        <v>98219.199999999997</v>
      </c>
      <c r="H46" s="74"/>
    </row>
    <row r="47" spans="1:8" x14ac:dyDescent="0.25">
      <c r="A47" s="76"/>
      <c r="B47" s="67" t="s">
        <v>60</v>
      </c>
      <c r="C47" s="86">
        <v>0.04</v>
      </c>
      <c r="D47" s="70"/>
      <c r="E47" s="93"/>
      <c r="F47" s="70"/>
      <c r="G47" s="104">
        <f>+H42*C47</f>
        <v>17081.599999999999</v>
      </c>
      <c r="H47" s="74"/>
    </row>
    <row r="48" spans="1:8" x14ac:dyDescent="0.25">
      <c r="A48" s="76"/>
      <c r="B48" s="67" t="s">
        <v>61</v>
      </c>
      <c r="C48" s="86">
        <v>0.03</v>
      </c>
      <c r="D48" s="70"/>
      <c r="E48" s="93"/>
      <c r="F48" s="70"/>
      <c r="G48" s="104">
        <f>+H42*C48</f>
        <v>12811.199999999999</v>
      </c>
      <c r="H48" s="74"/>
    </row>
    <row r="49" spans="1:9" x14ac:dyDescent="0.25">
      <c r="A49" s="49"/>
      <c r="D49" s="51" t="s">
        <v>62</v>
      </c>
      <c r="E49" s="90"/>
      <c r="F49" s="90"/>
      <c r="G49" s="90"/>
      <c r="H49" s="104">
        <f>SUM(G45:G48)</f>
        <v>128111.99999999999</v>
      </c>
    </row>
    <row r="50" spans="1:9" x14ac:dyDescent="0.25">
      <c r="A50" s="49"/>
      <c r="E50" s="77"/>
      <c r="F50" s="77"/>
      <c r="G50" s="77"/>
      <c r="H50" s="74"/>
      <c r="I50" s="4"/>
    </row>
    <row r="51" spans="1:9" x14ac:dyDescent="0.25">
      <c r="A51" s="49"/>
      <c r="D51" s="51" t="s">
        <v>63</v>
      </c>
      <c r="E51" s="90"/>
      <c r="F51" s="90"/>
      <c r="G51" s="77"/>
      <c r="H51" s="104">
        <f>H42+H49</f>
        <v>555152</v>
      </c>
    </row>
    <row r="52" spans="1:9" x14ac:dyDescent="0.25">
      <c r="A52" s="49"/>
      <c r="D52" s="51"/>
      <c r="E52" s="90"/>
      <c r="F52" s="90"/>
      <c r="G52" s="77"/>
      <c r="H52" s="74"/>
    </row>
    <row r="53" spans="1:9" x14ac:dyDescent="0.25">
      <c r="A53" s="49"/>
      <c r="D53" s="51"/>
      <c r="E53" s="90"/>
      <c r="F53" s="90"/>
      <c r="G53" s="77"/>
      <c r="H53" s="74"/>
    </row>
    <row r="54" spans="1:9" x14ac:dyDescent="0.25">
      <c r="A54" s="49"/>
      <c r="E54" s="90"/>
      <c r="F54" s="90"/>
      <c r="G54" s="77"/>
      <c r="H54" s="74"/>
    </row>
    <row r="55" spans="1:9" x14ac:dyDescent="0.25">
      <c r="A55" s="57"/>
      <c r="B55" s="59"/>
      <c r="D55" s="95"/>
      <c r="E55" s="96"/>
      <c r="F55" s="96"/>
      <c r="G55" s="58"/>
      <c r="H55" s="74"/>
    </row>
    <row r="56" spans="1:9" ht="15" x14ac:dyDescent="0.25">
      <c r="A56" s="98" t="e">
        <f>+#REF!</f>
        <v>#REF!</v>
      </c>
      <c r="D56" s="99" t="e">
        <f>+#REF!</f>
        <v>#REF!</v>
      </c>
      <c r="E56" s="90"/>
      <c r="F56" s="90"/>
      <c r="G56" s="77"/>
      <c r="H56" s="74"/>
    </row>
    <row r="57" spans="1:9" ht="15" x14ac:dyDescent="0.25">
      <c r="A57" s="100" t="e">
        <f>+#REF!</f>
        <v>#REF!</v>
      </c>
      <c r="D57" s="99" t="e">
        <f>+#REF!</f>
        <v>#REF!</v>
      </c>
      <c r="E57" s="90"/>
      <c r="F57" s="90"/>
      <c r="G57" s="77"/>
      <c r="H57" s="74"/>
    </row>
    <row r="58" spans="1:9" ht="15.6" thickBot="1" x14ac:dyDescent="0.3">
      <c r="A58" s="103" t="e">
        <f>#REF!</f>
        <v>#REF!</v>
      </c>
      <c r="B58" s="48"/>
      <c r="C58" s="48"/>
      <c r="D58" s="101" t="e">
        <f>+#REF!</f>
        <v>#REF!</v>
      </c>
      <c r="E58" s="94"/>
      <c r="F58" s="94"/>
      <c r="G58" s="94"/>
      <c r="H58" s="102"/>
    </row>
  </sheetData>
  <mergeCells count="5">
    <mergeCell ref="A1:H1"/>
    <mergeCell ref="A2:H2"/>
    <mergeCell ref="A3:H3"/>
    <mergeCell ref="A5:H5"/>
    <mergeCell ref="A7:H7"/>
  </mergeCells>
  <pageMargins left="0.7" right="0.7" top="0.75" bottom="0.75" header="0.3" footer="0.3"/>
  <pageSetup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>
    <pageSetUpPr fitToPage="1"/>
  </sheetPr>
  <dimension ref="A1:AM44"/>
  <sheetViews>
    <sheetView showGridLines="0" tabSelected="1" topLeftCell="A13" zoomScaleNormal="100" zoomScaleSheetLayoutView="100" workbookViewId="0">
      <selection activeCell="I19" sqref="I19"/>
    </sheetView>
  </sheetViews>
  <sheetFormatPr baseColWidth="10" defaultColWidth="11.44140625" defaultRowHeight="13.8" x14ac:dyDescent="0.3"/>
  <cols>
    <col min="1" max="1" width="6.33203125" style="46" customWidth="1"/>
    <col min="2" max="2" width="12.6640625" style="46" customWidth="1"/>
    <col min="3" max="3" width="46.5546875" style="45" customWidth="1"/>
    <col min="4" max="4" width="8.88671875" style="46" customWidth="1"/>
    <col min="5" max="5" width="9.33203125" style="46" customWidth="1"/>
    <col min="6" max="6" width="14" style="110" customWidth="1"/>
    <col min="7" max="7" width="21.44140625" style="111" customWidth="1"/>
    <col min="8" max="8" width="13.88671875" style="111" bestFit="1" customWidth="1"/>
    <col min="9" max="9" width="26.109375" style="108" customWidth="1"/>
    <col min="10" max="10" width="17.6640625" style="105" bestFit="1" customWidth="1"/>
    <col min="11" max="11" width="17.6640625" style="105" customWidth="1"/>
    <col min="12" max="12" width="16.6640625" style="106" customWidth="1"/>
    <col min="13" max="13" width="23.33203125" style="106" customWidth="1"/>
    <col min="14" max="14" width="23.6640625" style="106" customWidth="1"/>
    <col min="15" max="15" width="26.33203125" style="106" customWidth="1"/>
    <col min="16" max="16" width="23.88671875" style="106" customWidth="1"/>
    <col min="17" max="17" width="17.88671875" style="106" bestFit="1" customWidth="1"/>
    <col min="18" max="18" width="11.44140625" style="106"/>
    <col min="19" max="19" width="30" style="106" customWidth="1"/>
    <col min="20" max="20" width="22.109375" style="107" customWidth="1"/>
    <col min="21" max="16384" width="11.44140625" style="106"/>
  </cols>
  <sheetData>
    <row r="1" spans="1:27" ht="12.75" customHeight="1" x14ac:dyDescent="0.3">
      <c r="A1" s="398"/>
      <c r="B1" s="398"/>
      <c r="C1" s="399" t="s">
        <v>195</v>
      </c>
      <c r="D1" s="401" t="s">
        <v>196</v>
      </c>
      <c r="E1" s="402"/>
      <c r="F1" s="155">
        <v>103</v>
      </c>
      <c r="G1" s="403"/>
      <c r="H1" s="174"/>
      <c r="I1"/>
      <c r="J1"/>
      <c r="K1"/>
      <c r="L1"/>
      <c r="T1" s="106"/>
      <c r="AA1" s="107"/>
    </row>
    <row r="2" spans="1:27" ht="16.5" customHeight="1" x14ac:dyDescent="0.3">
      <c r="A2" s="398"/>
      <c r="B2" s="398"/>
      <c r="C2" s="400"/>
      <c r="D2" s="404" t="s">
        <v>163</v>
      </c>
      <c r="E2" s="405"/>
      <c r="F2" s="408">
        <v>51</v>
      </c>
      <c r="G2" s="403"/>
      <c r="H2" s="174"/>
      <c r="I2"/>
      <c r="J2"/>
      <c r="K2"/>
      <c r="L2"/>
      <c r="T2" s="106"/>
      <c r="AA2" s="107"/>
    </row>
    <row r="3" spans="1:27" ht="16.5" customHeight="1" x14ac:dyDescent="0.3">
      <c r="A3" s="398"/>
      <c r="B3" s="398"/>
      <c r="C3" s="169" t="s">
        <v>164</v>
      </c>
      <c r="D3" s="406"/>
      <c r="E3" s="407"/>
      <c r="F3" s="409"/>
      <c r="G3" s="403"/>
      <c r="H3" s="174"/>
      <c r="I3"/>
      <c r="J3"/>
      <c r="K3"/>
      <c r="L3"/>
      <c r="T3" s="106"/>
      <c r="AA3" s="107"/>
    </row>
    <row r="4" spans="1:27" ht="14.4" x14ac:dyDescent="0.3">
      <c r="A4" s="398"/>
      <c r="B4" s="398"/>
      <c r="C4" s="170" t="s">
        <v>165</v>
      </c>
      <c r="D4" s="410" t="s">
        <v>166</v>
      </c>
      <c r="E4" s="411"/>
      <c r="F4" s="171">
        <v>1</v>
      </c>
      <c r="G4" s="403"/>
      <c r="H4" s="174"/>
      <c r="I4"/>
      <c r="J4"/>
      <c r="K4"/>
      <c r="L4"/>
      <c r="T4" s="106"/>
      <c r="AA4" s="107"/>
    </row>
    <row r="5" spans="1:27" ht="12.75" customHeight="1" x14ac:dyDescent="0.3">
      <c r="A5" s="398"/>
      <c r="B5" s="398"/>
      <c r="C5" s="412" t="s">
        <v>167</v>
      </c>
      <c r="D5" s="412" t="s">
        <v>168</v>
      </c>
      <c r="E5" s="412"/>
      <c r="F5" s="169" t="s">
        <v>169</v>
      </c>
      <c r="G5" s="403"/>
      <c r="H5" s="174"/>
      <c r="I5"/>
      <c r="J5"/>
      <c r="K5"/>
      <c r="L5"/>
      <c r="T5" s="106"/>
      <c r="AA5" s="107"/>
    </row>
    <row r="6" spans="1:27" ht="12.75" customHeight="1" x14ac:dyDescent="0.3">
      <c r="A6" s="398"/>
      <c r="B6" s="398"/>
      <c r="C6" s="412"/>
      <c r="D6" s="412"/>
      <c r="E6" s="412"/>
      <c r="F6" s="172">
        <v>45402</v>
      </c>
      <c r="G6" s="403"/>
      <c r="H6" s="174"/>
      <c r="I6"/>
      <c r="J6"/>
      <c r="K6"/>
      <c r="L6"/>
      <c r="T6" s="106"/>
      <c r="AA6" s="107"/>
    </row>
    <row r="7" spans="1:27" ht="12.75" customHeight="1" thickBot="1" x14ac:dyDescent="0.35">
      <c r="A7" s="112"/>
      <c r="B7" s="112"/>
      <c r="C7" s="112"/>
      <c r="D7" s="112"/>
      <c r="E7" s="112"/>
      <c r="F7" s="112"/>
      <c r="G7" s="173"/>
      <c r="H7" s="173"/>
      <c r="I7"/>
      <c r="J7"/>
      <c r="K7"/>
      <c r="L7"/>
      <c r="T7" s="106"/>
      <c r="AA7" s="107"/>
    </row>
    <row r="8" spans="1:27" ht="20.100000000000001" customHeight="1" x14ac:dyDescent="0.3">
      <c r="A8" s="415" t="s">
        <v>257</v>
      </c>
      <c r="B8" s="416"/>
      <c r="C8" s="416"/>
      <c r="D8" s="416"/>
      <c r="E8" s="416"/>
      <c r="F8" s="416"/>
      <c r="G8" s="417"/>
      <c r="H8" s="226"/>
      <c r="I8"/>
      <c r="J8"/>
      <c r="K8"/>
      <c r="L8"/>
      <c r="T8" s="106"/>
      <c r="AA8" s="107"/>
    </row>
    <row r="9" spans="1:27" ht="19.350000000000001" customHeight="1" thickBot="1" x14ac:dyDescent="0.35">
      <c r="A9" s="418"/>
      <c r="B9" s="419"/>
      <c r="C9" s="419"/>
      <c r="D9" s="419"/>
      <c r="E9" s="419"/>
      <c r="F9" s="419"/>
      <c r="G9" s="420"/>
      <c r="H9" s="226"/>
      <c r="I9"/>
      <c r="J9"/>
      <c r="K9"/>
      <c r="L9"/>
      <c r="T9" s="106"/>
      <c r="AA9" s="107"/>
    </row>
    <row r="10" spans="1:27" ht="16.350000000000001" customHeight="1" thickBot="1" x14ac:dyDescent="0.35">
      <c r="A10" s="112"/>
      <c r="B10" s="112"/>
      <c r="C10" s="112"/>
      <c r="D10" s="112"/>
      <c r="E10" s="112"/>
      <c r="F10" s="112"/>
      <c r="G10" s="174"/>
      <c r="H10" s="174"/>
      <c r="I10"/>
      <c r="J10"/>
      <c r="K10" s="193">
        <f>5000000/12</f>
        <v>416666.66666666669</v>
      </c>
      <c r="L10" s="365">
        <v>200</v>
      </c>
      <c r="T10" s="106"/>
      <c r="AA10" s="107"/>
    </row>
    <row r="11" spans="1:27" ht="18.149999999999999" customHeight="1" thickBot="1" x14ac:dyDescent="0.35">
      <c r="A11" s="421" t="s">
        <v>197</v>
      </c>
      <c r="B11" s="422"/>
      <c r="C11" s="422"/>
      <c r="D11" s="422"/>
      <c r="E11" s="422"/>
      <c r="F11" s="422"/>
      <c r="G11" s="423"/>
      <c r="H11" s="174"/>
      <c r="I11"/>
      <c r="J11" s="362" t="s">
        <v>259</v>
      </c>
      <c r="K11" s="363">
        <v>5000000</v>
      </c>
      <c r="L11" s="365" t="s">
        <v>263</v>
      </c>
      <c r="T11" s="106"/>
      <c r="AA11" s="107"/>
    </row>
    <row r="12" spans="1:27" ht="13.05" customHeight="1" x14ac:dyDescent="0.3">
      <c r="A12" s="112"/>
      <c r="B12" s="112"/>
      <c r="C12" s="112"/>
      <c r="D12" s="112"/>
      <c r="E12" s="112"/>
      <c r="F12" s="112"/>
      <c r="G12" s="174"/>
      <c r="H12" s="174"/>
      <c r="I12" s="193"/>
      <c r="J12" s="362" t="s">
        <v>260</v>
      </c>
      <c r="K12" s="364">
        <v>100000</v>
      </c>
      <c r="L12" s="366"/>
    </row>
    <row r="13" spans="1:27" ht="13.05" customHeight="1" x14ac:dyDescent="0.3">
      <c r="A13" s="252" t="s">
        <v>3</v>
      </c>
      <c r="B13" s="424" t="s">
        <v>19</v>
      </c>
      <c r="C13" s="424"/>
      <c r="D13" s="252" t="s">
        <v>20</v>
      </c>
      <c r="E13" s="252" t="s">
        <v>21</v>
      </c>
      <c r="F13" s="253" t="s">
        <v>22</v>
      </c>
      <c r="G13" s="254" t="s">
        <v>23</v>
      </c>
      <c r="H13" s="227"/>
      <c r="I13" s="225"/>
      <c r="J13" s="362" t="s">
        <v>261</v>
      </c>
      <c r="K13" s="364">
        <v>450000</v>
      </c>
      <c r="L13" s="366" t="s">
        <v>264</v>
      </c>
      <c r="M13" s="375">
        <f>450000/9</f>
        <v>50000</v>
      </c>
    </row>
    <row r="14" spans="1:27" ht="13.05" customHeight="1" x14ac:dyDescent="0.3">
      <c r="A14" s="425" t="s">
        <v>258</v>
      </c>
      <c r="B14" s="426"/>
      <c r="C14" s="426"/>
      <c r="D14" s="426"/>
      <c r="E14" s="426"/>
      <c r="F14" s="426"/>
      <c r="G14" s="427"/>
      <c r="H14" s="227"/>
      <c r="I14" s="225"/>
      <c r="J14" s="362" t="s">
        <v>262</v>
      </c>
      <c r="K14" s="364">
        <v>200000</v>
      </c>
      <c r="L14" s="366"/>
    </row>
    <row r="15" spans="1:27" s="105" customFormat="1" ht="17.25" customHeight="1" x14ac:dyDescent="0.3">
      <c r="A15" s="280">
        <v>1</v>
      </c>
      <c r="B15" s="394" t="s">
        <v>266</v>
      </c>
      <c r="C15" s="395"/>
      <c r="D15" s="395"/>
      <c r="E15" s="395"/>
      <c r="F15" s="395"/>
      <c r="G15" s="396"/>
      <c r="H15" s="224"/>
      <c r="I15" s="193"/>
      <c r="J15" s="363" t="s">
        <v>265</v>
      </c>
      <c r="K15" s="193">
        <v>5700000</v>
      </c>
      <c r="L15" s="367" t="s">
        <v>263</v>
      </c>
      <c r="M15" s="106"/>
      <c r="N15" s="106"/>
      <c r="O15" s="106"/>
      <c r="P15" s="106"/>
      <c r="Q15" s="106"/>
      <c r="R15" s="106"/>
      <c r="S15" s="106"/>
      <c r="T15" s="107"/>
      <c r="U15" s="106"/>
      <c r="V15" s="106"/>
      <c r="W15" s="106"/>
      <c r="X15" s="106"/>
      <c r="Y15" s="106"/>
      <c r="Z15" s="106"/>
      <c r="AA15" s="106"/>
    </row>
    <row r="16" spans="1:27" s="105" customFormat="1" ht="14.4" x14ac:dyDescent="0.3">
      <c r="A16" s="252">
        <v>1.1000000000000001</v>
      </c>
      <c r="B16" s="414" t="s">
        <v>267</v>
      </c>
      <c r="C16" s="414"/>
      <c r="D16" s="250" t="s">
        <v>240</v>
      </c>
      <c r="E16" s="232">
        <f>'MEMORIA CANTIDADES'!I29</f>
        <v>54</v>
      </c>
      <c r="F16" s="231">
        <f>APUS!H39</f>
        <v>703812.5</v>
      </c>
      <c r="G16" s="220">
        <f t="shared" ref="G16:G17" si="0">+ROUND(E16*F16,2)</f>
        <v>38005875</v>
      </c>
      <c r="H16" s="224"/>
      <c r="I16" s="193"/>
      <c r="J16" s="193"/>
      <c r="K16" s="193"/>
      <c r="L16" s="109"/>
      <c r="M16" s="106"/>
      <c r="N16" s="106"/>
      <c r="O16" s="106"/>
      <c r="P16" s="106"/>
      <c r="Q16" s="106"/>
      <c r="R16" s="106"/>
      <c r="S16" s="106"/>
      <c r="T16" s="107"/>
      <c r="U16" s="106"/>
      <c r="V16" s="106"/>
      <c r="W16" s="106"/>
      <c r="X16" s="106"/>
      <c r="Y16" s="106"/>
      <c r="Z16" s="106"/>
      <c r="AA16" s="106"/>
    </row>
    <row r="17" spans="1:39" s="105" customFormat="1" ht="14.4" x14ac:dyDescent="0.3">
      <c r="A17" s="252">
        <v>1.2</v>
      </c>
      <c r="B17" s="413" t="s">
        <v>276</v>
      </c>
      <c r="C17" s="413"/>
      <c r="D17" s="250" t="s">
        <v>240</v>
      </c>
      <c r="E17" s="232">
        <f>'MEMORIA CANTIDADES'!I45</f>
        <v>129</v>
      </c>
      <c r="F17" s="231">
        <f>APUS!H92</f>
        <v>203812.5</v>
      </c>
      <c r="G17" s="220">
        <f t="shared" si="0"/>
        <v>26291812.5</v>
      </c>
      <c r="H17" s="224"/>
      <c r="I17" s="193"/>
      <c r="J17" s="193"/>
      <c r="K17" s="193"/>
      <c r="L17" s="109"/>
      <c r="M17" s="106"/>
      <c r="N17" s="106"/>
      <c r="O17" s="106"/>
      <c r="P17" s="106"/>
      <c r="Q17" s="106"/>
      <c r="R17" s="106"/>
      <c r="S17" s="106"/>
      <c r="T17" s="107"/>
      <c r="U17" s="106"/>
      <c r="V17" s="106"/>
      <c r="W17" s="106"/>
      <c r="X17" s="106"/>
      <c r="Y17" s="106"/>
      <c r="Z17" s="106"/>
      <c r="AA17" s="106"/>
    </row>
    <row r="18" spans="1:39" x14ac:dyDescent="0.3">
      <c r="A18" s="252"/>
      <c r="B18" s="397" t="s">
        <v>199</v>
      </c>
      <c r="C18" s="397"/>
      <c r="D18" s="397"/>
      <c r="E18" s="397"/>
      <c r="F18" s="397"/>
      <c r="G18" s="251">
        <f>ROUND(SUM(G16:G17),2)</f>
        <v>64297687.5</v>
      </c>
    </row>
    <row r="19" spans="1:39" s="105" customFormat="1" ht="14.4" customHeight="1" x14ac:dyDescent="0.3">
      <c r="A19" s="280">
        <v>2</v>
      </c>
      <c r="B19" s="394" t="s">
        <v>268</v>
      </c>
      <c r="C19" s="395"/>
      <c r="D19" s="395"/>
      <c r="E19" s="395"/>
      <c r="F19" s="395"/>
      <c r="G19" s="396"/>
      <c r="H19" s="111"/>
      <c r="I19" s="108"/>
      <c r="L19" s="106"/>
      <c r="M19" s="106"/>
      <c r="N19" s="106"/>
      <c r="O19" s="106"/>
      <c r="P19" s="106"/>
      <c r="Q19" s="106"/>
      <c r="R19" s="106"/>
      <c r="S19" s="106"/>
      <c r="T19" s="107"/>
      <c r="U19" s="106"/>
      <c r="V19" s="106"/>
      <c r="W19" s="106"/>
      <c r="X19" s="106"/>
      <c r="Y19" s="106"/>
      <c r="Z19" s="106"/>
      <c r="AA19" s="106"/>
    </row>
    <row r="20" spans="1:39" s="105" customFormat="1" x14ac:dyDescent="0.3">
      <c r="A20" s="252">
        <v>2.1</v>
      </c>
      <c r="B20" s="413" t="s">
        <v>269</v>
      </c>
      <c r="C20" s="413"/>
      <c r="D20" s="250" t="s">
        <v>240</v>
      </c>
      <c r="E20" s="232">
        <f>'MEMORIA CANTIDADES'!I60</f>
        <v>72</v>
      </c>
      <c r="F20" s="231">
        <f>APUS!H147</f>
        <v>111541.66</v>
      </c>
      <c r="G20" s="220">
        <f t="shared" ref="G20:G23" si="1">+ROUND(E20*F20,2)</f>
        <v>8030999.5199999996</v>
      </c>
      <c r="H20" s="111"/>
      <c r="I20" s="108"/>
      <c r="L20" s="106"/>
      <c r="M20" s="106"/>
      <c r="N20" s="106"/>
      <c r="O20" s="106"/>
      <c r="P20" s="106"/>
      <c r="Q20" s="106"/>
      <c r="R20" s="106"/>
      <c r="S20" s="106"/>
      <c r="T20" s="107"/>
      <c r="U20" s="106"/>
      <c r="V20" s="106"/>
      <c r="W20" s="106"/>
      <c r="X20" s="106"/>
      <c r="Y20" s="106"/>
      <c r="Z20" s="106"/>
      <c r="AA20" s="106"/>
    </row>
    <row r="21" spans="1:39" s="105" customFormat="1" x14ac:dyDescent="0.3">
      <c r="A21" s="252">
        <v>2.2000000000000002</v>
      </c>
      <c r="B21" s="389" t="s">
        <v>288</v>
      </c>
      <c r="C21" s="390"/>
      <c r="D21" s="250" t="s">
        <v>201</v>
      </c>
      <c r="E21" s="232">
        <f>'MEMORIA CANTIDADES'!I76</f>
        <v>96</v>
      </c>
      <c r="F21" s="231">
        <f>APUS!H203</f>
        <v>227975</v>
      </c>
      <c r="G21" s="220">
        <f t="shared" si="1"/>
        <v>21885600</v>
      </c>
      <c r="H21" s="111"/>
      <c r="I21" s="108"/>
      <c r="L21" s="106"/>
      <c r="M21" s="106"/>
      <c r="N21" s="106"/>
      <c r="O21" s="106"/>
      <c r="P21" s="106"/>
      <c r="Q21" s="106"/>
      <c r="R21" s="106"/>
      <c r="S21" s="106"/>
      <c r="T21" s="107"/>
      <c r="U21" s="106"/>
      <c r="V21" s="106"/>
      <c r="W21" s="106"/>
      <c r="X21" s="106"/>
      <c r="Y21" s="106"/>
      <c r="Z21" s="106"/>
      <c r="AA21" s="106"/>
    </row>
    <row r="22" spans="1:39" x14ac:dyDescent="0.3">
      <c r="A22" s="252">
        <v>2.2999999999999998</v>
      </c>
      <c r="B22" s="389" t="s">
        <v>270</v>
      </c>
      <c r="C22" s="390"/>
      <c r="D22" s="250" t="s">
        <v>240</v>
      </c>
      <c r="E22" s="232">
        <f>'MEMORIA CANTIDADES'!I91</f>
        <v>84</v>
      </c>
      <c r="F22" s="231">
        <f>APUS!H259</f>
        <v>353812.5</v>
      </c>
      <c r="G22" s="220">
        <f t="shared" si="1"/>
        <v>29720250</v>
      </c>
    </row>
    <row r="23" spans="1:39" ht="15" customHeight="1" x14ac:dyDescent="0.3">
      <c r="A23" s="252">
        <v>2.4</v>
      </c>
      <c r="B23" s="389" t="s">
        <v>271</v>
      </c>
      <c r="C23" s="390"/>
      <c r="D23" s="250" t="s">
        <v>240</v>
      </c>
      <c r="E23" s="232">
        <f>'MEMORIA CANTIDADES'!I108</f>
        <v>72</v>
      </c>
      <c r="F23" s="231">
        <f>APUS!H314</f>
        <v>111541.66</v>
      </c>
      <c r="G23" s="220">
        <f t="shared" si="1"/>
        <v>8030999.5199999996</v>
      </c>
      <c r="M23" s="105"/>
      <c r="N23" s="105"/>
      <c r="O23" s="105"/>
      <c r="P23" s="105"/>
      <c r="Q23" s="105"/>
      <c r="R23" s="105"/>
      <c r="S23" s="105"/>
      <c r="T23" s="106"/>
      <c r="AF23" s="107"/>
    </row>
    <row r="24" spans="1:39" x14ac:dyDescent="0.3">
      <c r="A24" s="252"/>
      <c r="B24" s="397" t="s">
        <v>199</v>
      </c>
      <c r="C24" s="397"/>
      <c r="D24" s="397"/>
      <c r="E24" s="397"/>
      <c r="F24" s="397"/>
      <c r="G24" s="251">
        <f>ROUND(SUM(G20:G23),2)</f>
        <v>67667849.040000007</v>
      </c>
    </row>
    <row r="25" spans="1:39" s="105" customFormat="1" ht="14.4" customHeight="1" x14ac:dyDescent="0.3">
      <c r="A25" s="280">
        <v>3</v>
      </c>
      <c r="B25" s="394" t="s">
        <v>272</v>
      </c>
      <c r="C25" s="395"/>
      <c r="D25" s="395"/>
      <c r="E25" s="395"/>
      <c r="F25" s="395"/>
      <c r="G25" s="396"/>
      <c r="H25" s="111"/>
      <c r="I25" s="108"/>
      <c r="L25" s="106"/>
      <c r="M25" s="106"/>
      <c r="N25" s="106"/>
      <c r="O25" s="106"/>
      <c r="P25" s="106"/>
      <c r="Q25" s="106"/>
      <c r="R25" s="106"/>
      <c r="S25" s="106"/>
      <c r="T25" s="107"/>
      <c r="U25" s="106"/>
      <c r="V25" s="106"/>
      <c r="W25" s="106"/>
      <c r="X25" s="106"/>
      <c r="Y25" s="106"/>
      <c r="Z25" s="106"/>
      <c r="AA25" s="106"/>
    </row>
    <row r="26" spans="1:39" s="105" customFormat="1" ht="15" customHeight="1" x14ac:dyDescent="0.3">
      <c r="A26" s="252">
        <v>3.1</v>
      </c>
      <c r="B26" s="389" t="s">
        <v>273</v>
      </c>
      <c r="C26" s="390"/>
      <c r="D26" s="250" t="s">
        <v>201</v>
      </c>
      <c r="E26" s="232">
        <f>'MEMORIA CANTIDADES'!I124</f>
        <v>40</v>
      </c>
      <c r="F26" s="231">
        <f>APUS!H370</f>
        <v>227975</v>
      </c>
      <c r="G26" s="220">
        <f t="shared" ref="G26" si="2">+ROUND(E26*F26,2)</f>
        <v>9119000</v>
      </c>
      <c r="H26" s="111"/>
      <c r="I26" s="108"/>
      <c r="L26" s="106"/>
      <c r="M26" s="106"/>
      <c r="N26" s="106"/>
      <c r="O26" s="106"/>
      <c r="P26" s="106"/>
      <c r="Q26" s="106"/>
      <c r="R26" s="106"/>
      <c r="S26" s="106"/>
      <c r="T26" s="107"/>
      <c r="U26" s="106"/>
      <c r="V26" s="106"/>
      <c r="W26" s="106"/>
      <c r="X26" s="106"/>
      <c r="Y26" s="106"/>
      <c r="Z26" s="106"/>
      <c r="AA26" s="106"/>
    </row>
    <row r="27" spans="1:39" ht="13.8" customHeight="1" x14ac:dyDescent="0.3">
      <c r="A27" s="252"/>
      <c r="B27" s="397" t="s">
        <v>199</v>
      </c>
      <c r="C27" s="397"/>
      <c r="D27" s="397"/>
      <c r="E27" s="397"/>
      <c r="F27" s="397"/>
      <c r="G27" s="251">
        <f>ROUND(SUM(G26:G26),2)</f>
        <v>9119000</v>
      </c>
    </row>
    <row r="28" spans="1:39" s="105" customFormat="1" ht="14.4" customHeight="1" x14ac:dyDescent="0.3">
      <c r="A28" s="280">
        <v>4</v>
      </c>
      <c r="B28" s="394" t="s">
        <v>274</v>
      </c>
      <c r="C28" s="395"/>
      <c r="D28" s="395"/>
      <c r="E28" s="395"/>
      <c r="F28" s="395"/>
      <c r="G28" s="396"/>
      <c r="H28" s="111"/>
      <c r="I28" s="108"/>
      <c r="L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7"/>
      <c r="AG28" s="106"/>
      <c r="AH28" s="106"/>
      <c r="AI28" s="106"/>
      <c r="AJ28" s="106"/>
      <c r="AK28" s="106"/>
      <c r="AL28" s="106"/>
      <c r="AM28" s="106"/>
    </row>
    <row r="29" spans="1:39" s="105" customFormat="1" x14ac:dyDescent="0.3">
      <c r="A29" s="252">
        <v>4.0999999999999996</v>
      </c>
      <c r="B29" s="389" t="s">
        <v>275</v>
      </c>
      <c r="C29" s="390"/>
      <c r="D29" s="250" t="s">
        <v>241</v>
      </c>
      <c r="E29" s="232">
        <f>'MEMORIA CANTIDADES'!I138</f>
        <v>1</v>
      </c>
      <c r="F29" s="231">
        <f>APUS!H426</f>
        <v>3989408</v>
      </c>
      <c r="G29" s="220">
        <f t="shared" ref="G29" si="3">+ROUND(E29*F29,2)</f>
        <v>3989408</v>
      </c>
      <c r="H29" s="111"/>
      <c r="I29" s="108"/>
      <c r="L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7"/>
      <c r="AG29" s="106"/>
      <c r="AH29" s="106"/>
      <c r="AI29" s="106"/>
      <c r="AJ29" s="106"/>
      <c r="AK29" s="106"/>
      <c r="AL29" s="106"/>
      <c r="AM29" s="106"/>
    </row>
    <row r="30" spans="1:39" ht="13.8" customHeight="1" x14ac:dyDescent="0.3">
      <c r="A30" s="252"/>
      <c r="B30" s="397" t="s">
        <v>199</v>
      </c>
      <c r="C30" s="397"/>
      <c r="D30" s="397"/>
      <c r="E30" s="397"/>
      <c r="F30" s="397"/>
      <c r="G30" s="251">
        <f>ROUND(SUM(G29:G29),2)</f>
        <v>3989408</v>
      </c>
    </row>
    <row r="31" spans="1:39" ht="15.75" customHeight="1" x14ac:dyDescent="0.3">
      <c r="A31" s="391" t="s">
        <v>231</v>
      </c>
      <c r="B31" s="392"/>
      <c r="C31" s="392"/>
      <c r="D31" s="392"/>
      <c r="E31" s="392"/>
      <c r="F31" s="393"/>
      <c r="G31" s="255">
        <f>G18+G24+G27+G30</f>
        <v>145073944.54000002</v>
      </c>
      <c r="H31" s="228"/>
      <c r="I31" s="222"/>
      <c r="J31" s="222"/>
      <c r="K31" s="222"/>
      <c r="L31" s="222"/>
    </row>
    <row r="32" spans="1:39" s="105" customFormat="1" ht="17.25" customHeight="1" x14ac:dyDescent="0.3">
      <c r="A32" s="431" t="s">
        <v>59</v>
      </c>
      <c r="B32" s="432"/>
      <c r="C32" s="432"/>
      <c r="D32" s="432"/>
      <c r="E32" s="432"/>
      <c r="F32" s="267">
        <f>'DESGLOSE AIU'!$F$41</f>
        <v>0.29489569637368052</v>
      </c>
      <c r="G32" s="294">
        <f>ROUND(F32*$G$31,2)</f>
        <v>42781681.899999999</v>
      </c>
      <c r="I32" s="193"/>
      <c r="J32" s="193"/>
      <c r="K32" s="193"/>
      <c r="L32" s="109"/>
      <c r="M32" s="106"/>
      <c r="N32" s="106"/>
      <c r="O32" s="106"/>
      <c r="P32" s="106"/>
      <c r="Q32" s="106"/>
      <c r="R32" s="106"/>
      <c r="S32" s="106"/>
      <c r="T32" s="107"/>
      <c r="U32" s="106"/>
      <c r="V32" s="106"/>
      <c r="W32" s="106"/>
      <c r="X32" s="106"/>
      <c r="Y32" s="106"/>
      <c r="Z32" s="106"/>
      <c r="AA32" s="106"/>
    </row>
    <row r="33" spans="1:28" s="105" customFormat="1" ht="17.25" customHeight="1" x14ac:dyDescent="0.3">
      <c r="A33" s="431" t="s">
        <v>60</v>
      </c>
      <c r="B33" s="432"/>
      <c r="C33" s="432"/>
      <c r="D33" s="432"/>
      <c r="E33" s="432"/>
      <c r="F33" s="267">
        <f>'DESGLOSE AIU'!$F$42</f>
        <v>0.02</v>
      </c>
      <c r="G33" s="294">
        <f>ROUND(F33*$G$31,2)</f>
        <v>2901478.89</v>
      </c>
      <c r="I33" s="288"/>
      <c r="J33" s="287"/>
      <c r="K33" s="193"/>
      <c r="L33" s="109"/>
      <c r="M33" s="106"/>
      <c r="N33" s="106"/>
      <c r="O33" s="106"/>
      <c r="P33" s="106"/>
      <c r="Q33" s="106"/>
      <c r="R33" s="106"/>
      <c r="S33" s="106"/>
      <c r="T33" s="107"/>
      <c r="U33" s="106"/>
      <c r="V33" s="106"/>
      <c r="W33" s="106"/>
      <c r="X33" s="106"/>
      <c r="Y33" s="106"/>
      <c r="Z33" s="106"/>
      <c r="AA33" s="106"/>
    </row>
    <row r="34" spans="1:28" s="105" customFormat="1" ht="17.25" customHeight="1" x14ac:dyDescent="0.3">
      <c r="A34" s="431" t="s">
        <v>61</v>
      </c>
      <c r="B34" s="432"/>
      <c r="C34" s="432"/>
      <c r="D34" s="432"/>
      <c r="E34" s="432"/>
      <c r="F34" s="267">
        <f>'DESGLOSE AIU'!$F$43</f>
        <v>0.03</v>
      </c>
      <c r="G34" s="294">
        <f>ROUND(F34*$G$31,2)</f>
        <v>4352218.34</v>
      </c>
      <c r="I34" s="288"/>
      <c r="J34" s="291"/>
      <c r="K34" s="193"/>
      <c r="L34" s="109"/>
      <c r="M34" s="106"/>
      <c r="N34" s="106"/>
      <c r="O34" s="106"/>
      <c r="P34" s="106"/>
      <c r="Q34" s="106"/>
      <c r="R34" s="106"/>
      <c r="S34" s="106"/>
      <c r="T34" s="107"/>
      <c r="U34" s="106"/>
      <c r="V34" s="106"/>
      <c r="W34" s="106"/>
      <c r="X34" s="106"/>
      <c r="Y34" s="106"/>
      <c r="Z34" s="106"/>
      <c r="AA34" s="106"/>
    </row>
    <row r="35" spans="1:28" s="105" customFormat="1" ht="17.25" customHeight="1" x14ac:dyDescent="0.3">
      <c r="A35" s="433" t="s">
        <v>232</v>
      </c>
      <c r="B35" s="434"/>
      <c r="C35" s="434"/>
      <c r="D35" s="434"/>
      <c r="E35" s="434"/>
      <c r="F35" s="435"/>
      <c r="G35" s="295">
        <f>SUM(G32:G34)</f>
        <v>50035379.129999995</v>
      </c>
      <c r="I35" s="288"/>
      <c r="J35" s="287"/>
      <c r="K35" s="193"/>
      <c r="L35" s="109"/>
      <c r="M35" s="106"/>
      <c r="N35" s="106"/>
      <c r="O35" s="106"/>
      <c r="P35" s="106"/>
      <c r="Q35" s="106"/>
      <c r="R35" s="106"/>
      <c r="S35" s="106"/>
      <c r="T35" s="107"/>
      <c r="U35" s="106"/>
      <c r="V35" s="106"/>
      <c r="W35" s="106"/>
      <c r="X35" s="106"/>
      <c r="Y35" s="106"/>
      <c r="Z35" s="106"/>
      <c r="AA35" s="106"/>
    </row>
    <row r="36" spans="1:28" s="105" customFormat="1" ht="14.4" x14ac:dyDescent="0.3">
      <c r="A36" s="428" t="s">
        <v>205</v>
      </c>
      <c r="B36" s="429"/>
      <c r="C36" s="429"/>
      <c r="D36" s="429"/>
      <c r="E36" s="429"/>
      <c r="F36" s="430"/>
      <c r="G36" s="268">
        <f>ROUND(G31+G35,2)</f>
        <v>195109323.66999999</v>
      </c>
      <c r="I36" s="289"/>
      <c r="J36" s="291"/>
      <c r="K36" s="287"/>
      <c r="L36" s="287"/>
      <c r="M36" s="287"/>
      <c r="N36" s="106"/>
      <c r="O36" s="106"/>
      <c r="P36" s="106"/>
      <c r="Q36" s="106"/>
      <c r="R36" s="106"/>
      <c r="S36" s="106"/>
      <c r="T36" s="106"/>
      <c r="U36" s="107"/>
      <c r="V36" s="106"/>
      <c r="W36" s="106"/>
      <c r="X36" s="106"/>
      <c r="Y36" s="106"/>
      <c r="Z36" s="106"/>
      <c r="AA36" s="106"/>
      <c r="AB36" s="106"/>
    </row>
    <row r="37" spans="1:28" ht="14.4" x14ac:dyDescent="0.3">
      <c r="A37" s="223"/>
      <c r="B37" s="223"/>
      <c r="C37" s="223"/>
      <c r="D37" s="223"/>
      <c r="E37" s="223"/>
      <c r="F37" s="223"/>
      <c r="G37" s="224"/>
      <c r="H37" s="105"/>
      <c r="I37" s="290"/>
      <c r="J37" s="291"/>
    </row>
    <row r="38" spans="1:28" ht="14.4" x14ac:dyDescent="0.3">
      <c r="A38" s="223"/>
      <c r="B38" s="223"/>
      <c r="C38" s="223"/>
      <c r="D38" s="223"/>
      <c r="E38" s="223"/>
      <c r="F38" s="223"/>
      <c r="G38" s="224"/>
      <c r="I38" s="290"/>
      <c r="J38" s="291"/>
    </row>
    <row r="39" spans="1:28" x14ac:dyDescent="0.3">
      <c r="A39" s="223"/>
      <c r="B39" s="223"/>
      <c r="C39" s="223"/>
      <c r="D39" s="223"/>
      <c r="E39" s="223"/>
      <c r="F39" s="223"/>
      <c r="G39" s="224"/>
    </row>
    <row r="40" spans="1:28" x14ac:dyDescent="0.3">
      <c r="A40" s="223"/>
      <c r="B40" s="223"/>
      <c r="C40" s="223"/>
      <c r="D40" s="223"/>
      <c r="E40" s="223"/>
      <c r="F40" s="223"/>
      <c r="G40" s="224"/>
    </row>
    <row r="41" spans="1:28" ht="14.4" x14ac:dyDescent="0.3">
      <c r="A41" s="106"/>
      <c r="B41" s="116" t="s">
        <v>250</v>
      </c>
      <c r="C41" s="116"/>
      <c r="D41" s="116"/>
      <c r="E41" s="132"/>
      <c r="F41" s="133"/>
      <c r="G41" s="117"/>
      <c r="H41" s="108"/>
    </row>
    <row r="42" spans="1:28" ht="14.4" x14ac:dyDescent="0.3">
      <c r="A42" s="106"/>
      <c r="B42" s="136" t="s">
        <v>249</v>
      </c>
      <c r="C42" s="130"/>
      <c r="D42" s="116"/>
      <c r="E42" s="136" t="s">
        <v>198</v>
      </c>
      <c r="F42" s="130"/>
      <c r="G42" s="130"/>
      <c r="H42" s="108"/>
    </row>
    <row r="43" spans="1:28" ht="14.4" x14ac:dyDescent="0.3">
      <c r="A43" s="106"/>
      <c r="B43" s="130" t="s">
        <v>203</v>
      </c>
      <c r="C43" s="46"/>
      <c r="E43" s="130" t="s">
        <v>159</v>
      </c>
      <c r="F43" s="130"/>
      <c r="G43" s="130"/>
      <c r="H43" s="108"/>
    </row>
    <row r="44" spans="1:28" ht="14.4" x14ac:dyDescent="0.3">
      <c r="E44" s="130" t="s">
        <v>135</v>
      </c>
      <c r="F44" s="130"/>
      <c r="G44" s="130"/>
      <c r="H44" s="108"/>
    </row>
  </sheetData>
  <mergeCells count="35">
    <mergeCell ref="A36:F36"/>
    <mergeCell ref="A32:E32"/>
    <mergeCell ref="A33:E33"/>
    <mergeCell ref="A34:E34"/>
    <mergeCell ref="A35:F35"/>
    <mergeCell ref="A8:G9"/>
    <mergeCell ref="A11:G11"/>
    <mergeCell ref="B13:C13"/>
    <mergeCell ref="A14:G14"/>
    <mergeCell ref="B15:G15"/>
    <mergeCell ref="B18:F18"/>
    <mergeCell ref="B19:G19"/>
    <mergeCell ref="B20:C20"/>
    <mergeCell ref="B21:C21"/>
    <mergeCell ref="B16:C16"/>
    <mergeCell ref="B17:C17"/>
    <mergeCell ref="A1:B6"/>
    <mergeCell ref="C1:C2"/>
    <mergeCell ref="D1:E1"/>
    <mergeCell ref="G1:G6"/>
    <mergeCell ref="D2:E3"/>
    <mergeCell ref="F2:F3"/>
    <mergeCell ref="D4:E4"/>
    <mergeCell ref="C5:C6"/>
    <mergeCell ref="D5:E6"/>
    <mergeCell ref="B22:C22"/>
    <mergeCell ref="B29:C29"/>
    <mergeCell ref="A31:F31"/>
    <mergeCell ref="B23:C23"/>
    <mergeCell ref="B25:G25"/>
    <mergeCell ref="B26:C26"/>
    <mergeCell ref="B27:F27"/>
    <mergeCell ref="B28:G28"/>
    <mergeCell ref="B30:F30"/>
    <mergeCell ref="B24:F24"/>
  </mergeCells>
  <printOptions horizontalCentered="1" verticalCentered="1"/>
  <pageMargins left="0.7" right="0.7" top="0.75" bottom="0.75" header="0.3" footer="0.3"/>
  <pageSetup scale="75" fitToHeight="0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H441"/>
  <sheetViews>
    <sheetView showGridLines="0" topLeftCell="A233" zoomScale="89" zoomScaleNormal="89" zoomScaleSheetLayoutView="75" workbookViewId="0">
      <selection activeCell="I240" sqref="I240"/>
    </sheetView>
  </sheetViews>
  <sheetFormatPr baseColWidth="10" defaultColWidth="11.44140625" defaultRowHeight="17.25" customHeight="1" x14ac:dyDescent="0.25"/>
  <cols>
    <col min="1" max="1" width="8.33203125" style="116" customWidth="1"/>
    <col min="2" max="2" width="18" style="116" customWidth="1"/>
    <col min="3" max="3" width="31.6640625" style="116" customWidth="1"/>
    <col min="4" max="4" width="11.6640625" style="116" customWidth="1"/>
    <col min="5" max="5" width="12.44140625" style="116" customWidth="1"/>
    <col min="6" max="6" width="12.33203125" style="116" customWidth="1"/>
    <col min="7" max="7" width="14.88671875" style="116" customWidth="1"/>
    <col min="8" max="8" width="15.44140625" style="116" customWidth="1"/>
    <col min="9" max="9" width="13" style="114" customWidth="1"/>
    <col min="10" max="10" width="12.5546875" style="114" bestFit="1" customWidth="1"/>
    <col min="11" max="13" width="11.44140625" style="114"/>
    <col min="14" max="14" width="14.5546875" style="114" customWidth="1"/>
    <col min="15" max="16384" width="11.44140625" style="114"/>
  </cols>
  <sheetData>
    <row r="1" spans="1:8" ht="17.25" customHeight="1" x14ac:dyDescent="0.3">
      <c r="A1" s="460"/>
      <c r="B1" s="461"/>
      <c r="C1" s="399" t="s">
        <v>195</v>
      </c>
      <c r="D1" s="401" t="s">
        <v>196</v>
      </c>
      <c r="E1" s="402"/>
      <c r="F1" s="155">
        <v>103</v>
      </c>
      <c r="G1" s="466"/>
      <c r="H1" s="467"/>
    </row>
    <row r="2" spans="1:8" ht="17.25" customHeight="1" x14ac:dyDescent="0.25">
      <c r="A2" s="462"/>
      <c r="B2" s="463"/>
      <c r="C2" s="400"/>
      <c r="D2" s="404" t="s">
        <v>163</v>
      </c>
      <c r="E2" s="405"/>
      <c r="F2" s="408">
        <v>51</v>
      </c>
      <c r="G2" s="468"/>
      <c r="H2" s="469"/>
    </row>
    <row r="3" spans="1:8" ht="17.25" customHeight="1" x14ac:dyDescent="0.25">
      <c r="A3" s="462"/>
      <c r="B3" s="463"/>
      <c r="C3" s="169" t="s">
        <v>164</v>
      </c>
      <c r="D3" s="406"/>
      <c r="E3" s="407"/>
      <c r="F3" s="409"/>
      <c r="G3" s="468"/>
      <c r="H3" s="469"/>
    </row>
    <row r="4" spans="1:8" ht="27.6" customHeight="1" x14ac:dyDescent="0.25">
      <c r="A4" s="462"/>
      <c r="B4" s="463"/>
      <c r="C4" s="229" t="s">
        <v>165</v>
      </c>
      <c r="D4" s="410" t="s">
        <v>166</v>
      </c>
      <c r="E4" s="411"/>
      <c r="F4" s="171">
        <v>1</v>
      </c>
      <c r="G4" s="468"/>
      <c r="H4" s="469"/>
    </row>
    <row r="5" spans="1:8" ht="17.25" customHeight="1" x14ac:dyDescent="0.25">
      <c r="A5" s="462"/>
      <c r="B5" s="463"/>
      <c r="C5" s="472" t="s">
        <v>167</v>
      </c>
      <c r="D5" s="474" t="s">
        <v>168</v>
      </c>
      <c r="E5" s="475"/>
      <c r="F5" s="169" t="s">
        <v>169</v>
      </c>
      <c r="G5" s="468"/>
      <c r="H5" s="469"/>
    </row>
    <row r="6" spans="1:8" ht="17.25" customHeight="1" x14ac:dyDescent="0.25">
      <c r="A6" s="464"/>
      <c r="B6" s="465"/>
      <c r="C6" s="473"/>
      <c r="D6" s="476"/>
      <c r="E6" s="477"/>
      <c r="F6" s="172">
        <f>PRESUPUESTO!F6</f>
        <v>45402</v>
      </c>
      <c r="G6" s="470"/>
      <c r="H6" s="471"/>
    </row>
    <row r="7" spans="1:8" ht="17.25" customHeight="1" thickBot="1" x14ac:dyDescent="0.3">
      <c r="A7" s="438"/>
      <c r="B7" s="439"/>
      <c r="C7" s="439"/>
      <c r="D7" s="439"/>
      <c r="E7" s="439"/>
      <c r="F7" s="439"/>
      <c r="G7" s="439"/>
      <c r="H7" s="440"/>
    </row>
    <row r="8" spans="1:8" ht="24.6" customHeight="1" x14ac:dyDescent="0.25">
      <c r="A8" s="482" t="str">
        <f>+PRESUPUESTO!$A$8</f>
        <v>MANTENIMIENTO Y REPARACION DE PUENTE VEHICULAR VIA LA GUISITA EN EL MUNICIPIO DE SAN MIGUEL PUTUMAYO</v>
      </c>
      <c r="B8" s="442"/>
      <c r="C8" s="442"/>
      <c r="D8" s="442"/>
      <c r="E8" s="442"/>
      <c r="F8" s="442"/>
      <c r="G8" s="442"/>
      <c r="H8" s="483"/>
    </row>
    <row r="9" spans="1:8" ht="20.25" customHeight="1" thickBot="1" x14ac:dyDescent="0.3">
      <c r="A9" s="484"/>
      <c r="B9" s="445"/>
      <c r="C9" s="445"/>
      <c r="D9" s="445"/>
      <c r="E9" s="445"/>
      <c r="F9" s="445"/>
      <c r="G9" s="445"/>
      <c r="H9" s="485"/>
    </row>
    <row r="10" spans="1:8" ht="17.25" customHeight="1" thickBot="1" x14ac:dyDescent="0.3">
      <c r="A10" s="233"/>
      <c r="B10" s="234"/>
      <c r="C10" s="234"/>
      <c r="D10" s="234"/>
      <c r="E10" s="234"/>
      <c r="F10" s="234"/>
      <c r="G10" s="234"/>
      <c r="H10" s="235"/>
    </row>
    <row r="11" spans="1:8" ht="25.65" customHeight="1" thickBot="1" x14ac:dyDescent="0.3">
      <c r="A11" s="281">
        <v>1.1000000000000001</v>
      </c>
      <c r="B11" s="447" t="str">
        <f>VLOOKUP(A11,PRESUPUESTO!$A$15:$G$32,2,)</f>
        <v xml:space="preserve">Manetimiento y reparacion de pilares en H Tuberia 12" </v>
      </c>
      <c r="C11" s="448"/>
      <c r="D11" s="448"/>
      <c r="E11" s="448"/>
      <c r="F11" s="449"/>
      <c r="G11" s="282" t="s">
        <v>27</v>
      </c>
      <c r="H11" s="283" t="str">
        <f>VLOOKUP(A11,PRESUPUESTO!$A$15:$G$32,4,)</f>
        <v>ML</v>
      </c>
    </row>
    <row r="12" spans="1:8" ht="17.25" customHeight="1" x14ac:dyDescent="0.25">
      <c r="A12" s="148"/>
      <c r="H12" s="144"/>
    </row>
    <row r="13" spans="1:8" ht="17.25" customHeight="1" x14ac:dyDescent="0.25">
      <c r="A13" s="120" t="s">
        <v>28</v>
      </c>
      <c r="B13" s="450" t="s">
        <v>29</v>
      </c>
      <c r="C13" s="451"/>
      <c r="D13" s="451"/>
      <c r="E13" s="451"/>
      <c r="F13" s="451"/>
      <c r="G13" s="452"/>
      <c r="H13" s="144"/>
    </row>
    <row r="14" spans="1:8" ht="17.25" customHeight="1" x14ac:dyDescent="0.25">
      <c r="A14" s="236"/>
      <c r="B14" s="453" t="s">
        <v>30</v>
      </c>
      <c r="C14" s="454"/>
      <c r="D14" s="236" t="s">
        <v>31</v>
      </c>
      <c r="E14" s="236" t="s">
        <v>234</v>
      </c>
      <c r="F14" s="236" t="s">
        <v>33</v>
      </c>
      <c r="G14" s="236" t="s">
        <v>34</v>
      </c>
      <c r="H14" s="144"/>
    </row>
    <row r="15" spans="1:8" ht="17.25" customHeight="1" x14ac:dyDescent="0.25">
      <c r="A15" s="113"/>
      <c r="B15" s="436" t="s">
        <v>65</v>
      </c>
      <c r="C15" s="437"/>
      <c r="D15" s="113"/>
      <c r="E15" s="121"/>
      <c r="F15" s="121">
        <v>0.1</v>
      </c>
      <c r="G15" s="131">
        <f>ROUND(H31*F15,2)</f>
        <v>7437.5</v>
      </c>
      <c r="H15" s="145"/>
    </row>
    <row r="16" spans="1:8" ht="17.25" customHeight="1" x14ac:dyDescent="0.25">
      <c r="A16" s="113"/>
      <c r="B16" s="436" t="s">
        <v>277</v>
      </c>
      <c r="C16" s="437"/>
      <c r="D16" s="236" t="s">
        <v>278</v>
      </c>
      <c r="E16" s="248">
        <v>130000</v>
      </c>
      <c r="F16" s="121">
        <v>0.5</v>
      </c>
      <c r="G16" s="217">
        <f>+E16*F16</f>
        <v>65000</v>
      </c>
      <c r="H16" s="145"/>
    </row>
    <row r="17" spans="1:8" ht="17.25" customHeight="1" x14ac:dyDescent="0.25">
      <c r="A17" s="113"/>
      <c r="B17" s="436" t="s">
        <v>244</v>
      </c>
      <c r="C17" s="437"/>
      <c r="D17" s="236" t="s">
        <v>286</v>
      </c>
      <c r="E17" s="260">
        <f>100000/8</f>
        <v>12500</v>
      </c>
      <c r="F17" s="121">
        <v>0.5</v>
      </c>
      <c r="G17" s="261">
        <f>E17*F17</f>
        <v>6250</v>
      </c>
      <c r="H17" s="145"/>
    </row>
    <row r="18" spans="1:8" ht="17.25" customHeight="1" x14ac:dyDescent="0.25">
      <c r="A18" s="149"/>
      <c r="E18" s="122" t="s">
        <v>35</v>
      </c>
      <c r="F18" s="122"/>
      <c r="G18" s="122"/>
      <c r="H18" s="146">
        <f>ROUND(SUM(G15:G17),2)</f>
        <v>78687.5</v>
      </c>
    </row>
    <row r="19" spans="1:8" ht="17.25" customHeight="1" x14ac:dyDescent="0.25">
      <c r="A19" s="120" t="s">
        <v>36</v>
      </c>
      <c r="B19" s="450" t="s">
        <v>37</v>
      </c>
      <c r="C19" s="451"/>
      <c r="D19" s="451"/>
      <c r="E19" s="451"/>
      <c r="F19" s="451"/>
      <c r="G19" s="452"/>
      <c r="H19" s="139"/>
    </row>
    <row r="20" spans="1:8" ht="17.25" customHeight="1" x14ac:dyDescent="0.25">
      <c r="A20" s="236"/>
      <c r="B20" s="453" t="s">
        <v>30</v>
      </c>
      <c r="C20" s="454"/>
      <c r="D20" s="113" t="s">
        <v>12</v>
      </c>
      <c r="E20" s="123" t="s">
        <v>38</v>
      </c>
      <c r="F20" s="123" t="s">
        <v>39</v>
      </c>
      <c r="G20" s="123" t="s">
        <v>34</v>
      </c>
      <c r="H20" s="139"/>
    </row>
    <row r="21" spans="1:8" ht="17.25" customHeight="1" x14ac:dyDescent="0.25">
      <c r="A21" s="113"/>
      <c r="B21" s="480" t="s">
        <v>279</v>
      </c>
      <c r="C21" s="481"/>
      <c r="D21" s="141" t="s">
        <v>240</v>
      </c>
      <c r="E21" s="141">
        <v>1</v>
      </c>
      <c r="F21" s="217">
        <v>500000</v>
      </c>
      <c r="G21" s="217">
        <f>ROUND(E21*F21,2)</f>
        <v>500000</v>
      </c>
      <c r="H21" s="139"/>
    </row>
    <row r="22" spans="1:8" ht="17.25" customHeight="1" x14ac:dyDescent="0.25">
      <c r="A22" s="113"/>
      <c r="B22" s="480" t="s">
        <v>280</v>
      </c>
      <c r="C22" s="481"/>
      <c r="D22" s="141" t="s">
        <v>11</v>
      </c>
      <c r="E22" s="141">
        <v>1</v>
      </c>
      <c r="F22" s="217">
        <v>35000</v>
      </c>
      <c r="G22" s="217">
        <f>E22*F22</f>
        <v>35000</v>
      </c>
      <c r="H22" s="139"/>
    </row>
    <row r="23" spans="1:8" ht="17.25" customHeight="1" x14ac:dyDescent="0.25">
      <c r="A23" s="113"/>
      <c r="B23" s="480" t="s">
        <v>281</v>
      </c>
      <c r="C23" s="481"/>
      <c r="D23" s="141" t="s">
        <v>5</v>
      </c>
      <c r="E23" s="141">
        <v>0.05</v>
      </c>
      <c r="F23" s="217">
        <v>275000</v>
      </c>
      <c r="G23" s="217">
        <f>E23*F23</f>
        <v>13750</v>
      </c>
      <c r="H23" s="139"/>
    </row>
    <row r="24" spans="1:8" ht="17.25" customHeight="1" x14ac:dyDescent="0.25">
      <c r="A24" s="113"/>
      <c r="B24" s="480"/>
      <c r="C24" s="481"/>
      <c r="D24" s="141"/>
      <c r="E24" s="141"/>
      <c r="F24" s="217"/>
      <c r="G24" s="217"/>
      <c r="H24" s="139"/>
    </row>
    <row r="25" spans="1:8" ht="17.25" customHeight="1" x14ac:dyDescent="0.25">
      <c r="A25" s="149" t="s">
        <v>40</v>
      </c>
      <c r="E25" s="122" t="s">
        <v>41</v>
      </c>
      <c r="F25" s="122"/>
      <c r="G25" s="122"/>
      <c r="H25" s="218">
        <f>ROUND(SUM(G21:G24),2)</f>
        <v>548750</v>
      </c>
    </row>
    <row r="26" spans="1:8" ht="17.25" customHeight="1" x14ac:dyDescent="0.25">
      <c r="A26" s="120" t="s">
        <v>42</v>
      </c>
      <c r="B26" s="450" t="s">
        <v>43</v>
      </c>
      <c r="C26" s="451"/>
      <c r="D26" s="451"/>
      <c r="E26" s="451"/>
      <c r="F26" s="451"/>
      <c r="G26" s="452"/>
      <c r="H26" s="139"/>
    </row>
    <row r="27" spans="1:8" ht="17.25" customHeight="1" x14ac:dyDescent="0.25">
      <c r="A27" s="236" t="s">
        <v>44</v>
      </c>
      <c r="B27" s="236" t="s">
        <v>30</v>
      </c>
      <c r="C27" s="236" t="s">
        <v>45</v>
      </c>
      <c r="D27" s="236" t="s">
        <v>46</v>
      </c>
      <c r="E27" s="123" t="s">
        <v>47</v>
      </c>
      <c r="F27" s="121" t="s">
        <v>251</v>
      </c>
      <c r="G27" s="121" t="s">
        <v>34</v>
      </c>
      <c r="H27" s="139"/>
    </row>
    <row r="28" spans="1:8" ht="17.25" customHeight="1" x14ac:dyDescent="0.25">
      <c r="A28" s="236">
        <v>1</v>
      </c>
      <c r="B28" s="113" t="s">
        <v>246</v>
      </c>
      <c r="C28" s="125">
        <v>110000</v>
      </c>
      <c r="D28" s="219">
        <v>0.75</v>
      </c>
      <c r="E28" s="221">
        <f>+(A28*C28)+(A28*C28*D28)</f>
        <v>192500</v>
      </c>
      <c r="F28" s="141">
        <v>4</v>
      </c>
      <c r="G28" s="131">
        <f>ROUND(E28/(F28),2)</f>
        <v>48125</v>
      </c>
      <c r="H28" s="139"/>
    </row>
    <row r="29" spans="1:8" ht="17.25" customHeight="1" x14ac:dyDescent="0.25">
      <c r="A29" s="236">
        <v>1</v>
      </c>
      <c r="B29" s="113" t="s">
        <v>282</v>
      </c>
      <c r="C29" s="125">
        <v>60000</v>
      </c>
      <c r="D29" s="219">
        <v>0.75</v>
      </c>
      <c r="E29" s="221">
        <f>+(A29*C29)+(A29*C29*D29)</f>
        <v>105000</v>
      </c>
      <c r="F29" s="141">
        <v>4</v>
      </c>
      <c r="G29" s="131">
        <f>ROUND(E29/(F29),2)</f>
        <v>26250</v>
      </c>
      <c r="H29" s="139"/>
    </row>
    <row r="30" spans="1:8" ht="17.25" customHeight="1" x14ac:dyDescent="0.25">
      <c r="A30" s="113"/>
      <c r="B30" s="113"/>
      <c r="C30" s="113"/>
      <c r="D30" s="113"/>
      <c r="E30" s="121"/>
      <c r="F30" s="121"/>
      <c r="G30" s="121"/>
      <c r="H30" s="139"/>
    </row>
    <row r="31" spans="1:8" ht="17.25" customHeight="1" x14ac:dyDescent="0.25">
      <c r="A31" s="149"/>
      <c r="E31" s="122" t="s">
        <v>49</v>
      </c>
      <c r="F31" s="122"/>
      <c r="G31" s="122"/>
      <c r="H31" s="146">
        <f>ROUND(SUM(G28)+(G29),2)</f>
        <v>74375</v>
      </c>
    </row>
    <row r="32" spans="1:8" ht="17.25" customHeight="1" x14ac:dyDescent="0.25">
      <c r="A32" s="120" t="s">
        <v>50</v>
      </c>
      <c r="B32" s="450" t="s">
        <v>18</v>
      </c>
      <c r="C32" s="451"/>
      <c r="D32" s="451"/>
      <c r="E32" s="451"/>
      <c r="F32" s="451"/>
      <c r="G32" s="452"/>
      <c r="H32" s="139"/>
    </row>
    <row r="33" spans="1:8" ht="17.25" customHeight="1" x14ac:dyDescent="0.25">
      <c r="A33" s="113"/>
      <c r="B33" s="113" t="s">
        <v>30</v>
      </c>
      <c r="C33" s="236" t="s">
        <v>12</v>
      </c>
      <c r="D33" s="236" t="s">
        <v>13</v>
      </c>
      <c r="E33" s="236" t="s">
        <v>51</v>
      </c>
      <c r="F33" s="236"/>
      <c r="G33" s="121" t="s">
        <v>52</v>
      </c>
      <c r="H33" s="139"/>
    </row>
    <row r="34" spans="1:8" ht="17.25" customHeight="1" x14ac:dyDescent="0.25">
      <c r="A34" s="113"/>
      <c r="B34" s="113" t="s">
        <v>283</v>
      </c>
      <c r="C34" s="127" t="s">
        <v>284</v>
      </c>
      <c r="D34" s="113">
        <v>0.01</v>
      </c>
      <c r="E34" s="121">
        <f>3000000/15</f>
        <v>200000</v>
      </c>
      <c r="F34" s="121"/>
      <c r="G34" s="121">
        <f>D34*E34</f>
        <v>2000</v>
      </c>
      <c r="H34" s="139"/>
    </row>
    <row r="35" spans="1:8" ht="17.25" customHeight="1" x14ac:dyDescent="0.25">
      <c r="A35" s="113"/>
      <c r="B35" s="113"/>
      <c r="C35" s="124"/>
      <c r="D35" s="113"/>
      <c r="E35" s="121"/>
      <c r="F35" s="121"/>
      <c r="G35" s="121"/>
      <c r="H35" s="139"/>
    </row>
    <row r="36" spans="1:8" ht="17.25" customHeight="1" x14ac:dyDescent="0.25">
      <c r="A36" s="113"/>
      <c r="B36" s="113"/>
      <c r="C36" s="113"/>
      <c r="D36" s="113"/>
      <c r="E36" s="121"/>
      <c r="F36" s="121"/>
      <c r="G36" s="121"/>
      <c r="H36" s="139"/>
    </row>
    <row r="37" spans="1:8" ht="17.25" customHeight="1" x14ac:dyDescent="0.25">
      <c r="A37" s="149"/>
      <c r="E37" s="122" t="s">
        <v>49</v>
      </c>
      <c r="F37" s="122"/>
      <c r="G37" s="122"/>
      <c r="H37" s="218">
        <f>ROUND(SUM(G34)+(G35),0)</f>
        <v>2000</v>
      </c>
    </row>
    <row r="38" spans="1:8" ht="17.25" customHeight="1" x14ac:dyDescent="0.25">
      <c r="A38" s="148"/>
      <c r="E38" s="122"/>
      <c r="F38" s="122"/>
      <c r="G38" s="122"/>
      <c r="H38" s="139"/>
    </row>
    <row r="39" spans="1:8" ht="17.25" customHeight="1" x14ac:dyDescent="0.25">
      <c r="A39" s="148"/>
      <c r="D39" s="128" t="s">
        <v>53</v>
      </c>
      <c r="E39" s="129"/>
      <c r="F39" s="129"/>
      <c r="G39" s="129"/>
      <c r="H39" s="146">
        <f>ROUND(SUM(H18:H38),2)</f>
        <v>703812.5</v>
      </c>
    </row>
    <row r="40" spans="1:8" ht="17.25" customHeight="1" x14ac:dyDescent="0.25">
      <c r="A40" s="148"/>
      <c r="E40" s="122"/>
      <c r="F40" s="122"/>
      <c r="G40" s="122"/>
      <c r="H40" s="139"/>
    </row>
    <row r="41" spans="1:8" ht="17.25" customHeight="1" x14ac:dyDescent="0.25">
      <c r="A41" s="120" t="s">
        <v>54</v>
      </c>
      <c r="B41" s="450" t="s">
        <v>55</v>
      </c>
      <c r="C41" s="451"/>
      <c r="D41" s="451"/>
      <c r="E41" s="451"/>
      <c r="F41" s="451"/>
      <c r="G41" s="452"/>
      <c r="H41" s="139"/>
    </row>
    <row r="42" spans="1:8" ht="17.25" customHeight="1" x14ac:dyDescent="0.25">
      <c r="A42" s="236"/>
      <c r="B42" s="453" t="s">
        <v>30</v>
      </c>
      <c r="C42" s="454"/>
      <c r="D42" s="453" t="s">
        <v>56</v>
      </c>
      <c r="E42" s="454"/>
      <c r="F42" s="458" t="s">
        <v>58</v>
      </c>
      <c r="G42" s="459"/>
      <c r="H42" s="139"/>
    </row>
    <row r="43" spans="1:8" ht="17.25" customHeight="1" x14ac:dyDescent="0.25">
      <c r="A43" s="113"/>
      <c r="B43" s="453" t="s">
        <v>59</v>
      </c>
      <c r="C43" s="454"/>
      <c r="D43" s="455">
        <v>0.27</v>
      </c>
      <c r="E43" s="454"/>
      <c r="F43" s="456">
        <f>+H39*D43</f>
        <v>190029.375</v>
      </c>
      <c r="G43" s="457"/>
      <c r="H43" s="139"/>
    </row>
    <row r="44" spans="1:8" ht="17.25" customHeight="1" x14ac:dyDescent="0.25">
      <c r="A44" s="113"/>
      <c r="B44" s="453" t="s">
        <v>60</v>
      </c>
      <c r="C44" s="454"/>
      <c r="D44" s="455">
        <v>0.02</v>
      </c>
      <c r="E44" s="454"/>
      <c r="F44" s="456">
        <f>+H39*D44</f>
        <v>14076.25</v>
      </c>
      <c r="G44" s="457"/>
      <c r="H44" s="139"/>
    </row>
    <row r="45" spans="1:8" ht="17.25" customHeight="1" x14ac:dyDescent="0.25">
      <c r="A45" s="113"/>
      <c r="B45" s="453" t="s">
        <v>61</v>
      </c>
      <c r="C45" s="454"/>
      <c r="D45" s="455">
        <v>0.03</v>
      </c>
      <c r="E45" s="454"/>
      <c r="F45" s="456">
        <f>+H39*D45</f>
        <v>21114.375</v>
      </c>
      <c r="G45" s="457"/>
      <c r="H45" s="139"/>
    </row>
    <row r="46" spans="1:8" ht="17.25" customHeight="1" x14ac:dyDescent="0.25">
      <c r="A46" s="148"/>
      <c r="D46" s="128" t="s">
        <v>62</v>
      </c>
      <c r="E46" s="129"/>
      <c r="F46" s="129"/>
      <c r="G46" s="129"/>
      <c r="H46" s="146">
        <f>SUM(F43:G45)</f>
        <v>225220</v>
      </c>
    </row>
    <row r="47" spans="1:8" ht="17.25" customHeight="1" x14ac:dyDescent="0.25">
      <c r="A47" s="148"/>
      <c r="E47" s="122"/>
      <c r="F47" s="122"/>
      <c r="G47" s="122"/>
      <c r="H47" s="139"/>
    </row>
    <row r="48" spans="1:8" ht="17.25" customHeight="1" x14ac:dyDescent="0.25">
      <c r="A48" s="148"/>
      <c r="D48" s="128" t="s">
        <v>63</v>
      </c>
      <c r="E48" s="129"/>
      <c r="F48" s="129"/>
      <c r="G48" s="122"/>
      <c r="H48" s="146">
        <f>H39+H46</f>
        <v>929032.5</v>
      </c>
    </row>
    <row r="49" spans="1:8" ht="17.25" customHeight="1" x14ac:dyDescent="0.25">
      <c r="A49" s="148"/>
      <c r="D49" s="128"/>
      <c r="E49" s="129"/>
      <c r="F49" s="129"/>
      <c r="G49" s="122"/>
      <c r="H49" s="139"/>
    </row>
    <row r="50" spans="1:8" ht="17.25" customHeight="1" x14ac:dyDescent="0.25">
      <c r="A50" s="148"/>
      <c r="E50" s="129"/>
      <c r="F50" s="129"/>
      <c r="G50" s="122"/>
      <c r="H50" s="139"/>
    </row>
    <row r="51" spans="1:8" ht="17.25" customHeight="1" x14ac:dyDescent="0.25">
      <c r="A51" s="119"/>
      <c r="B51" s="118"/>
      <c r="E51" s="132"/>
      <c r="F51" s="133"/>
      <c r="G51" s="117"/>
      <c r="H51" s="139"/>
    </row>
    <row r="52" spans="1:8" ht="17.25" customHeight="1" x14ac:dyDescent="0.25">
      <c r="A52" s="150" t="s">
        <v>202</v>
      </c>
      <c r="B52" s="130" t="s">
        <v>233</v>
      </c>
      <c r="E52" s="136" t="s">
        <v>198</v>
      </c>
      <c r="F52" s="130"/>
      <c r="G52" s="130"/>
      <c r="H52" s="147"/>
    </row>
    <row r="53" spans="1:8" ht="17.25" customHeight="1" x14ac:dyDescent="0.25">
      <c r="A53" s="151" t="s">
        <v>203</v>
      </c>
      <c r="B53" s="130"/>
      <c r="E53" s="130" t="str">
        <f ca="1">+$E$106</f>
        <v>SECRETARIO DE PLANEACION Y OBRAS PUBLICAS</v>
      </c>
      <c r="F53" s="130"/>
      <c r="G53" s="130"/>
      <c r="H53" s="147"/>
    </row>
    <row r="54" spans="1:8" ht="17.25" customHeight="1" x14ac:dyDescent="0.25">
      <c r="A54" s="152"/>
      <c r="B54" s="153"/>
      <c r="C54" s="118"/>
      <c r="D54" s="118"/>
      <c r="E54" s="153" t="str">
        <f ca="1">+$E$107</f>
        <v>SAN MIGUEL - PUTUMAYO</v>
      </c>
      <c r="F54" s="153"/>
      <c r="G54" s="153"/>
      <c r="H54" s="154"/>
    </row>
    <row r="55" spans="1:8" ht="17.25" customHeight="1" x14ac:dyDescent="0.3">
      <c r="A55" s="460"/>
      <c r="B55" s="461"/>
      <c r="C55" s="399" t="s">
        <v>195</v>
      </c>
      <c r="D55" s="401" t="s">
        <v>196</v>
      </c>
      <c r="E55" s="402"/>
      <c r="F55" s="155">
        <v>103</v>
      </c>
      <c r="G55" s="466"/>
      <c r="H55" s="467"/>
    </row>
    <row r="56" spans="1:8" ht="17.25" customHeight="1" x14ac:dyDescent="0.25">
      <c r="A56" s="462"/>
      <c r="B56" s="463"/>
      <c r="C56" s="400"/>
      <c r="D56" s="404" t="s">
        <v>163</v>
      </c>
      <c r="E56" s="405"/>
      <c r="F56" s="408">
        <v>51</v>
      </c>
      <c r="G56" s="468"/>
      <c r="H56" s="469"/>
    </row>
    <row r="57" spans="1:8" ht="17.25" customHeight="1" x14ac:dyDescent="0.25">
      <c r="A57" s="462"/>
      <c r="B57" s="463"/>
      <c r="C57" s="169" t="s">
        <v>164</v>
      </c>
      <c r="D57" s="406"/>
      <c r="E57" s="407"/>
      <c r="F57" s="409"/>
      <c r="G57" s="468"/>
      <c r="H57" s="469"/>
    </row>
    <row r="58" spans="1:8" ht="28.95" customHeight="1" x14ac:dyDescent="0.25">
      <c r="A58" s="462"/>
      <c r="B58" s="463"/>
      <c r="C58" s="229" t="s">
        <v>165</v>
      </c>
      <c r="D58" s="410" t="s">
        <v>166</v>
      </c>
      <c r="E58" s="411"/>
      <c r="F58" s="171">
        <v>1</v>
      </c>
      <c r="G58" s="468"/>
      <c r="H58" s="469"/>
    </row>
    <row r="59" spans="1:8" ht="17.25" customHeight="1" x14ac:dyDescent="0.25">
      <c r="A59" s="462"/>
      <c r="B59" s="463"/>
      <c r="C59" s="472" t="s">
        <v>167</v>
      </c>
      <c r="D59" s="474" t="s">
        <v>168</v>
      </c>
      <c r="E59" s="475"/>
      <c r="F59" s="169" t="s">
        <v>169</v>
      </c>
      <c r="G59" s="468"/>
      <c r="H59" s="469"/>
    </row>
    <row r="60" spans="1:8" ht="17.25" customHeight="1" x14ac:dyDescent="0.25">
      <c r="A60" s="464"/>
      <c r="B60" s="465"/>
      <c r="C60" s="473"/>
      <c r="D60" s="476"/>
      <c r="E60" s="477"/>
      <c r="F60" s="172">
        <f>$F$6</f>
        <v>45402</v>
      </c>
      <c r="G60" s="470"/>
      <c r="H60" s="471"/>
    </row>
    <row r="61" spans="1:8" ht="17.25" customHeight="1" thickBot="1" x14ac:dyDescent="0.3">
      <c r="A61" s="438"/>
      <c r="B61" s="439"/>
      <c r="C61" s="439"/>
      <c r="D61" s="439"/>
      <c r="E61" s="439"/>
      <c r="F61" s="439"/>
      <c r="G61" s="439"/>
      <c r="H61" s="440"/>
    </row>
    <row r="62" spans="1:8" ht="17.25" customHeight="1" x14ac:dyDescent="0.25">
      <c r="A62" s="482" t="str">
        <f>+PRESUPUESTO!$A$8</f>
        <v>MANTENIMIENTO Y REPARACION DE PUENTE VEHICULAR VIA LA GUISITA EN EL MUNICIPIO DE SAN MIGUEL PUTUMAYO</v>
      </c>
      <c r="B62" s="442"/>
      <c r="C62" s="442"/>
      <c r="D62" s="442"/>
      <c r="E62" s="442"/>
      <c r="F62" s="442"/>
      <c r="G62" s="442"/>
      <c r="H62" s="483"/>
    </row>
    <row r="63" spans="1:8" ht="17.25" customHeight="1" thickBot="1" x14ac:dyDescent="0.3">
      <c r="A63" s="484"/>
      <c r="B63" s="445"/>
      <c r="C63" s="445"/>
      <c r="D63" s="445"/>
      <c r="E63" s="445"/>
      <c r="F63" s="445"/>
      <c r="G63" s="445"/>
      <c r="H63" s="485"/>
    </row>
    <row r="64" spans="1:8" ht="17.25" customHeight="1" thickBot="1" x14ac:dyDescent="0.3">
      <c r="A64" s="233"/>
      <c r="B64" s="234"/>
      <c r="C64" s="234"/>
      <c r="D64" s="234"/>
      <c r="E64" s="234"/>
      <c r="F64" s="234"/>
      <c r="G64" s="234"/>
      <c r="H64" s="235"/>
    </row>
    <row r="65" spans="1:8" ht="25.65" customHeight="1" thickBot="1" x14ac:dyDescent="0.3">
      <c r="A65" s="281">
        <v>1.2</v>
      </c>
      <c r="B65" s="447" t="str">
        <f>VLOOKUP(A65,PRESUPUESTO!$A$15:$G$32,2,)</f>
        <v>Mantenimiento y reparacion de vigas longitudinales y transversales Tuberia 6"</v>
      </c>
      <c r="C65" s="448"/>
      <c r="D65" s="448"/>
      <c r="E65" s="448"/>
      <c r="F65" s="449"/>
      <c r="G65" s="282" t="s">
        <v>27</v>
      </c>
      <c r="H65" s="283" t="str">
        <f>VLOOKUP(A65,PRESUPUESTO!$A$15:$G$32,4,)</f>
        <v>ML</v>
      </c>
    </row>
    <row r="66" spans="1:8" ht="17.25" customHeight="1" x14ac:dyDescent="0.25">
      <c r="A66" s="148"/>
      <c r="H66" s="144"/>
    </row>
    <row r="67" spans="1:8" ht="17.25" customHeight="1" x14ac:dyDescent="0.25">
      <c r="A67" s="120" t="s">
        <v>28</v>
      </c>
      <c r="B67" s="450" t="s">
        <v>29</v>
      </c>
      <c r="C67" s="451"/>
      <c r="D67" s="451"/>
      <c r="E67" s="451"/>
      <c r="F67" s="451"/>
      <c r="G67" s="452"/>
      <c r="H67" s="144"/>
    </row>
    <row r="68" spans="1:8" ht="17.25" customHeight="1" x14ac:dyDescent="0.25">
      <c r="A68" s="236"/>
      <c r="B68" s="453" t="s">
        <v>30</v>
      </c>
      <c r="C68" s="454"/>
      <c r="D68" s="236" t="s">
        <v>31</v>
      </c>
      <c r="E68" s="236" t="s">
        <v>32</v>
      </c>
      <c r="F68" s="236" t="s">
        <v>33</v>
      </c>
      <c r="G68" s="236" t="s">
        <v>34</v>
      </c>
      <c r="H68" s="144"/>
    </row>
    <row r="69" spans="1:8" ht="17.25" customHeight="1" x14ac:dyDescent="0.25">
      <c r="A69" s="113"/>
      <c r="B69" s="436" t="s">
        <v>65</v>
      </c>
      <c r="C69" s="437"/>
      <c r="D69" s="113"/>
      <c r="E69" s="121"/>
      <c r="F69" s="121">
        <v>0.1</v>
      </c>
      <c r="G69" s="131">
        <f>ROUND(H84*F69,2)</f>
        <v>7437.5</v>
      </c>
      <c r="H69" s="145"/>
    </row>
    <row r="70" spans="1:8" ht="17.25" customHeight="1" x14ac:dyDescent="0.25">
      <c r="A70" s="113"/>
      <c r="B70" s="436" t="s">
        <v>277</v>
      </c>
      <c r="C70" s="437"/>
      <c r="D70" s="236" t="s">
        <v>278</v>
      </c>
      <c r="E70" s="248">
        <v>130000</v>
      </c>
      <c r="F70" s="121">
        <v>0.5</v>
      </c>
      <c r="G70" s="217">
        <f>+E70*F70</f>
        <v>65000</v>
      </c>
      <c r="H70" s="145"/>
    </row>
    <row r="71" spans="1:8" ht="17.25" customHeight="1" x14ac:dyDescent="0.25">
      <c r="A71" s="113"/>
      <c r="B71" s="436" t="s">
        <v>244</v>
      </c>
      <c r="C71" s="437"/>
      <c r="D71" s="236" t="s">
        <v>286</v>
      </c>
      <c r="E71" s="260">
        <v>12500</v>
      </c>
      <c r="F71" s="121">
        <v>0.5</v>
      </c>
      <c r="G71" s="261">
        <f>E71*F71</f>
        <v>6250</v>
      </c>
      <c r="H71" s="145"/>
    </row>
    <row r="72" spans="1:8" ht="17.25" customHeight="1" x14ac:dyDescent="0.25">
      <c r="A72" s="149"/>
      <c r="E72" s="122" t="s">
        <v>35</v>
      </c>
      <c r="F72" s="122"/>
      <c r="G72" s="122"/>
      <c r="H72" s="146">
        <f>ROUND(SUM(G69:G71),2)</f>
        <v>78687.5</v>
      </c>
    </row>
    <row r="73" spans="1:8" ht="17.25" customHeight="1" x14ac:dyDescent="0.25">
      <c r="A73" s="120" t="s">
        <v>36</v>
      </c>
      <c r="B73" s="450" t="s">
        <v>37</v>
      </c>
      <c r="C73" s="451"/>
      <c r="D73" s="451"/>
      <c r="E73" s="451"/>
      <c r="F73" s="451"/>
      <c r="G73" s="452"/>
      <c r="H73" s="139"/>
    </row>
    <row r="74" spans="1:8" ht="17.25" customHeight="1" x14ac:dyDescent="0.25">
      <c r="A74" s="236"/>
      <c r="B74" s="453" t="s">
        <v>30</v>
      </c>
      <c r="C74" s="454"/>
      <c r="D74" s="113" t="s">
        <v>12</v>
      </c>
      <c r="E74" s="123" t="s">
        <v>38</v>
      </c>
      <c r="F74" s="123" t="s">
        <v>39</v>
      </c>
      <c r="G74" s="123" t="s">
        <v>34</v>
      </c>
      <c r="H74" s="139"/>
    </row>
    <row r="75" spans="1:8" ht="17.25" customHeight="1" x14ac:dyDescent="0.25">
      <c r="A75" s="113"/>
      <c r="B75" s="480" t="s">
        <v>285</v>
      </c>
      <c r="C75" s="481"/>
      <c r="D75" s="141" t="s">
        <v>240</v>
      </c>
      <c r="E75" s="141">
        <v>1</v>
      </c>
      <c r="F75" s="217">
        <v>0</v>
      </c>
      <c r="G75" s="217">
        <v>0</v>
      </c>
      <c r="H75" s="139"/>
    </row>
    <row r="76" spans="1:8" ht="17.25" customHeight="1" x14ac:dyDescent="0.25">
      <c r="A76" s="113"/>
      <c r="B76" s="480" t="s">
        <v>280</v>
      </c>
      <c r="C76" s="481"/>
      <c r="D76" s="141" t="s">
        <v>11</v>
      </c>
      <c r="E76" s="141">
        <v>1</v>
      </c>
      <c r="F76" s="217">
        <v>35000</v>
      </c>
      <c r="G76" s="217">
        <f>E76*F76</f>
        <v>35000</v>
      </c>
      <c r="H76" s="139"/>
    </row>
    <row r="77" spans="1:8" ht="17.25" customHeight="1" x14ac:dyDescent="0.25">
      <c r="A77" s="113"/>
      <c r="B77" s="480" t="s">
        <v>281</v>
      </c>
      <c r="C77" s="481"/>
      <c r="D77" s="141" t="s">
        <v>5</v>
      </c>
      <c r="E77" s="141">
        <v>0.05</v>
      </c>
      <c r="F77" s="217">
        <v>275000</v>
      </c>
      <c r="G77" s="217">
        <f>E77*F77</f>
        <v>13750</v>
      </c>
      <c r="H77" s="139"/>
    </row>
    <row r="78" spans="1:8" ht="17.25" customHeight="1" x14ac:dyDescent="0.25">
      <c r="A78" s="149" t="s">
        <v>40</v>
      </c>
      <c r="E78" s="122" t="s">
        <v>41</v>
      </c>
      <c r="F78" s="122"/>
      <c r="G78" s="122"/>
      <c r="H78" s="218">
        <f>ROUND(SUM(G75:G77),2)</f>
        <v>48750</v>
      </c>
    </row>
    <row r="79" spans="1:8" ht="17.25" customHeight="1" x14ac:dyDescent="0.25">
      <c r="A79" s="120" t="s">
        <v>42</v>
      </c>
      <c r="B79" s="450" t="s">
        <v>43</v>
      </c>
      <c r="C79" s="451"/>
      <c r="D79" s="451"/>
      <c r="E79" s="451"/>
      <c r="F79" s="451"/>
      <c r="G79" s="452"/>
      <c r="H79" s="139"/>
    </row>
    <row r="80" spans="1:8" ht="17.25" customHeight="1" x14ac:dyDescent="0.25">
      <c r="A80" s="236" t="s">
        <v>44</v>
      </c>
      <c r="B80" s="236" t="s">
        <v>30</v>
      </c>
      <c r="C80" s="236" t="s">
        <v>45</v>
      </c>
      <c r="D80" s="236" t="s">
        <v>46</v>
      </c>
      <c r="E80" s="123" t="s">
        <v>47</v>
      </c>
      <c r="F80" s="121" t="s">
        <v>252</v>
      </c>
      <c r="G80" s="121" t="s">
        <v>34</v>
      </c>
      <c r="H80" s="139"/>
    </row>
    <row r="81" spans="1:8" ht="17.25" customHeight="1" x14ac:dyDescent="0.25">
      <c r="A81" s="236">
        <v>1</v>
      </c>
      <c r="B81" s="113" t="s">
        <v>246</v>
      </c>
      <c r="C81" s="125">
        <v>110000</v>
      </c>
      <c r="D81" s="219">
        <v>0.75</v>
      </c>
      <c r="E81" s="221">
        <f>+(A81*C81)+(A81*C81*D81)</f>
        <v>192500</v>
      </c>
      <c r="F81" s="141">
        <v>4</v>
      </c>
      <c r="G81" s="131">
        <f>ROUND(E81/(F81),2)</f>
        <v>48125</v>
      </c>
      <c r="H81" s="139"/>
    </row>
    <row r="82" spans="1:8" ht="17.25" customHeight="1" x14ac:dyDescent="0.25">
      <c r="A82" s="236">
        <v>1</v>
      </c>
      <c r="B82" s="113" t="s">
        <v>282</v>
      </c>
      <c r="C82" s="125">
        <v>60000</v>
      </c>
      <c r="D82" s="219">
        <v>0.75</v>
      </c>
      <c r="E82" s="221">
        <f>+(A82*C82)+(A82*C82*D82)</f>
        <v>105000</v>
      </c>
      <c r="F82" s="141">
        <v>4</v>
      </c>
      <c r="G82" s="131">
        <f>ROUND(E82/(F82),2)</f>
        <v>26250</v>
      </c>
      <c r="H82" s="139"/>
    </row>
    <row r="83" spans="1:8" ht="17.25" customHeight="1" x14ac:dyDescent="0.25">
      <c r="A83" s="113"/>
      <c r="B83" s="113"/>
      <c r="C83" s="113"/>
      <c r="D83" s="113"/>
      <c r="E83" s="121"/>
      <c r="F83" s="121"/>
      <c r="G83" s="121"/>
      <c r="H83" s="139"/>
    </row>
    <row r="84" spans="1:8" ht="17.25" customHeight="1" x14ac:dyDescent="0.25">
      <c r="A84" s="149"/>
      <c r="E84" s="122" t="s">
        <v>49</v>
      </c>
      <c r="F84" s="122"/>
      <c r="G84" s="122"/>
      <c r="H84" s="146">
        <f>ROUND(SUM(G81)+(G82),2)</f>
        <v>74375</v>
      </c>
    </row>
    <row r="85" spans="1:8" ht="17.25" customHeight="1" x14ac:dyDescent="0.25">
      <c r="A85" s="120" t="s">
        <v>50</v>
      </c>
      <c r="B85" s="450" t="s">
        <v>18</v>
      </c>
      <c r="C85" s="451"/>
      <c r="D85" s="451"/>
      <c r="E85" s="451"/>
      <c r="F85" s="451"/>
      <c r="G85" s="452"/>
      <c r="H85" s="139"/>
    </row>
    <row r="86" spans="1:8" ht="17.25" customHeight="1" x14ac:dyDescent="0.25">
      <c r="A86" s="113"/>
      <c r="B86" s="113" t="s">
        <v>30</v>
      </c>
      <c r="C86" s="236" t="s">
        <v>12</v>
      </c>
      <c r="D86" s="236" t="s">
        <v>13</v>
      </c>
      <c r="E86" s="236" t="s">
        <v>51</v>
      </c>
      <c r="F86" s="236"/>
      <c r="G86" s="121" t="s">
        <v>52</v>
      </c>
      <c r="H86" s="139"/>
    </row>
    <row r="87" spans="1:8" ht="17.25" customHeight="1" x14ac:dyDescent="0.25">
      <c r="A87" s="113"/>
      <c r="B87" s="113" t="s">
        <v>283</v>
      </c>
      <c r="C87" s="127" t="s">
        <v>284</v>
      </c>
      <c r="D87" s="113">
        <v>0.01</v>
      </c>
      <c r="E87" s="121">
        <f>3000000/15</f>
        <v>200000</v>
      </c>
      <c r="F87" s="121"/>
      <c r="G87" s="121">
        <f>D87*E87</f>
        <v>2000</v>
      </c>
      <c r="H87" s="139"/>
    </row>
    <row r="88" spans="1:8" ht="17.25" customHeight="1" x14ac:dyDescent="0.25">
      <c r="A88" s="113"/>
      <c r="B88" s="113"/>
      <c r="C88" s="124"/>
      <c r="D88" s="113"/>
      <c r="E88" s="121"/>
      <c r="F88" s="121"/>
      <c r="G88" s="121"/>
      <c r="H88" s="139"/>
    </row>
    <row r="89" spans="1:8" ht="17.25" customHeight="1" x14ac:dyDescent="0.25">
      <c r="A89" s="113"/>
      <c r="B89" s="113"/>
      <c r="C89" s="113"/>
      <c r="D89" s="113"/>
      <c r="E89" s="121"/>
      <c r="F89" s="121"/>
      <c r="G89" s="121"/>
      <c r="H89" s="139"/>
    </row>
    <row r="90" spans="1:8" ht="17.25" customHeight="1" x14ac:dyDescent="0.25">
      <c r="A90" s="149"/>
      <c r="E90" s="122" t="s">
        <v>49</v>
      </c>
      <c r="F90" s="122"/>
      <c r="G90" s="122"/>
      <c r="H90" s="218">
        <f>ROUND(SUM(G87)+(G88),0)</f>
        <v>2000</v>
      </c>
    </row>
    <row r="91" spans="1:8" ht="17.25" customHeight="1" x14ac:dyDescent="0.25">
      <c r="A91" s="148"/>
      <c r="E91" s="122"/>
      <c r="F91" s="122"/>
      <c r="G91" s="122"/>
      <c r="H91" s="139"/>
    </row>
    <row r="92" spans="1:8" ht="17.25" customHeight="1" x14ac:dyDescent="0.25">
      <c r="A92" s="148"/>
      <c r="D92" s="128" t="s">
        <v>53</v>
      </c>
      <c r="E92" s="129"/>
      <c r="F92" s="129"/>
      <c r="G92" s="129"/>
      <c r="H92" s="146">
        <f>ROUND(SUM(H72:H91),2)</f>
        <v>203812.5</v>
      </c>
    </row>
    <row r="93" spans="1:8" ht="17.25" customHeight="1" x14ac:dyDescent="0.25">
      <c r="A93" s="148"/>
      <c r="E93" s="122"/>
      <c r="F93" s="122"/>
      <c r="G93" s="122"/>
      <c r="H93" s="139"/>
    </row>
    <row r="94" spans="1:8" ht="17.25" customHeight="1" x14ac:dyDescent="0.25">
      <c r="A94" s="120" t="s">
        <v>54</v>
      </c>
      <c r="B94" s="450" t="s">
        <v>55</v>
      </c>
      <c r="C94" s="451"/>
      <c r="D94" s="451"/>
      <c r="E94" s="451"/>
      <c r="F94" s="451"/>
      <c r="G94" s="452"/>
      <c r="H94" s="139"/>
    </row>
    <row r="95" spans="1:8" ht="17.25" customHeight="1" x14ac:dyDescent="0.25">
      <c r="A95" s="236"/>
      <c r="B95" s="453" t="s">
        <v>30</v>
      </c>
      <c r="C95" s="454"/>
      <c r="D95" s="453" t="s">
        <v>56</v>
      </c>
      <c r="E95" s="454"/>
      <c r="F95" s="458" t="s">
        <v>58</v>
      </c>
      <c r="G95" s="459"/>
      <c r="H95" s="139"/>
    </row>
    <row r="96" spans="1:8" ht="17.25" customHeight="1" x14ac:dyDescent="0.25">
      <c r="A96" s="113"/>
      <c r="B96" s="453" t="s">
        <v>59</v>
      </c>
      <c r="C96" s="454"/>
      <c r="D96" s="455">
        <v>0.27</v>
      </c>
      <c r="E96" s="454"/>
      <c r="F96" s="456">
        <f>+H92*D96</f>
        <v>55029.375</v>
      </c>
      <c r="G96" s="457"/>
      <c r="H96" s="139"/>
    </row>
    <row r="97" spans="1:8" ht="17.25" customHeight="1" x14ac:dyDescent="0.25">
      <c r="A97" s="113"/>
      <c r="B97" s="453" t="s">
        <v>60</v>
      </c>
      <c r="C97" s="454"/>
      <c r="D97" s="455">
        <v>0.02</v>
      </c>
      <c r="E97" s="454"/>
      <c r="F97" s="456">
        <f>+H92*D97</f>
        <v>4076.25</v>
      </c>
      <c r="G97" s="457"/>
      <c r="H97" s="139"/>
    </row>
    <row r="98" spans="1:8" ht="17.25" customHeight="1" x14ac:dyDescent="0.25">
      <c r="A98" s="113"/>
      <c r="B98" s="453" t="s">
        <v>61</v>
      </c>
      <c r="C98" s="454"/>
      <c r="D98" s="455">
        <v>0.03</v>
      </c>
      <c r="E98" s="454"/>
      <c r="F98" s="456">
        <f>+H92*D98</f>
        <v>6114.375</v>
      </c>
      <c r="G98" s="457"/>
      <c r="H98" s="139"/>
    </row>
    <row r="99" spans="1:8" ht="17.25" customHeight="1" x14ac:dyDescent="0.25">
      <c r="A99" s="148"/>
      <c r="D99" s="128" t="s">
        <v>62</v>
      </c>
      <c r="E99" s="129"/>
      <c r="F99" s="129"/>
      <c r="G99" s="129"/>
      <c r="H99" s="146">
        <f>SUM(F96:G98)</f>
        <v>65220</v>
      </c>
    </row>
    <row r="100" spans="1:8" ht="17.25" customHeight="1" x14ac:dyDescent="0.25">
      <c r="A100" s="148"/>
      <c r="E100" s="122"/>
      <c r="F100" s="122"/>
      <c r="G100" s="122"/>
      <c r="H100" s="139"/>
    </row>
    <row r="101" spans="1:8" ht="17.25" customHeight="1" x14ac:dyDescent="0.25">
      <c r="A101" s="148"/>
      <c r="D101" s="128" t="s">
        <v>63</v>
      </c>
      <c r="E101" s="129"/>
      <c r="F101" s="129"/>
      <c r="G101" s="122"/>
      <c r="H101" s="146">
        <f>H92+H99</f>
        <v>269032.5</v>
      </c>
    </row>
    <row r="102" spans="1:8" ht="17.25" customHeight="1" x14ac:dyDescent="0.25">
      <c r="A102" s="148"/>
      <c r="D102" s="128"/>
      <c r="E102" s="129"/>
      <c r="F102" s="129"/>
      <c r="G102" s="122"/>
      <c r="H102" s="139"/>
    </row>
    <row r="103" spans="1:8" ht="17.25" customHeight="1" x14ac:dyDescent="0.25">
      <c r="A103" s="148"/>
      <c r="E103" s="129"/>
      <c r="F103" s="129"/>
      <c r="G103" s="122"/>
      <c r="H103" s="139"/>
    </row>
    <row r="104" spans="1:8" ht="17.25" customHeight="1" x14ac:dyDescent="0.25">
      <c r="A104" s="119"/>
      <c r="B104" s="118"/>
      <c r="E104" s="132"/>
      <c r="F104" s="133"/>
      <c r="G104" s="117"/>
      <c r="H104" s="139"/>
    </row>
    <row r="105" spans="1:8" ht="17.25" customHeight="1" x14ac:dyDescent="0.25">
      <c r="A105" s="150" t="s">
        <v>202</v>
      </c>
      <c r="B105" s="130" t="s">
        <v>233</v>
      </c>
      <c r="E105" s="136" t="s">
        <v>198</v>
      </c>
      <c r="F105" s="130"/>
      <c r="G105" s="130"/>
      <c r="H105" s="147"/>
    </row>
    <row r="106" spans="1:8" ht="17.25" customHeight="1" x14ac:dyDescent="0.25">
      <c r="A106" s="151" t="s">
        <v>203</v>
      </c>
      <c r="B106" s="130"/>
      <c r="E106" s="130" t="str">
        <f ca="1">+$E$106</f>
        <v>SECRETARIO DE PLANEACION Y OBRAS PUBLICAS</v>
      </c>
      <c r="F106" s="130"/>
      <c r="G106" s="130"/>
      <c r="H106" s="147"/>
    </row>
    <row r="107" spans="1:8" ht="17.25" customHeight="1" x14ac:dyDescent="0.25">
      <c r="A107" s="152"/>
      <c r="B107" s="153"/>
      <c r="C107" s="118"/>
      <c r="D107" s="118"/>
      <c r="E107" s="153" t="str">
        <f ca="1">+$E$107</f>
        <v>SAN MIGUEL - PUTUMAYO</v>
      </c>
      <c r="F107" s="153"/>
      <c r="G107" s="153"/>
      <c r="H107" s="154"/>
    </row>
    <row r="108" spans="1:8" ht="17.25" customHeight="1" x14ac:dyDescent="0.3">
      <c r="A108" s="460"/>
      <c r="B108" s="461"/>
      <c r="C108" s="399" t="s">
        <v>195</v>
      </c>
      <c r="D108" s="401" t="s">
        <v>196</v>
      </c>
      <c r="E108" s="402"/>
      <c r="F108" s="155">
        <v>103</v>
      </c>
      <c r="G108" s="466"/>
      <c r="H108" s="467"/>
    </row>
    <row r="109" spans="1:8" ht="17.25" customHeight="1" x14ac:dyDescent="0.25">
      <c r="A109" s="462"/>
      <c r="B109" s="463"/>
      <c r="C109" s="400"/>
      <c r="D109" s="404" t="s">
        <v>163</v>
      </c>
      <c r="E109" s="405"/>
      <c r="F109" s="408">
        <v>51</v>
      </c>
      <c r="G109" s="468"/>
      <c r="H109" s="469"/>
    </row>
    <row r="110" spans="1:8" ht="17.25" customHeight="1" x14ac:dyDescent="0.25">
      <c r="A110" s="462"/>
      <c r="B110" s="463"/>
      <c r="C110" s="169" t="s">
        <v>164</v>
      </c>
      <c r="D110" s="406"/>
      <c r="E110" s="407"/>
      <c r="F110" s="409"/>
      <c r="G110" s="468"/>
      <c r="H110" s="469"/>
    </row>
    <row r="111" spans="1:8" ht="29.4" customHeight="1" x14ac:dyDescent="0.25">
      <c r="A111" s="462"/>
      <c r="B111" s="463"/>
      <c r="C111" s="229" t="s">
        <v>165</v>
      </c>
      <c r="D111" s="410" t="s">
        <v>166</v>
      </c>
      <c r="E111" s="411"/>
      <c r="F111" s="171">
        <v>1</v>
      </c>
      <c r="G111" s="468"/>
      <c r="H111" s="469"/>
    </row>
    <row r="112" spans="1:8" ht="17.25" customHeight="1" x14ac:dyDescent="0.25">
      <c r="A112" s="462"/>
      <c r="B112" s="463"/>
      <c r="C112" s="472" t="s">
        <v>167</v>
      </c>
      <c r="D112" s="474" t="s">
        <v>168</v>
      </c>
      <c r="E112" s="475"/>
      <c r="F112" s="169" t="s">
        <v>169</v>
      </c>
      <c r="G112" s="468"/>
      <c r="H112" s="469"/>
    </row>
    <row r="113" spans="1:8" ht="17.25" customHeight="1" x14ac:dyDescent="0.25">
      <c r="A113" s="464"/>
      <c r="B113" s="465"/>
      <c r="C113" s="473"/>
      <c r="D113" s="476"/>
      <c r="E113" s="477"/>
      <c r="F113" s="172">
        <f>$F$6</f>
        <v>45402</v>
      </c>
      <c r="G113" s="470"/>
      <c r="H113" s="471"/>
    </row>
    <row r="114" spans="1:8" ht="17.25" customHeight="1" thickBot="1" x14ac:dyDescent="0.3">
      <c r="A114" s="438"/>
      <c r="B114" s="439"/>
      <c r="C114" s="439"/>
      <c r="D114" s="439"/>
      <c r="E114" s="439"/>
      <c r="F114" s="439"/>
      <c r="G114" s="439"/>
      <c r="H114" s="440"/>
    </row>
    <row r="115" spans="1:8" ht="17.25" customHeight="1" x14ac:dyDescent="0.25">
      <c r="A115" s="441" t="str">
        <f>+PRESUPUESTO!$A$8</f>
        <v>MANTENIMIENTO Y REPARACION DE PUENTE VEHICULAR VIA LA GUISITA EN EL MUNICIPIO DE SAN MIGUEL PUTUMAYO</v>
      </c>
      <c r="B115" s="442"/>
      <c r="C115" s="442"/>
      <c r="D115" s="442"/>
      <c r="E115" s="442"/>
      <c r="F115" s="442"/>
      <c r="G115" s="442"/>
      <c r="H115" s="443"/>
    </row>
    <row r="116" spans="1:8" ht="17.25" customHeight="1" thickBot="1" x14ac:dyDescent="0.3">
      <c r="A116" s="444"/>
      <c r="B116" s="445"/>
      <c r="C116" s="445"/>
      <c r="D116" s="445"/>
      <c r="E116" s="445"/>
      <c r="F116" s="445"/>
      <c r="G116" s="445"/>
      <c r="H116" s="446"/>
    </row>
    <row r="117" spans="1:8" ht="17.25" customHeight="1" thickBot="1" x14ac:dyDescent="0.3">
      <c r="A117" s="284"/>
      <c r="B117" s="234"/>
      <c r="C117" s="234"/>
      <c r="D117" s="234"/>
      <c r="E117" s="234"/>
      <c r="F117" s="234"/>
      <c r="G117" s="234"/>
      <c r="H117" s="285"/>
    </row>
    <row r="118" spans="1:8" ht="28.2" customHeight="1" thickBot="1" x14ac:dyDescent="0.3">
      <c r="A118" s="286">
        <v>2.1</v>
      </c>
      <c r="B118" s="447" t="str">
        <f>VLOOKUP(A118,PRESUPUESTO!$A$15:$G$32,2,)</f>
        <v>Mantenimiento y reparacion de barandas o pasamanos metalicos Tuberia 3 1/2"</v>
      </c>
      <c r="C118" s="448"/>
      <c r="D118" s="448"/>
      <c r="E118" s="448"/>
      <c r="F118" s="449"/>
      <c r="G118" s="282" t="s">
        <v>27</v>
      </c>
      <c r="H118" s="283" t="str">
        <f>VLOOKUP(A118,PRESUPUESTO!$A$15:$G$32,4,)</f>
        <v>ML</v>
      </c>
    </row>
    <row r="119" spans="1:8" ht="17.25" customHeight="1" x14ac:dyDescent="0.25">
      <c r="A119" s="148"/>
      <c r="H119" s="144"/>
    </row>
    <row r="120" spans="1:8" ht="17.25" customHeight="1" x14ac:dyDescent="0.25">
      <c r="A120" s="120" t="s">
        <v>28</v>
      </c>
      <c r="B120" s="450" t="s">
        <v>29</v>
      </c>
      <c r="C120" s="451"/>
      <c r="D120" s="451"/>
      <c r="E120" s="451"/>
      <c r="F120" s="451"/>
      <c r="G120" s="452"/>
      <c r="H120" s="144"/>
    </row>
    <row r="121" spans="1:8" ht="17.25" customHeight="1" x14ac:dyDescent="0.25">
      <c r="A121" s="236"/>
      <c r="B121" s="453" t="s">
        <v>30</v>
      </c>
      <c r="C121" s="454"/>
      <c r="D121" s="236" t="s">
        <v>31</v>
      </c>
      <c r="E121" s="236" t="s">
        <v>242</v>
      </c>
      <c r="F121" s="236" t="s">
        <v>243</v>
      </c>
      <c r="G121" s="236" t="s">
        <v>34</v>
      </c>
      <c r="H121" s="144"/>
    </row>
    <row r="122" spans="1:8" ht="17.25" customHeight="1" x14ac:dyDescent="0.25">
      <c r="A122" s="113"/>
      <c r="B122" s="436" t="s">
        <v>65</v>
      </c>
      <c r="C122" s="437"/>
      <c r="D122" s="113"/>
      <c r="E122" s="121"/>
      <c r="F122" s="121">
        <v>0.1</v>
      </c>
      <c r="G122" s="131">
        <f>ROUND(H139*F122,2)</f>
        <v>4958.33</v>
      </c>
      <c r="H122" s="145"/>
    </row>
    <row r="123" spans="1:8" ht="17.25" customHeight="1" x14ac:dyDescent="0.25">
      <c r="A123" s="113"/>
      <c r="B123" s="436" t="s">
        <v>244</v>
      </c>
      <c r="C123" s="437"/>
      <c r="D123" s="236" t="s">
        <v>286</v>
      </c>
      <c r="E123" s="260">
        <v>12500</v>
      </c>
      <c r="F123" s="121">
        <v>0.5</v>
      </c>
      <c r="G123" s="261">
        <f>E123*F123</f>
        <v>6250</v>
      </c>
      <c r="H123" s="145"/>
    </row>
    <row r="124" spans="1:8" ht="17.25" customHeight="1" x14ac:dyDescent="0.25">
      <c r="A124" s="149"/>
      <c r="E124" s="122" t="s">
        <v>35</v>
      </c>
      <c r="F124" s="122"/>
      <c r="G124" s="122"/>
      <c r="H124" s="146">
        <f>ROUND(SUM(G122:G123),2)</f>
        <v>11208.33</v>
      </c>
    </row>
    <row r="125" spans="1:8" ht="17.25" customHeight="1" x14ac:dyDescent="0.25">
      <c r="A125" s="120" t="s">
        <v>36</v>
      </c>
      <c r="B125" s="450" t="s">
        <v>37</v>
      </c>
      <c r="C125" s="451"/>
      <c r="D125" s="451"/>
      <c r="E125" s="451"/>
      <c r="F125" s="451"/>
      <c r="G125" s="452"/>
      <c r="H125" s="139"/>
    </row>
    <row r="126" spans="1:8" ht="17.25" customHeight="1" x14ac:dyDescent="0.25">
      <c r="A126" s="236"/>
      <c r="B126" s="453" t="s">
        <v>30</v>
      </c>
      <c r="C126" s="454"/>
      <c r="D126" s="113" t="s">
        <v>12</v>
      </c>
      <c r="E126" s="123" t="s">
        <v>38</v>
      </c>
      <c r="F126" s="123" t="s">
        <v>39</v>
      </c>
      <c r="G126" s="123" t="s">
        <v>34</v>
      </c>
      <c r="H126" s="139"/>
    </row>
    <row r="127" spans="1:8" ht="17.25" customHeight="1" x14ac:dyDescent="0.25">
      <c r="A127" s="113"/>
      <c r="B127" s="480" t="s">
        <v>287</v>
      </c>
      <c r="C127" s="481"/>
      <c r="D127" s="141" t="s">
        <v>240</v>
      </c>
      <c r="E127" s="141">
        <v>1</v>
      </c>
      <c r="F127" s="217">
        <v>0</v>
      </c>
      <c r="G127" s="217">
        <f>ROUND(E127*F127,2)</f>
        <v>0</v>
      </c>
      <c r="H127" s="139"/>
    </row>
    <row r="128" spans="1:8" ht="17.25" customHeight="1" x14ac:dyDescent="0.25">
      <c r="A128" s="113"/>
      <c r="B128" s="480" t="s">
        <v>280</v>
      </c>
      <c r="C128" s="481"/>
      <c r="D128" s="141" t="s">
        <v>11</v>
      </c>
      <c r="E128" s="141">
        <v>1</v>
      </c>
      <c r="F128" s="217">
        <v>35000</v>
      </c>
      <c r="G128" s="217">
        <f>E128*F128</f>
        <v>35000</v>
      </c>
      <c r="H128" s="139"/>
    </row>
    <row r="129" spans="1:8" ht="17.25" customHeight="1" x14ac:dyDescent="0.25">
      <c r="A129" s="113"/>
      <c r="B129" s="480" t="s">
        <v>281</v>
      </c>
      <c r="C129" s="481"/>
      <c r="D129" s="141" t="s">
        <v>5</v>
      </c>
      <c r="E129" s="141">
        <v>0.05</v>
      </c>
      <c r="F129" s="217">
        <v>275000</v>
      </c>
      <c r="G129" s="217">
        <f>E129*F129</f>
        <v>13750</v>
      </c>
      <c r="H129" s="139"/>
    </row>
    <row r="130" spans="1:8" ht="17.25" customHeight="1" x14ac:dyDescent="0.25">
      <c r="A130" s="113"/>
      <c r="B130" s="478"/>
      <c r="C130" s="479"/>
      <c r="D130" s="262"/>
      <c r="E130" s="263"/>
      <c r="F130" s="264"/>
      <c r="G130" s="217"/>
      <c r="H130" s="139"/>
    </row>
    <row r="131" spans="1:8" ht="17.25" customHeight="1" x14ac:dyDescent="0.25">
      <c r="A131" s="113"/>
      <c r="B131" s="478"/>
      <c r="C131" s="479"/>
      <c r="D131" s="262"/>
      <c r="E131" s="263"/>
      <c r="F131" s="264"/>
      <c r="G131" s="217"/>
      <c r="H131" s="139"/>
    </row>
    <row r="132" spans="1:8" ht="17.25" customHeight="1" x14ac:dyDescent="0.25">
      <c r="A132" s="113"/>
      <c r="B132" s="478"/>
      <c r="C132" s="479"/>
      <c r="D132" s="262"/>
      <c r="E132" s="263"/>
      <c r="F132" s="264"/>
      <c r="G132" s="217"/>
      <c r="H132" s="139"/>
    </row>
    <row r="133" spans="1:8" ht="17.25" customHeight="1" x14ac:dyDescent="0.25">
      <c r="A133" s="149" t="s">
        <v>40</v>
      </c>
      <c r="E133" s="122" t="s">
        <v>41</v>
      </c>
      <c r="F133" s="122"/>
      <c r="G133" s="122"/>
      <c r="H133" s="218">
        <f>ROUND(SUM(G127:G132),2)</f>
        <v>48750</v>
      </c>
    </row>
    <row r="134" spans="1:8" ht="17.25" customHeight="1" x14ac:dyDescent="0.25">
      <c r="A134" s="120" t="s">
        <v>42</v>
      </c>
      <c r="B134" s="450" t="s">
        <v>43</v>
      </c>
      <c r="C134" s="451"/>
      <c r="D134" s="451"/>
      <c r="E134" s="451"/>
      <c r="F134" s="451"/>
      <c r="G134" s="452"/>
      <c r="H134" s="139"/>
    </row>
    <row r="135" spans="1:8" ht="17.25" customHeight="1" x14ac:dyDescent="0.25">
      <c r="A135" s="236" t="s">
        <v>44</v>
      </c>
      <c r="B135" s="236" t="s">
        <v>30</v>
      </c>
      <c r="C135" s="236" t="s">
        <v>45</v>
      </c>
      <c r="D135" s="236" t="s">
        <v>46</v>
      </c>
      <c r="E135" s="123" t="s">
        <v>47</v>
      </c>
      <c r="F135" s="121" t="s">
        <v>251</v>
      </c>
      <c r="G135" s="121" t="s">
        <v>34</v>
      </c>
      <c r="H135" s="139"/>
    </row>
    <row r="136" spans="1:8" ht="17.25" customHeight="1" x14ac:dyDescent="0.25">
      <c r="A136" s="236">
        <v>1</v>
      </c>
      <c r="B136" s="113" t="s">
        <v>246</v>
      </c>
      <c r="C136" s="125">
        <v>110000</v>
      </c>
      <c r="D136" s="219">
        <v>0.75</v>
      </c>
      <c r="E136" s="221">
        <f>+(A136*C136)+(A136*C136*D136)</f>
        <v>192500</v>
      </c>
      <c r="F136" s="141">
        <v>6</v>
      </c>
      <c r="G136" s="131">
        <f>ROUND(E136/(F136),2)</f>
        <v>32083.33</v>
      </c>
      <c r="H136" s="139"/>
    </row>
    <row r="137" spans="1:8" ht="17.25" customHeight="1" x14ac:dyDescent="0.25">
      <c r="A137" s="236">
        <v>1</v>
      </c>
      <c r="B137" s="113" t="s">
        <v>282</v>
      </c>
      <c r="C137" s="125">
        <v>60000</v>
      </c>
      <c r="D137" s="219">
        <v>0.75</v>
      </c>
      <c r="E137" s="221">
        <f>+(A137*C137)+(A137*C137*D137)</f>
        <v>105000</v>
      </c>
      <c r="F137" s="141">
        <v>6</v>
      </c>
      <c r="G137" s="131">
        <f>ROUND(E137/(F137),2)</f>
        <v>17500</v>
      </c>
      <c r="H137" s="139"/>
    </row>
    <row r="138" spans="1:8" ht="17.25" customHeight="1" x14ac:dyDescent="0.25">
      <c r="A138" s="113"/>
      <c r="B138" s="113"/>
      <c r="C138" s="113"/>
      <c r="D138" s="113"/>
      <c r="E138" s="121"/>
      <c r="F138" s="121"/>
      <c r="G138" s="121"/>
      <c r="H138" s="139"/>
    </row>
    <row r="139" spans="1:8" ht="17.25" customHeight="1" x14ac:dyDescent="0.25">
      <c r="A139" s="149"/>
      <c r="E139" s="122" t="s">
        <v>49</v>
      </c>
      <c r="F139" s="122"/>
      <c r="G139" s="122"/>
      <c r="H139" s="146">
        <f>ROUND(SUM(G136)+(G137),2)</f>
        <v>49583.33</v>
      </c>
    </row>
    <row r="140" spans="1:8" ht="17.25" customHeight="1" x14ac:dyDescent="0.25">
      <c r="A140" s="120" t="s">
        <v>50</v>
      </c>
      <c r="B140" s="450" t="s">
        <v>18</v>
      </c>
      <c r="C140" s="451"/>
      <c r="D140" s="451"/>
      <c r="E140" s="451"/>
      <c r="F140" s="451"/>
      <c r="G140" s="452"/>
      <c r="H140" s="139"/>
    </row>
    <row r="141" spans="1:8" ht="17.25" customHeight="1" x14ac:dyDescent="0.25">
      <c r="A141" s="113"/>
      <c r="B141" s="113" t="s">
        <v>30</v>
      </c>
      <c r="C141" s="236" t="s">
        <v>12</v>
      </c>
      <c r="D141" s="236" t="s">
        <v>13</v>
      </c>
      <c r="E141" s="236" t="s">
        <v>51</v>
      </c>
      <c r="F141" s="236"/>
      <c r="G141" s="121" t="s">
        <v>52</v>
      </c>
      <c r="H141" s="139"/>
    </row>
    <row r="142" spans="1:8" ht="17.25" customHeight="1" x14ac:dyDescent="0.25">
      <c r="A142" s="113"/>
      <c r="B142" s="113" t="s">
        <v>283</v>
      </c>
      <c r="C142" s="127" t="s">
        <v>284</v>
      </c>
      <c r="D142" s="113">
        <v>0.01</v>
      </c>
      <c r="E142" s="121">
        <f>3000000/15</f>
        <v>200000</v>
      </c>
      <c r="F142" s="121"/>
      <c r="G142" s="121">
        <f>D142*E142</f>
        <v>2000</v>
      </c>
      <c r="H142" s="139"/>
    </row>
    <row r="143" spans="1:8" ht="17.25" customHeight="1" x14ac:dyDescent="0.25">
      <c r="A143" s="113"/>
      <c r="B143" s="113"/>
      <c r="C143" s="124"/>
      <c r="D143" s="113"/>
      <c r="E143" s="121"/>
      <c r="F143" s="121"/>
      <c r="G143" s="121"/>
      <c r="H143" s="139"/>
    </row>
    <row r="144" spans="1:8" ht="17.25" customHeight="1" x14ac:dyDescent="0.25">
      <c r="A144" s="113"/>
      <c r="B144" s="113"/>
      <c r="C144" s="113"/>
      <c r="D144" s="113"/>
      <c r="E144" s="121"/>
      <c r="F144" s="121"/>
      <c r="G144" s="121"/>
      <c r="H144" s="139"/>
    </row>
    <row r="145" spans="1:8" ht="17.25" customHeight="1" x14ac:dyDescent="0.25">
      <c r="A145" s="149"/>
      <c r="E145" s="122" t="s">
        <v>49</v>
      </c>
      <c r="F145" s="122"/>
      <c r="G145" s="122"/>
      <c r="H145" s="218">
        <f>ROUND(SUM(G142)+(G143),0)</f>
        <v>2000</v>
      </c>
    </row>
    <row r="146" spans="1:8" ht="17.25" customHeight="1" x14ac:dyDescent="0.25">
      <c r="A146" s="148"/>
      <c r="E146" s="122"/>
      <c r="F146" s="122"/>
      <c r="G146" s="122"/>
      <c r="H146" s="139"/>
    </row>
    <row r="147" spans="1:8" ht="17.25" customHeight="1" x14ac:dyDescent="0.25">
      <c r="A147" s="148"/>
      <c r="D147" s="128" t="s">
        <v>53</v>
      </c>
      <c r="E147" s="129"/>
      <c r="F147" s="129"/>
      <c r="G147" s="129"/>
      <c r="H147" s="146">
        <f>ROUND(SUM(H124:H146),2)</f>
        <v>111541.66</v>
      </c>
    </row>
    <row r="148" spans="1:8" ht="17.25" customHeight="1" x14ac:dyDescent="0.25">
      <c r="A148" s="148"/>
      <c r="E148" s="122"/>
      <c r="F148" s="122"/>
      <c r="G148" s="122"/>
      <c r="H148" s="139"/>
    </row>
    <row r="149" spans="1:8" ht="17.25" customHeight="1" x14ac:dyDescent="0.25">
      <c r="A149" s="120" t="s">
        <v>54</v>
      </c>
      <c r="B149" s="450" t="s">
        <v>55</v>
      </c>
      <c r="C149" s="451"/>
      <c r="D149" s="451"/>
      <c r="E149" s="451"/>
      <c r="F149" s="451"/>
      <c r="G149" s="452"/>
      <c r="H149" s="139"/>
    </row>
    <row r="150" spans="1:8" ht="17.25" customHeight="1" x14ac:dyDescent="0.25">
      <c r="A150" s="236"/>
      <c r="B150" s="453" t="s">
        <v>30</v>
      </c>
      <c r="C150" s="454"/>
      <c r="D150" s="453" t="s">
        <v>56</v>
      </c>
      <c r="E150" s="454"/>
      <c r="F150" s="458" t="s">
        <v>58</v>
      </c>
      <c r="G150" s="459"/>
      <c r="H150" s="139"/>
    </row>
    <row r="151" spans="1:8" ht="17.25" customHeight="1" x14ac:dyDescent="0.25">
      <c r="A151" s="113"/>
      <c r="B151" s="453" t="s">
        <v>59</v>
      </c>
      <c r="C151" s="454"/>
      <c r="D151" s="455">
        <v>0.27</v>
      </c>
      <c r="E151" s="454"/>
      <c r="F151" s="456">
        <f>+H147*D151</f>
        <v>30116.248200000002</v>
      </c>
      <c r="G151" s="457"/>
      <c r="H151" s="139"/>
    </row>
    <row r="152" spans="1:8" ht="17.25" customHeight="1" x14ac:dyDescent="0.25">
      <c r="A152" s="113"/>
      <c r="B152" s="453" t="s">
        <v>60</v>
      </c>
      <c r="C152" s="454"/>
      <c r="D152" s="455">
        <v>0.02</v>
      </c>
      <c r="E152" s="454"/>
      <c r="F152" s="456">
        <f>+H147*D152</f>
        <v>2230.8332</v>
      </c>
      <c r="G152" s="457"/>
      <c r="H152" s="139"/>
    </row>
    <row r="153" spans="1:8" ht="17.25" customHeight="1" x14ac:dyDescent="0.25">
      <c r="A153" s="113"/>
      <c r="B153" s="453" t="s">
        <v>61</v>
      </c>
      <c r="C153" s="454"/>
      <c r="D153" s="455">
        <v>0.03</v>
      </c>
      <c r="E153" s="454"/>
      <c r="F153" s="456">
        <f>+H147*D153</f>
        <v>3346.2498000000001</v>
      </c>
      <c r="G153" s="457"/>
      <c r="H153" s="139"/>
    </row>
    <row r="154" spans="1:8" ht="17.25" customHeight="1" x14ac:dyDescent="0.25">
      <c r="A154" s="148"/>
      <c r="D154" s="128" t="s">
        <v>62</v>
      </c>
      <c r="E154" s="129"/>
      <c r="F154" s="129"/>
      <c r="G154" s="129"/>
      <c r="H154" s="146">
        <f>SUM(F151:G153)</f>
        <v>35693.331200000001</v>
      </c>
    </row>
    <row r="155" spans="1:8" ht="17.25" customHeight="1" x14ac:dyDescent="0.25">
      <c r="A155" s="148"/>
      <c r="E155" s="122"/>
      <c r="F155" s="122"/>
      <c r="G155" s="122"/>
      <c r="H155" s="139"/>
    </row>
    <row r="156" spans="1:8" ht="17.25" customHeight="1" x14ac:dyDescent="0.25">
      <c r="A156" s="148"/>
      <c r="D156" s="128" t="s">
        <v>63</v>
      </c>
      <c r="E156" s="129"/>
      <c r="F156" s="129"/>
      <c r="G156" s="122"/>
      <c r="H156" s="146">
        <f>H147+H154</f>
        <v>147234.99119999999</v>
      </c>
    </row>
    <row r="157" spans="1:8" ht="17.25" customHeight="1" x14ac:dyDescent="0.25">
      <c r="A157" s="148"/>
      <c r="D157" s="128"/>
      <c r="E157" s="129"/>
      <c r="F157" s="129"/>
      <c r="G157" s="122"/>
      <c r="H157" s="139"/>
    </row>
    <row r="158" spans="1:8" ht="17.25" customHeight="1" x14ac:dyDescent="0.25">
      <c r="A158" s="148"/>
      <c r="E158" s="129"/>
      <c r="F158" s="129"/>
      <c r="G158" s="122"/>
      <c r="H158" s="139"/>
    </row>
    <row r="159" spans="1:8" ht="17.25" customHeight="1" x14ac:dyDescent="0.25">
      <c r="A159" s="119"/>
      <c r="B159" s="118"/>
      <c r="E159" s="132"/>
      <c r="F159" s="133"/>
      <c r="G159" s="117"/>
      <c r="H159" s="139"/>
    </row>
    <row r="160" spans="1:8" ht="17.25" customHeight="1" x14ac:dyDescent="0.25">
      <c r="A160" s="150" t="s">
        <v>202</v>
      </c>
      <c r="B160" s="130" t="s">
        <v>233</v>
      </c>
      <c r="E160" s="136" t="s">
        <v>198</v>
      </c>
      <c r="F160" s="130"/>
      <c r="G160" s="130"/>
      <c r="H160" s="147"/>
    </row>
    <row r="161" spans="1:8" ht="17.25" customHeight="1" x14ac:dyDescent="0.25">
      <c r="A161" s="151" t="s">
        <v>203</v>
      </c>
      <c r="B161" s="130"/>
      <c r="E161" s="130" t="str">
        <f ca="1">+$E$106</f>
        <v>SECRETARIO DE PLANEACION Y OBRAS PUBLICAS</v>
      </c>
      <c r="F161" s="130"/>
      <c r="G161" s="130"/>
      <c r="H161" s="147"/>
    </row>
    <row r="162" spans="1:8" ht="18.149999999999999" customHeight="1" x14ac:dyDescent="0.25">
      <c r="A162" s="152"/>
      <c r="B162" s="153"/>
      <c r="C162" s="118"/>
      <c r="D162" s="118"/>
      <c r="E162" s="153" t="str">
        <f ca="1">+$E$107</f>
        <v>SAN MIGUEL - PUTUMAYO</v>
      </c>
      <c r="F162" s="153"/>
      <c r="G162" s="153"/>
      <c r="H162" s="154"/>
    </row>
    <row r="163" spans="1:8" ht="17.25" customHeight="1" x14ac:dyDescent="0.3">
      <c r="A163" s="460"/>
      <c r="B163" s="461"/>
      <c r="C163" s="399" t="s">
        <v>195</v>
      </c>
      <c r="D163" s="401" t="s">
        <v>196</v>
      </c>
      <c r="E163" s="402"/>
      <c r="F163" s="155">
        <v>103</v>
      </c>
      <c r="G163" s="466"/>
      <c r="H163" s="467"/>
    </row>
    <row r="164" spans="1:8" ht="17.25" customHeight="1" x14ac:dyDescent="0.25">
      <c r="A164" s="462"/>
      <c r="B164" s="463"/>
      <c r="C164" s="400"/>
      <c r="D164" s="404" t="s">
        <v>163</v>
      </c>
      <c r="E164" s="405"/>
      <c r="F164" s="408">
        <v>51</v>
      </c>
      <c r="G164" s="468"/>
      <c r="H164" s="469"/>
    </row>
    <row r="165" spans="1:8" ht="17.25" customHeight="1" x14ac:dyDescent="0.25">
      <c r="A165" s="462"/>
      <c r="B165" s="463"/>
      <c r="C165" s="169" t="s">
        <v>164</v>
      </c>
      <c r="D165" s="406"/>
      <c r="E165" s="407"/>
      <c r="F165" s="409"/>
      <c r="G165" s="468"/>
      <c r="H165" s="469"/>
    </row>
    <row r="166" spans="1:8" ht="26.85" customHeight="1" x14ac:dyDescent="0.25">
      <c r="A166" s="462"/>
      <c r="B166" s="463"/>
      <c r="C166" s="229" t="s">
        <v>165</v>
      </c>
      <c r="D166" s="410" t="s">
        <v>166</v>
      </c>
      <c r="E166" s="411"/>
      <c r="F166" s="171">
        <v>1</v>
      </c>
      <c r="G166" s="468"/>
      <c r="H166" s="469"/>
    </row>
    <row r="167" spans="1:8" ht="17.25" customHeight="1" x14ac:dyDescent="0.25">
      <c r="A167" s="462"/>
      <c r="B167" s="463"/>
      <c r="C167" s="472" t="s">
        <v>167</v>
      </c>
      <c r="D167" s="474" t="s">
        <v>168</v>
      </c>
      <c r="E167" s="475"/>
      <c r="F167" s="169" t="s">
        <v>169</v>
      </c>
      <c r="G167" s="468"/>
      <c r="H167" s="469"/>
    </row>
    <row r="168" spans="1:8" ht="17.25" customHeight="1" x14ac:dyDescent="0.25">
      <c r="A168" s="464"/>
      <c r="B168" s="465"/>
      <c r="C168" s="473"/>
      <c r="D168" s="476"/>
      <c r="E168" s="477"/>
      <c r="F168" s="172">
        <f>$F$6</f>
        <v>45402</v>
      </c>
      <c r="G168" s="470"/>
      <c r="H168" s="471"/>
    </row>
    <row r="169" spans="1:8" ht="17.25" customHeight="1" thickBot="1" x14ac:dyDescent="0.3">
      <c r="A169" s="438"/>
      <c r="B169" s="439"/>
      <c r="C169" s="439"/>
      <c r="D169" s="439"/>
      <c r="E169" s="439"/>
      <c r="F169" s="439"/>
      <c r="G169" s="439"/>
      <c r="H169" s="440"/>
    </row>
    <row r="170" spans="1:8" ht="17.25" customHeight="1" x14ac:dyDescent="0.25">
      <c r="A170" s="441" t="str">
        <f>+PRESUPUESTO!$A$8</f>
        <v>MANTENIMIENTO Y REPARACION DE PUENTE VEHICULAR VIA LA GUISITA EN EL MUNICIPIO DE SAN MIGUEL PUTUMAYO</v>
      </c>
      <c r="B170" s="442"/>
      <c r="C170" s="442"/>
      <c r="D170" s="442"/>
      <c r="E170" s="442"/>
      <c r="F170" s="442"/>
      <c r="G170" s="442"/>
      <c r="H170" s="443"/>
    </row>
    <row r="171" spans="1:8" ht="17.25" customHeight="1" thickBot="1" x14ac:dyDescent="0.3">
      <c r="A171" s="444"/>
      <c r="B171" s="445"/>
      <c r="C171" s="445"/>
      <c r="D171" s="445"/>
      <c r="E171" s="445"/>
      <c r="F171" s="445"/>
      <c r="G171" s="445"/>
      <c r="H171" s="446"/>
    </row>
    <row r="172" spans="1:8" ht="17.25" customHeight="1" thickBot="1" x14ac:dyDescent="0.3">
      <c r="A172" s="284"/>
      <c r="B172" s="234"/>
      <c r="C172" s="234"/>
      <c r="D172" s="234"/>
      <c r="E172" s="234"/>
      <c r="F172" s="234"/>
      <c r="G172" s="234"/>
      <c r="H172" s="285"/>
    </row>
    <row r="173" spans="1:8" ht="28.2" customHeight="1" thickBot="1" x14ac:dyDescent="0.3">
      <c r="A173" s="286">
        <v>2.2000000000000002</v>
      </c>
      <c r="B173" s="447" t="str">
        <f>VLOOKUP(A173,PRESUPUESTO!$A$15:$G$32,2,)</f>
        <v>Mantenimiento y reparacion de aletas laterales en estribos Lamina alfajor 4.5mm</v>
      </c>
      <c r="C173" s="448"/>
      <c r="D173" s="448"/>
      <c r="E173" s="448"/>
      <c r="F173" s="449"/>
      <c r="G173" s="282" t="s">
        <v>27</v>
      </c>
      <c r="H173" s="283" t="str">
        <f>VLOOKUP(A173,PRESUPUESTO!$A$15:$G$32,4,)</f>
        <v>M2</v>
      </c>
    </row>
    <row r="174" spans="1:8" ht="17.25" customHeight="1" x14ac:dyDescent="0.25">
      <c r="A174" s="148"/>
      <c r="H174" s="144"/>
    </row>
    <row r="175" spans="1:8" ht="17.25" customHeight="1" x14ac:dyDescent="0.25">
      <c r="A175" s="120" t="s">
        <v>28</v>
      </c>
      <c r="B175" s="450" t="s">
        <v>29</v>
      </c>
      <c r="C175" s="451"/>
      <c r="D175" s="451"/>
      <c r="E175" s="451"/>
      <c r="F175" s="451"/>
      <c r="G175" s="452"/>
      <c r="H175" s="144"/>
    </row>
    <row r="176" spans="1:8" ht="17.25" customHeight="1" x14ac:dyDescent="0.25">
      <c r="A176" s="236"/>
      <c r="B176" s="453" t="s">
        <v>30</v>
      </c>
      <c r="C176" s="454"/>
      <c r="D176" s="236" t="s">
        <v>31</v>
      </c>
      <c r="E176" s="236" t="s">
        <v>242</v>
      </c>
      <c r="F176" s="236" t="s">
        <v>243</v>
      </c>
      <c r="G176" s="236" t="s">
        <v>34</v>
      </c>
      <c r="H176" s="144"/>
    </row>
    <row r="177" spans="1:8" ht="17.25" customHeight="1" x14ac:dyDescent="0.25">
      <c r="A177" s="113"/>
      <c r="B177" s="436" t="s">
        <v>65</v>
      </c>
      <c r="C177" s="437"/>
      <c r="D177" s="113"/>
      <c r="E177" s="121"/>
      <c r="F177" s="121">
        <v>0.1</v>
      </c>
      <c r="G177" s="131">
        <f>ROUND(H195*F177,2)</f>
        <v>2975</v>
      </c>
      <c r="H177" s="145"/>
    </row>
    <row r="178" spans="1:8" ht="17.25" customHeight="1" x14ac:dyDescent="0.25">
      <c r="A178" s="113"/>
      <c r="B178" s="436" t="s">
        <v>244</v>
      </c>
      <c r="C178" s="437"/>
      <c r="D178" s="236" t="s">
        <v>286</v>
      </c>
      <c r="E178" s="260">
        <v>12500</v>
      </c>
      <c r="F178" s="121">
        <v>0.5</v>
      </c>
      <c r="G178" s="261">
        <f>E178*F178</f>
        <v>6250</v>
      </c>
      <c r="H178" s="145"/>
    </row>
    <row r="179" spans="1:8" ht="17.25" customHeight="1" x14ac:dyDescent="0.25">
      <c r="A179" s="113"/>
      <c r="B179" s="436"/>
      <c r="C179" s="437"/>
      <c r="D179" s="236"/>
      <c r="E179" s="260"/>
      <c r="F179" s="121"/>
      <c r="G179" s="261">
        <f>E179*F179</f>
        <v>0</v>
      </c>
      <c r="H179" s="145"/>
    </row>
    <row r="180" spans="1:8" ht="17.25" customHeight="1" x14ac:dyDescent="0.25">
      <c r="A180" s="149"/>
      <c r="E180" s="122" t="s">
        <v>35</v>
      </c>
      <c r="F180" s="122"/>
      <c r="G180" s="122"/>
      <c r="H180" s="146">
        <f>ROUND(SUM(G177:G179),2)</f>
        <v>9225</v>
      </c>
    </row>
    <row r="181" spans="1:8" ht="17.25" customHeight="1" x14ac:dyDescent="0.25">
      <c r="A181" s="120" t="s">
        <v>36</v>
      </c>
      <c r="B181" s="450" t="s">
        <v>37</v>
      </c>
      <c r="C181" s="451"/>
      <c r="D181" s="451"/>
      <c r="E181" s="451"/>
      <c r="F181" s="451"/>
      <c r="G181" s="452"/>
      <c r="H181" s="139"/>
    </row>
    <row r="182" spans="1:8" ht="17.25" customHeight="1" x14ac:dyDescent="0.25">
      <c r="A182" s="236"/>
      <c r="B182" s="453" t="s">
        <v>30</v>
      </c>
      <c r="C182" s="454"/>
      <c r="D182" s="113" t="s">
        <v>12</v>
      </c>
      <c r="E182" s="123" t="s">
        <v>38</v>
      </c>
      <c r="F182" s="123" t="s">
        <v>39</v>
      </c>
      <c r="G182" s="123" t="s">
        <v>34</v>
      </c>
      <c r="H182" s="139"/>
    </row>
    <row r="183" spans="1:8" ht="17.25" customHeight="1" x14ac:dyDescent="0.25">
      <c r="A183" s="113"/>
      <c r="B183" s="478" t="s">
        <v>289</v>
      </c>
      <c r="C183" s="479"/>
      <c r="D183" s="262" t="s">
        <v>201</v>
      </c>
      <c r="E183" s="263">
        <v>1</v>
      </c>
      <c r="F183" s="264">
        <v>150000</v>
      </c>
      <c r="G183" s="217">
        <f>ROUND(E183*F183,2)</f>
        <v>150000</v>
      </c>
      <c r="H183" s="139"/>
    </row>
    <row r="184" spans="1:8" ht="17.25" customHeight="1" x14ac:dyDescent="0.25">
      <c r="A184" s="113"/>
      <c r="B184" s="478" t="s">
        <v>255</v>
      </c>
      <c r="C184" s="479"/>
      <c r="D184" s="262" t="s">
        <v>239</v>
      </c>
      <c r="E184" s="263">
        <v>4</v>
      </c>
      <c r="F184" s="264">
        <v>500</v>
      </c>
      <c r="G184" s="217">
        <f t="shared" ref="G184" si="0">ROUND(E184*F184,2)</f>
        <v>2000</v>
      </c>
      <c r="H184" s="139"/>
    </row>
    <row r="185" spans="1:8" ht="17.25" customHeight="1" x14ac:dyDescent="0.25">
      <c r="A185" s="113"/>
      <c r="B185" s="480" t="s">
        <v>280</v>
      </c>
      <c r="C185" s="481"/>
      <c r="D185" s="141" t="s">
        <v>11</v>
      </c>
      <c r="E185" s="141">
        <v>1</v>
      </c>
      <c r="F185" s="217">
        <v>35000</v>
      </c>
      <c r="G185" s="217">
        <f>E185*F185</f>
        <v>35000</v>
      </c>
      <c r="H185" s="139"/>
    </row>
    <row r="186" spans="1:8" ht="17.25" customHeight="1" x14ac:dyDescent="0.25">
      <c r="A186" s="113"/>
      <c r="B186" s="478"/>
      <c r="C186" s="479"/>
      <c r="D186" s="262"/>
      <c r="E186" s="263"/>
      <c r="F186" s="264"/>
      <c r="G186" s="217"/>
      <c r="H186" s="139"/>
    </row>
    <row r="187" spans="1:8" ht="17.25" customHeight="1" x14ac:dyDescent="0.25">
      <c r="A187" s="113"/>
      <c r="B187" s="478"/>
      <c r="C187" s="479"/>
      <c r="D187" s="262"/>
      <c r="E187" s="263"/>
      <c r="F187" s="264"/>
      <c r="G187" s="217"/>
      <c r="H187" s="139"/>
    </row>
    <row r="188" spans="1:8" ht="17.25" customHeight="1" x14ac:dyDescent="0.25">
      <c r="A188" s="113"/>
      <c r="B188" s="478"/>
      <c r="C188" s="479"/>
      <c r="D188" s="262"/>
      <c r="E188" s="263"/>
      <c r="F188" s="264"/>
      <c r="G188" s="217"/>
      <c r="H188" s="139"/>
    </row>
    <row r="189" spans="1:8" ht="17.25" customHeight="1" x14ac:dyDescent="0.25">
      <c r="A189" s="149" t="s">
        <v>40</v>
      </c>
      <c r="E189" s="122" t="s">
        <v>41</v>
      </c>
      <c r="F189" s="122"/>
      <c r="G189" s="122"/>
      <c r="H189" s="218">
        <f>ROUND(SUM(G183:G188),2)</f>
        <v>187000</v>
      </c>
    </row>
    <row r="190" spans="1:8" ht="17.25" customHeight="1" x14ac:dyDescent="0.25">
      <c r="A190" s="120" t="s">
        <v>42</v>
      </c>
      <c r="B190" s="450" t="s">
        <v>43</v>
      </c>
      <c r="C190" s="451"/>
      <c r="D190" s="451"/>
      <c r="E190" s="451"/>
      <c r="F190" s="451"/>
      <c r="G190" s="452"/>
      <c r="H190" s="139"/>
    </row>
    <row r="191" spans="1:8" ht="17.25" customHeight="1" x14ac:dyDescent="0.25">
      <c r="A191" s="236" t="s">
        <v>44</v>
      </c>
      <c r="B191" s="236" t="s">
        <v>30</v>
      </c>
      <c r="C191" s="236" t="s">
        <v>45</v>
      </c>
      <c r="D191" s="236" t="s">
        <v>46</v>
      </c>
      <c r="E191" s="123" t="s">
        <v>47</v>
      </c>
      <c r="F191" s="121" t="s">
        <v>252</v>
      </c>
      <c r="G191" s="121" t="s">
        <v>34</v>
      </c>
      <c r="H191" s="139"/>
    </row>
    <row r="192" spans="1:8" ht="17.25" customHeight="1" x14ac:dyDescent="0.25">
      <c r="A192" s="236">
        <v>1</v>
      </c>
      <c r="B192" s="113" t="s">
        <v>246</v>
      </c>
      <c r="C192" s="125">
        <v>110000</v>
      </c>
      <c r="D192" s="219">
        <v>0.75</v>
      </c>
      <c r="E192" s="221">
        <f>+(A192*C192)+(A192*C192*D192)</f>
        <v>192500</v>
      </c>
      <c r="F192" s="141">
        <v>10</v>
      </c>
      <c r="G192" s="131">
        <f>ROUND(E192/(F192),2)</f>
        <v>19250</v>
      </c>
      <c r="H192" s="139"/>
    </row>
    <row r="193" spans="1:8" ht="17.25" customHeight="1" x14ac:dyDescent="0.25">
      <c r="A193" s="236">
        <v>1</v>
      </c>
      <c r="B193" s="113" t="s">
        <v>282</v>
      </c>
      <c r="C193" s="125">
        <v>60000</v>
      </c>
      <c r="D193" s="219">
        <v>0.75</v>
      </c>
      <c r="E193" s="221">
        <f>+(A193*C193)+(A193*C193*D193)</f>
        <v>105000</v>
      </c>
      <c r="F193" s="141">
        <v>10</v>
      </c>
      <c r="G193" s="131">
        <f>ROUND(E193/(F193),2)</f>
        <v>10500</v>
      </c>
      <c r="H193" s="139"/>
    </row>
    <row r="194" spans="1:8" ht="17.25" customHeight="1" x14ac:dyDescent="0.25">
      <c r="A194" s="113"/>
      <c r="B194" s="113"/>
      <c r="C194" s="113"/>
      <c r="D194" s="113"/>
      <c r="E194" s="121"/>
      <c r="F194" s="121"/>
      <c r="G194" s="121"/>
      <c r="H194" s="139"/>
    </row>
    <row r="195" spans="1:8" ht="17.25" customHeight="1" x14ac:dyDescent="0.25">
      <c r="A195" s="149"/>
      <c r="E195" s="122" t="s">
        <v>49</v>
      </c>
      <c r="F195" s="122"/>
      <c r="G195" s="122"/>
      <c r="H195" s="146">
        <f>ROUND(SUM(G192)+(G193),2)</f>
        <v>29750</v>
      </c>
    </row>
    <row r="196" spans="1:8" ht="17.25" customHeight="1" x14ac:dyDescent="0.25">
      <c r="A196" s="120" t="s">
        <v>50</v>
      </c>
      <c r="B196" s="450" t="s">
        <v>18</v>
      </c>
      <c r="C196" s="451"/>
      <c r="D196" s="451"/>
      <c r="E196" s="451"/>
      <c r="F196" s="451"/>
      <c r="G196" s="452"/>
      <c r="H196" s="139"/>
    </row>
    <row r="197" spans="1:8" ht="17.25" customHeight="1" x14ac:dyDescent="0.25">
      <c r="A197" s="113"/>
      <c r="B197" s="113" t="s">
        <v>30</v>
      </c>
      <c r="C197" s="236" t="s">
        <v>12</v>
      </c>
      <c r="D197" s="236" t="s">
        <v>13</v>
      </c>
      <c r="E197" s="236" t="s">
        <v>51</v>
      </c>
      <c r="F197" s="236"/>
      <c r="G197" s="121" t="s">
        <v>52</v>
      </c>
      <c r="H197" s="139"/>
    </row>
    <row r="198" spans="1:8" ht="17.25" customHeight="1" x14ac:dyDescent="0.25">
      <c r="A198" s="113"/>
      <c r="B198" s="113" t="s">
        <v>296</v>
      </c>
      <c r="C198" s="127" t="s">
        <v>284</v>
      </c>
      <c r="D198" s="113">
        <v>0.01</v>
      </c>
      <c r="E198" s="121">
        <f>3000000/15</f>
        <v>200000</v>
      </c>
      <c r="F198" s="121"/>
      <c r="G198" s="121">
        <f>D198*E198</f>
        <v>2000</v>
      </c>
      <c r="H198" s="139"/>
    </row>
    <row r="199" spans="1:8" ht="17.25" customHeight="1" x14ac:dyDescent="0.25">
      <c r="A199" s="113"/>
      <c r="B199" s="113"/>
      <c r="C199" s="124"/>
      <c r="D199" s="113"/>
      <c r="E199" s="121"/>
      <c r="F199" s="121"/>
      <c r="G199" s="121"/>
      <c r="H199" s="139"/>
    </row>
    <row r="200" spans="1:8" ht="17.25" customHeight="1" x14ac:dyDescent="0.25">
      <c r="A200" s="113"/>
      <c r="B200" s="113"/>
      <c r="C200" s="113"/>
      <c r="D200" s="113"/>
      <c r="E200" s="121"/>
      <c r="F200" s="121"/>
      <c r="G200" s="121"/>
      <c r="H200" s="139"/>
    </row>
    <row r="201" spans="1:8" ht="17.25" customHeight="1" x14ac:dyDescent="0.25">
      <c r="A201" s="149"/>
      <c r="E201" s="122" t="s">
        <v>49</v>
      </c>
      <c r="F201" s="122"/>
      <c r="G201" s="122"/>
      <c r="H201" s="139">
        <f>ROUND(SUM(G198)+(G199),0)</f>
        <v>2000</v>
      </c>
    </row>
    <row r="202" spans="1:8" ht="17.25" customHeight="1" x14ac:dyDescent="0.25">
      <c r="A202" s="148"/>
      <c r="E202" s="122"/>
      <c r="F202" s="122"/>
      <c r="G202" s="122"/>
      <c r="H202" s="139"/>
    </row>
    <row r="203" spans="1:8" ht="17.25" customHeight="1" x14ac:dyDescent="0.25">
      <c r="A203" s="148"/>
      <c r="D203" s="128" t="s">
        <v>53</v>
      </c>
      <c r="E203" s="129"/>
      <c r="F203" s="129"/>
      <c r="G203" s="129"/>
      <c r="H203" s="146">
        <f>ROUND(SUM(H180:H202),2)</f>
        <v>227975</v>
      </c>
    </row>
    <row r="204" spans="1:8" ht="17.25" customHeight="1" x14ac:dyDescent="0.25">
      <c r="A204" s="148"/>
      <c r="E204" s="122"/>
      <c r="F204" s="122"/>
      <c r="G204" s="122"/>
      <c r="H204" s="139"/>
    </row>
    <row r="205" spans="1:8" ht="17.25" customHeight="1" x14ac:dyDescent="0.25">
      <c r="A205" s="120" t="s">
        <v>54</v>
      </c>
      <c r="B205" s="450" t="s">
        <v>55</v>
      </c>
      <c r="C205" s="451"/>
      <c r="D205" s="451"/>
      <c r="E205" s="451"/>
      <c r="F205" s="451"/>
      <c r="G205" s="452"/>
      <c r="H205" s="139"/>
    </row>
    <row r="206" spans="1:8" ht="17.25" customHeight="1" x14ac:dyDescent="0.25">
      <c r="A206" s="236"/>
      <c r="B206" s="453" t="s">
        <v>30</v>
      </c>
      <c r="C206" s="454"/>
      <c r="D206" s="453" t="s">
        <v>56</v>
      </c>
      <c r="E206" s="454"/>
      <c r="F206" s="458" t="s">
        <v>58</v>
      </c>
      <c r="G206" s="459"/>
      <c r="H206" s="139"/>
    </row>
    <row r="207" spans="1:8" ht="17.25" customHeight="1" x14ac:dyDescent="0.25">
      <c r="A207" s="113"/>
      <c r="B207" s="453" t="s">
        <v>59</v>
      </c>
      <c r="C207" s="454"/>
      <c r="D207" s="455">
        <v>0.27</v>
      </c>
      <c r="E207" s="454"/>
      <c r="F207" s="456">
        <f>+H203*D207</f>
        <v>61553.250000000007</v>
      </c>
      <c r="G207" s="457"/>
      <c r="H207" s="139"/>
    </row>
    <row r="208" spans="1:8" ht="17.25" customHeight="1" x14ac:dyDescent="0.25">
      <c r="A208" s="113"/>
      <c r="B208" s="453" t="s">
        <v>60</v>
      </c>
      <c r="C208" s="454"/>
      <c r="D208" s="455">
        <v>0.02</v>
      </c>
      <c r="E208" s="454"/>
      <c r="F208" s="456">
        <f>+H203*D208</f>
        <v>4559.5</v>
      </c>
      <c r="G208" s="457"/>
      <c r="H208" s="139"/>
    </row>
    <row r="209" spans="1:8" ht="17.25" customHeight="1" x14ac:dyDescent="0.25">
      <c r="A209" s="113"/>
      <c r="B209" s="453" t="s">
        <v>61</v>
      </c>
      <c r="C209" s="454"/>
      <c r="D209" s="455">
        <v>0.03</v>
      </c>
      <c r="E209" s="454"/>
      <c r="F209" s="456">
        <f>+H203*D209</f>
        <v>6839.25</v>
      </c>
      <c r="G209" s="457"/>
      <c r="H209" s="139"/>
    </row>
    <row r="210" spans="1:8" ht="17.25" customHeight="1" x14ac:dyDescent="0.25">
      <c r="A210" s="148"/>
      <c r="D210" s="128" t="s">
        <v>62</v>
      </c>
      <c r="E210" s="129"/>
      <c r="F210" s="129"/>
      <c r="G210" s="129"/>
      <c r="H210" s="146">
        <f>SUM(F207:G209)</f>
        <v>72952</v>
      </c>
    </row>
    <row r="211" spans="1:8" ht="17.25" customHeight="1" x14ac:dyDescent="0.25">
      <c r="A211" s="148"/>
      <c r="E211" s="122"/>
      <c r="F211" s="122"/>
      <c r="G211" s="122"/>
      <c r="H211" s="139"/>
    </row>
    <row r="212" spans="1:8" ht="17.25" customHeight="1" x14ac:dyDescent="0.25">
      <c r="A212" s="148"/>
      <c r="D212" s="128" t="s">
        <v>63</v>
      </c>
      <c r="E212" s="129"/>
      <c r="F212" s="129"/>
      <c r="G212" s="122"/>
      <c r="H212" s="146">
        <f>H203+H210</f>
        <v>300927</v>
      </c>
    </row>
    <row r="213" spans="1:8" ht="17.25" customHeight="1" x14ac:dyDescent="0.25">
      <c r="A213" s="148"/>
      <c r="D213" s="128"/>
      <c r="E213" s="129"/>
      <c r="F213" s="129"/>
      <c r="G213" s="122"/>
      <c r="H213" s="139"/>
    </row>
    <row r="214" spans="1:8" ht="17.25" customHeight="1" x14ac:dyDescent="0.25">
      <c r="A214" s="148"/>
      <c r="E214" s="129"/>
      <c r="F214" s="129"/>
      <c r="G214" s="122"/>
      <c r="H214" s="139"/>
    </row>
    <row r="215" spans="1:8" ht="17.25" customHeight="1" x14ac:dyDescent="0.25">
      <c r="A215" s="119"/>
      <c r="B215" s="118"/>
      <c r="E215" s="132"/>
      <c r="F215" s="133"/>
      <c r="G215" s="117"/>
      <c r="H215" s="139"/>
    </row>
    <row r="216" spans="1:8" ht="17.25" customHeight="1" x14ac:dyDescent="0.25">
      <c r="A216" s="150" t="s">
        <v>202</v>
      </c>
      <c r="B216" s="130" t="s">
        <v>233</v>
      </c>
      <c r="E216" s="136" t="s">
        <v>198</v>
      </c>
      <c r="F216" s="130"/>
      <c r="G216" s="130"/>
      <c r="H216" s="147"/>
    </row>
    <row r="217" spans="1:8" ht="17.25" customHeight="1" x14ac:dyDescent="0.25">
      <c r="A217" s="151" t="s">
        <v>203</v>
      </c>
      <c r="B217" s="130"/>
      <c r="E217" s="130" t="str">
        <f ca="1">+$E$106</f>
        <v>SECRETARIO DE PLANEACION Y OBRAS PUBLICAS</v>
      </c>
      <c r="F217" s="130"/>
      <c r="G217" s="130"/>
      <c r="H217" s="147"/>
    </row>
    <row r="218" spans="1:8" ht="18.149999999999999" customHeight="1" x14ac:dyDescent="0.25">
      <c r="A218" s="152"/>
      <c r="B218" s="153"/>
      <c r="C218" s="118"/>
      <c r="D218" s="118"/>
      <c r="E218" s="153" t="str">
        <f ca="1">+$E$107</f>
        <v>SAN MIGUEL - PUTUMAYO</v>
      </c>
      <c r="F218" s="153"/>
      <c r="G218" s="153"/>
      <c r="H218" s="154"/>
    </row>
    <row r="219" spans="1:8" ht="17.25" customHeight="1" x14ac:dyDescent="0.3">
      <c r="A219" s="460"/>
      <c r="B219" s="461"/>
      <c r="C219" s="399" t="s">
        <v>195</v>
      </c>
      <c r="D219" s="401" t="s">
        <v>196</v>
      </c>
      <c r="E219" s="402"/>
      <c r="F219" s="155">
        <v>103</v>
      </c>
      <c r="G219" s="466"/>
      <c r="H219" s="467"/>
    </row>
    <row r="220" spans="1:8" ht="17.25" customHeight="1" x14ac:dyDescent="0.25">
      <c r="A220" s="462"/>
      <c r="B220" s="463"/>
      <c r="C220" s="400"/>
      <c r="D220" s="404" t="s">
        <v>163</v>
      </c>
      <c r="E220" s="405"/>
      <c r="F220" s="408">
        <v>51</v>
      </c>
      <c r="G220" s="468"/>
      <c r="H220" s="469"/>
    </row>
    <row r="221" spans="1:8" ht="17.25" customHeight="1" x14ac:dyDescent="0.25">
      <c r="A221" s="462"/>
      <c r="B221" s="463"/>
      <c r="C221" s="169" t="s">
        <v>164</v>
      </c>
      <c r="D221" s="406"/>
      <c r="E221" s="407"/>
      <c r="F221" s="409"/>
      <c r="G221" s="468"/>
      <c r="H221" s="469"/>
    </row>
    <row r="222" spans="1:8" ht="26.85" customHeight="1" x14ac:dyDescent="0.25">
      <c r="A222" s="462"/>
      <c r="B222" s="463"/>
      <c r="C222" s="229" t="s">
        <v>165</v>
      </c>
      <c r="D222" s="410" t="s">
        <v>166</v>
      </c>
      <c r="E222" s="411"/>
      <c r="F222" s="171">
        <v>1</v>
      </c>
      <c r="G222" s="468"/>
      <c r="H222" s="469"/>
    </row>
    <row r="223" spans="1:8" ht="17.25" customHeight="1" x14ac:dyDescent="0.25">
      <c r="A223" s="462"/>
      <c r="B223" s="463"/>
      <c r="C223" s="472" t="s">
        <v>167</v>
      </c>
      <c r="D223" s="474" t="s">
        <v>168</v>
      </c>
      <c r="E223" s="475"/>
      <c r="F223" s="169" t="s">
        <v>169</v>
      </c>
      <c r="G223" s="468"/>
      <c r="H223" s="469"/>
    </row>
    <row r="224" spans="1:8" ht="17.25" customHeight="1" x14ac:dyDescent="0.25">
      <c r="A224" s="464"/>
      <c r="B224" s="465"/>
      <c r="C224" s="473"/>
      <c r="D224" s="476"/>
      <c r="E224" s="477"/>
      <c r="F224" s="172">
        <f>$F$6</f>
        <v>45402</v>
      </c>
      <c r="G224" s="470"/>
      <c r="H224" s="471"/>
    </row>
    <row r="225" spans="1:8" ht="17.25" customHeight="1" thickBot="1" x14ac:dyDescent="0.3">
      <c r="A225" s="438"/>
      <c r="B225" s="439"/>
      <c r="C225" s="439"/>
      <c r="D225" s="439"/>
      <c r="E225" s="439"/>
      <c r="F225" s="439"/>
      <c r="G225" s="439"/>
      <c r="H225" s="440"/>
    </row>
    <row r="226" spans="1:8" ht="17.25" customHeight="1" x14ac:dyDescent="0.25">
      <c r="A226" s="441" t="str">
        <f>+PRESUPUESTO!$A$8</f>
        <v>MANTENIMIENTO Y REPARACION DE PUENTE VEHICULAR VIA LA GUISITA EN EL MUNICIPIO DE SAN MIGUEL PUTUMAYO</v>
      </c>
      <c r="B226" s="442"/>
      <c r="C226" s="442"/>
      <c r="D226" s="442"/>
      <c r="E226" s="442"/>
      <c r="F226" s="442"/>
      <c r="G226" s="442"/>
      <c r="H226" s="443"/>
    </row>
    <row r="227" spans="1:8" ht="17.25" customHeight="1" thickBot="1" x14ac:dyDescent="0.3">
      <c r="A227" s="444"/>
      <c r="B227" s="445"/>
      <c r="C227" s="445"/>
      <c r="D227" s="445"/>
      <c r="E227" s="445"/>
      <c r="F227" s="445"/>
      <c r="G227" s="445"/>
      <c r="H227" s="446"/>
    </row>
    <row r="228" spans="1:8" ht="17.25" customHeight="1" thickBot="1" x14ac:dyDescent="0.3">
      <c r="A228" s="284"/>
      <c r="B228" s="234"/>
      <c r="C228" s="234"/>
      <c r="D228" s="234"/>
      <c r="E228" s="234"/>
      <c r="F228" s="234"/>
      <c r="G228" s="234"/>
      <c r="H228" s="285"/>
    </row>
    <row r="229" spans="1:8" ht="28.2" customHeight="1" thickBot="1" x14ac:dyDescent="0.3">
      <c r="A229" s="286">
        <v>2.2999999999999998</v>
      </c>
      <c r="B229" s="447" t="str">
        <f>VLOOKUP(A229,PRESUPUESTO!$A$15:$G$32,2,)</f>
        <v>Mantenimiento y reparacion de soporte vertical para aletas Tuberia 6"</v>
      </c>
      <c r="C229" s="448"/>
      <c r="D229" s="448"/>
      <c r="E229" s="448"/>
      <c r="F229" s="449"/>
      <c r="G229" s="282" t="s">
        <v>27</v>
      </c>
      <c r="H229" s="283" t="str">
        <f>VLOOKUP(A229,PRESUPUESTO!$A$15:$G$32,4,)</f>
        <v>ML</v>
      </c>
    </row>
    <row r="230" spans="1:8" ht="17.25" customHeight="1" x14ac:dyDescent="0.25">
      <c r="A230" s="148"/>
      <c r="H230" s="144"/>
    </row>
    <row r="231" spans="1:8" ht="17.25" customHeight="1" x14ac:dyDescent="0.25">
      <c r="A231" s="120" t="s">
        <v>28</v>
      </c>
      <c r="B231" s="450" t="s">
        <v>29</v>
      </c>
      <c r="C231" s="451"/>
      <c r="D231" s="451"/>
      <c r="E231" s="451"/>
      <c r="F231" s="451"/>
      <c r="G231" s="452"/>
      <c r="H231" s="144"/>
    </row>
    <row r="232" spans="1:8" ht="17.25" customHeight="1" x14ac:dyDescent="0.25">
      <c r="A232" s="236"/>
      <c r="B232" s="453" t="s">
        <v>30</v>
      </c>
      <c r="C232" s="454"/>
      <c r="D232" s="236" t="s">
        <v>31</v>
      </c>
      <c r="E232" s="236" t="s">
        <v>242</v>
      </c>
      <c r="F232" s="236" t="s">
        <v>243</v>
      </c>
      <c r="G232" s="236" t="s">
        <v>34</v>
      </c>
      <c r="H232" s="144"/>
    </row>
    <row r="233" spans="1:8" ht="17.25" customHeight="1" x14ac:dyDescent="0.25">
      <c r="A233" s="113"/>
      <c r="B233" s="436" t="s">
        <v>65</v>
      </c>
      <c r="C233" s="437"/>
      <c r="D233" s="113"/>
      <c r="E233" s="121"/>
      <c r="F233" s="121">
        <v>0.1</v>
      </c>
      <c r="G233" s="131">
        <f>ROUND(H251*F233,2)</f>
        <v>7437.5</v>
      </c>
      <c r="H233" s="145"/>
    </row>
    <row r="234" spans="1:8" ht="17.25" customHeight="1" x14ac:dyDescent="0.25">
      <c r="A234" s="113"/>
      <c r="B234" s="436" t="s">
        <v>277</v>
      </c>
      <c r="C234" s="437"/>
      <c r="D234" s="236" t="s">
        <v>278</v>
      </c>
      <c r="E234" s="248">
        <v>130000</v>
      </c>
      <c r="F234" s="121">
        <v>0.5</v>
      </c>
      <c r="G234" s="217">
        <f>+E234*F234</f>
        <v>65000</v>
      </c>
      <c r="H234" s="145"/>
    </row>
    <row r="235" spans="1:8" ht="17.25" customHeight="1" x14ac:dyDescent="0.25">
      <c r="A235" s="113"/>
      <c r="B235" s="436" t="s">
        <v>244</v>
      </c>
      <c r="C235" s="437"/>
      <c r="D235" s="236" t="s">
        <v>286</v>
      </c>
      <c r="E235" s="260">
        <f>100000/8</f>
        <v>12500</v>
      </c>
      <c r="F235" s="121">
        <v>0.5</v>
      </c>
      <c r="G235" s="261">
        <f>E235*F235</f>
        <v>6250</v>
      </c>
      <c r="H235" s="145"/>
    </row>
    <row r="236" spans="1:8" ht="17.25" customHeight="1" x14ac:dyDescent="0.25">
      <c r="A236" s="149"/>
      <c r="E236" s="122" t="s">
        <v>35</v>
      </c>
      <c r="F236" s="122"/>
      <c r="G236" s="122"/>
      <c r="H236" s="146">
        <f>ROUND(SUM(G233:G235),2)</f>
        <v>78687.5</v>
      </c>
    </row>
    <row r="237" spans="1:8" ht="17.25" customHeight="1" x14ac:dyDescent="0.25">
      <c r="A237" s="120" t="s">
        <v>36</v>
      </c>
      <c r="B237" s="450" t="s">
        <v>37</v>
      </c>
      <c r="C237" s="451"/>
      <c r="D237" s="451"/>
      <c r="E237" s="451"/>
      <c r="F237" s="451"/>
      <c r="G237" s="452"/>
      <c r="H237" s="139"/>
    </row>
    <row r="238" spans="1:8" ht="17.25" customHeight="1" x14ac:dyDescent="0.25">
      <c r="A238" s="236"/>
      <c r="B238" s="453" t="s">
        <v>30</v>
      </c>
      <c r="C238" s="454"/>
      <c r="D238" s="113" t="s">
        <v>12</v>
      </c>
      <c r="E238" s="123" t="s">
        <v>38</v>
      </c>
      <c r="F238" s="123" t="s">
        <v>39</v>
      </c>
      <c r="G238" s="123" t="s">
        <v>34</v>
      </c>
      <c r="H238" s="139"/>
    </row>
    <row r="239" spans="1:8" ht="17.25" customHeight="1" x14ac:dyDescent="0.25">
      <c r="A239" s="113"/>
      <c r="B239" s="480" t="s">
        <v>285</v>
      </c>
      <c r="C239" s="481"/>
      <c r="D239" s="141" t="s">
        <v>240</v>
      </c>
      <c r="E239" s="141">
        <v>1</v>
      </c>
      <c r="F239" s="217">
        <v>150000</v>
      </c>
      <c r="G239" s="217">
        <f>+E239*F239</f>
        <v>150000</v>
      </c>
      <c r="H239" s="139"/>
    </row>
    <row r="240" spans="1:8" ht="17.25" customHeight="1" x14ac:dyDescent="0.25">
      <c r="A240" s="113"/>
      <c r="B240" s="480" t="s">
        <v>280</v>
      </c>
      <c r="C240" s="481"/>
      <c r="D240" s="141" t="s">
        <v>11</v>
      </c>
      <c r="E240" s="141">
        <v>1</v>
      </c>
      <c r="F240" s="217">
        <v>35000</v>
      </c>
      <c r="G240" s="217">
        <f>E240*F240</f>
        <v>35000</v>
      </c>
      <c r="H240" s="139"/>
    </row>
    <row r="241" spans="1:8" ht="17.25" customHeight="1" x14ac:dyDescent="0.25">
      <c r="A241" s="113"/>
      <c r="B241" s="480" t="s">
        <v>281</v>
      </c>
      <c r="C241" s="481"/>
      <c r="D241" s="141" t="s">
        <v>5</v>
      </c>
      <c r="E241" s="141">
        <v>0.05</v>
      </c>
      <c r="F241" s="217">
        <v>275000</v>
      </c>
      <c r="G241" s="217">
        <f>E241*F241</f>
        <v>13750</v>
      </c>
      <c r="H241" s="139"/>
    </row>
    <row r="242" spans="1:8" ht="17.25" customHeight="1" x14ac:dyDescent="0.25">
      <c r="A242" s="113"/>
      <c r="B242" s="478"/>
      <c r="C242" s="479"/>
      <c r="D242" s="262"/>
      <c r="E242" s="263"/>
      <c r="F242" s="264"/>
      <c r="G242" s="217">
        <f t="shared" ref="G242:G244" si="1">ROUND(E242*F242,2)</f>
        <v>0</v>
      </c>
      <c r="H242" s="139"/>
    </row>
    <row r="243" spans="1:8" ht="17.25" customHeight="1" x14ac:dyDescent="0.25">
      <c r="A243" s="113"/>
      <c r="B243" s="478"/>
      <c r="C243" s="479"/>
      <c r="D243" s="262"/>
      <c r="E243" s="263"/>
      <c r="F243" s="264"/>
      <c r="G243" s="217">
        <f t="shared" si="1"/>
        <v>0</v>
      </c>
      <c r="H243" s="139"/>
    </row>
    <row r="244" spans="1:8" ht="17.25" customHeight="1" x14ac:dyDescent="0.25">
      <c r="A244" s="113"/>
      <c r="B244" s="478"/>
      <c r="C244" s="479"/>
      <c r="D244" s="262"/>
      <c r="E244" s="263"/>
      <c r="F244" s="264"/>
      <c r="G244" s="217">
        <f t="shared" si="1"/>
        <v>0</v>
      </c>
      <c r="H244" s="139"/>
    </row>
    <row r="245" spans="1:8" ht="17.25" customHeight="1" x14ac:dyDescent="0.25">
      <c r="A245" s="149" t="s">
        <v>40</v>
      </c>
      <c r="E245" s="122" t="s">
        <v>41</v>
      </c>
      <c r="F245" s="122"/>
      <c r="G245" s="122"/>
      <c r="H245" s="218">
        <f>ROUND(SUM(G239:G244),2)</f>
        <v>198750</v>
      </c>
    </row>
    <row r="246" spans="1:8" ht="17.25" customHeight="1" x14ac:dyDescent="0.25">
      <c r="A246" s="120" t="s">
        <v>42</v>
      </c>
      <c r="B246" s="450" t="s">
        <v>43</v>
      </c>
      <c r="C246" s="451"/>
      <c r="D246" s="451"/>
      <c r="E246" s="451"/>
      <c r="F246" s="451"/>
      <c r="G246" s="452"/>
      <c r="H246" s="139"/>
    </row>
    <row r="247" spans="1:8" ht="17.25" customHeight="1" x14ac:dyDescent="0.25">
      <c r="A247" s="236" t="s">
        <v>44</v>
      </c>
      <c r="B247" s="236" t="s">
        <v>30</v>
      </c>
      <c r="C247" s="236" t="s">
        <v>45</v>
      </c>
      <c r="D247" s="236" t="s">
        <v>46</v>
      </c>
      <c r="E247" s="123" t="s">
        <v>47</v>
      </c>
      <c r="F247" s="121" t="s">
        <v>251</v>
      </c>
      <c r="G247" s="121" t="s">
        <v>34</v>
      </c>
      <c r="H247" s="139"/>
    </row>
    <row r="248" spans="1:8" ht="17.25" customHeight="1" x14ac:dyDescent="0.25">
      <c r="A248" s="236">
        <v>1</v>
      </c>
      <c r="B248" s="113" t="s">
        <v>246</v>
      </c>
      <c r="C248" s="125">
        <v>110000</v>
      </c>
      <c r="D248" s="219">
        <v>0.75</v>
      </c>
      <c r="E248" s="221">
        <f>+(A248*C248)+(A248*C248*D248)</f>
        <v>192500</v>
      </c>
      <c r="F248" s="141">
        <v>4</v>
      </c>
      <c r="G248" s="131">
        <f>ROUND(E248/(F248),2)</f>
        <v>48125</v>
      </c>
      <c r="H248" s="139"/>
    </row>
    <row r="249" spans="1:8" ht="17.25" customHeight="1" x14ac:dyDescent="0.25">
      <c r="A249" s="236">
        <v>1</v>
      </c>
      <c r="B249" s="113" t="s">
        <v>282</v>
      </c>
      <c r="C249" s="125">
        <v>60000</v>
      </c>
      <c r="D249" s="219">
        <v>0.75</v>
      </c>
      <c r="E249" s="221">
        <f>+(A249*C249)+(A249*C249*D249)</f>
        <v>105000</v>
      </c>
      <c r="F249" s="141">
        <v>4</v>
      </c>
      <c r="G249" s="131">
        <f>ROUND(E249/(F249),2)</f>
        <v>26250</v>
      </c>
      <c r="H249" s="139"/>
    </row>
    <row r="250" spans="1:8" ht="17.25" customHeight="1" x14ac:dyDescent="0.25">
      <c r="A250" s="113"/>
      <c r="B250" s="113"/>
      <c r="C250" s="113"/>
      <c r="D250" s="113"/>
      <c r="E250" s="121"/>
      <c r="F250" s="121"/>
      <c r="G250" s="121"/>
      <c r="H250" s="139"/>
    </row>
    <row r="251" spans="1:8" ht="17.25" customHeight="1" x14ac:dyDescent="0.25">
      <c r="A251" s="149"/>
      <c r="E251" s="122" t="s">
        <v>49</v>
      </c>
      <c r="F251" s="122"/>
      <c r="G251" s="122"/>
      <c r="H251" s="146">
        <f>ROUND(SUM(G248)+(G249),2)</f>
        <v>74375</v>
      </c>
    </row>
    <row r="252" spans="1:8" ht="17.25" customHeight="1" x14ac:dyDescent="0.25">
      <c r="A252" s="120" t="s">
        <v>50</v>
      </c>
      <c r="B252" s="450" t="s">
        <v>18</v>
      </c>
      <c r="C252" s="451"/>
      <c r="D252" s="451"/>
      <c r="E252" s="451"/>
      <c r="F252" s="451"/>
      <c r="G252" s="452"/>
      <c r="H252" s="139"/>
    </row>
    <row r="253" spans="1:8" ht="17.25" customHeight="1" x14ac:dyDescent="0.25">
      <c r="A253" s="113"/>
      <c r="B253" s="113" t="s">
        <v>30</v>
      </c>
      <c r="C253" s="236" t="s">
        <v>12</v>
      </c>
      <c r="D253" s="236" t="s">
        <v>13</v>
      </c>
      <c r="E253" s="236" t="s">
        <v>51</v>
      </c>
      <c r="F253" s="236"/>
      <c r="G253" s="121" t="s">
        <v>52</v>
      </c>
      <c r="H253" s="139"/>
    </row>
    <row r="254" spans="1:8" ht="17.25" customHeight="1" x14ac:dyDescent="0.25">
      <c r="A254" s="113"/>
      <c r="B254" s="113" t="s">
        <v>283</v>
      </c>
      <c r="C254" s="127" t="s">
        <v>284</v>
      </c>
      <c r="D254" s="113">
        <v>0.01</v>
      </c>
      <c r="E254" s="121">
        <f>3000000/15</f>
        <v>200000</v>
      </c>
      <c r="F254" s="121"/>
      <c r="G254" s="121">
        <f>D254*E254</f>
        <v>2000</v>
      </c>
      <c r="H254" s="139"/>
    </row>
    <row r="255" spans="1:8" ht="17.25" customHeight="1" x14ac:dyDescent="0.25">
      <c r="A255" s="113"/>
      <c r="B255" s="113"/>
      <c r="C255" s="124"/>
      <c r="D255" s="113"/>
      <c r="E255" s="121"/>
      <c r="F255" s="121"/>
      <c r="G255" s="121"/>
      <c r="H255" s="139"/>
    </row>
    <row r="256" spans="1:8" ht="17.25" customHeight="1" x14ac:dyDescent="0.25">
      <c r="A256" s="113"/>
      <c r="B256" s="113"/>
      <c r="C256" s="113"/>
      <c r="D256" s="113"/>
      <c r="E256" s="121"/>
      <c r="F256" s="121"/>
      <c r="G256" s="121"/>
      <c r="H256" s="139"/>
    </row>
    <row r="257" spans="1:8" ht="17.25" customHeight="1" x14ac:dyDescent="0.25">
      <c r="A257" s="149"/>
      <c r="E257" s="122" t="s">
        <v>49</v>
      </c>
      <c r="F257" s="122"/>
      <c r="G257" s="122"/>
      <c r="H257" s="139">
        <f>ROUND(SUM(G254)+(G255),0)</f>
        <v>2000</v>
      </c>
    </row>
    <row r="258" spans="1:8" ht="17.25" customHeight="1" x14ac:dyDescent="0.25">
      <c r="A258" s="148"/>
      <c r="E258" s="122"/>
      <c r="F258" s="122"/>
      <c r="G258" s="122"/>
      <c r="H258" s="139"/>
    </row>
    <row r="259" spans="1:8" ht="17.25" customHeight="1" x14ac:dyDescent="0.25">
      <c r="A259" s="148"/>
      <c r="D259" s="128" t="s">
        <v>53</v>
      </c>
      <c r="E259" s="129"/>
      <c r="F259" s="129"/>
      <c r="G259" s="129"/>
      <c r="H259" s="146">
        <f>ROUND(SUM(H236:H258),2)</f>
        <v>353812.5</v>
      </c>
    </row>
    <row r="260" spans="1:8" ht="17.25" customHeight="1" x14ac:dyDescent="0.25">
      <c r="A260" s="148"/>
      <c r="E260" s="122"/>
      <c r="F260" s="122"/>
      <c r="G260" s="122"/>
      <c r="H260" s="139"/>
    </row>
    <row r="261" spans="1:8" ht="17.25" customHeight="1" x14ac:dyDescent="0.25">
      <c r="A261" s="120" t="s">
        <v>54</v>
      </c>
      <c r="B261" s="450" t="s">
        <v>55</v>
      </c>
      <c r="C261" s="451"/>
      <c r="D261" s="451"/>
      <c r="E261" s="451"/>
      <c r="F261" s="451"/>
      <c r="G261" s="452"/>
      <c r="H261" s="139"/>
    </row>
    <row r="262" spans="1:8" ht="17.25" customHeight="1" x14ac:dyDescent="0.25">
      <c r="A262" s="236"/>
      <c r="B262" s="453" t="s">
        <v>30</v>
      </c>
      <c r="C262" s="454"/>
      <c r="D262" s="453" t="s">
        <v>56</v>
      </c>
      <c r="E262" s="454"/>
      <c r="F262" s="458" t="s">
        <v>58</v>
      </c>
      <c r="G262" s="459"/>
      <c r="H262" s="139"/>
    </row>
    <row r="263" spans="1:8" ht="17.25" customHeight="1" x14ac:dyDescent="0.25">
      <c r="A263" s="113"/>
      <c r="B263" s="453" t="s">
        <v>59</v>
      </c>
      <c r="C263" s="454"/>
      <c r="D263" s="455">
        <v>0.27</v>
      </c>
      <c r="E263" s="454"/>
      <c r="F263" s="456">
        <f>+H259*D263</f>
        <v>95529.375</v>
      </c>
      <c r="G263" s="457"/>
      <c r="H263" s="139"/>
    </row>
    <row r="264" spans="1:8" ht="17.25" customHeight="1" x14ac:dyDescent="0.25">
      <c r="A264" s="113"/>
      <c r="B264" s="453" t="s">
        <v>60</v>
      </c>
      <c r="C264" s="454"/>
      <c r="D264" s="455">
        <v>0.02</v>
      </c>
      <c r="E264" s="454"/>
      <c r="F264" s="456">
        <f>+H259*D264</f>
        <v>7076.25</v>
      </c>
      <c r="G264" s="457"/>
      <c r="H264" s="139"/>
    </row>
    <row r="265" spans="1:8" ht="17.25" customHeight="1" x14ac:dyDescent="0.25">
      <c r="A265" s="113"/>
      <c r="B265" s="453" t="s">
        <v>61</v>
      </c>
      <c r="C265" s="454"/>
      <c r="D265" s="455">
        <v>0.03</v>
      </c>
      <c r="E265" s="454"/>
      <c r="F265" s="456">
        <f>+H259*D265</f>
        <v>10614.375</v>
      </c>
      <c r="G265" s="457"/>
      <c r="H265" s="139"/>
    </row>
    <row r="266" spans="1:8" ht="17.25" customHeight="1" x14ac:dyDescent="0.25">
      <c r="A266" s="148"/>
      <c r="D266" s="128" t="s">
        <v>62</v>
      </c>
      <c r="E266" s="129"/>
      <c r="F266" s="129"/>
      <c r="G266" s="129"/>
      <c r="H266" s="146">
        <f>SUM(F263:G265)</f>
        <v>113220</v>
      </c>
    </row>
    <row r="267" spans="1:8" ht="17.25" customHeight="1" x14ac:dyDescent="0.25">
      <c r="A267" s="148"/>
      <c r="E267" s="122"/>
      <c r="F267" s="122"/>
      <c r="G267" s="122"/>
      <c r="H267" s="139"/>
    </row>
    <row r="268" spans="1:8" ht="17.25" customHeight="1" x14ac:dyDescent="0.25">
      <c r="A268" s="148"/>
      <c r="D268" s="128" t="s">
        <v>63</v>
      </c>
      <c r="E268" s="129"/>
      <c r="F268" s="129"/>
      <c r="G268" s="122"/>
      <c r="H268" s="146">
        <f>H259+H266</f>
        <v>467032.5</v>
      </c>
    </row>
    <row r="269" spans="1:8" ht="17.25" customHeight="1" x14ac:dyDescent="0.25">
      <c r="A269" s="148"/>
      <c r="D269" s="128"/>
      <c r="E269" s="129"/>
      <c r="F269" s="129"/>
      <c r="G269" s="122"/>
      <c r="H269" s="139"/>
    </row>
    <row r="270" spans="1:8" ht="17.25" customHeight="1" x14ac:dyDescent="0.25">
      <c r="A270" s="148"/>
      <c r="E270" s="129"/>
      <c r="F270" s="129"/>
      <c r="G270" s="122"/>
      <c r="H270" s="139"/>
    </row>
    <row r="271" spans="1:8" ht="17.25" customHeight="1" x14ac:dyDescent="0.25">
      <c r="A271" s="119"/>
      <c r="B271" s="118"/>
      <c r="E271" s="132"/>
      <c r="F271" s="133"/>
      <c r="G271" s="117"/>
      <c r="H271" s="139"/>
    </row>
    <row r="272" spans="1:8" ht="17.25" customHeight="1" x14ac:dyDescent="0.25">
      <c r="A272" s="150" t="s">
        <v>202</v>
      </c>
      <c r="B272" s="130" t="s">
        <v>233</v>
      </c>
      <c r="E272" s="136" t="s">
        <v>198</v>
      </c>
      <c r="F272" s="130"/>
      <c r="G272" s="130"/>
      <c r="H272" s="147"/>
    </row>
    <row r="273" spans="1:8" ht="17.25" customHeight="1" x14ac:dyDescent="0.25">
      <c r="A273" s="151" t="s">
        <v>203</v>
      </c>
      <c r="B273" s="130"/>
      <c r="E273" s="130" t="str">
        <f ca="1">+$E$106</f>
        <v>SECRETARIO DE PLANEACION Y OBRAS PUBLICAS</v>
      </c>
      <c r="F273" s="130"/>
      <c r="G273" s="130"/>
      <c r="H273" s="147"/>
    </row>
    <row r="274" spans="1:8" ht="18.149999999999999" customHeight="1" x14ac:dyDescent="0.25">
      <c r="A274" s="152"/>
      <c r="B274" s="153"/>
      <c r="C274" s="118"/>
      <c r="D274" s="118"/>
      <c r="E274" s="153" t="str">
        <f ca="1">+$E$107</f>
        <v>SAN MIGUEL - PUTUMAYO</v>
      </c>
      <c r="F274" s="153"/>
      <c r="G274" s="153"/>
      <c r="H274" s="154"/>
    </row>
    <row r="275" spans="1:8" ht="17.25" customHeight="1" x14ac:dyDescent="0.3">
      <c r="A275" s="460"/>
      <c r="B275" s="461"/>
      <c r="C275" s="399" t="s">
        <v>195</v>
      </c>
      <c r="D275" s="401" t="s">
        <v>196</v>
      </c>
      <c r="E275" s="402"/>
      <c r="F275" s="155">
        <v>103</v>
      </c>
      <c r="G275" s="466"/>
      <c r="H275" s="467"/>
    </row>
    <row r="276" spans="1:8" ht="17.25" customHeight="1" x14ac:dyDescent="0.25">
      <c r="A276" s="462"/>
      <c r="B276" s="463"/>
      <c r="C276" s="400"/>
      <c r="D276" s="404" t="s">
        <v>163</v>
      </c>
      <c r="E276" s="405"/>
      <c r="F276" s="408">
        <v>51</v>
      </c>
      <c r="G276" s="468"/>
      <c r="H276" s="469"/>
    </row>
    <row r="277" spans="1:8" ht="17.25" customHeight="1" x14ac:dyDescent="0.25">
      <c r="A277" s="462"/>
      <c r="B277" s="463"/>
      <c r="C277" s="169" t="s">
        <v>164</v>
      </c>
      <c r="D277" s="406"/>
      <c r="E277" s="407"/>
      <c r="F277" s="409"/>
      <c r="G277" s="468"/>
      <c r="H277" s="469"/>
    </row>
    <row r="278" spans="1:8" ht="28.2" customHeight="1" x14ac:dyDescent="0.25">
      <c r="A278" s="462"/>
      <c r="B278" s="463"/>
      <c r="C278" s="229" t="s">
        <v>165</v>
      </c>
      <c r="D278" s="410" t="s">
        <v>166</v>
      </c>
      <c r="E278" s="411"/>
      <c r="F278" s="171">
        <v>1</v>
      </c>
      <c r="G278" s="468"/>
      <c r="H278" s="469"/>
    </row>
    <row r="279" spans="1:8" ht="17.25" customHeight="1" x14ac:dyDescent="0.25">
      <c r="A279" s="462"/>
      <c r="B279" s="463"/>
      <c r="C279" s="472" t="s">
        <v>167</v>
      </c>
      <c r="D279" s="474" t="s">
        <v>168</v>
      </c>
      <c r="E279" s="475"/>
      <c r="F279" s="169" t="s">
        <v>169</v>
      </c>
      <c r="G279" s="468"/>
      <c r="H279" s="469"/>
    </row>
    <row r="280" spans="1:8" ht="17.25" customHeight="1" x14ac:dyDescent="0.25">
      <c r="A280" s="464"/>
      <c r="B280" s="465"/>
      <c r="C280" s="473"/>
      <c r="D280" s="476"/>
      <c r="E280" s="477"/>
      <c r="F280" s="172">
        <f>$F$6</f>
        <v>45402</v>
      </c>
      <c r="G280" s="470"/>
      <c r="H280" s="471"/>
    </row>
    <row r="281" spans="1:8" ht="17.25" customHeight="1" thickBot="1" x14ac:dyDescent="0.3">
      <c r="A281" s="438"/>
      <c r="B281" s="439"/>
      <c r="C281" s="439"/>
      <c r="D281" s="439"/>
      <c r="E281" s="439"/>
      <c r="F281" s="439"/>
      <c r="G281" s="439"/>
      <c r="H281" s="440"/>
    </row>
    <row r="282" spans="1:8" ht="17.25" customHeight="1" x14ac:dyDescent="0.25">
      <c r="A282" s="441" t="str">
        <f>PRESUPUESTO!A8</f>
        <v>MANTENIMIENTO Y REPARACION DE PUENTE VEHICULAR VIA LA GUISITA EN EL MUNICIPIO DE SAN MIGUEL PUTUMAYO</v>
      </c>
      <c r="B282" s="442"/>
      <c r="C282" s="442"/>
      <c r="D282" s="442"/>
      <c r="E282" s="442"/>
      <c r="F282" s="442"/>
      <c r="G282" s="442"/>
      <c r="H282" s="443"/>
    </row>
    <row r="283" spans="1:8" ht="17.25" customHeight="1" thickBot="1" x14ac:dyDescent="0.3">
      <c r="A283" s="444"/>
      <c r="B283" s="445"/>
      <c r="C283" s="445"/>
      <c r="D283" s="445"/>
      <c r="E283" s="445"/>
      <c r="F283" s="445"/>
      <c r="G283" s="445"/>
      <c r="H283" s="446"/>
    </row>
    <row r="284" spans="1:8" ht="17.25" customHeight="1" thickBot="1" x14ac:dyDescent="0.3">
      <c r="A284" s="284"/>
      <c r="B284" s="234"/>
      <c r="C284" s="234"/>
      <c r="D284" s="234"/>
      <c r="E284" s="234"/>
      <c r="F284" s="234"/>
      <c r="G284" s="234"/>
      <c r="H284" s="285"/>
    </row>
    <row r="285" spans="1:8" ht="28.2" customHeight="1" thickBot="1" x14ac:dyDescent="0.3">
      <c r="A285" s="286">
        <v>2.4</v>
      </c>
      <c r="B285" s="447" t="str">
        <f>VLOOKUP(A285,PRESUPUESTO!$A$15:$G$32,2,)</f>
        <v>Mantenimiento y reparacion de soporte horizontal para aletas Tuberia 3 1/2"</v>
      </c>
      <c r="C285" s="448"/>
      <c r="D285" s="448"/>
      <c r="E285" s="448"/>
      <c r="F285" s="449"/>
      <c r="G285" s="282" t="s">
        <v>27</v>
      </c>
      <c r="H285" s="283" t="str">
        <f>VLOOKUP(A285,PRESUPUESTO!$A$15:$G$32,4,)</f>
        <v>ML</v>
      </c>
    </row>
    <row r="286" spans="1:8" ht="17.25" customHeight="1" x14ac:dyDescent="0.25">
      <c r="A286" s="148"/>
      <c r="H286" s="144"/>
    </row>
    <row r="287" spans="1:8" ht="17.25" customHeight="1" x14ac:dyDescent="0.25">
      <c r="A287" s="120" t="s">
        <v>28</v>
      </c>
      <c r="B287" s="450" t="s">
        <v>29</v>
      </c>
      <c r="C287" s="451"/>
      <c r="D287" s="451"/>
      <c r="E287" s="451"/>
      <c r="F287" s="451"/>
      <c r="G287" s="452"/>
      <c r="H287" s="144"/>
    </row>
    <row r="288" spans="1:8" ht="17.25" customHeight="1" x14ac:dyDescent="0.25">
      <c r="A288" s="236"/>
      <c r="B288" s="453" t="s">
        <v>30</v>
      </c>
      <c r="C288" s="454"/>
      <c r="D288" s="236" t="s">
        <v>31</v>
      </c>
      <c r="E288" s="236" t="s">
        <v>242</v>
      </c>
      <c r="F288" s="236" t="s">
        <v>243</v>
      </c>
      <c r="G288" s="236" t="s">
        <v>34</v>
      </c>
      <c r="H288" s="144"/>
    </row>
    <row r="289" spans="1:8" ht="17.25" customHeight="1" x14ac:dyDescent="0.25">
      <c r="A289" s="113"/>
      <c r="B289" s="436" t="s">
        <v>65</v>
      </c>
      <c r="C289" s="437"/>
      <c r="D289" s="113"/>
      <c r="E289" s="121"/>
      <c r="F289" s="121">
        <v>0.1</v>
      </c>
      <c r="G289" s="131">
        <f>ROUND(H306*F289,2)</f>
        <v>4958.33</v>
      </c>
      <c r="H289" s="145"/>
    </row>
    <row r="290" spans="1:8" ht="17.25" customHeight="1" x14ac:dyDescent="0.25">
      <c r="A290" s="113"/>
      <c r="B290" s="436" t="s">
        <v>244</v>
      </c>
      <c r="C290" s="437"/>
      <c r="D290" s="236" t="s">
        <v>286</v>
      </c>
      <c r="E290" s="260">
        <v>12500</v>
      </c>
      <c r="F290" s="121">
        <v>0.5</v>
      </c>
      <c r="G290" s="261">
        <f>E290*F290</f>
        <v>6250</v>
      </c>
      <c r="H290" s="145"/>
    </row>
    <row r="291" spans="1:8" ht="17.25" customHeight="1" x14ac:dyDescent="0.25">
      <c r="A291" s="149"/>
      <c r="E291" s="122" t="s">
        <v>35</v>
      </c>
      <c r="F291" s="122"/>
      <c r="G291" s="122"/>
      <c r="H291" s="146">
        <f>ROUND(SUM(G289:G290),2)</f>
        <v>11208.33</v>
      </c>
    </row>
    <row r="292" spans="1:8" ht="17.25" customHeight="1" x14ac:dyDescent="0.25">
      <c r="A292" s="120" t="s">
        <v>36</v>
      </c>
      <c r="B292" s="450" t="s">
        <v>37</v>
      </c>
      <c r="C292" s="451"/>
      <c r="D292" s="451"/>
      <c r="E292" s="451"/>
      <c r="F292" s="451"/>
      <c r="G292" s="452"/>
      <c r="H292" s="139"/>
    </row>
    <row r="293" spans="1:8" ht="17.25" customHeight="1" x14ac:dyDescent="0.25">
      <c r="A293" s="236"/>
      <c r="B293" s="453" t="s">
        <v>30</v>
      </c>
      <c r="C293" s="454"/>
      <c r="D293" s="113" t="s">
        <v>12</v>
      </c>
      <c r="E293" s="123" t="s">
        <v>38</v>
      </c>
      <c r="F293" s="123" t="s">
        <v>39</v>
      </c>
      <c r="G293" s="123" t="s">
        <v>34</v>
      </c>
      <c r="H293" s="139"/>
    </row>
    <row r="294" spans="1:8" ht="17.25" customHeight="1" x14ac:dyDescent="0.25">
      <c r="A294" s="113"/>
      <c r="B294" s="480" t="s">
        <v>287</v>
      </c>
      <c r="C294" s="481"/>
      <c r="D294" s="141" t="s">
        <v>240</v>
      </c>
      <c r="E294" s="141">
        <v>1</v>
      </c>
      <c r="F294" s="217">
        <v>0</v>
      </c>
      <c r="G294" s="217">
        <f>ROUND(E294*F294,2)</f>
        <v>0</v>
      </c>
      <c r="H294" s="139"/>
    </row>
    <row r="295" spans="1:8" ht="17.25" customHeight="1" x14ac:dyDescent="0.25">
      <c r="A295" s="113"/>
      <c r="B295" s="480" t="s">
        <v>280</v>
      </c>
      <c r="C295" s="481"/>
      <c r="D295" s="141" t="s">
        <v>11</v>
      </c>
      <c r="E295" s="141">
        <v>1</v>
      </c>
      <c r="F295" s="217">
        <v>35000</v>
      </c>
      <c r="G295" s="217">
        <f>E295*F295</f>
        <v>35000</v>
      </c>
      <c r="H295" s="139"/>
    </row>
    <row r="296" spans="1:8" ht="17.25" customHeight="1" x14ac:dyDescent="0.25">
      <c r="A296" s="113"/>
      <c r="B296" s="480" t="s">
        <v>281</v>
      </c>
      <c r="C296" s="481"/>
      <c r="D296" s="141" t="s">
        <v>5</v>
      </c>
      <c r="E296" s="141">
        <v>0.05</v>
      </c>
      <c r="F296" s="217">
        <v>275000</v>
      </c>
      <c r="G296" s="217">
        <f>E296*F296</f>
        <v>13750</v>
      </c>
      <c r="H296" s="139"/>
    </row>
    <row r="297" spans="1:8" ht="17.25" customHeight="1" x14ac:dyDescent="0.25">
      <c r="A297" s="113"/>
      <c r="B297" s="478"/>
      <c r="C297" s="479"/>
      <c r="D297" s="262"/>
      <c r="E297" s="263"/>
      <c r="F297" s="264"/>
      <c r="G297" s="217"/>
      <c r="H297" s="139"/>
    </row>
    <row r="298" spans="1:8" ht="17.25" customHeight="1" x14ac:dyDescent="0.25">
      <c r="A298" s="113"/>
      <c r="B298" s="478"/>
      <c r="C298" s="479"/>
      <c r="D298" s="262"/>
      <c r="E298" s="263"/>
      <c r="F298" s="264"/>
      <c r="G298" s="217">
        <f t="shared" ref="G298:G299" si="2">ROUND(E298*F298,2)</f>
        <v>0</v>
      </c>
      <c r="H298" s="139"/>
    </row>
    <row r="299" spans="1:8" ht="17.25" customHeight="1" x14ac:dyDescent="0.25">
      <c r="A299" s="113"/>
      <c r="B299" s="478"/>
      <c r="C299" s="479"/>
      <c r="D299" s="262"/>
      <c r="E299" s="263"/>
      <c r="F299" s="264"/>
      <c r="G299" s="217">
        <f t="shared" si="2"/>
        <v>0</v>
      </c>
      <c r="H299" s="139"/>
    </row>
    <row r="300" spans="1:8" ht="17.25" customHeight="1" x14ac:dyDescent="0.25">
      <c r="A300" s="149" t="s">
        <v>40</v>
      </c>
      <c r="E300" s="122" t="s">
        <v>41</v>
      </c>
      <c r="F300" s="122"/>
      <c r="G300" s="122"/>
      <c r="H300" s="218">
        <f>ROUND(SUM(G294:G299),2)</f>
        <v>48750</v>
      </c>
    </row>
    <row r="301" spans="1:8" ht="17.25" customHeight="1" x14ac:dyDescent="0.25">
      <c r="A301" s="120" t="s">
        <v>42</v>
      </c>
      <c r="B301" s="450" t="s">
        <v>43</v>
      </c>
      <c r="C301" s="451"/>
      <c r="D301" s="451"/>
      <c r="E301" s="451"/>
      <c r="F301" s="451"/>
      <c r="G301" s="452"/>
      <c r="H301" s="139"/>
    </row>
    <row r="302" spans="1:8" ht="17.25" customHeight="1" x14ac:dyDescent="0.25">
      <c r="A302" s="236" t="s">
        <v>44</v>
      </c>
      <c r="B302" s="236" t="s">
        <v>30</v>
      </c>
      <c r="C302" s="236" t="s">
        <v>45</v>
      </c>
      <c r="D302" s="236" t="s">
        <v>46</v>
      </c>
      <c r="E302" s="123" t="s">
        <v>47</v>
      </c>
      <c r="F302" s="121" t="s">
        <v>251</v>
      </c>
      <c r="G302" s="121" t="s">
        <v>34</v>
      </c>
      <c r="H302" s="139"/>
    </row>
    <row r="303" spans="1:8" ht="17.25" customHeight="1" x14ac:dyDescent="0.25">
      <c r="A303" s="236">
        <v>1</v>
      </c>
      <c r="B303" s="113" t="s">
        <v>246</v>
      </c>
      <c r="C303" s="125">
        <v>110000</v>
      </c>
      <c r="D303" s="219">
        <v>0.75</v>
      </c>
      <c r="E303" s="221">
        <f>+(A303*C303)+(A303*C303*D303)</f>
        <v>192500</v>
      </c>
      <c r="F303" s="141">
        <v>6</v>
      </c>
      <c r="G303" s="131">
        <f>ROUND(E303/(F303),2)</f>
        <v>32083.33</v>
      </c>
      <c r="H303" s="139"/>
    </row>
    <row r="304" spans="1:8" ht="17.25" customHeight="1" x14ac:dyDescent="0.25">
      <c r="A304" s="236">
        <v>1</v>
      </c>
      <c r="B304" s="113" t="s">
        <v>282</v>
      </c>
      <c r="C304" s="125">
        <v>60000</v>
      </c>
      <c r="D304" s="219">
        <v>0.75</v>
      </c>
      <c r="E304" s="221">
        <f>+(A304*C304)+(A304*C304*D304)</f>
        <v>105000</v>
      </c>
      <c r="F304" s="141">
        <v>6</v>
      </c>
      <c r="G304" s="131">
        <f>ROUND(E304/(F304),2)</f>
        <v>17500</v>
      </c>
      <c r="H304" s="139"/>
    </row>
    <row r="305" spans="1:8" ht="17.25" customHeight="1" x14ac:dyDescent="0.25">
      <c r="A305" s="113"/>
      <c r="B305" s="113"/>
      <c r="C305" s="113"/>
      <c r="D305" s="113"/>
      <c r="E305" s="121"/>
      <c r="F305" s="121"/>
      <c r="G305" s="121"/>
      <c r="H305" s="139"/>
    </row>
    <row r="306" spans="1:8" ht="17.25" customHeight="1" x14ac:dyDescent="0.25">
      <c r="A306" s="149"/>
      <c r="E306" s="122" t="s">
        <v>49</v>
      </c>
      <c r="F306" s="122"/>
      <c r="G306" s="122"/>
      <c r="H306" s="146">
        <f>ROUND(SUM(G303)+(G304),2)</f>
        <v>49583.33</v>
      </c>
    </row>
    <row r="307" spans="1:8" ht="17.25" customHeight="1" x14ac:dyDescent="0.25">
      <c r="A307" s="120" t="s">
        <v>50</v>
      </c>
      <c r="B307" s="450" t="s">
        <v>18</v>
      </c>
      <c r="C307" s="451"/>
      <c r="D307" s="451"/>
      <c r="E307" s="451"/>
      <c r="F307" s="451"/>
      <c r="G307" s="452"/>
      <c r="H307" s="139"/>
    </row>
    <row r="308" spans="1:8" ht="17.25" customHeight="1" x14ac:dyDescent="0.25">
      <c r="A308" s="113"/>
      <c r="B308" s="113" t="s">
        <v>30</v>
      </c>
      <c r="C308" s="236" t="s">
        <v>12</v>
      </c>
      <c r="D308" s="236" t="s">
        <v>13</v>
      </c>
      <c r="E308" s="236" t="s">
        <v>51</v>
      </c>
      <c r="F308" s="236"/>
      <c r="G308" s="121" t="s">
        <v>52</v>
      </c>
      <c r="H308" s="139"/>
    </row>
    <row r="309" spans="1:8" ht="17.25" customHeight="1" x14ac:dyDescent="0.25">
      <c r="A309" s="113"/>
      <c r="B309" s="113" t="s">
        <v>283</v>
      </c>
      <c r="C309" s="127" t="s">
        <v>284</v>
      </c>
      <c r="D309" s="113">
        <v>0.01</v>
      </c>
      <c r="E309" s="121">
        <f>3000000/15</f>
        <v>200000</v>
      </c>
      <c r="F309" s="121"/>
      <c r="G309" s="121">
        <f>D309*E309</f>
        <v>2000</v>
      </c>
      <c r="H309" s="139"/>
    </row>
    <row r="310" spans="1:8" ht="17.25" customHeight="1" x14ac:dyDescent="0.25">
      <c r="A310" s="113"/>
      <c r="B310" s="113"/>
      <c r="C310" s="124"/>
      <c r="D310" s="113"/>
      <c r="E310" s="121"/>
      <c r="F310" s="121"/>
      <c r="G310" s="121"/>
      <c r="H310" s="139"/>
    </row>
    <row r="311" spans="1:8" ht="17.25" customHeight="1" x14ac:dyDescent="0.25">
      <c r="A311" s="113"/>
      <c r="B311" s="113"/>
      <c r="C311" s="113"/>
      <c r="D311" s="113"/>
      <c r="E311" s="121"/>
      <c r="F311" s="121"/>
      <c r="G311" s="121"/>
      <c r="H311" s="139"/>
    </row>
    <row r="312" spans="1:8" ht="17.25" customHeight="1" x14ac:dyDescent="0.25">
      <c r="A312" s="149"/>
      <c r="E312" s="122" t="s">
        <v>49</v>
      </c>
      <c r="F312" s="122"/>
      <c r="G312" s="122"/>
      <c r="H312" s="139">
        <f>ROUND(SUM(G309)+(G310),0)</f>
        <v>2000</v>
      </c>
    </row>
    <row r="313" spans="1:8" ht="17.25" customHeight="1" x14ac:dyDescent="0.25">
      <c r="A313" s="148"/>
      <c r="E313" s="122"/>
      <c r="F313" s="122"/>
      <c r="G313" s="122"/>
      <c r="H313" s="139"/>
    </row>
    <row r="314" spans="1:8" ht="17.25" customHeight="1" x14ac:dyDescent="0.25">
      <c r="A314" s="148"/>
      <c r="D314" s="128" t="s">
        <v>53</v>
      </c>
      <c r="E314" s="129"/>
      <c r="F314" s="129"/>
      <c r="G314" s="129"/>
      <c r="H314" s="146">
        <f>ROUND(SUM(H291:H313),2)</f>
        <v>111541.66</v>
      </c>
    </row>
    <row r="315" spans="1:8" ht="17.25" customHeight="1" x14ac:dyDescent="0.25">
      <c r="A315" s="148"/>
      <c r="E315" s="122"/>
      <c r="F315" s="122"/>
      <c r="G315" s="122"/>
      <c r="H315" s="139"/>
    </row>
    <row r="316" spans="1:8" ht="17.25" customHeight="1" x14ac:dyDescent="0.25">
      <c r="A316" s="120" t="s">
        <v>54</v>
      </c>
      <c r="B316" s="450" t="s">
        <v>55</v>
      </c>
      <c r="C316" s="451"/>
      <c r="D316" s="451"/>
      <c r="E316" s="451"/>
      <c r="F316" s="451"/>
      <c r="G316" s="452"/>
      <c r="H316" s="139"/>
    </row>
    <row r="317" spans="1:8" ht="17.25" customHeight="1" x14ac:dyDescent="0.25">
      <c r="A317" s="236"/>
      <c r="B317" s="453" t="s">
        <v>30</v>
      </c>
      <c r="C317" s="454"/>
      <c r="D317" s="453" t="s">
        <v>56</v>
      </c>
      <c r="E317" s="454"/>
      <c r="F317" s="458" t="s">
        <v>58</v>
      </c>
      <c r="G317" s="459"/>
      <c r="H317" s="139"/>
    </row>
    <row r="318" spans="1:8" ht="17.25" customHeight="1" x14ac:dyDescent="0.25">
      <c r="A318" s="113"/>
      <c r="B318" s="453" t="s">
        <v>59</v>
      </c>
      <c r="C318" s="454"/>
      <c r="D318" s="455">
        <v>0.27</v>
      </c>
      <c r="E318" s="454"/>
      <c r="F318" s="456">
        <f>+H314*D318</f>
        <v>30116.248200000002</v>
      </c>
      <c r="G318" s="457"/>
      <c r="H318" s="139"/>
    </row>
    <row r="319" spans="1:8" ht="17.25" customHeight="1" x14ac:dyDescent="0.25">
      <c r="A319" s="113"/>
      <c r="B319" s="453" t="s">
        <v>60</v>
      </c>
      <c r="C319" s="454"/>
      <c r="D319" s="455">
        <v>0.02</v>
      </c>
      <c r="E319" s="454"/>
      <c r="F319" s="456">
        <f>+H314*D319</f>
        <v>2230.8332</v>
      </c>
      <c r="G319" s="457"/>
      <c r="H319" s="139"/>
    </row>
    <row r="320" spans="1:8" ht="17.25" customHeight="1" x14ac:dyDescent="0.25">
      <c r="A320" s="113"/>
      <c r="B320" s="453" t="s">
        <v>61</v>
      </c>
      <c r="C320" s="454"/>
      <c r="D320" s="455">
        <v>0.03</v>
      </c>
      <c r="E320" s="454"/>
      <c r="F320" s="456">
        <f>+H314*D320</f>
        <v>3346.2498000000001</v>
      </c>
      <c r="G320" s="457"/>
      <c r="H320" s="139"/>
    </row>
    <row r="321" spans="1:8" ht="17.25" customHeight="1" x14ac:dyDescent="0.25">
      <c r="A321" s="148"/>
      <c r="D321" s="128" t="s">
        <v>62</v>
      </c>
      <c r="E321" s="129"/>
      <c r="F321" s="129"/>
      <c r="G321" s="129"/>
      <c r="H321" s="146">
        <f>SUM(F318:G320)</f>
        <v>35693.331200000001</v>
      </c>
    </row>
    <row r="322" spans="1:8" ht="17.25" customHeight="1" x14ac:dyDescent="0.25">
      <c r="A322" s="148"/>
      <c r="E322" s="122"/>
      <c r="F322" s="122"/>
      <c r="G322" s="122"/>
      <c r="H322" s="139"/>
    </row>
    <row r="323" spans="1:8" ht="17.25" customHeight="1" x14ac:dyDescent="0.25">
      <c r="A323" s="148"/>
      <c r="D323" s="128" t="s">
        <v>63</v>
      </c>
      <c r="E323" s="129"/>
      <c r="F323" s="129"/>
      <c r="G323" s="122"/>
      <c r="H323" s="146">
        <f>H314+H321</f>
        <v>147234.99119999999</v>
      </c>
    </row>
    <row r="324" spans="1:8" ht="17.25" customHeight="1" x14ac:dyDescent="0.25">
      <c r="A324" s="148"/>
      <c r="D324" s="128"/>
      <c r="E324" s="129"/>
      <c r="F324" s="129"/>
      <c r="G324" s="122"/>
      <c r="H324" s="139"/>
    </row>
    <row r="325" spans="1:8" ht="17.25" customHeight="1" x14ac:dyDescent="0.25">
      <c r="A325" s="148"/>
      <c r="E325" s="129"/>
      <c r="F325" s="129"/>
      <c r="G325" s="122"/>
      <c r="H325" s="139"/>
    </row>
    <row r="326" spans="1:8" ht="17.25" customHeight="1" x14ac:dyDescent="0.25">
      <c r="A326" s="119"/>
      <c r="B326" s="118"/>
      <c r="E326" s="132"/>
      <c r="F326" s="133"/>
      <c r="G326" s="117"/>
      <c r="H326" s="139"/>
    </row>
    <row r="327" spans="1:8" ht="17.25" customHeight="1" x14ac:dyDescent="0.25">
      <c r="A327" s="150" t="s">
        <v>202</v>
      </c>
      <c r="B327" s="130" t="s">
        <v>233</v>
      </c>
      <c r="E327" s="136" t="s">
        <v>198</v>
      </c>
      <c r="F327" s="130"/>
      <c r="G327" s="130"/>
      <c r="H327" s="147"/>
    </row>
    <row r="328" spans="1:8" ht="17.25" customHeight="1" x14ac:dyDescent="0.25">
      <c r="A328" s="151" t="s">
        <v>203</v>
      </c>
      <c r="B328" s="130"/>
      <c r="E328" s="130" t="str">
        <f ca="1">+$E$106</f>
        <v>SECRETARIO DE PLANEACION Y OBRAS PUBLICAS</v>
      </c>
      <c r="F328" s="130"/>
      <c r="G328" s="130"/>
      <c r="H328" s="147"/>
    </row>
    <row r="329" spans="1:8" ht="18.149999999999999" customHeight="1" x14ac:dyDescent="0.25">
      <c r="A329" s="152"/>
      <c r="B329" s="153"/>
      <c r="C329" s="118"/>
      <c r="D329" s="118"/>
      <c r="E329" s="153" t="str">
        <f ca="1">+$E$107</f>
        <v>SAN MIGUEL - PUTUMAYO</v>
      </c>
      <c r="F329" s="153"/>
      <c r="G329" s="153"/>
      <c r="H329" s="154"/>
    </row>
    <row r="330" spans="1:8" ht="17.7" customHeight="1" x14ac:dyDescent="0.3">
      <c r="A330" s="460"/>
      <c r="B330" s="461"/>
      <c r="C330" s="399" t="s">
        <v>195</v>
      </c>
      <c r="D330" s="401" t="s">
        <v>196</v>
      </c>
      <c r="E330" s="402"/>
      <c r="F330" s="155">
        <v>103</v>
      </c>
      <c r="G330" s="466"/>
      <c r="H330" s="467"/>
    </row>
    <row r="331" spans="1:8" ht="17.25" customHeight="1" x14ac:dyDescent="0.25">
      <c r="A331" s="462"/>
      <c r="B331" s="463"/>
      <c r="C331" s="400"/>
      <c r="D331" s="404" t="s">
        <v>163</v>
      </c>
      <c r="E331" s="405"/>
      <c r="F331" s="408">
        <v>51</v>
      </c>
      <c r="G331" s="468"/>
      <c r="H331" s="469"/>
    </row>
    <row r="332" spans="1:8" ht="17.25" customHeight="1" x14ac:dyDescent="0.25">
      <c r="A332" s="462"/>
      <c r="B332" s="463"/>
      <c r="C332" s="169" t="s">
        <v>164</v>
      </c>
      <c r="D332" s="406"/>
      <c r="E332" s="407"/>
      <c r="F332" s="409"/>
      <c r="G332" s="468"/>
      <c r="H332" s="469"/>
    </row>
    <row r="333" spans="1:8" ht="28.95" customHeight="1" x14ac:dyDescent="0.25">
      <c r="A333" s="462"/>
      <c r="B333" s="463"/>
      <c r="C333" s="229" t="s">
        <v>165</v>
      </c>
      <c r="D333" s="410" t="s">
        <v>166</v>
      </c>
      <c r="E333" s="411"/>
      <c r="F333" s="171">
        <v>1</v>
      </c>
      <c r="G333" s="468"/>
      <c r="H333" s="469"/>
    </row>
    <row r="334" spans="1:8" ht="17.25" customHeight="1" x14ac:dyDescent="0.25">
      <c r="A334" s="462"/>
      <c r="B334" s="463"/>
      <c r="C334" s="472" t="s">
        <v>167</v>
      </c>
      <c r="D334" s="474" t="s">
        <v>168</v>
      </c>
      <c r="E334" s="475"/>
      <c r="F334" s="169" t="s">
        <v>169</v>
      </c>
      <c r="G334" s="468"/>
      <c r="H334" s="469"/>
    </row>
    <row r="335" spans="1:8" ht="17.25" customHeight="1" x14ac:dyDescent="0.25">
      <c r="A335" s="464"/>
      <c r="B335" s="465"/>
      <c r="C335" s="473"/>
      <c r="D335" s="476"/>
      <c r="E335" s="477"/>
      <c r="F335" s="172">
        <f>$F$6</f>
        <v>45402</v>
      </c>
      <c r="G335" s="470"/>
      <c r="H335" s="471"/>
    </row>
    <row r="336" spans="1:8" ht="17.25" customHeight="1" thickBot="1" x14ac:dyDescent="0.3">
      <c r="A336" s="438"/>
      <c r="B336" s="439"/>
      <c r="C336" s="439"/>
      <c r="D336" s="439"/>
      <c r="E336" s="439"/>
      <c r="F336" s="439"/>
      <c r="G336" s="439"/>
      <c r="H336" s="440"/>
    </row>
    <row r="337" spans="1:8" ht="17.25" customHeight="1" x14ac:dyDescent="0.25">
      <c r="A337" s="441" t="str">
        <f>PRESUPUESTO!A8</f>
        <v>MANTENIMIENTO Y REPARACION DE PUENTE VEHICULAR VIA LA GUISITA EN EL MUNICIPIO DE SAN MIGUEL PUTUMAYO</v>
      </c>
      <c r="B337" s="442"/>
      <c r="C337" s="442"/>
      <c r="D337" s="442"/>
      <c r="E337" s="442"/>
      <c r="F337" s="442"/>
      <c r="G337" s="442"/>
      <c r="H337" s="443"/>
    </row>
    <row r="338" spans="1:8" ht="17.25" customHeight="1" thickBot="1" x14ac:dyDescent="0.3">
      <c r="A338" s="444"/>
      <c r="B338" s="445"/>
      <c r="C338" s="445"/>
      <c r="D338" s="445"/>
      <c r="E338" s="445"/>
      <c r="F338" s="445"/>
      <c r="G338" s="445"/>
      <c r="H338" s="446"/>
    </row>
    <row r="339" spans="1:8" ht="17.25" customHeight="1" thickBot="1" x14ac:dyDescent="0.3">
      <c r="A339" s="284"/>
      <c r="B339" s="234"/>
      <c r="C339" s="234"/>
      <c r="D339" s="234"/>
      <c r="E339" s="234"/>
      <c r="F339" s="234"/>
      <c r="G339" s="234"/>
      <c r="H339" s="285"/>
    </row>
    <row r="340" spans="1:8" ht="28.2" customHeight="1" thickBot="1" x14ac:dyDescent="0.3">
      <c r="A340" s="286">
        <v>3.1</v>
      </c>
      <c r="B340" s="447" t="str">
        <f>VLOOKUP(A340,PRESUPUESTO!$A$15:$G$32,2,)</f>
        <v>Mantenimiento y reparacion de losa de rodadura en Lamina 12mm</v>
      </c>
      <c r="C340" s="448"/>
      <c r="D340" s="448"/>
      <c r="E340" s="448"/>
      <c r="F340" s="449"/>
      <c r="G340" s="282" t="s">
        <v>27</v>
      </c>
      <c r="H340" s="283" t="str">
        <f>VLOOKUP(A340,PRESUPUESTO!$A$15:$G$32,4,)</f>
        <v>M2</v>
      </c>
    </row>
    <row r="341" spans="1:8" ht="17.25" customHeight="1" x14ac:dyDescent="0.25">
      <c r="A341" s="148"/>
      <c r="H341" s="144"/>
    </row>
    <row r="342" spans="1:8" ht="17.25" customHeight="1" x14ac:dyDescent="0.25">
      <c r="A342" s="120" t="s">
        <v>28</v>
      </c>
      <c r="B342" s="450" t="s">
        <v>29</v>
      </c>
      <c r="C342" s="451"/>
      <c r="D342" s="451"/>
      <c r="E342" s="451"/>
      <c r="F342" s="451"/>
      <c r="G342" s="452"/>
      <c r="H342" s="144"/>
    </row>
    <row r="343" spans="1:8" ht="17.25" customHeight="1" x14ac:dyDescent="0.25">
      <c r="A343" s="236"/>
      <c r="B343" s="453" t="s">
        <v>30</v>
      </c>
      <c r="C343" s="454"/>
      <c r="D343" s="236" t="s">
        <v>31</v>
      </c>
      <c r="E343" s="236" t="s">
        <v>242</v>
      </c>
      <c r="F343" s="236" t="s">
        <v>248</v>
      </c>
      <c r="G343" s="236" t="s">
        <v>34</v>
      </c>
      <c r="H343" s="144"/>
    </row>
    <row r="344" spans="1:8" ht="17.25" customHeight="1" x14ac:dyDescent="0.25">
      <c r="A344" s="113"/>
      <c r="B344" s="436" t="s">
        <v>65</v>
      </c>
      <c r="C344" s="437"/>
      <c r="D344" s="113"/>
      <c r="E344" s="121"/>
      <c r="F344" s="121">
        <v>0.1</v>
      </c>
      <c r="G344" s="131">
        <f>ROUND(H362*F344,2)</f>
        <v>2975</v>
      </c>
      <c r="H344" s="145"/>
    </row>
    <row r="345" spans="1:8" ht="17.25" customHeight="1" x14ac:dyDescent="0.25">
      <c r="A345" s="113"/>
      <c r="B345" s="436" t="s">
        <v>244</v>
      </c>
      <c r="C345" s="437"/>
      <c r="D345" s="236" t="s">
        <v>286</v>
      </c>
      <c r="E345" s="260">
        <v>12500</v>
      </c>
      <c r="F345" s="121">
        <v>0.5</v>
      </c>
      <c r="G345" s="261">
        <f>E345*F345</f>
        <v>6250</v>
      </c>
      <c r="H345" s="145"/>
    </row>
    <row r="346" spans="1:8" ht="17.25" customHeight="1" x14ac:dyDescent="0.25">
      <c r="A346" s="113"/>
      <c r="B346" s="436"/>
      <c r="C346" s="437"/>
      <c r="D346" s="236"/>
      <c r="E346" s="260"/>
      <c r="F346" s="121"/>
      <c r="G346" s="261">
        <f>E346*F346</f>
        <v>0</v>
      </c>
      <c r="H346" s="145"/>
    </row>
    <row r="347" spans="1:8" ht="17.25" customHeight="1" x14ac:dyDescent="0.25">
      <c r="A347" s="149"/>
      <c r="E347" s="122" t="s">
        <v>35</v>
      </c>
      <c r="F347" s="122"/>
      <c r="G347" s="122"/>
      <c r="H347" s="146">
        <f>ROUND(SUM(G344:G346),2)</f>
        <v>9225</v>
      </c>
    </row>
    <row r="348" spans="1:8" ht="17.25" customHeight="1" x14ac:dyDescent="0.25">
      <c r="A348" s="120" t="s">
        <v>36</v>
      </c>
      <c r="B348" s="450" t="s">
        <v>37</v>
      </c>
      <c r="C348" s="451"/>
      <c r="D348" s="451"/>
      <c r="E348" s="451"/>
      <c r="F348" s="451"/>
      <c r="G348" s="452"/>
      <c r="H348" s="139"/>
    </row>
    <row r="349" spans="1:8" ht="17.25" customHeight="1" x14ac:dyDescent="0.25">
      <c r="A349" s="236"/>
      <c r="B349" s="453" t="s">
        <v>30</v>
      </c>
      <c r="C349" s="454"/>
      <c r="D349" s="113" t="s">
        <v>12</v>
      </c>
      <c r="E349" s="123" t="s">
        <v>38</v>
      </c>
      <c r="F349" s="123" t="s">
        <v>39</v>
      </c>
      <c r="G349" s="123" t="s">
        <v>34</v>
      </c>
      <c r="H349" s="139"/>
    </row>
    <row r="350" spans="1:8" ht="17.25" customHeight="1" x14ac:dyDescent="0.25">
      <c r="A350" s="113"/>
      <c r="B350" s="478" t="s">
        <v>289</v>
      </c>
      <c r="C350" s="479"/>
      <c r="D350" s="262" t="s">
        <v>201</v>
      </c>
      <c r="E350" s="263">
        <v>1</v>
      </c>
      <c r="F350" s="264">
        <v>150000</v>
      </c>
      <c r="G350" s="217">
        <f>ROUND(E350*F350,2)</f>
        <v>150000</v>
      </c>
      <c r="H350" s="139"/>
    </row>
    <row r="351" spans="1:8" ht="17.25" customHeight="1" x14ac:dyDescent="0.25">
      <c r="A351" s="113"/>
      <c r="B351" s="478" t="s">
        <v>255</v>
      </c>
      <c r="C351" s="479"/>
      <c r="D351" s="262" t="s">
        <v>239</v>
      </c>
      <c r="E351" s="263">
        <v>4</v>
      </c>
      <c r="F351" s="264">
        <v>500</v>
      </c>
      <c r="G351" s="217">
        <f t="shared" ref="G351" si="3">ROUND(E351*F351,2)</f>
        <v>2000</v>
      </c>
      <c r="H351" s="139"/>
    </row>
    <row r="352" spans="1:8" ht="17.25" customHeight="1" x14ac:dyDescent="0.25">
      <c r="A352" s="113"/>
      <c r="B352" s="480" t="s">
        <v>280</v>
      </c>
      <c r="C352" s="481"/>
      <c r="D352" s="141" t="s">
        <v>11</v>
      </c>
      <c r="E352" s="141">
        <v>1</v>
      </c>
      <c r="F352" s="217">
        <v>35000</v>
      </c>
      <c r="G352" s="217">
        <f>E352*F352</f>
        <v>35000</v>
      </c>
      <c r="H352" s="139"/>
    </row>
    <row r="353" spans="1:8" ht="17.25" customHeight="1" x14ac:dyDescent="0.25">
      <c r="A353" s="113"/>
      <c r="B353" s="478"/>
      <c r="C353" s="479"/>
      <c r="D353" s="262"/>
      <c r="E353" s="263"/>
      <c r="F353" s="264"/>
      <c r="G353" s="217"/>
      <c r="H353" s="139"/>
    </row>
    <row r="354" spans="1:8" ht="17.25" customHeight="1" x14ac:dyDescent="0.25">
      <c r="A354" s="113"/>
      <c r="B354" s="478"/>
      <c r="C354" s="479"/>
      <c r="D354" s="262"/>
      <c r="E354" s="263"/>
      <c r="F354" s="264"/>
      <c r="G354" s="217"/>
      <c r="H354" s="139"/>
    </row>
    <row r="355" spans="1:8" ht="17.25" customHeight="1" x14ac:dyDescent="0.25">
      <c r="A355" s="113"/>
      <c r="B355" s="478"/>
      <c r="C355" s="479"/>
      <c r="D355" s="262"/>
      <c r="E355" s="263"/>
      <c r="F355" s="264"/>
      <c r="G355" s="217"/>
      <c r="H355" s="139"/>
    </row>
    <row r="356" spans="1:8" ht="17.25" customHeight="1" x14ac:dyDescent="0.25">
      <c r="A356" s="149" t="s">
        <v>40</v>
      </c>
      <c r="E356" s="122" t="s">
        <v>41</v>
      </c>
      <c r="F356" s="122"/>
      <c r="G356" s="122"/>
      <c r="H356" s="218">
        <f>ROUND(SUM(G350:G355),2)</f>
        <v>187000</v>
      </c>
    </row>
    <row r="357" spans="1:8" ht="17.25" customHeight="1" x14ac:dyDescent="0.25">
      <c r="A357" s="120" t="s">
        <v>42</v>
      </c>
      <c r="B357" s="450" t="s">
        <v>43</v>
      </c>
      <c r="C357" s="451"/>
      <c r="D357" s="451"/>
      <c r="E357" s="451"/>
      <c r="F357" s="451"/>
      <c r="G357" s="452"/>
      <c r="H357" s="139"/>
    </row>
    <row r="358" spans="1:8" ht="17.25" customHeight="1" x14ac:dyDescent="0.25">
      <c r="A358" s="236" t="s">
        <v>44</v>
      </c>
      <c r="B358" s="236" t="s">
        <v>30</v>
      </c>
      <c r="C358" s="236" t="s">
        <v>45</v>
      </c>
      <c r="D358" s="236" t="s">
        <v>46</v>
      </c>
      <c r="E358" s="123" t="s">
        <v>47</v>
      </c>
      <c r="F358" s="121" t="s">
        <v>252</v>
      </c>
      <c r="G358" s="121" t="s">
        <v>34</v>
      </c>
      <c r="H358" s="139"/>
    </row>
    <row r="359" spans="1:8" ht="17.25" customHeight="1" x14ac:dyDescent="0.25">
      <c r="A359" s="236">
        <v>1</v>
      </c>
      <c r="B359" s="113" t="s">
        <v>246</v>
      </c>
      <c r="C359" s="125">
        <v>110000</v>
      </c>
      <c r="D359" s="219">
        <v>0.75</v>
      </c>
      <c r="E359" s="221">
        <f>+(A359*C359)+(A359*C359*D359)</f>
        <v>192500</v>
      </c>
      <c r="F359" s="141">
        <v>10</v>
      </c>
      <c r="G359" s="131">
        <f>ROUND(E359/(F359),2)</f>
        <v>19250</v>
      </c>
      <c r="H359" s="139"/>
    </row>
    <row r="360" spans="1:8" ht="17.25" customHeight="1" x14ac:dyDescent="0.25">
      <c r="A360" s="236">
        <v>1</v>
      </c>
      <c r="B360" s="113" t="s">
        <v>282</v>
      </c>
      <c r="C360" s="125">
        <v>60000</v>
      </c>
      <c r="D360" s="219">
        <v>0.75</v>
      </c>
      <c r="E360" s="221">
        <f>+(A360*C360)+(A360*C360*D360)</f>
        <v>105000</v>
      </c>
      <c r="F360" s="141">
        <v>10</v>
      </c>
      <c r="G360" s="131">
        <f>ROUND(E360/(F360),2)</f>
        <v>10500</v>
      </c>
      <c r="H360" s="139"/>
    </row>
    <row r="361" spans="1:8" ht="17.25" customHeight="1" x14ac:dyDescent="0.25">
      <c r="A361" s="113"/>
      <c r="B361" s="113"/>
      <c r="C361" s="113"/>
      <c r="D361" s="113"/>
      <c r="E361" s="121"/>
      <c r="F361" s="121"/>
      <c r="G361" s="121"/>
      <c r="H361" s="139"/>
    </row>
    <row r="362" spans="1:8" ht="17.25" customHeight="1" x14ac:dyDescent="0.25">
      <c r="A362" s="149"/>
      <c r="E362" s="122" t="s">
        <v>49</v>
      </c>
      <c r="F362" s="122"/>
      <c r="G362" s="122"/>
      <c r="H362" s="146">
        <f>ROUND(SUM(G359)+(G360),2)</f>
        <v>29750</v>
      </c>
    </row>
    <row r="363" spans="1:8" ht="17.25" customHeight="1" x14ac:dyDescent="0.25">
      <c r="A363" s="120" t="s">
        <v>50</v>
      </c>
      <c r="B363" s="450" t="s">
        <v>18</v>
      </c>
      <c r="C363" s="451"/>
      <c r="D363" s="451"/>
      <c r="E363" s="451"/>
      <c r="F363" s="451"/>
      <c r="G363" s="452"/>
      <c r="H363" s="139"/>
    </row>
    <row r="364" spans="1:8" ht="17.25" customHeight="1" x14ac:dyDescent="0.25">
      <c r="A364" s="113"/>
      <c r="B364" s="113" t="s">
        <v>30</v>
      </c>
      <c r="C364" s="236" t="s">
        <v>12</v>
      </c>
      <c r="D364" s="236" t="s">
        <v>13</v>
      </c>
      <c r="E364" s="236" t="s">
        <v>51</v>
      </c>
      <c r="F364" s="236"/>
      <c r="G364" s="121" t="s">
        <v>52</v>
      </c>
      <c r="H364" s="139"/>
    </row>
    <row r="365" spans="1:8" ht="17.25" customHeight="1" x14ac:dyDescent="0.25">
      <c r="A365" s="113"/>
      <c r="B365" s="113" t="s">
        <v>295</v>
      </c>
      <c r="C365" s="127" t="s">
        <v>284</v>
      </c>
      <c r="D365" s="113">
        <v>0.01</v>
      </c>
      <c r="E365" s="121">
        <f>3000000/15</f>
        <v>200000</v>
      </c>
      <c r="F365" s="121"/>
      <c r="G365" s="121">
        <f>D365*E365</f>
        <v>2000</v>
      </c>
      <c r="H365" s="139"/>
    </row>
    <row r="366" spans="1:8" ht="17.25" customHeight="1" x14ac:dyDescent="0.25">
      <c r="A366" s="113"/>
      <c r="B366" s="113"/>
      <c r="C366" s="124"/>
      <c r="D366" s="113"/>
      <c r="E366" s="121"/>
      <c r="F366" s="121"/>
      <c r="G366" s="121"/>
      <c r="H366" s="139"/>
    </row>
    <row r="367" spans="1:8" ht="17.25" customHeight="1" x14ac:dyDescent="0.25">
      <c r="A367" s="113"/>
      <c r="B367" s="113"/>
      <c r="C367" s="113"/>
      <c r="D367" s="113"/>
      <c r="E367" s="121"/>
      <c r="F367" s="121"/>
      <c r="G367" s="121"/>
      <c r="H367" s="139"/>
    </row>
    <row r="368" spans="1:8" ht="17.25" customHeight="1" x14ac:dyDescent="0.25">
      <c r="A368" s="149"/>
      <c r="E368" s="122" t="s">
        <v>49</v>
      </c>
      <c r="F368" s="122"/>
      <c r="G368" s="122"/>
      <c r="H368" s="218">
        <f>ROUND(SUM(G365)+(G366),0)</f>
        <v>2000</v>
      </c>
    </row>
    <row r="369" spans="1:8" ht="17.25" customHeight="1" x14ac:dyDescent="0.25">
      <c r="A369" s="148"/>
      <c r="E369" s="122"/>
      <c r="F369" s="122"/>
      <c r="G369" s="122"/>
      <c r="H369" s="139"/>
    </row>
    <row r="370" spans="1:8" ht="17.25" customHeight="1" x14ac:dyDescent="0.25">
      <c r="A370" s="148"/>
      <c r="D370" s="128" t="s">
        <v>53</v>
      </c>
      <c r="E370" s="129"/>
      <c r="F370" s="129"/>
      <c r="G370" s="129"/>
      <c r="H370" s="146">
        <f>ROUND(SUM(H343:H369),2)</f>
        <v>227975</v>
      </c>
    </row>
    <row r="371" spans="1:8" ht="17.25" customHeight="1" x14ac:dyDescent="0.25">
      <c r="A371" s="148"/>
      <c r="E371" s="122"/>
      <c r="F371" s="122"/>
      <c r="G371" s="122"/>
      <c r="H371" s="139"/>
    </row>
    <row r="372" spans="1:8" ht="17.25" customHeight="1" x14ac:dyDescent="0.25">
      <c r="A372" s="120" t="s">
        <v>54</v>
      </c>
      <c r="B372" s="450" t="s">
        <v>55</v>
      </c>
      <c r="C372" s="451"/>
      <c r="D372" s="451"/>
      <c r="E372" s="451"/>
      <c r="F372" s="451"/>
      <c r="G372" s="452"/>
      <c r="H372" s="139"/>
    </row>
    <row r="373" spans="1:8" ht="17.25" customHeight="1" x14ac:dyDescent="0.25">
      <c r="A373" s="236"/>
      <c r="B373" s="453" t="s">
        <v>30</v>
      </c>
      <c r="C373" s="454"/>
      <c r="D373" s="453" t="s">
        <v>56</v>
      </c>
      <c r="E373" s="454"/>
      <c r="F373" s="458" t="s">
        <v>58</v>
      </c>
      <c r="G373" s="459"/>
      <c r="H373" s="139"/>
    </row>
    <row r="374" spans="1:8" ht="17.25" customHeight="1" x14ac:dyDescent="0.25">
      <c r="A374" s="113"/>
      <c r="B374" s="453" t="s">
        <v>59</v>
      </c>
      <c r="C374" s="454"/>
      <c r="D374" s="455">
        <v>0.27</v>
      </c>
      <c r="E374" s="454"/>
      <c r="F374" s="456">
        <f>+H370*D374</f>
        <v>61553.250000000007</v>
      </c>
      <c r="G374" s="457"/>
      <c r="H374" s="139"/>
    </row>
    <row r="375" spans="1:8" ht="17.25" customHeight="1" x14ac:dyDescent="0.25">
      <c r="A375" s="113"/>
      <c r="B375" s="453" t="s">
        <v>60</v>
      </c>
      <c r="C375" s="454"/>
      <c r="D375" s="455">
        <v>0.02</v>
      </c>
      <c r="E375" s="454"/>
      <c r="F375" s="456">
        <f>+H370*D375</f>
        <v>4559.5</v>
      </c>
      <c r="G375" s="457"/>
      <c r="H375" s="139"/>
    </row>
    <row r="376" spans="1:8" ht="17.25" customHeight="1" x14ac:dyDescent="0.25">
      <c r="A376" s="113"/>
      <c r="B376" s="453" t="s">
        <v>61</v>
      </c>
      <c r="C376" s="454"/>
      <c r="D376" s="455">
        <v>0.03</v>
      </c>
      <c r="E376" s="454"/>
      <c r="F376" s="456">
        <f>+H370*D376</f>
        <v>6839.25</v>
      </c>
      <c r="G376" s="457"/>
      <c r="H376" s="139"/>
    </row>
    <row r="377" spans="1:8" ht="17.25" customHeight="1" x14ac:dyDescent="0.25">
      <c r="A377" s="148"/>
      <c r="D377" s="128" t="s">
        <v>62</v>
      </c>
      <c r="E377" s="129"/>
      <c r="F377" s="129"/>
      <c r="G377" s="129"/>
      <c r="H377" s="146">
        <f>SUM(F374:G376)</f>
        <v>72952</v>
      </c>
    </row>
    <row r="378" spans="1:8" ht="17.25" customHeight="1" x14ac:dyDescent="0.25">
      <c r="A378" s="148"/>
      <c r="E378" s="122"/>
      <c r="F378" s="122"/>
      <c r="G378" s="122"/>
      <c r="H378" s="139"/>
    </row>
    <row r="379" spans="1:8" ht="17.25" customHeight="1" x14ac:dyDescent="0.25">
      <c r="A379" s="148"/>
      <c r="D379" s="128" t="s">
        <v>63</v>
      </c>
      <c r="E379" s="129"/>
      <c r="F379" s="129"/>
      <c r="G379" s="122"/>
      <c r="H379" s="146">
        <f>H370+H377</f>
        <v>300927</v>
      </c>
    </row>
    <row r="380" spans="1:8" ht="17.25" customHeight="1" x14ac:dyDescent="0.25">
      <c r="A380" s="148"/>
      <c r="D380" s="128"/>
      <c r="E380" s="129"/>
      <c r="F380" s="129"/>
      <c r="G380" s="122"/>
      <c r="H380" s="139"/>
    </row>
    <row r="381" spans="1:8" ht="17.25" customHeight="1" x14ac:dyDescent="0.25">
      <c r="A381" s="148"/>
      <c r="E381" s="129"/>
      <c r="F381" s="129"/>
      <c r="G381" s="122"/>
      <c r="H381" s="139"/>
    </row>
    <row r="382" spans="1:8" ht="17.25" customHeight="1" x14ac:dyDescent="0.25">
      <c r="A382" s="119"/>
      <c r="B382" s="118"/>
      <c r="E382" s="132"/>
      <c r="F382" s="133"/>
      <c r="G382" s="117"/>
      <c r="H382" s="139"/>
    </row>
    <row r="383" spans="1:8" ht="17.25" customHeight="1" x14ac:dyDescent="0.25">
      <c r="A383" s="150" t="s">
        <v>202</v>
      </c>
      <c r="B383" s="130" t="s">
        <v>233</v>
      </c>
      <c r="E383" s="136" t="s">
        <v>198</v>
      </c>
      <c r="F383" s="130"/>
      <c r="G383" s="130"/>
      <c r="H383" s="147"/>
    </row>
    <row r="384" spans="1:8" ht="17.25" customHeight="1" x14ac:dyDescent="0.25">
      <c r="A384" s="151" t="s">
        <v>203</v>
      </c>
      <c r="B384" s="130"/>
      <c r="E384" s="130" t="str">
        <f ca="1">+$E$106</f>
        <v>SECRETARIO DE PLANEACION Y OBRAS PUBLICAS</v>
      </c>
      <c r="F384" s="130"/>
      <c r="G384" s="130"/>
      <c r="H384" s="147"/>
    </row>
    <row r="385" spans="1:8" ht="18.149999999999999" customHeight="1" x14ac:dyDescent="0.25">
      <c r="A385" s="152"/>
      <c r="B385" s="153"/>
      <c r="C385" s="118"/>
      <c r="D385" s="118"/>
      <c r="E385" s="153" t="str">
        <f ca="1">+$E$107</f>
        <v>SAN MIGUEL - PUTUMAYO</v>
      </c>
      <c r="F385" s="153"/>
      <c r="G385" s="153"/>
      <c r="H385" s="154"/>
    </row>
    <row r="386" spans="1:8" ht="17.25" customHeight="1" x14ac:dyDescent="0.3">
      <c r="A386" s="460"/>
      <c r="B386" s="461"/>
      <c r="C386" s="399" t="s">
        <v>195</v>
      </c>
      <c r="D386" s="401" t="s">
        <v>196</v>
      </c>
      <c r="E386" s="402"/>
      <c r="F386" s="155">
        <v>103</v>
      </c>
      <c r="G386" s="466"/>
      <c r="H386" s="467"/>
    </row>
    <row r="387" spans="1:8" ht="17.25" customHeight="1" x14ac:dyDescent="0.25">
      <c r="A387" s="462"/>
      <c r="B387" s="463"/>
      <c r="C387" s="400"/>
      <c r="D387" s="404" t="s">
        <v>163</v>
      </c>
      <c r="E387" s="405"/>
      <c r="F387" s="408">
        <v>51</v>
      </c>
      <c r="G387" s="468"/>
      <c r="H387" s="469"/>
    </row>
    <row r="388" spans="1:8" ht="17.25" customHeight="1" x14ac:dyDescent="0.25">
      <c r="A388" s="462"/>
      <c r="B388" s="463"/>
      <c r="C388" s="169" t="s">
        <v>164</v>
      </c>
      <c r="D388" s="406"/>
      <c r="E388" s="407"/>
      <c r="F388" s="409"/>
      <c r="G388" s="468"/>
      <c r="H388" s="469"/>
    </row>
    <row r="389" spans="1:8" ht="28.95" customHeight="1" x14ac:dyDescent="0.25">
      <c r="A389" s="462"/>
      <c r="B389" s="463"/>
      <c r="C389" s="229" t="s">
        <v>165</v>
      </c>
      <c r="D389" s="410" t="s">
        <v>166</v>
      </c>
      <c r="E389" s="411"/>
      <c r="F389" s="171">
        <v>1</v>
      </c>
      <c r="G389" s="468"/>
      <c r="H389" s="469"/>
    </row>
    <row r="390" spans="1:8" ht="17.25" customHeight="1" x14ac:dyDescent="0.25">
      <c r="A390" s="462"/>
      <c r="B390" s="463"/>
      <c r="C390" s="472" t="s">
        <v>167</v>
      </c>
      <c r="D390" s="474" t="s">
        <v>168</v>
      </c>
      <c r="E390" s="475"/>
      <c r="F390" s="169" t="s">
        <v>169</v>
      </c>
      <c r="G390" s="468"/>
      <c r="H390" s="469"/>
    </row>
    <row r="391" spans="1:8" ht="17.25" customHeight="1" x14ac:dyDescent="0.25">
      <c r="A391" s="464"/>
      <c r="B391" s="465"/>
      <c r="C391" s="473"/>
      <c r="D391" s="476"/>
      <c r="E391" s="477"/>
      <c r="F391" s="172">
        <f>$F$6</f>
        <v>45402</v>
      </c>
      <c r="G391" s="470"/>
      <c r="H391" s="471"/>
    </row>
    <row r="392" spans="1:8" ht="17.25" customHeight="1" thickBot="1" x14ac:dyDescent="0.3">
      <c r="A392" s="438"/>
      <c r="B392" s="439"/>
      <c r="C392" s="439"/>
      <c r="D392" s="439"/>
      <c r="E392" s="439"/>
      <c r="F392" s="439"/>
      <c r="G392" s="439"/>
      <c r="H392" s="440"/>
    </row>
    <row r="393" spans="1:8" ht="17.25" customHeight="1" x14ac:dyDescent="0.25">
      <c r="A393" s="441" t="str">
        <f>PRESUPUESTO!A8</f>
        <v>MANTENIMIENTO Y REPARACION DE PUENTE VEHICULAR VIA LA GUISITA EN EL MUNICIPIO DE SAN MIGUEL PUTUMAYO</v>
      </c>
      <c r="B393" s="442"/>
      <c r="C393" s="442"/>
      <c r="D393" s="442"/>
      <c r="E393" s="442"/>
      <c r="F393" s="442"/>
      <c r="G393" s="442"/>
      <c r="H393" s="443"/>
    </row>
    <row r="394" spans="1:8" ht="17.25" customHeight="1" thickBot="1" x14ac:dyDescent="0.3">
      <c r="A394" s="444"/>
      <c r="B394" s="445"/>
      <c r="C394" s="445"/>
      <c r="D394" s="445"/>
      <c r="E394" s="445"/>
      <c r="F394" s="445"/>
      <c r="G394" s="445"/>
      <c r="H394" s="446"/>
    </row>
    <row r="395" spans="1:8" ht="17.25" customHeight="1" thickBot="1" x14ac:dyDescent="0.3">
      <c r="A395" s="284"/>
      <c r="B395" s="234"/>
      <c r="C395" s="234"/>
      <c r="D395" s="234"/>
      <c r="E395" s="234"/>
      <c r="F395" s="234"/>
      <c r="G395" s="234"/>
      <c r="H395" s="285"/>
    </row>
    <row r="396" spans="1:8" ht="28.2" customHeight="1" thickBot="1" x14ac:dyDescent="0.3">
      <c r="A396" s="286">
        <v>4.0999999999999996</v>
      </c>
      <c r="B396" s="447" t="str">
        <f>VLOOKUP(A396,PRESUPUESTO!$A$15:$G$32,2,)</f>
        <v>Reparacion de pintura para tuberia longitudinal y transversal</v>
      </c>
      <c r="C396" s="448"/>
      <c r="D396" s="448"/>
      <c r="E396" s="448"/>
      <c r="F396" s="449"/>
      <c r="G396" s="282" t="s">
        <v>27</v>
      </c>
      <c r="H396" s="283" t="str">
        <f>VLOOKUP(A396,PRESUPUESTO!$A$15:$G$32,4,)</f>
        <v>GLB</v>
      </c>
    </row>
    <row r="397" spans="1:8" ht="17.25" customHeight="1" x14ac:dyDescent="0.25">
      <c r="A397" s="148"/>
      <c r="H397" s="144"/>
    </row>
    <row r="398" spans="1:8" ht="17.25" customHeight="1" x14ac:dyDescent="0.25">
      <c r="A398" s="120" t="s">
        <v>28</v>
      </c>
      <c r="B398" s="450" t="s">
        <v>29</v>
      </c>
      <c r="C398" s="451"/>
      <c r="D398" s="451"/>
      <c r="E398" s="451"/>
      <c r="F398" s="451"/>
      <c r="G398" s="452"/>
      <c r="H398" s="144"/>
    </row>
    <row r="399" spans="1:8" ht="17.25" customHeight="1" x14ac:dyDescent="0.25">
      <c r="A399" s="236"/>
      <c r="B399" s="453" t="s">
        <v>30</v>
      </c>
      <c r="C399" s="454"/>
      <c r="D399" s="236" t="s">
        <v>31</v>
      </c>
      <c r="E399" s="236" t="s">
        <v>234</v>
      </c>
      <c r="F399" s="236" t="s">
        <v>243</v>
      </c>
      <c r="G399" s="236" t="s">
        <v>34</v>
      </c>
      <c r="H399" s="144"/>
    </row>
    <row r="400" spans="1:8" ht="17.25" customHeight="1" x14ac:dyDescent="0.25">
      <c r="A400" s="113"/>
      <c r="B400" s="436" t="s">
        <v>65</v>
      </c>
      <c r="C400" s="437"/>
      <c r="D400" s="113"/>
      <c r="E400" s="121"/>
      <c r="F400" s="121">
        <v>0.1</v>
      </c>
      <c r="G400" s="131">
        <f>ROUND(H418*F400,2)</f>
        <v>29750</v>
      </c>
      <c r="H400" s="145"/>
    </row>
    <row r="401" spans="1:8" ht="17.25" customHeight="1" x14ac:dyDescent="0.25">
      <c r="A401" s="113"/>
      <c r="B401" s="436" t="s">
        <v>317</v>
      </c>
      <c r="C401" s="437"/>
      <c r="D401" s="236" t="s">
        <v>286</v>
      </c>
      <c r="E401" s="260">
        <f>50000/8</f>
        <v>6250</v>
      </c>
      <c r="F401" s="121">
        <v>0.1</v>
      </c>
      <c r="G401" s="261">
        <f>E401*F401</f>
        <v>625</v>
      </c>
      <c r="H401" s="145"/>
    </row>
    <row r="402" spans="1:8" ht="17.25" customHeight="1" x14ac:dyDescent="0.25">
      <c r="A402" s="113"/>
      <c r="B402" s="436"/>
      <c r="C402" s="437"/>
      <c r="D402" s="236"/>
      <c r="E402" s="260"/>
      <c r="F402" s="121"/>
      <c r="G402" s="261">
        <f>E402*F402</f>
        <v>0</v>
      </c>
      <c r="H402" s="145"/>
    </row>
    <row r="403" spans="1:8" ht="17.25" customHeight="1" x14ac:dyDescent="0.25">
      <c r="A403" s="149"/>
      <c r="E403" s="122" t="s">
        <v>35</v>
      </c>
      <c r="F403" s="122"/>
      <c r="G403" s="122"/>
      <c r="H403" s="146">
        <f>ROUND(SUM(G400:G402),2)</f>
        <v>30375</v>
      </c>
    </row>
    <row r="404" spans="1:8" ht="17.25" customHeight="1" x14ac:dyDescent="0.25">
      <c r="A404" s="120" t="s">
        <v>36</v>
      </c>
      <c r="B404" s="450" t="s">
        <v>37</v>
      </c>
      <c r="C404" s="451"/>
      <c r="D404" s="451"/>
      <c r="E404" s="451"/>
      <c r="F404" s="451"/>
      <c r="G404" s="452"/>
      <c r="H404" s="139"/>
    </row>
    <row r="405" spans="1:8" ht="17.25" customHeight="1" x14ac:dyDescent="0.25">
      <c r="A405" s="236"/>
      <c r="B405" s="453" t="s">
        <v>30</v>
      </c>
      <c r="C405" s="454"/>
      <c r="D405" s="113" t="s">
        <v>12</v>
      </c>
      <c r="E405" s="123" t="s">
        <v>38</v>
      </c>
      <c r="F405" s="123" t="s">
        <v>39</v>
      </c>
      <c r="G405" s="123" t="s">
        <v>34</v>
      </c>
      <c r="H405" s="139"/>
    </row>
    <row r="406" spans="1:8" ht="17.25" customHeight="1" x14ac:dyDescent="0.25">
      <c r="A406" s="113"/>
      <c r="B406" s="478" t="s">
        <v>290</v>
      </c>
      <c r="C406" s="479"/>
      <c r="D406" s="262" t="s">
        <v>241</v>
      </c>
      <c r="E406" s="263">
        <v>1</v>
      </c>
      <c r="F406" s="264">
        <v>33</v>
      </c>
      <c r="G406" s="217">
        <f>ROUND(E406*F406,2)</f>
        <v>33</v>
      </c>
      <c r="H406" s="139"/>
    </row>
    <row r="407" spans="1:8" ht="17.25" customHeight="1" x14ac:dyDescent="0.25">
      <c r="A407" s="113"/>
      <c r="B407" s="478" t="s">
        <v>291</v>
      </c>
      <c r="C407" s="479"/>
      <c r="D407" s="262" t="s">
        <v>245</v>
      </c>
      <c r="E407" s="263">
        <v>16</v>
      </c>
      <c r="F407" s="264">
        <f>1100000/5</f>
        <v>220000</v>
      </c>
      <c r="G407" s="217">
        <f t="shared" ref="G407:G408" si="4">ROUND(E407*F407,2)</f>
        <v>3520000</v>
      </c>
      <c r="H407" s="139"/>
    </row>
    <row r="408" spans="1:8" ht="17.25" customHeight="1" x14ac:dyDescent="0.25">
      <c r="A408" s="113"/>
      <c r="B408" s="478" t="s">
        <v>292</v>
      </c>
      <c r="C408" s="479"/>
      <c r="D408" s="262" t="s">
        <v>245</v>
      </c>
      <c r="E408" s="263">
        <v>4</v>
      </c>
      <c r="F408" s="264">
        <v>35000</v>
      </c>
      <c r="G408" s="217">
        <f t="shared" si="4"/>
        <v>140000</v>
      </c>
      <c r="H408" s="139"/>
    </row>
    <row r="409" spans="1:8" ht="17.25" customHeight="1" x14ac:dyDescent="0.25">
      <c r="A409" s="113"/>
      <c r="B409" s="478"/>
      <c r="C409" s="479"/>
      <c r="D409" s="262"/>
      <c r="E409" s="263"/>
      <c r="F409" s="264"/>
      <c r="G409" s="217"/>
      <c r="H409" s="139"/>
    </row>
    <row r="410" spans="1:8" ht="17.25" customHeight="1" x14ac:dyDescent="0.25">
      <c r="A410" s="113"/>
      <c r="B410" s="478"/>
      <c r="C410" s="479"/>
      <c r="D410" s="262"/>
      <c r="E410" s="263"/>
      <c r="F410" s="264"/>
      <c r="G410" s="217"/>
      <c r="H410" s="139"/>
    </row>
    <row r="411" spans="1:8" ht="17.25" customHeight="1" x14ac:dyDescent="0.25">
      <c r="A411" s="113"/>
      <c r="B411" s="478"/>
      <c r="C411" s="479"/>
      <c r="D411" s="262"/>
      <c r="E411" s="263"/>
      <c r="F411" s="264"/>
      <c r="G411" s="217"/>
      <c r="H411" s="139"/>
    </row>
    <row r="412" spans="1:8" ht="17.25" customHeight="1" x14ac:dyDescent="0.25">
      <c r="A412" s="149" t="s">
        <v>40</v>
      </c>
      <c r="E412" s="122" t="s">
        <v>41</v>
      </c>
      <c r="F412" s="122"/>
      <c r="G412" s="122"/>
      <c r="H412" s="218">
        <f>ROUND(SUM(G406:G411),2)</f>
        <v>3660033</v>
      </c>
    </row>
    <row r="413" spans="1:8" ht="17.25" customHeight="1" x14ac:dyDescent="0.25">
      <c r="A413" s="120" t="s">
        <v>42</v>
      </c>
      <c r="B413" s="450" t="s">
        <v>43</v>
      </c>
      <c r="C413" s="451"/>
      <c r="D413" s="451"/>
      <c r="E413" s="451"/>
      <c r="F413" s="451"/>
      <c r="G413" s="452"/>
      <c r="H413" s="139"/>
    </row>
    <row r="414" spans="1:8" ht="17.25" customHeight="1" x14ac:dyDescent="0.25">
      <c r="A414" s="236" t="s">
        <v>44</v>
      </c>
      <c r="B414" s="236" t="s">
        <v>30</v>
      </c>
      <c r="C414" s="236" t="s">
        <v>45</v>
      </c>
      <c r="D414" s="236" t="s">
        <v>46</v>
      </c>
      <c r="E414" s="123" t="s">
        <v>47</v>
      </c>
      <c r="F414" s="121" t="s">
        <v>293</v>
      </c>
      <c r="G414" s="121" t="s">
        <v>34</v>
      </c>
      <c r="H414" s="139"/>
    </row>
    <row r="415" spans="1:8" ht="17.25" customHeight="1" x14ac:dyDescent="0.25">
      <c r="A415" s="236">
        <v>1</v>
      </c>
      <c r="B415" s="113" t="s">
        <v>230</v>
      </c>
      <c r="C415" s="125">
        <v>60000</v>
      </c>
      <c r="D415" s="219">
        <v>0.75</v>
      </c>
      <c r="E415" s="221">
        <f>+(A415*C415)+(A415*C415*D415)</f>
        <v>105000</v>
      </c>
      <c r="F415" s="141">
        <v>1</v>
      </c>
      <c r="G415" s="131">
        <f>ROUND(E415/(F415),2)</f>
        <v>105000</v>
      </c>
      <c r="H415" s="139"/>
    </row>
    <row r="416" spans="1:8" ht="17.25" customHeight="1" x14ac:dyDescent="0.25">
      <c r="A416" s="236">
        <v>1</v>
      </c>
      <c r="B416" s="113" t="s">
        <v>66</v>
      </c>
      <c r="C416" s="125">
        <v>110000</v>
      </c>
      <c r="D416" s="219">
        <v>0.75</v>
      </c>
      <c r="E416" s="221">
        <f>+(A416*C416)+(A416*C416*D416)</f>
        <v>192500</v>
      </c>
      <c r="F416" s="141">
        <v>1</v>
      </c>
      <c r="G416" s="131">
        <f>ROUND(E416/(F416),2)</f>
        <v>192500</v>
      </c>
      <c r="H416" s="139"/>
    </row>
    <row r="417" spans="1:8" ht="17.25" customHeight="1" x14ac:dyDescent="0.25">
      <c r="A417" s="113"/>
      <c r="B417" s="113"/>
      <c r="C417" s="113"/>
      <c r="D417" s="113"/>
      <c r="E417" s="121"/>
      <c r="F417" s="121"/>
      <c r="G417" s="121"/>
      <c r="H417" s="139"/>
    </row>
    <row r="418" spans="1:8" ht="17.25" customHeight="1" x14ac:dyDescent="0.25">
      <c r="A418" s="149"/>
      <c r="E418" s="122" t="s">
        <v>49</v>
      </c>
      <c r="F418" s="122"/>
      <c r="G418" s="122"/>
      <c r="H418" s="146">
        <f>ROUND(SUM(G415)+(G416),2)</f>
        <v>297500</v>
      </c>
    </row>
    <row r="419" spans="1:8" ht="17.25" customHeight="1" x14ac:dyDescent="0.25">
      <c r="A419" s="120" t="s">
        <v>50</v>
      </c>
      <c r="B419" s="450" t="s">
        <v>18</v>
      </c>
      <c r="C419" s="451"/>
      <c r="D419" s="451"/>
      <c r="E419" s="451"/>
      <c r="F419" s="451"/>
      <c r="G419" s="452"/>
      <c r="H419" s="139"/>
    </row>
    <row r="420" spans="1:8" ht="17.25" customHeight="1" x14ac:dyDescent="0.25">
      <c r="A420" s="113"/>
      <c r="B420" s="113" t="s">
        <v>30</v>
      </c>
      <c r="C420" s="236" t="s">
        <v>12</v>
      </c>
      <c r="D420" s="236" t="s">
        <v>13</v>
      </c>
      <c r="E420" s="236" t="s">
        <v>51</v>
      </c>
      <c r="F420" s="236"/>
      <c r="G420" s="121" t="s">
        <v>52</v>
      </c>
      <c r="H420" s="139"/>
    </row>
    <row r="421" spans="1:8" ht="17.25" customHeight="1" x14ac:dyDescent="0.25">
      <c r="A421" s="113"/>
      <c r="B421" s="113" t="s">
        <v>294</v>
      </c>
      <c r="C421" s="127" t="s">
        <v>284</v>
      </c>
      <c r="D421" s="113">
        <v>0.01</v>
      </c>
      <c r="E421" s="121">
        <v>150000</v>
      </c>
      <c r="F421" s="121"/>
      <c r="G421" s="121">
        <f>D421*E421</f>
        <v>1500</v>
      </c>
      <c r="H421" s="139"/>
    </row>
    <row r="422" spans="1:8" ht="17.25" customHeight="1" x14ac:dyDescent="0.25">
      <c r="A422" s="113"/>
      <c r="B422" s="113"/>
      <c r="C422" s="124"/>
      <c r="D422" s="113"/>
      <c r="E422" s="121"/>
      <c r="F422" s="121"/>
      <c r="G422" s="121"/>
      <c r="H422" s="139"/>
    </row>
    <row r="423" spans="1:8" ht="17.25" customHeight="1" x14ac:dyDescent="0.25">
      <c r="A423" s="113"/>
      <c r="B423" s="113"/>
      <c r="C423" s="113"/>
      <c r="D423" s="113"/>
      <c r="E423" s="121"/>
      <c r="F423" s="121"/>
      <c r="G423" s="121"/>
      <c r="H423" s="139"/>
    </row>
    <row r="424" spans="1:8" ht="17.25" customHeight="1" x14ac:dyDescent="0.25">
      <c r="A424" s="149"/>
      <c r="E424" s="122" t="s">
        <v>49</v>
      </c>
      <c r="F424" s="122"/>
      <c r="G424" s="122"/>
      <c r="H424" s="139">
        <f>ROUND(SUM(G421)+(G422),0)</f>
        <v>1500</v>
      </c>
    </row>
    <row r="425" spans="1:8" ht="17.25" customHeight="1" x14ac:dyDescent="0.25">
      <c r="A425" s="148"/>
      <c r="E425" s="122"/>
      <c r="F425" s="122"/>
      <c r="G425" s="122"/>
      <c r="H425" s="139"/>
    </row>
    <row r="426" spans="1:8" ht="17.25" customHeight="1" x14ac:dyDescent="0.25">
      <c r="A426" s="148"/>
      <c r="D426" s="128" t="s">
        <v>53</v>
      </c>
      <c r="E426" s="129"/>
      <c r="F426" s="129"/>
      <c r="G426" s="129"/>
      <c r="H426" s="146">
        <f>ROUND(SUM(H403:H425),2)</f>
        <v>3989408</v>
      </c>
    </row>
    <row r="427" spans="1:8" ht="17.25" customHeight="1" x14ac:dyDescent="0.25">
      <c r="A427" s="148"/>
      <c r="E427" s="122"/>
      <c r="F427" s="122"/>
      <c r="G427" s="122"/>
      <c r="H427" s="139"/>
    </row>
    <row r="428" spans="1:8" ht="17.25" customHeight="1" x14ac:dyDescent="0.25">
      <c r="A428" s="120" t="s">
        <v>54</v>
      </c>
      <c r="B428" s="450" t="s">
        <v>55</v>
      </c>
      <c r="C428" s="451"/>
      <c r="D428" s="451"/>
      <c r="E428" s="451"/>
      <c r="F428" s="451"/>
      <c r="G428" s="452"/>
      <c r="H428" s="139"/>
    </row>
    <row r="429" spans="1:8" ht="17.25" customHeight="1" x14ac:dyDescent="0.25">
      <c r="A429" s="236"/>
      <c r="B429" s="453" t="s">
        <v>30</v>
      </c>
      <c r="C429" s="454"/>
      <c r="D429" s="453" t="s">
        <v>56</v>
      </c>
      <c r="E429" s="454"/>
      <c r="F429" s="458" t="s">
        <v>58</v>
      </c>
      <c r="G429" s="459"/>
      <c r="H429" s="139"/>
    </row>
    <row r="430" spans="1:8" ht="17.25" customHeight="1" x14ac:dyDescent="0.25">
      <c r="A430" s="113"/>
      <c r="B430" s="453" t="s">
        <v>59</v>
      </c>
      <c r="C430" s="454"/>
      <c r="D430" s="455">
        <v>0.27</v>
      </c>
      <c r="E430" s="454"/>
      <c r="F430" s="456">
        <f>+H426*D430</f>
        <v>1077140.1600000001</v>
      </c>
      <c r="G430" s="457"/>
      <c r="H430" s="139"/>
    </row>
    <row r="431" spans="1:8" ht="17.25" customHeight="1" x14ac:dyDescent="0.25">
      <c r="A431" s="113"/>
      <c r="B431" s="453" t="s">
        <v>60</v>
      </c>
      <c r="C431" s="454"/>
      <c r="D431" s="455">
        <v>0.02</v>
      </c>
      <c r="E431" s="454"/>
      <c r="F431" s="456">
        <f>+H426*D431</f>
        <v>79788.160000000003</v>
      </c>
      <c r="G431" s="457"/>
      <c r="H431" s="139"/>
    </row>
    <row r="432" spans="1:8" ht="17.25" customHeight="1" x14ac:dyDescent="0.25">
      <c r="A432" s="113"/>
      <c r="B432" s="453" t="s">
        <v>61</v>
      </c>
      <c r="C432" s="454"/>
      <c r="D432" s="455">
        <v>0.03</v>
      </c>
      <c r="E432" s="454"/>
      <c r="F432" s="456">
        <f>+H426*D432</f>
        <v>119682.23999999999</v>
      </c>
      <c r="G432" s="457"/>
      <c r="H432" s="139"/>
    </row>
    <row r="433" spans="1:8" ht="17.25" customHeight="1" x14ac:dyDescent="0.25">
      <c r="A433" s="148"/>
      <c r="D433" s="128" t="s">
        <v>62</v>
      </c>
      <c r="E433" s="129"/>
      <c r="F433" s="129"/>
      <c r="G433" s="129"/>
      <c r="H433" s="146">
        <f>SUM(F430:G432)</f>
        <v>1276610.5600000001</v>
      </c>
    </row>
    <row r="434" spans="1:8" ht="17.25" customHeight="1" x14ac:dyDescent="0.25">
      <c r="A434" s="148"/>
      <c r="E434" s="122"/>
      <c r="F434" s="122"/>
      <c r="G434" s="122"/>
      <c r="H434" s="139"/>
    </row>
    <row r="435" spans="1:8" ht="17.25" customHeight="1" x14ac:dyDescent="0.25">
      <c r="A435" s="148"/>
      <c r="D435" s="128" t="s">
        <v>63</v>
      </c>
      <c r="E435" s="129"/>
      <c r="F435" s="129"/>
      <c r="G435" s="122"/>
      <c r="H435" s="146">
        <f>H426+H433</f>
        <v>5266018.5600000005</v>
      </c>
    </row>
    <row r="436" spans="1:8" ht="17.25" customHeight="1" x14ac:dyDescent="0.25">
      <c r="A436" s="148"/>
      <c r="D436" s="128"/>
      <c r="E436" s="129"/>
      <c r="F436" s="129"/>
      <c r="G436" s="122"/>
      <c r="H436" s="139"/>
    </row>
    <row r="437" spans="1:8" ht="17.25" customHeight="1" x14ac:dyDescent="0.25">
      <c r="A437" s="148"/>
      <c r="E437" s="129"/>
      <c r="F437" s="129"/>
      <c r="G437" s="122"/>
      <c r="H437" s="139"/>
    </row>
    <row r="438" spans="1:8" ht="17.25" customHeight="1" x14ac:dyDescent="0.25">
      <c r="A438" s="119"/>
      <c r="B438" s="118"/>
      <c r="E438" s="132"/>
      <c r="F438" s="133"/>
      <c r="G438" s="117"/>
      <c r="H438" s="139"/>
    </row>
    <row r="439" spans="1:8" ht="17.25" customHeight="1" x14ac:dyDescent="0.25">
      <c r="A439" s="150" t="s">
        <v>202</v>
      </c>
      <c r="B439" s="130" t="s">
        <v>233</v>
      </c>
      <c r="E439" s="136" t="s">
        <v>198</v>
      </c>
      <c r="F439" s="130"/>
      <c r="G439" s="130"/>
      <c r="H439" s="147"/>
    </row>
    <row r="440" spans="1:8" ht="17.25" customHeight="1" x14ac:dyDescent="0.25">
      <c r="A440" s="151" t="s">
        <v>203</v>
      </c>
      <c r="B440" s="130"/>
      <c r="E440" s="130" t="str">
        <f ca="1">+$E$106</f>
        <v>SECRETARIO DE PLANEACION Y OBRAS PUBLICAS</v>
      </c>
      <c r="F440" s="130"/>
      <c r="G440" s="130"/>
      <c r="H440" s="147"/>
    </row>
    <row r="441" spans="1:8" ht="18.149999999999999" customHeight="1" x14ac:dyDescent="0.25">
      <c r="A441" s="152"/>
      <c r="B441" s="153"/>
      <c r="C441" s="118"/>
      <c r="D441" s="118"/>
      <c r="E441" s="153" t="str">
        <f ca="1">+$E$107</f>
        <v>SAN MIGUEL - PUTUMAYO</v>
      </c>
      <c r="F441" s="153"/>
      <c r="G441" s="153"/>
      <c r="H441" s="154"/>
    </row>
  </sheetData>
  <mergeCells count="313">
    <mergeCell ref="B320:C320"/>
    <mergeCell ref="D320:E320"/>
    <mergeCell ref="F320:G320"/>
    <mergeCell ref="B307:G307"/>
    <mergeCell ref="B316:G316"/>
    <mergeCell ref="B317:C317"/>
    <mergeCell ref="D317:E317"/>
    <mergeCell ref="F317:G317"/>
    <mergeCell ref="B297:C297"/>
    <mergeCell ref="B298:C298"/>
    <mergeCell ref="B299:C299"/>
    <mergeCell ref="B301:G301"/>
    <mergeCell ref="B318:C318"/>
    <mergeCell ref="D318:E318"/>
    <mergeCell ref="F318:G318"/>
    <mergeCell ref="B319:C319"/>
    <mergeCell ref="D319:E319"/>
    <mergeCell ref="F319:G319"/>
    <mergeCell ref="B296:C296"/>
    <mergeCell ref="B152:C152"/>
    <mergeCell ref="D152:E152"/>
    <mergeCell ref="F152:G152"/>
    <mergeCell ref="B153:C153"/>
    <mergeCell ref="D153:E153"/>
    <mergeCell ref="F153:G153"/>
    <mergeCell ref="B149:G149"/>
    <mergeCell ref="B150:C150"/>
    <mergeCell ref="D150:E150"/>
    <mergeCell ref="F150:G150"/>
    <mergeCell ref="B151:C151"/>
    <mergeCell ref="D151:E151"/>
    <mergeCell ref="F151:G151"/>
    <mergeCell ref="A169:H169"/>
    <mergeCell ref="A170:H171"/>
    <mergeCell ref="B187:C187"/>
    <mergeCell ref="B188:C188"/>
    <mergeCell ref="B190:G190"/>
    <mergeCell ref="B196:G196"/>
    <mergeCell ref="B178:C178"/>
    <mergeCell ref="B179:C179"/>
    <mergeCell ref="B181:G181"/>
    <mergeCell ref="B182:C182"/>
    <mergeCell ref="B123:C123"/>
    <mergeCell ref="B125:G125"/>
    <mergeCell ref="B126:C126"/>
    <mergeCell ref="B127:C127"/>
    <mergeCell ref="B128:C128"/>
    <mergeCell ref="B292:G292"/>
    <mergeCell ref="B293:C293"/>
    <mergeCell ref="B294:C294"/>
    <mergeCell ref="B295:C295"/>
    <mergeCell ref="B173:F173"/>
    <mergeCell ref="B175:G175"/>
    <mergeCell ref="B176:C176"/>
    <mergeCell ref="B177:C177"/>
    <mergeCell ref="A163:B168"/>
    <mergeCell ref="C163:C164"/>
    <mergeCell ref="D163:E163"/>
    <mergeCell ref="G163:H168"/>
    <mergeCell ref="D164:E165"/>
    <mergeCell ref="F164:F165"/>
    <mergeCell ref="D166:E166"/>
    <mergeCell ref="C167:C168"/>
    <mergeCell ref="D167:E168"/>
    <mergeCell ref="B185:C185"/>
    <mergeCell ref="B186:C186"/>
    <mergeCell ref="B375:C375"/>
    <mergeCell ref="D375:E375"/>
    <mergeCell ref="F375:G375"/>
    <mergeCell ref="B376:C376"/>
    <mergeCell ref="D376:E376"/>
    <mergeCell ref="F376:G376"/>
    <mergeCell ref="D109:E110"/>
    <mergeCell ref="F109:F110"/>
    <mergeCell ref="A281:H281"/>
    <mergeCell ref="A282:H283"/>
    <mergeCell ref="B285:F285"/>
    <mergeCell ref="B287:G287"/>
    <mergeCell ref="B288:C288"/>
    <mergeCell ref="B289:C289"/>
    <mergeCell ref="B290:C290"/>
    <mergeCell ref="D111:E111"/>
    <mergeCell ref="C112:C113"/>
    <mergeCell ref="D112:E113"/>
    <mergeCell ref="B129:C129"/>
    <mergeCell ref="B130:C130"/>
    <mergeCell ref="B131:C131"/>
    <mergeCell ref="B132:C132"/>
    <mergeCell ref="B134:G134"/>
    <mergeCell ref="B140:G140"/>
    <mergeCell ref="B357:G357"/>
    <mergeCell ref="B363:G363"/>
    <mergeCell ref="B372:G372"/>
    <mergeCell ref="B373:C373"/>
    <mergeCell ref="D373:E373"/>
    <mergeCell ref="F373:G373"/>
    <mergeCell ref="B374:C374"/>
    <mergeCell ref="D374:E374"/>
    <mergeCell ref="F374:G374"/>
    <mergeCell ref="B346:C346"/>
    <mergeCell ref="B348:G348"/>
    <mergeCell ref="B349:C349"/>
    <mergeCell ref="B350:C350"/>
    <mergeCell ref="B351:C351"/>
    <mergeCell ref="B352:C352"/>
    <mergeCell ref="B353:C353"/>
    <mergeCell ref="B354:C354"/>
    <mergeCell ref="B355:C355"/>
    <mergeCell ref="A7:H7"/>
    <mergeCell ref="A8:H9"/>
    <mergeCell ref="B11:F11"/>
    <mergeCell ref="B13:G13"/>
    <mergeCell ref="B14:C14"/>
    <mergeCell ref="A330:B335"/>
    <mergeCell ref="C330:C331"/>
    <mergeCell ref="D330:E330"/>
    <mergeCell ref="G330:H335"/>
    <mergeCell ref="D331:E332"/>
    <mergeCell ref="F331:F332"/>
    <mergeCell ref="D333:E333"/>
    <mergeCell ref="C334:C335"/>
    <mergeCell ref="D334:E335"/>
    <mergeCell ref="A275:B280"/>
    <mergeCell ref="C275:C276"/>
    <mergeCell ref="D275:E275"/>
    <mergeCell ref="G275:H280"/>
    <mergeCell ref="D276:E277"/>
    <mergeCell ref="F276:F277"/>
    <mergeCell ref="D278:E278"/>
    <mergeCell ref="C279:C280"/>
    <mergeCell ref="D279:E280"/>
    <mergeCell ref="A114:H114"/>
    <mergeCell ref="A1:B6"/>
    <mergeCell ref="C1:C2"/>
    <mergeCell ref="D1:E1"/>
    <mergeCell ref="G1:H6"/>
    <mergeCell ref="D2:E3"/>
    <mergeCell ref="F2:F3"/>
    <mergeCell ref="D4:E4"/>
    <mergeCell ref="C5:C6"/>
    <mergeCell ref="D5:E6"/>
    <mergeCell ref="B45:C45"/>
    <mergeCell ref="D45:E45"/>
    <mergeCell ref="F45:G45"/>
    <mergeCell ref="A55:B60"/>
    <mergeCell ref="B15:C15"/>
    <mergeCell ref="B24:C24"/>
    <mergeCell ref="B26:G26"/>
    <mergeCell ref="B32:G32"/>
    <mergeCell ref="B41:G41"/>
    <mergeCell ref="B42:C42"/>
    <mergeCell ref="D42:E42"/>
    <mergeCell ref="F42:G42"/>
    <mergeCell ref="B43:C43"/>
    <mergeCell ref="D43:E43"/>
    <mergeCell ref="F43:G43"/>
    <mergeCell ref="D56:E57"/>
    <mergeCell ref="F56:F57"/>
    <mergeCell ref="B44:C44"/>
    <mergeCell ref="D44:E44"/>
    <mergeCell ref="F44:G44"/>
    <mergeCell ref="B16:C16"/>
    <mergeCell ref="B19:G19"/>
    <mergeCell ref="B20:C20"/>
    <mergeCell ref="B21:C21"/>
    <mergeCell ref="B22:C22"/>
    <mergeCell ref="B23:C23"/>
    <mergeCell ref="C55:C56"/>
    <mergeCell ref="D55:E55"/>
    <mergeCell ref="G55:H60"/>
    <mergeCell ref="D58:E58"/>
    <mergeCell ref="B98:C98"/>
    <mergeCell ref="D98:E98"/>
    <mergeCell ref="F98:G98"/>
    <mergeCell ref="B96:C96"/>
    <mergeCell ref="D96:E96"/>
    <mergeCell ref="F96:G96"/>
    <mergeCell ref="B97:C97"/>
    <mergeCell ref="D97:E97"/>
    <mergeCell ref="F97:G97"/>
    <mergeCell ref="B68:C68"/>
    <mergeCell ref="B69:C69"/>
    <mergeCell ref="B71:C71"/>
    <mergeCell ref="C59:C60"/>
    <mergeCell ref="D59:E60"/>
    <mergeCell ref="A61:H61"/>
    <mergeCell ref="A62:H63"/>
    <mergeCell ref="B65:F65"/>
    <mergeCell ref="B67:G67"/>
    <mergeCell ref="B76:C76"/>
    <mergeCell ref="B75:C75"/>
    <mergeCell ref="B73:G73"/>
    <mergeCell ref="B74:C74"/>
    <mergeCell ref="B77:C77"/>
    <mergeCell ref="B79:G79"/>
    <mergeCell ref="B85:G85"/>
    <mergeCell ref="B94:G94"/>
    <mergeCell ref="B95:C95"/>
    <mergeCell ref="D95:E95"/>
    <mergeCell ref="F95:G95"/>
    <mergeCell ref="A115:H116"/>
    <mergeCell ref="B118:F118"/>
    <mergeCell ref="B120:G120"/>
    <mergeCell ref="B121:C121"/>
    <mergeCell ref="B122:C122"/>
    <mergeCell ref="A108:B113"/>
    <mergeCell ref="C108:C109"/>
    <mergeCell ref="D108:E108"/>
    <mergeCell ref="G108:H113"/>
    <mergeCell ref="B183:C183"/>
    <mergeCell ref="B184:C184"/>
    <mergeCell ref="B208:C208"/>
    <mergeCell ref="D208:E208"/>
    <mergeCell ref="F208:G208"/>
    <mergeCell ref="B209:C209"/>
    <mergeCell ref="D209:E209"/>
    <mergeCell ref="F209:G209"/>
    <mergeCell ref="B205:G205"/>
    <mergeCell ref="B206:C206"/>
    <mergeCell ref="D206:E206"/>
    <mergeCell ref="F206:G206"/>
    <mergeCell ref="B207:C207"/>
    <mergeCell ref="D207:E207"/>
    <mergeCell ref="F207:G207"/>
    <mergeCell ref="B235:C235"/>
    <mergeCell ref="B237:G237"/>
    <mergeCell ref="A219:B224"/>
    <mergeCell ref="C219:C220"/>
    <mergeCell ref="D219:E219"/>
    <mergeCell ref="G219:H224"/>
    <mergeCell ref="D220:E221"/>
    <mergeCell ref="F220:F221"/>
    <mergeCell ref="D222:E222"/>
    <mergeCell ref="C223:C224"/>
    <mergeCell ref="D223:E224"/>
    <mergeCell ref="B432:C432"/>
    <mergeCell ref="D432:E432"/>
    <mergeCell ref="F432:G432"/>
    <mergeCell ref="F264:G264"/>
    <mergeCell ref="B238:C238"/>
    <mergeCell ref="B239:C239"/>
    <mergeCell ref="B240:C240"/>
    <mergeCell ref="B241:C241"/>
    <mergeCell ref="B242:C242"/>
    <mergeCell ref="B243:C243"/>
    <mergeCell ref="B244:C244"/>
    <mergeCell ref="B246:G246"/>
    <mergeCell ref="B252:G252"/>
    <mergeCell ref="D263:E263"/>
    <mergeCell ref="F263:G263"/>
    <mergeCell ref="B264:C264"/>
    <mergeCell ref="D264:E264"/>
    <mergeCell ref="A336:H336"/>
    <mergeCell ref="A337:H338"/>
    <mergeCell ref="B340:F340"/>
    <mergeCell ref="B342:G342"/>
    <mergeCell ref="B343:C343"/>
    <mergeCell ref="B344:C344"/>
    <mergeCell ref="B345:C345"/>
    <mergeCell ref="B428:G428"/>
    <mergeCell ref="B429:C429"/>
    <mergeCell ref="D429:E429"/>
    <mergeCell ref="F429:G429"/>
    <mergeCell ref="B430:C430"/>
    <mergeCell ref="D430:E430"/>
    <mergeCell ref="F430:G430"/>
    <mergeCell ref="B431:C431"/>
    <mergeCell ref="D431:E431"/>
    <mergeCell ref="F431:G431"/>
    <mergeCell ref="B419:G419"/>
    <mergeCell ref="B409:C409"/>
    <mergeCell ref="B410:C410"/>
    <mergeCell ref="B411:C411"/>
    <mergeCell ref="B405:C405"/>
    <mergeCell ref="B406:C406"/>
    <mergeCell ref="B407:C407"/>
    <mergeCell ref="B408:C408"/>
    <mergeCell ref="B413:G413"/>
    <mergeCell ref="B402:C402"/>
    <mergeCell ref="B404:G404"/>
    <mergeCell ref="A386:B391"/>
    <mergeCell ref="C386:C387"/>
    <mergeCell ref="G386:H391"/>
    <mergeCell ref="D387:E388"/>
    <mergeCell ref="F387:F388"/>
    <mergeCell ref="D389:E389"/>
    <mergeCell ref="C390:C391"/>
    <mergeCell ref="D390:E391"/>
    <mergeCell ref="D386:E386"/>
    <mergeCell ref="B17:C17"/>
    <mergeCell ref="B70:C70"/>
    <mergeCell ref="A392:H392"/>
    <mergeCell ref="A393:H394"/>
    <mergeCell ref="B396:F396"/>
    <mergeCell ref="B398:G398"/>
    <mergeCell ref="B399:C399"/>
    <mergeCell ref="B400:C400"/>
    <mergeCell ref="B401:C401"/>
    <mergeCell ref="B265:C265"/>
    <mergeCell ref="D265:E265"/>
    <mergeCell ref="F265:G265"/>
    <mergeCell ref="B261:G261"/>
    <mergeCell ref="B262:C262"/>
    <mergeCell ref="D262:E262"/>
    <mergeCell ref="F262:G262"/>
    <mergeCell ref="B263:C263"/>
    <mergeCell ref="A225:H225"/>
    <mergeCell ref="A226:H227"/>
    <mergeCell ref="B229:F229"/>
    <mergeCell ref="B231:G231"/>
    <mergeCell ref="B232:C232"/>
    <mergeCell ref="B233:C233"/>
    <mergeCell ref="B234:C23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fitToHeight="0" orientation="portrait" r:id="rId1"/>
  <rowBreaks count="1" manualBreakCount="1">
    <brk id="54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T149"/>
  <sheetViews>
    <sheetView topLeftCell="A117" zoomScale="85" zoomScaleNormal="85" zoomScaleSheetLayoutView="75" workbookViewId="0">
      <selection activeCell="L145" sqref="L145"/>
    </sheetView>
  </sheetViews>
  <sheetFormatPr baseColWidth="10" defaultRowHeight="14.4" x14ac:dyDescent="0.3"/>
  <cols>
    <col min="1" max="1" width="14.109375" customWidth="1"/>
    <col min="2" max="2" width="14.33203125" customWidth="1"/>
    <col min="3" max="3" width="33" bestFit="1" customWidth="1"/>
    <col min="4" max="4" width="16.6640625" customWidth="1"/>
    <col min="5" max="5" width="11.6640625" customWidth="1"/>
    <col min="6" max="6" width="11.44140625" customWidth="1"/>
    <col min="7" max="7" width="8.33203125" customWidth="1"/>
    <col min="8" max="8" width="6.33203125" customWidth="1"/>
    <col min="9" max="9" width="19.109375" customWidth="1"/>
    <col min="11" max="11" width="15.33203125" bestFit="1" customWidth="1"/>
  </cols>
  <sheetData>
    <row r="1" spans="1:9" ht="28.2" customHeight="1" x14ac:dyDescent="0.3">
      <c r="A1" s="516"/>
      <c r="B1" s="517"/>
      <c r="C1" s="522" t="s">
        <v>195</v>
      </c>
      <c r="D1" s="523"/>
      <c r="E1" s="526" t="s">
        <v>196</v>
      </c>
      <c r="F1" s="527"/>
      <c r="G1" s="528">
        <v>103</v>
      </c>
      <c r="H1" s="528"/>
      <c r="I1" s="529"/>
    </row>
    <row r="2" spans="1:9" ht="17.55" customHeight="1" x14ac:dyDescent="0.3">
      <c r="A2" s="518"/>
      <c r="B2" s="519"/>
      <c r="C2" s="524"/>
      <c r="D2" s="525"/>
      <c r="E2" s="404" t="s">
        <v>163</v>
      </c>
      <c r="F2" s="506"/>
      <c r="G2" s="503">
        <v>51</v>
      </c>
      <c r="H2" s="503"/>
      <c r="I2" s="530"/>
    </row>
    <row r="3" spans="1:9" x14ac:dyDescent="0.3">
      <c r="A3" s="518"/>
      <c r="B3" s="519"/>
      <c r="C3" s="533" t="s">
        <v>164</v>
      </c>
      <c r="D3" s="534"/>
      <c r="E3" s="406"/>
      <c r="F3" s="532"/>
      <c r="G3" s="503"/>
      <c r="H3" s="503"/>
      <c r="I3" s="530"/>
    </row>
    <row r="4" spans="1:9" x14ac:dyDescent="0.3">
      <c r="A4" s="518"/>
      <c r="B4" s="519"/>
      <c r="C4" s="535" t="s">
        <v>165</v>
      </c>
      <c r="D4" s="536"/>
      <c r="E4" s="410" t="s">
        <v>166</v>
      </c>
      <c r="F4" s="537"/>
      <c r="G4" s="503">
        <v>1</v>
      </c>
      <c r="H4" s="503"/>
      <c r="I4" s="530"/>
    </row>
    <row r="5" spans="1:9" ht="14.4" customHeight="1" x14ac:dyDescent="0.3">
      <c r="A5" s="518"/>
      <c r="B5" s="519"/>
      <c r="C5" s="404" t="s">
        <v>167</v>
      </c>
      <c r="D5" s="405"/>
      <c r="E5" s="404" t="s">
        <v>168</v>
      </c>
      <c r="F5" s="506"/>
      <c r="G5" s="508" t="s">
        <v>169</v>
      </c>
      <c r="H5" s="508"/>
      <c r="I5" s="530"/>
    </row>
    <row r="6" spans="1:9" ht="15" thickBot="1" x14ac:dyDescent="0.35">
      <c r="A6" s="520"/>
      <c r="B6" s="521"/>
      <c r="C6" s="504"/>
      <c r="D6" s="505"/>
      <c r="E6" s="504"/>
      <c r="F6" s="507"/>
      <c r="G6" s="509">
        <v>44216</v>
      </c>
      <c r="H6" s="509"/>
      <c r="I6" s="531"/>
    </row>
    <row r="7" spans="1:9" ht="15" thickBot="1" x14ac:dyDescent="0.35">
      <c r="A7" s="230"/>
      <c r="B7" s="175"/>
      <c r="C7" s="175"/>
      <c r="D7" s="175"/>
      <c r="E7" s="175"/>
      <c r="F7" s="175"/>
      <c r="G7" s="175"/>
      <c r="H7" s="175"/>
      <c r="I7" s="242"/>
    </row>
    <row r="8" spans="1:9" ht="19.649999999999999" customHeight="1" x14ac:dyDescent="0.3">
      <c r="A8" s="510" t="str">
        <f>+PRESUPUESTO!$A$8</f>
        <v>MANTENIMIENTO Y REPARACION DE PUENTE VEHICULAR VIA LA GUISITA EN EL MUNICIPIO DE SAN MIGUEL PUTUMAYO</v>
      </c>
      <c r="B8" s="511"/>
      <c r="C8" s="511"/>
      <c r="D8" s="511"/>
      <c r="E8" s="511"/>
      <c r="F8" s="511"/>
      <c r="G8" s="511"/>
      <c r="H8" s="511"/>
      <c r="I8" s="512"/>
    </row>
    <row r="9" spans="1:9" ht="13.8" customHeight="1" thickBot="1" x14ac:dyDescent="0.35">
      <c r="A9" s="513"/>
      <c r="B9" s="514"/>
      <c r="C9" s="514"/>
      <c r="D9" s="514"/>
      <c r="E9" s="514"/>
      <c r="F9" s="514"/>
      <c r="G9" s="514"/>
      <c r="H9" s="514"/>
      <c r="I9" s="515"/>
    </row>
    <row r="10" spans="1:9" ht="15" thickBot="1" x14ac:dyDescent="0.35">
      <c r="A10" s="156"/>
      <c r="B10" s="157"/>
      <c r="C10" s="157"/>
      <c r="D10" s="157"/>
      <c r="E10" s="175"/>
      <c r="F10" s="175"/>
      <c r="G10" s="175"/>
      <c r="H10" s="175"/>
      <c r="I10" s="376"/>
    </row>
    <row r="11" spans="1:9" x14ac:dyDescent="0.3">
      <c r="A11" s="241"/>
      <c r="B11" s="241"/>
      <c r="C11" s="241"/>
      <c r="D11" s="241"/>
      <c r="E11" s="241"/>
      <c r="F11" s="241"/>
      <c r="G11" s="241"/>
      <c r="H11" s="241"/>
      <c r="I11" s="241"/>
    </row>
    <row r="12" spans="1:9" x14ac:dyDescent="0.3">
      <c r="A12" s="538" t="s">
        <v>2</v>
      </c>
      <c r="B12" s="538"/>
      <c r="C12" s="538"/>
      <c r="D12" s="538"/>
      <c r="E12" s="538"/>
      <c r="F12" s="538"/>
      <c r="G12" s="538"/>
      <c r="H12" s="538"/>
      <c r="I12" s="538"/>
    </row>
    <row r="13" spans="1:9" x14ac:dyDescent="0.3">
      <c r="A13" s="246"/>
      <c r="B13" s="246"/>
      <c r="C13" s="246"/>
      <c r="D13" s="246"/>
      <c r="E13" s="246"/>
      <c r="F13" s="246"/>
      <c r="G13" s="246"/>
      <c r="H13" s="246"/>
      <c r="I13" s="246"/>
    </row>
    <row r="14" spans="1:9" x14ac:dyDescent="0.3">
      <c r="A14" s="539" t="str">
        <f>PRESUPUESTO!B15</f>
        <v>MANTENIMIENTO Y REPARACION DE ESTRUCTURA PRINCIPAL</v>
      </c>
      <c r="B14" s="540"/>
      <c r="C14" s="540"/>
      <c r="D14" s="540"/>
      <c r="E14" s="540"/>
      <c r="F14" s="540"/>
      <c r="G14" s="540"/>
      <c r="H14" s="540"/>
      <c r="I14" s="540"/>
    </row>
    <row r="15" spans="1:9" x14ac:dyDescent="0.3">
      <c r="A15" s="246"/>
      <c r="B15" s="246"/>
      <c r="C15" s="246"/>
      <c r="D15" s="246"/>
      <c r="E15" s="246"/>
      <c r="F15" s="246"/>
      <c r="G15" s="246"/>
      <c r="H15" s="246"/>
      <c r="I15" s="246"/>
    </row>
    <row r="16" spans="1:9" ht="14.4" customHeight="1" x14ac:dyDescent="0.3">
      <c r="A16" s="494" t="s">
        <v>3</v>
      </c>
      <c r="B16" s="494"/>
      <c r="C16" s="495" t="str">
        <f>VLOOKUP(A17,PRESUPUESTO!$A$15:$G$32,2,)</f>
        <v xml:space="preserve">Manetimiento y reparacion de pilares en H Tuberia 12" </v>
      </c>
      <c r="D16" s="496"/>
      <c r="E16" s="496"/>
      <c r="F16" s="496"/>
      <c r="G16" s="496"/>
      <c r="H16" s="497"/>
      <c r="I16" s="243" t="s">
        <v>20</v>
      </c>
    </row>
    <row r="17" spans="1:10" x14ac:dyDescent="0.3">
      <c r="A17" s="494">
        <v>1.1000000000000001</v>
      </c>
      <c r="B17" s="494"/>
      <c r="C17" s="498"/>
      <c r="D17" s="499"/>
      <c r="E17" s="499"/>
      <c r="F17" s="499"/>
      <c r="G17" s="499"/>
      <c r="H17" s="500"/>
      <c r="I17" s="243" t="str">
        <f>VLOOKUP(A17,PRESUPUESTO!$A$15:$G$32,4,)</f>
        <v>ML</v>
      </c>
    </row>
    <row r="18" spans="1:10" ht="16.8" customHeight="1" x14ac:dyDescent="0.3">
      <c r="A18" s="494" t="s">
        <v>19</v>
      </c>
      <c r="B18" s="494"/>
      <c r="C18" s="494"/>
      <c r="D18" s="243" t="s">
        <v>225</v>
      </c>
      <c r="E18" s="243" t="s">
        <v>301</v>
      </c>
      <c r="F18" s="243" t="s">
        <v>227</v>
      </c>
      <c r="G18" s="501" t="s">
        <v>228</v>
      </c>
      <c r="H18" s="502"/>
      <c r="I18" s="243" t="s">
        <v>68</v>
      </c>
      <c r="J18" s="265"/>
    </row>
    <row r="19" spans="1:10" x14ac:dyDescent="0.3">
      <c r="A19" s="486" t="s">
        <v>297</v>
      </c>
      <c r="B19" s="486"/>
      <c r="C19" s="247" t="s">
        <v>298</v>
      </c>
      <c r="D19" s="247"/>
      <c r="E19" s="247">
        <v>7</v>
      </c>
      <c r="F19" s="247"/>
      <c r="G19" s="489">
        <v>6</v>
      </c>
      <c r="H19" s="490"/>
      <c r="I19" s="244">
        <f>E19*G19</f>
        <v>42</v>
      </c>
      <c r="J19" s="266"/>
    </row>
    <row r="20" spans="1:10" x14ac:dyDescent="0.3">
      <c r="A20" s="486" t="s">
        <v>297</v>
      </c>
      <c r="B20" s="486"/>
      <c r="C20" s="247" t="s">
        <v>299</v>
      </c>
      <c r="D20" s="247"/>
      <c r="E20" s="247">
        <v>4</v>
      </c>
      <c r="F20" s="247"/>
      <c r="G20" s="489">
        <v>3</v>
      </c>
      <c r="H20" s="490"/>
      <c r="I20" s="244">
        <f>E20*G20</f>
        <v>12</v>
      </c>
      <c r="J20" s="266"/>
    </row>
    <row r="21" spans="1:10" x14ac:dyDescent="0.3">
      <c r="A21" s="486"/>
      <c r="B21" s="486"/>
      <c r="C21" s="247"/>
      <c r="D21" s="247"/>
      <c r="E21" s="247"/>
      <c r="F21" s="247"/>
      <c r="G21" s="489"/>
      <c r="H21" s="490"/>
      <c r="I21" s="244"/>
      <c r="J21" s="266"/>
    </row>
    <row r="22" spans="1:10" x14ac:dyDescent="0.3">
      <c r="A22" s="486"/>
      <c r="B22" s="486"/>
      <c r="C22" s="247"/>
      <c r="D22" s="247"/>
      <c r="E22" s="247"/>
      <c r="F22" s="247"/>
      <c r="G22" s="489"/>
      <c r="H22" s="490"/>
      <c r="I22" s="244"/>
      <c r="J22" s="266"/>
    </row>
    <row r="23" spans="1:10" x14ac:dyDescent="0.3">
      <c r="A23" s="486"/>
      <c r="B23" s="486"/>
      <c r="C23" s="368"/>
      <c r="D23" s="247"/>
      <c r="E23" s="247"/>
      <c r="F23" s="247"/>
      <c r="G23" s="489"/>
      <c r="H23" s="490"/>
      <c r="I23" s="244"/>
      <c r="J23" s="266"/>
    </row>
    <row r="24" spans="1:10" x14ac:dyDescent="0.3">
      <c r="A24" s="486"/>
      <c r="B24" s="486"/>
      <c r="C24" s="368"/>
      <c r="D24" s="247"/>
      <c r="E24" s="247"/>
      <c r="F24" s="247"/>
      <c r="G24" s="489"/>
      <c r="H24" s="490"/>
      <c r="I24" s="244"/>
      <c r="J24" s="266"/>
    </row>
    <row r="25" spans="1:10" x14ac:dyDescent="0.3">
      <c r="A25" s="486"/>
      <c r="B25" s="486"/>
      <c r="C25" s="368"/>
      <c r="D25" s="247"/>
      <c r="E25" s="247"/>
      <c r="F25" s="247"/>
      <c r="G25" s="489"/>
      <c r="H25" s="490"/>
      <c r="I25" s="244"/>
      <c r="J25" s="266"/>
    </row>
    <row r="26" spans="1:10" x14ac:dyDescent="0.3">
      <c r="A26" s="486"/>
      <c r="B26" s="486"/>
      <c r="C26" s="368"/>
      <c r="D26" s="247"/>
      <c r="E26" s="247"/>
      <c r="F26" s="247"/>
      <c r="G26" s="489"/>
      <c r="H26" s="490"/>
      <c r="I26" s="244"/>
      <c r="J26" s="266"/>
    </row>
    <row r="27" spans="1:10" x14ac:dyDescent="0.3">
      <c r="A27" s="486"/>
      <c r="B27" s="486"/>
      <c r="C27" s="368"/>
      <c r="D27" s="247"/>
      <c r="E27" s="247"/>
      <c r="F27" s="247"/>
      <c r="G27" s="489"/>
      <c r="H27" s="490"/>
      <c r="I27" s="244"/>
      <c r="J27" s="266"/>
    </row>
    <row r="28" spans="1:10" x14ac:dyDescent="0.3">
      <c r="A28" s="486"/>
      <c r="B28" s="486"/>
      <c r="C28" s="368"/>
      <c r="D28" s="247"/>
      <c r="E28" s="247"/>
      <c r="F28" s="247"/>
      <c r="G28" s="489"/>
      <c r="H28" s="490"/>
      <c r="I28" s="244"/>
      <c r="J28" s="266"/>
    </row>
    <row r="29" spans="1:10" x14ac:dyDescent="0.3">
      <c r="A29" s="491" t="s">
        <v>68</v>
      </c>
      <c r="B29" s="492"/>
      <c r="C29" s="492"/>
      <c r="D29" s="492"/>
      <c r="E29" s="492"/>
      <c r="F29" s="492"/>
      <c r="G29" s="492"/>
      <c r="H29" s="493"/>
      <c r="I29" s="245">
        <f>SUM(I19:I28)</f>
        <v>54</v>
      </c>
    </row>
    <row r="30" spans="1:10" x14ac:dyDescent="0.3">
      <c r="A30" s="258"/>
      <c r="B30" s="258"/>
      <c r="C30" s="258"/>
      <c r="D30" s="258"/>
      <c r="E30" s="258"/>
      <c r="F30" s="258"/>
      <c r="G30" s="258"/>
      <c r="H30" s="258"/>
      <c r="I30" s="259"/>
    </row>
    <row r="31" spans="1:10" ht="14.4" customHeight="1" x14ac:dyDescent="0.3">
      <c r="A31" s="494" t="s">
        <v>3</v>
      </c>
      <c r="B31" s="494"/>
      <c r="C31" s="495" t="str">
        <f>VLOOKUP(A32,PRESUPUESTO!$A$15:$G$32,2,)</f>
        <v>Mantenimiento y reparacion de vigas longitudinales y transversales Tuberia 6"</v>
      </c>
      <c r="D31" s="496"/>
      <c r="E31" s="496"/>
      <c r="F31" s="496"/>
      <c r="G31" s="496"/>
      <c r="H31" s="497"/>
      <c r="I31" s="243" t="s">
        <v>20</v>
      </c>
    </row>
    <row r="32" spans="1:10" x14ac:dyDescent="0.3">
      <c r="A32" s="494">
        <v>1.2</v>
      </c>
      <c r="B32" s="494"/>
      <c r="C32" s="498"/>
      <c r="D32" s="499"/>
      <c r="E32" s="499"/>
      <c r="F32" s="499"/>
      <c r="G32" s="499"/>
      <c r="H32" s="500"/>
      <c r="I32" s="243" t="str">
        <f>VLOOKUP(A32,PRESUPUESTO!$A$15:$G$32,4,)</f>
        <v>ML</v>
      </c>
    </row>
    <row r="33" spans="1:10" ht="16.8" customHeight="1" x14ac:dyDescent="0.3">
      <c r="A33" s="494" t="s">
        <v>19</v>
      </c>
      <c r="B33" s="494"/>
      <c r="C33" s="494"/>
      <c r="D33" s="243" t="s">
        <v>225</v>
      </c>
      <c r="E33" s="243" t="s">
        <v>301</v>
      </c>
      <c r="F33" s="243" t="s">
        <v>227</v>
      </c>
      <c r="G33" s="501" t="s">
        <v>228</v>
      </c>
      <c r="H33" s="502"/>
      <c r="I33" s="243" t="s">
        <v>68</v>
      </c>
      <c r="J33" s="265"/>
    </row>
    <row r="34" spans="1:10" x14ac:dyDescent="0.3">
      <c r="A34" s="486" t="s">
        <v>297</v>
      </c>
      <c r="B34" s="486"/>
      <c r="C34" s="247" t="s">
        <v>302</v>
      </c>
      <c r="D34" s="247"/>
      <c r="E34" s="247">
        <v>4</v>
      </c>
      <c r="F34" s="247"/>
      <c r="G34" s="489">
        <v>3</v>
      </c>
      <c r="H34" s="490"/>
      <c r="I34" s="244">
        <f>E34*G34</f>
        <v>12</v>
      </c>
      <c r="J34" s="266"/>
    </row>
    <row r="35" spans="1:10" x14ac:dyDescent="0.3">
      <c r="A35" s="486" t="s">
        <v>297</v>
      </c>
      <c r="B35" s="486"/>
      <c r="C35" s="247" t="s">
        <v>300</v>
      </c>
      <c r="D35" s="247"/>
      <c r="E35" s="247">
        <v>4</v>
      </c>
      <c r="F35" s="247"/>
      <c r="G35" s="489">
        <v>3</v>
      </c>
      <c r="H35" s="490"/>
      <c r="I35" s="244">
        <f>E35*G35</f>
        <v>12</v>
      </c>
      <c r="J35" s="266"/>
    </row>
    <row r="36" spans="1:10" x14ac:dyDescent="0.3">
      <c r="A36" s="486" t="s">
        <v>303</v>
      </c>
      <c r="B36" s="486"/>
      <c r="C36" s="247" t="s">
        <v>304</v>
      </c>
      <c r="D36" s="247"/>
      <c r="E36" s="247">
        <v>15</v>
      </c>
      <c r="F36" s="247"/>
      <c r="G36" s="489">
        <v>7</v>
      </c>
      <c r="H36" s="490"/>
      <c r="I36" s="244">
        <f>E36*G36</f>
        <v>105</v>
      </c>
      <c r="J36" s="266"/>
    </row>
    <row r="37" spans="1:10" x14ac:dyDescent="0.3">
      <c r="A37" s="486"/>
      <c r="B37" s="486"/>
      <c r="C37" s="247"/>
      <c r="D37" s="247"/>
      <c r="E37" s="247"/>
      <c r="F37" s="247"/>
      <c r="G37" s="489"/>
      <c r="H37" s="490"/>
      <c r="I37" s="244"/>
      <c r="J37" s="266"/>
    </row>
    <row r="38" spans="1:10" x14ac:dyDescent="0.3">
      <c r="A38" s="486"/>
      <c r="B38" s="486"/>
      <c r="C38" s="368"/>
      <c r="D38" s="247"/>
      <c r="E38" s="247"/>
      <c r="F38" s="247"/>
      <c r="G38" s="489"/>
      <c r="H38" s="490"/>
      <c r="I38" s="244"/>
      <c r="J38" s="266"/>
    </row>
    <row r="39" spans="1:10" x14ac:dyDescent="0.3">
      <c r="A39" s="486"/>
      <c r="B39" s="486"/>
      <c r="C39" s="368"/>
      <c r="D39" s="247"/>
      <c r="E39" s="247"/>
      <c r="F39" s="247"/>
      <c r="G39" s="489"/>
      <c r="H39" s="490"/>
      <c r="I39" s="244"/>
      <c r="J39" s="266"/>
    </row>
    <row r="40" spans="1:10" x14ac:dyDescent="0.3">
      <c r="A40" s="486"/>
      <c r="B40" s="486"/>
      <c r="C40" s="368"/>
      <c r="D40" s="247"/>
      <c r="E40" s="247"/>
      <c r="F40" s="247"/>
      <c r="G40" s="489"/>
      <c r="H40" s="490"/>
      <c r="I40" s="244"/>
      <c r="J40" s="266"/>
    </row>
    <row r="41" spans="1:10" x14ac:dyDescent="0.3">
      <c r="A41" s="486"/>
      <c r="B41" s="486"/>
      <c r="C41" s="368"/>
      <c r="D41" s="247"/>
      <c r="E41" s="247"/>
      <c r="F41" s="247"/>
      <c r="G41" s="489"/>
      <c r="H41" s="490"/>
      <c r="I41" s="244"/>
      <c r="J41" s="266"/>
    </row>
    <row r="42" spans="1:10" x14ac:dyDescent="0.3">
      <c r="A42" s="486"/>
      <c r="B42" s="486"/>
      <c r="C42" s="368"/>
      <c r="D42" s="247"/>
      <c r="E42" s="247"/>
      <c r="F42" s="247"/>
      <c r="G42" s="489"/>
      <c r="H42" s="490"/>
      <c r="I42" s="244"/>
      <c r="J42" s="266"/>
    </row>
    <row r="43" spans="1:10" x14ac:dyDescent="0.3">
      <c r="A43" s="486"/>
      <c r="B43" s="486"/>
      <c r="C43" s="368"/>
      <c r="D43" s="247"/>
      <c r="E43" s="247"/>
      <c r="F43" s="247"/>
      <c r="G43" s="489"/>
      <c r="H43" s="490"/>
      <c r="I43" s="244"/>
      <c r="J43" s="266"/>
    </row>
    <row r="44" spans="1:10" x14ac:dyDescent="0.3">
      <c r="A44" s="486"/>
      <c r="B44" s="486"/>
      <c r="C44" s="368"/>
      <c r="D44" s="247"/>
      <c r="E44" s="247"/>
      <c r="F44" s="247"/>
      <c r="G44" s="489"/>
      <c r="H44" s="490"/>
      <c r="I44" s="244"/>
      <c r="J44" s="266"/>
    </row>
    <row r="45" spans="1:10" x14ac:dyDescent="0.3">
      <c r="A45" s="491" t="s">
        <v>68</v>
      </c>
      <c r="B45" s="492"/>
      <c r="C45" s="492"/>
      <c r="D45" s="492"/>
      <c r="E45" s="492"/>
      <c r="F45" s="492"/>
      <c r="G45" s="492"/>
      <c r="H45" s="493"/>
      <c r="I45" s="245">
        <f>SUM(I34:I44)</f>
        <v>129</v>
      </c>
    </row>
    <row r="46" spans="1:10" x14ac:dyDescent="0.3">
      <c r="A46" s="258"/>
      <c r="B46" s="258"/>
      <c r="C46" s="258"/>
      <c r="D46" s="258"/>
      <c r="E46" s="258"/>
      <c r="F46" s="258"/>
      <c r="G46" s="258"/>
      <c r="H46" s="258"/>
      <c r="I46" s="259"/>
    </row>
    <row r="47" spans="1:10" ht="14.4" customHeight="1" x14ac:dyDescent="0.3">
      <c r="A47" s="494" t="s">
        <v>3</v>
      </c>
      <c r="B47" s="494"/>
      <c r="C47" s="495" t="str">
        <f>VLOOKUP(A48,PRESUPUESTO!$A$15:$G$32,2,)</f>
        <v>Mantenimiento y reparacion de barandas o pasamanos metalicos Tuberia 3 1/2"</v>
      </c>
      <c r="D47" s="496"/>
      <c r="E47" s="496"/>
      <c r="F47" s="496"/>
      <c r="G47" s="496"/>
      <c r="H47" s="497"/>
      <c r="I47" s="243" t="s">
        <v>20</v>
      </c>
    </row>
    <row r="48" spans="1:10" x14ac:dyDescent="0.3">
      <c r="A48" s="494">
        <v>2.1</v>
      </c>
      <c r="B48" s="494"/>
      <c r="C48" s="498"/>
      <c r="D48" s="499"/>
      <c r="E48" s="499"/>
      <c r="F48" s="499"/>
      <c r="G48" s="499"/>
      <c r="H48" s="500"/>
      <c r="I48" s="243" t="str">
        <f>VLOOKUP(A48,PRESUPUESTO!$A$15:$G$32,4,)</f>
        <v>ML</v>
      </c>
    </row>
    <row r="49" spans="1:10" ht="16.8" customHeight="1" x14ac:dyDescent="0.3">
      <c r="A49" s="494" t="s">
        <v>19</v>
      </c>
      <c r="B49" s="494"/>
      <c r="C49" s="494"/>
      <c r="D49" s="243" t="s">
        <v>225</v>
      </c>
      <c r="E49" s="243" t="s">
        <v>247</v>
      </c>
      <c r="F49" s="243" t="s">
        <v>227</v>
      </c>
      <c r="G49" s="501" t="s">
        <v>228</v>
      </c>
      <c r="H49" s="502"/>
      <c r="I49" s="243" t="s">
        <v>68</v>
      </c>
      <c r="J49" s="265"/>
    </row>
    <row r="50" spans="1:10" x14ac:dyDescent="0.3">
      <c r="A50" s="486" t="s">
        <v>305</v>
      </c>
      <c r="B50" s="486"/>
      <c r="C50" s="247" t="s">
        <v>306</v>
      </c>
      <c r="D50" s="247"/>
      <c r="E50" s="247">
        <v>10</v>
      </c>
      <c r="F50" s="247"/>
      <c r="G50" s="489">
        <v>6</v>
      </c>
      <c r="H50" s="490"/>
      <c r="I50" s="244">
        <f>E50*G50</f>
        <v>60</v>
      </c>
      <c r="J50" s="266"/>
    </row>
    <row r="51" spans="1:10" x14ac:dyDescent="0.3">
      <c r="A51" s="486" t="s">
        <v>305</v>
      </c>
      <c r="B51" s="486"/>
      <c r="C51" s="247" t="s">
        <v>307</v>
      </c>
      <c r="D51" s="247"/>
      <c r="E51" s="247">
        <v>1</v>
      </c>
      <c r="F51" s="247"/>
      <c r="G51" s="489">
        <v>12</v>
      </c>
      <c r="H51" s="490"/>
      <c r="I51" s="244">
        <f>E51*G51</f>
        <v>12</v>
      </c>
      <c r="J51" s="266"/>
    </row>
    <row r="52" spans="1:10" x14ac:dyDescent="0.3">
      <c r="A52" s="486"/>
      <c r="B52" s="486"/>
      <c r="C52" s="368"/>
      <c r="D52" s="247"/>
      <c r="E52" s="247"/>
      <c r="F52" s="247"/>
      <c r="G52" s="489"/>
      <c r="H52" s="490"/>
      <c r="I52" s="244"/>
      <c r="J52" s="266"/>
    </row>
    <row r="53" spans="1:10" x14ac:dyDescent="0.3">
      <c r="A53" s="486"/>
      <c r="B53" s="486"/>
      <c r="C53" s="368"/>
      <c r="D53" s="247"/>
      <c r="E53" s="247"/>
      <c r="F53" s="247"/>
      <c r="G53" s="489"/>
      <c r="H53" s="490"/>
      <c r="I53" s="244"/>
      <c r="J53" s="266"/>
    </row>
    <row r="54" spans="1:10" x14ac:dyDescent="0.3">
      <c r="A54" s="486"/>
      <c r="B54" s="486"/>
      <c r="C54" s="368"/>
      <c r="D54" s="247"/>
      <c r="E54" s="247"/>
      <c r="F54" s="247"/>
      <c r="G54" s="489"/>
      <c r="H54" s="490"/>
      <c r="I54" s="244"/>
      <c r="J54" s="266"/>
    </row>
    <row r="55" spans="1:10" x14ac:dyDescent="0.3">
      <c r="A55" s="486"/>
      <c r="B55" s="486"/>
      <c r="C55" s="368"/>
      <c r="D55" s="247"/>
      <c r="E55" s="247"/>
      <c r="F55" s="247"/>
      <c r="G55" s="489"/>
      <c r="H55" s="490"/>
      <c r="I55" s="244"/>
      <c r="J55" s="266"/>
    </row>
    <row r="56" spans="1:10" x14ac:dyDescent="0.3">
      <c r="A56" s="486"/>
      <c r="B56" s="486"/>
      <c r="C56" s="368"/>
      <c r="D56" s="247"/>
      <c r="E56" s="247"/>
      <c r="F56" s="247"/>
      <c r="G56" s="489"/>
      <c r="H56" s="490"/>
      <c r="I56" s="244"/>
      <c r="J56" s="266"/>
    </row>
    <row r="57" spans="1:10" x14ac:dyDescent="0.3">
      <c r="A57" s="486"/>
      <c r="B57" s="486"/>
      <c r="C57" s="368"/>
      <c r="D57" s="247"/>
      <c r="E57" s="247"/>
      <c r="F57" s="247"/>
      <c r="G57" s="489"/>
      <c r="H57" s="490"/>
      <c r="I57" s="244"/>
      <c r="J57" s="266"/>
    </row>
    <row r="58" spans="1:10" x14ac:dyDescent="0.3">
      <c r="A58" s="486"/>
      <c r="B58" s="486"/>
      <c r="C58" s="368"/>
      <c r="D58" s="247"/>
      <c r="E58" s="247"/>
      <c r="F58" s="247"/>
      <c r="G58" s="489"/>
      <c r="H58" s="490"/>
      <c r="I58" s="244"/>
      <c r="J58" s="266"/>
    </row>
    <row r="59" spans="1:10" x14ac:dyDescent="0.3">
      <c r="A59" s="486"/>
      <c r="B59" s="486"/>
      <c r="C59" s="368"/>
      <c r="D59" s="247"/>
      <c r="E59" s="247"/>
      <c r="F59" s="247"/>
      <c r="G59" s="489"/>
      <c r="H59" s="490"/>
      <c r="I59" s="244"/>
      <c r="J59" s="266"/>
    </row>
    <row r="60" spans="1:10" x14ac:dyDescent="0.3">
      <c r="A60" s="491" t="s">
        <v>68</v>
      </c>
      <c r="B60" s="492"/>
      <c r="C60" s="492"/>
      <c r="D60" s="492"/>
      <c r="E60" s="492"/>
      <c r="F60" s="492"/>
      <c r="G60" s="492"/>
      <c r="H60" s="493"/>
      <c r="I60" s="245">
        <f>SUM(I50:I59)</f>
        <v>72</v>
      </c>
    </row>
    <row r="61" spans="1:10" x14ac:dyDescent="0.3">
      <c r="A61" s="258"/>
      <c r="B61" s="258"/>
      <c r="C61" s="258"/>
      <c r="D61" s="258"/>
      <c r="E61" s="258"/>
      <c r="F61" s="258"/>
      <c r="G61" s="258"/>
      <c r="H61" s="258"/>
      <c r="I61" s="259"/>
    </row>
    <row r="62" spans="1:10" ht="14.4" customHeight="1" x14ac:dyDescent="0.3">
      <c r="A62" s="494" t="s">
        <v>3</v>
      </c>
      <c r="B62" s="494"/>
      <c r="C62" s="495" t="str">
        <f>VLOOKUP(A63,PRESUPUESTO!$A$15:$G$32,2,)</f>
        <v>Mantenimiento y reparacion de aletas laterales en estribos Lamina alfajor 4.5mm</v>
      </c>
      <c r="D62" s="496"/>
      <c r="E62" s="496"/>
      <c r="F62" s="496"/>
      <c r="G62" s="496"/>
      <c r="H62" s="497"/>
      <c r="I62" s="243" t="s">
        <v>20</v>
      </c>
    </row>
    <row r="63" spans="1:10" x14ac:dyDescent="0.3">
      <c r="A63" s="494">
        <v>2.2000000000000002</v>
      </c>
      <c r="B63" s="494"/>
      <c r="C63" s="498"/>
      <c r="D63" s="499"/>
      <c r="E63" s="499"/>
      <c r="F63" s="499"/>
      <c r="G63" s="499"/>
      <c r="H63" s="500"/>
      <c r="I63" s="243" t="str">
        <f>VLOOKUP(A63,PRESUPUESTO!$A$15:$G$32,4,)</f>
        <v>M2</v>
      </c>
    </row>
    <row r="64" spans="1:10" ht="16.8" customHeight="1" x14ac:dyDescent="0.3">
      <c r="A64" s="494" t="s">
        <v>19</v>
      </c>
      <c r="B64" s="494"/>
      <c r="C64" s="494"/>
      <c r="D64" s="243" t="s">
        <v>225</v>
      </c>
      <c r="E64" s="243" t="s">
        <v>226</v>
      </c>
      <c r="F64" s="243" t="s">
        <v>227</v>
      </c>
      <c r="G64" s="501" t="s">
        <v>228</v>
      </c>
      <c r="H64" s="502"/>
      <c r="I64" s="243" t="s">
        <v>68</v>
      </c>
      <c r="J64" s="265"/>
    </row>
    <row r="65" spans="1:10" x14ac:dyDescent="0.3">
      <c r="A65" s="486" t="s">
        <v>308</v>
      </c>
      <c r="B65" s="486"/>
      <c r="C65" s="247" t="s">
        <v>309</v>
      </c>
      <c r="D65" s="247">
        <v>6</v>
      </c>
      <c r="E65" s="247">
        <v>4</v>
      </c>
      <c r="F65" s="247">
        <f>D65*E65</f>
        <v>24</v>
      </c>
      <c r="G65" s="489">
        <v>4</v>
      </c>
      <c r="H65" s="490"/>
      <c r="I65" s="244">
        <f>F65*G65</f>
        <v>96</v>
      </c>
      <c r="J65" s="266"/>
    </row>
    <row r="66" spans="1:10" x14ac:dyDescent="0.3">
      <c r="A66" s="486"/>
      <c r="B66" s="486"/>
      <c r="C66" s="247"/>
      <c r="D66" s="247"/>
      <c r="E66" s="247"/>
      <c r="F66" s="247"/>
      <c r="G66" s="489"/>
      <c r="H66" s="490"/>
      <c r="I66" s="244"/>
      <c r="J66" s="266"/>
    </row>
    <row r="67" spans="1:10" x14ac:dyDescent="0.3">
      <c r="A67" s="486"/>
      <c r="B67" s="486"/>
      <c r="C67" s="247"/>
      <c r="D67" s="247"/>
      <c r="E67" s="247"/>
      <c r="F67" s="247"/>
      <c r="G67" s="489"/>
      <c r="H67" s="490"/>
      <c r="I67" s="244"/>
      <c r="J67" s="266"/>
    </row>
    <row r="68" spans="1:10" x14ac:dyDescent="0.3">
      <c r="A68" s="486"/>
      <c r="B68" s="486"/>
      <c r="C68" s="247"/>
      <c r="D68" s="247"/>
      <c r="E68" s="247"/>
      <c r="F68" s="247"/>
      <c r="G68" s="489"/>
      <c r="H68" s="490"/>
      <c r="I68" s="244"/>
      <c r="J68" s="266"/>
    </row>
    <row r="69" spans="1:10" x14ac:dyDescent="0.3">
      <c r="A69" s="486"/>
      <c r="B69" s="486"/>
      <c r="C69" s="368"/>
      <c r="D69" s="247"/>
      <c r="E69" s="247"/>
      <c r="F69" s="247"/>
      <c r="G69" s="489"/>
      <c r="H69" s="490"/>
      <c r="I69" s="244"/>
      <c r="J69" s="266"/>
    </row>
    <row r="70" spans="1:10" x14ac:dyDescent="0.3">
      <c r="A70" s="486"/>
      <c r="B70" s="486"/>
      <c r="C70" s="368"/>
      <c r="D70" s="247"/>
      <c r="E70" s="247"/>
      <c r="F70" s="247"/>
      <c r="G70" s="489"/>
      <c r="H70" s="490"/>
      <c r="I70" s="244"/>
      <c r="J70" s="266"/>
    </row>
    <row r="71" spans="1:10" x14ac:dyDescent="0.3">
      <c r="A71" s="486"/>
      <c r="B71" s="486"/>
      <c r="C71" s="368"/>
      <c r="D71" s="247"/>
      <c r="E71" s="247"/>
      <c r="F71" s="247"/>
      <c r="G71" s="489"/>
      <c r="H71" s="490"/>
      <c r="I71" s="244"/>
      <c r="J71" s="266"/>
    </row>
    <row r="72" spans="1:10" x14ac:dyDescent="0.3">
      <c r="A72" s="486"/>
      <c r="B72" s="486"/>
      <c r="C72" s="368"/>
      <c r="D72" s="247"/>
      <c r="E72" s="247"/>
      <c r="F72" s="247"/>
      <c r="G72" s="489"/>
      <c r="H72" s="490"/>
      <c r="I72" s="244"/>
      <c r="J72" s="266"/>
    </row>
    <row r="73" spans="1:10" x14ac:dyDescent="0.3">
      <c r="A73" s="486"/>
      <c r="B73" s="486"/>
      <c r="C73" s="368"/>
      <c r="D73" s="247"/>
      <c r="E73" s="247"/>
      <c r="F73" s="247"/>
      <c r="G73" s="489"/>
      <c r="H73" s="490"/>
      <c r="I73" s="244"/>
      <c r="J73" s="266"/>
    </row>
    <row r="74" spans="1:10" x14ac:dyDescent="0.3">
      <c r="A74" s="486"/>
      <c r="B74" s="486"/>
      <c r="C74" s="368"/>
      <c r="D74" s="247"/>
      <c r="E74" s="247"/>
      <c r="F74" s="247"/>
      <c r="G74" s="489"/>
      <c r="H74" s="490"/>
      <c r="I74" s="244"/>
      <c r="J74" s="266"/>
    </row>
    <row r="75" spans="1:10" x14ac:dyDescent="0.3">
      <c r="A75" s="486"/>
      <c r="B75" s="486"/>
      <c r="C75" s="368"/>
      <c r="D75" s="247"/>
      <c r="E75" s="247"/>
      <c r="F75" s="247"/>
      <c r="G75" s="489"/>
      <c r="H75" s="490"/>
      <c r="I75" s="244"/>
      <c r="J75" s="266"/>
    </row>
    <row r="76" spans="1:10" x14ac:dyDescent="0.3">
      <c r="A76" s="491" t="s">
        <v>68</v>
      </c>
      <c r="B76" s="492"/>
      <c r="C76" s="492"/>
      <c r="D76" s="492"/>
      <c r="E76" s="492"/>
      <c r="F76" s="492"/>
      <c r="G76" s="492"/>
      <c r="H76" s="493"/>
      <c r="I76" s="245">
        <f>SUM(I65:I75)</f>
        <v>96</v>
      </c>
    </row>
    <row r="77" spans="1:10" x14ac:dyDescent="0.3">
      <c r="A77" s="258"/>
      <c r="B77" s="258"/>
      <c r="C77" s="258"/>
      <c r="D77" s="258"/>
      <c r="E77" s="258"/>
      <c r="F77" s="258"/>
      <c r="G77" s="258"/>
      <c r="H77" s="258"/>
      <c r="I77" s="259"/>
    </row>
    <row r="78" spans="1:10" ht="14.4" customHeight="1" x14ac:dyDescent="0.3">
      <c r="A78" s="494" t="s">
        <v>3</v>
      </c>
      <c r="B78" s="494"/>
      <c r="C78" s="495" t="str">
        <f>VLOOKUP(A79,PRESUPUESTO!$A$15:$G$32,2,)</f>
        <v>Mantenimiento y reparacion de soporte vertical para aletas Tuberia 6"</v>
      </c>
      <c r="D78" s="496"/>
      <c r="E78" s="496"/>
      <c r="F78" s="496"/>
      <c r="G78" s="496"/>
      <c r="H78" s="497"/>
      <c r="I78" s="243" t="s">
        <v>20</v>
      </c>
    </row>
    <row r="79" spans="1:10" x14ac:dyDescent="0.3">
      <c r="A79" s="494">
        <v>2.2999999999999998</v>
      </c>
      <c r="B79" s="494"/>
      <c r="C79" s="498"/>
      <c r="D79" s="499"/>
      <c r="E79" s="499"/>
      <c r="F79" s="499"/>
      <c r="G79" s="499"/>
      <c r="H79" s="500"/>
      <c r="I79" s="243" t="str">
        <f>VLOOKUP(A79,PRESUPUESTO!$A$15:$G$32,4,)</f>
        <v>ML</v>
      </c>
    </row>
    <row r="80" spans="1:10" ht="16.8" customHeight="1" x14ac:dyDescent="0.3">
      <c r="A80" s="494" t="s">
        <v>19</v>
      </c>
      <c r="B80" s="494"/>
      <c r="C80" s="494"/>
      <c r="D80" s="243" t="s">
        <v>225</v>
      </c>
      <c r="E80" s="243" t="s">
        <v>301</v>
      </c>
      <c r="F80" s="243" t="s">
        <v>227</v>
      </c>
      <c r="G80" s="501" t="s">
        <v>228</v>
      </c>
      <c r="H80" s="502"/>
      <c r="I80" s="243" t="s">
        <v>68</v>
      </c>
      <c r="J80" s="265"/>
    </row>
    <row r="81" spans="1:10" x14ac:dyDescent="0.3">
      <c r="A81" s="486" t="s">
        <v>310</v>
      </c>
      <c r="B81" s="486"/>
      <c r="C81" s="247" t="s">
        <v>311</v>
      </c>
      <c r="D81" s="247"/>
      <c r="E81" s="247">
        <v>7</v>
      </c>
      <c r="F81" s="247"/>
      <c r="G81" s="489">
        <v>12</v>
      </c>
      <c r="H81" s="490"/>
      <c r="I81" s="244">
        <f>E81*G81</f>
        <v>84</v>
      </c>
      <c r="J81" s="266"/>
    </row>
    <row r="82" spans="1:10" x14ac:dyDescent="0.3">
      <c r="A82" s="486"/>
      <c r="B82" s="486"/>
      <c r="C82" s="247"/>
      <c r="D82" s="247"/>
      <c r="E82" s="247"/>
      <c r="F82" s="247"/>
      <c r="G82" s="489"/>
      <c r="H82" s="490"/>
      <c r="I82" s="244"/>
      <c r="J82" s="266"/>
    </row>
    <row r="83" spans="1:10" x14ac:dyDescent="0.3">
      <c r="A83" s="486"/>
      <c r="B83" s="486"/>
      <c r="C83" s="247"/>
      <c r="D83" s="247"/>
      <c r="E83" s="247"/>
      <c r="F83" s="247"/>
      <c r="G83" s="489"/>
      <c r="H83" s="490"/>
      <c r="I83" s="244"/>
      <c r="J83" s="266"/>
    </row>
    <row r="84" spans="1:10" x14ac:dyDescent="0.3">
      <c r="A84" s="486"/>
      <c r="B84" s="486"/>
      <c r="C84" s="247"/>
      <c r="D84" s="247"/>
      <c r="E84" s="247"/>
      <c r="F84" s="247"/>
      <c r="G84" s="489"/>
      <c r="H84" s="490"/>
      <c r="I84" s="244"/>
      <c r="J84" s="266"/>
    </row>
    <row r="85" spans="1:10" x14ac:dyDescent="0.3">
      <c r="A85" s="486"/>
      <c r="B85" s="486"/>
      <c r="C85" s="368"/>
      <c r="D85" s="247"/>
      <c r="E85" s="247"/>
      <c r="F85" s="247"/>
      <c r="G85" s="489"/>
      <c r="H85" s="490"/>
      <c r="I85" s="244"/>
      <c r="J85" s="266"/>
    </row>
    <row r="86" spans="1:10" x14ac:dyDescent="0.3">
      <c r="A86" s="486"/>
      <c r="B86" s="486"/>
      <c r="C86" s="368"/>
      <c r="D86" s="247"/>
      <c r="E86" s="247"/>
      <c r="F86" s="247"/>
      <c r="G86" s="489"/>
      <c r="H86" s="490"/>
      <c r="I86" s="244"/>
      <c r="J86" s="266"/>
    </row>
    <row r="87" spans="1:10" x14ac:dyDescent="0.3">
      <c r="A87" s="486"/>
      <c r="B87" s="486"/>
      <c r="C87" s="368"/>
      <c r="D87" s="247"/>
      <c r="E87" s="247"/>
      <c r="F87" s="247"/>
      <c r="G87" s="489"/>
      <c r="H87" s="490"/>
      <c r="I87" s="244"/>
      <c r="J87" s="266"/>
    </row>
    <row r="88" spans="1:10" x14ac:dyDescent="0.3">
      <c r="A88" s="486"/>
      <c r="B88" s="486"/>
      <c r="C88" s="368"/>
      <c r="D88" s="247"/>
      <c r="E88" s="247"/>
      <c r="F88" s="247"/>
      <c r="G88" s="489"/>
      <c r="H88" s="490"/>
      <c r="I88" s="244"/>
      <c r="J88" s="266"/>
    </row>
    <row r="89" spans="1:10" x14ac:dyDescent="0.3">
      <c r="A89" s="486"/>
      <c r="B89" s="486"/>
      <c r="C89" s="368"/>
      <c r="D89" s="247"/>
      <c r="E89" s="247"/>
      <c r="F89" s="247"/>
      <c r="G89" s="489"/>
      <c r="H89" s="490"/>
      <c r="I89" s="244"/>
      <c r="J89" s="266"/>
    </row>
    <row r="90" spans="1:10" x14ac:dyDescent="0.3">
      <c r="A90" s="486"/>
      <c r="B90" s="486"/>
      <c r="C90" s="368"/>
      <c r="D90" s="247"/>
      <c r="E90" s="247"/>
      <c r="F90" s="247"/>
      <c r="G90" s="489"/>
      <c r="H90" s="490"/>
      <c r="I90" s="244"/>
      <c r="J90" s="266"/>
    </row>
    <row r="91" spans="1:10" x14ac:dyDescent="0.3">
      <c r="A91" s="491" t="s">
        <v>68</v>
      </c>
      <c r="B91" s="492"/>
      <c r="C91" s="492"/>
      <c r="D91" s="492"/>
      <c r="E91" s="492"/>
      <c r="F91" s="492"/>
      <c r="G91" s="492"/>
      <c r="H91" s="493"/>
      <c r="I91" s="245">
        <f>SUM(I81:I90)</f>
        <v>84</v>
      </c>
    </row>
    <row r="92" spans="1:10" x14ac:dyDescent="0.3">
      <c r="A92" s="258"/>
      <c r="B92" s="258"/>
      <c r="C92" s="258"/>
      <c r="D92" s="258"/>
      <c r="E92" s="258"/>
      <c r="F92" s="258"/>
      <c r="G92" s="258"/>
      <c r="H92" s="258"/>
      <c r="I92" s="259"/>
    </row>
    <row r="93" spans="1:10" ht="14.4" customHeight="1" x14ac:dyDescent="0.3">
      <c r="A93" s="494" t="s">
        <v>3</v>
      </c>
      <c r="B93" s="494"/>
      <c r="C93" s="495" t="str">
        <f>VLOOKUP(A94,PRESUPUESTO!$A$15:$G$32,2,)</f>
        <v>Mantenimiento y reparacion de soporte horizontal para aletas Tuberia 3 1/2"</v>
      </c>
      <c r="D93" s="496"/>
      <c r="E93" s="496"/>
      <c r="F93" s="496"/>
      <c r="G93" s="496"/>
      <c r="H93" s="497"/>
      <c r="I93" s="243" t="s">
        <v>20</v>
      </c>
    </row>
    <row r="94" spans="1:10" x14ac:dyDescent="0.3">
      <c r="A94" s="494">
        <v>2.4</v>
      </c>
      <c r="B94" s="494"/>
      <c r="C94" s="498"/>
      <c r="D94" s="499"/>
      <c r="E94" s="499"/>
      <c r="F94" s="499"/>
      <c r="G94" s="499"/>
      <c r="H94" s="500"/>
      <c r="I94" s="243" t="str">
        <f>VLOOKUP(A94,PRESUPUESTO!$A$15:$G$32,4,)</f>
        <v>ML</v>
      </c>
    </row>
    <row r="95" spans="1:10" ht="16.8" customHeight="1" x14ac:dyDescent="0.3">
      <c r="A95" s="494" t="s">
        <v>19</v>
      </c>
      <c r="B95" s="494"/>
      <c r="C95" s="494"/>
      <c r="D95" s="243" t="s">
        <v>225</v>
      </c>
      <c r="E95" s="243" t="s">
        <v>247</v>
      </c>
      <c r="F95" s="243" t="s">
        <v>227</v>
      </c>
      <c r="G95" s="501" t="s">
        <v>228</v>
      </c>
      <c r="H95" s="502"/>
      <c r="I95" s="243" t="s">
        <v>68</v>
      </c>
      <c r="J95" s="265"/>
    </row>
    <row r="96" spans="1:10" x14ac:dyDescent="0.3">
      <c r="A96" s="486" t="s">
        <v>310</v>
      </c>
      <c r="B96" s="486"/>
      <c r="C96" s="247" t="s">
        <v>312</v>
      </c>
      <c r="D96" s="247"/>
      <c r="E96" s="247">
        <v>6</v>
      </c>
      <c r="F96" s="247"/>
      <c r="G96" s="489">
        <v>12</v>
      </c>
      <c r="H96" s="490"/>
      <c r="I96" s="244">
        <f>E96*G96</f>
        <v>72</v>
      </c>
      <c r="J96" s="266"/>
    </row>
    <row r="97" spans="1:10" x14ac:dyDescent="0.3">
      <c r="A97" s="486"/>
      <c r="B97" s="486"/>
      <c r="C97" s="247"/>
      <c r="D97" s="247"/>
      <c r="E97" s="247"/>
      <c r="F97" s="247"/>
      <c r="G97" s="489"/>
      <c r="H97" s="490"/>
      <c r="I97" s="244"/>
      <c r="J97" s="266"/>
    </row>
    <row r="98" spans="1:10" x14ac:dyDescent="0.3">
      <c r="A98" s="486"/>
      <c r="B98" s="486"/>
      <c r="C98" s="368"/>
      <c r="D98" s="247"/>
      <c r="E98" s="247"/>
      <c r="F98" s="247"/>
      <c r="G98" s="489"/>
      <c r="H98" s="490"/>
      <c r="I98" s="244"/>
      <c r="J98" s="266"/>
    </row>
    <row r="99" spans="1:10" x14ac:dyDescent="0.3">
      <c r="A99" s="486"/>
      <c r="B99" s="486"/>
      <c r="C99" s="368"/>
      <c r="D99" s="247"/>
      <c r="E99" s="247"/>
      <c r="F99" s="247"/>
      <c r="G99" s="489"/>
      <c r="H99" s="490"/>
      <c r="I99" s="244"/>
      <c r="J99" s="266"/>
    </row>
    <row r="100" spans="1:10" x14ac:dyDescent="0.3">
      <c r="A100" s="486"/>
      <c r="B100" s="486"/>
      <c r="C100" s="368"/>
      <c r="D100" s="247"/>
      <c r="E100" s="247"/>
      <c r="F100" s="247"/>
      <c r="G100" s="489"/>
      <c r="H100" s="490"/>
      <c r="I100" s="244"/>
      <c r="J100" s="266"/>
    </row>
    <row r="101" spans="1:10" x14ac:dyDescent="0.3">
      <c r="A101" s="486"/>
      <c r="B101" s="486"/>
      <c r="C101" s="368"/>
      <c r="D101" s="247"/>
      <c r="E101" s="247"/>
      <c r="F101" s="247"/>
      <c r="G101" s="489"/>
      <c r="H101" s="490"/>
      <c r="I101" s="244"/>
      <c r="J101" s="266"/>
    </row>
    <row r="102" spans="1:10" x14ac:dyDescent="0.3">
      <c r="A102" s="486"/>
      <c r="B102" s="486"/>
      <c r="C102" s="368"/>
      <c r="D102" s="247"/>
      <c r="E102" s="247"/>
      <c r="F102" s="247"/>
      <c r="G102" s="489"/>
      <c r="H102" s="490"/>
      <c r="I102" s="244"/>
      <c r="J102" s="266"/>
    </row>
    <row r="103" spans="1:10" x14ac:dyDescent="0.3">
      <c r="A103" s="486"/>
      <c r="B103" s="486"/>
      <c r="C103" s="368"/>
      <c r="D103" s="247"/>
      <c r="E103" s="247"/>
      <c r="F103" s="247"/>
      <c r="G103" s="489"/>
      <c r="H103" s="490"/>
      <c r="I103" s="244"/>
      <c r="J103" s="266"/>
    </row>
    <row r="104" spans="1:10" x14ac:dyDescent="0.3">
      <c r="A104" s="486"/>
      <c r="B104" s="486"/>
      <c r="C104" s="368"/>
      <c r="D104" s="247"/>
      <c r="E104" s="247"/>
      <c r="F104" s="247"/>
      <c r="G104" s="489"/>
      <c r="H104" s="490"/>
      <c r="I104" s="244"/>
      <c r="J104" s="266"/>
    </row>
    <row r="105" spans="1:10" x14ac:dyDescent="0.3">
      <c r="A105" s="486"/>
      <c r="B105" s="486"/>
      <c r="C105" s="368"/>
      <c r="D105" s="247"/>
      <c r="E105" s="247"/>
      <c r="F105" s="247"/>
      <c r="G105" s="489"/>
      <c r="H105" s="490"/>
      <c r="I105" s="244"/>
      <c r="J105" s="266"/>
    </row>
    <row r="106" spans="1:10" x14ac:dyDescent="0.3">
      <c r="A106" s="486"/>
      <c r="B106" s="486"/>
      <c r="C106" s="368"/>
      <c r="D106" s="247"/>
      <c r="E106" s="247"/>
      <c r="F106" s="247"/>
      <c r="G106" s="489"/>
      <c r="H106" s="490"/>
      <c r="I106" s="244"/>
      <c r="J106" s="266"/>
    </row>
    <row r="107" spans="1:10" x14ac:dyDescent="0.3">
      <c r="A107" s="486"/>
      <c r="B107" s="486"/>
      <c r="C107" s="368"/>
      <c r="D107" s="247"/>
      <c r="E107" s="247"/>
      <c r="F107" s="247"/>
      <c r="G107" s="489"/>
      <c r="H107" s="490"/>
      <c r="I107" s="244"/>
      <c r="J107" s="266"/>
    </row>
    <row r="108" spans="1:10" x14ac:dyDescent="0.3">
      <c r="A108" s="491" t="s">
        <v>68</v>
      </c>
      <c r="B108" s="492"/>
      <c r="C108" s="492"/>
      <c r="D108" s="492"/>
      <c r="E108" s="492"/>
      <c r="F108" s="492"/>
      <c r="G108" s="492"/>
      <c r="H108" s="493"/>
      <c r="I108" s="245">
        <f>SUM(I96:I107)</f>
        <v>72</v>
      </c>
    </row>
    <row r="109" spans="1:10" x14ac:dyDescent="0.3">
      <c r="A109" s="258"/>
      <c r="B109" s="258"/>
      <c r="C109" s="258"/>
      <c r="D109" s="258"/>
      <c r="E109" s="258"/>
      <c r="F109" s="258"/>
      <c r="G109" s="258"/>
      <c r="H109" s="258"/>
      <c r="I109" s="259"/>
    </row>
    <row r="110" spans="1:10" ht="14.4" customHeight="1" x14ac:dyDescent="0.3">
      <c r="A110" s="494" t="s">
        <v>3</v>
      </c>
      <c r="B110" s="494"/>
      <c r="C110" s="495" t="str">
        <f>VLOOKUP(A111,PRESUPUESTO!$A$15:$G$32,2,)</f>
        <v>Mantenimiento y reparacion de losa de rodadura en Lamina 12mm</v>
      </c>
      <c r="D110" s="496"/>
      <c r="E110" s="496"/>
      <c r="F110" s="496"/>
      <c r="G110" s="496"/>
      <c r="H110" s="497"/>
      <c r="I110" s="243" t="s">
        <v>20</v>
      </c>
    </row>
    <row r="111" spans="1:10" x14ac:dyDescent="0.3">
      <c r="A111" s="494">
        <v>3.1</v>
      </c>
      <c r="B111" s="494"/>
      <c r="C111" s="498"/>
      <c r="D111" s="499"/>
      <c r="E111" s="499"/>
      <c r="F111" s="499"/>
      <c r="G111" s="499"/>
      <c r="H111" s="500"/>
      <c r="I111" s="243" t="str">
        <f>VLOOKUP(A111,PRESUPUESTO!$A$15:$G$32,4,)</f>
        <v>M2</v>
      </c>
    </row>
    <row r="112" spans="1:10" ht="16.8" customHeight="1" x14ac:dyDescent="0.3">
      <c r="A112" s="494" t="s">
        <v>19</v>
      </c>
      <c r="B112" s="494"/>
      <c r="C112" s="494"/>
      <c r="D112" s="243" t="s">
        <v>225</v>
      </c>
      <c r="E112" s="243" t="s">
        <v>247</v>
      </c>
      <c r="F112" s="243" t="s">
        <v>227</v>
      </c>
      <c r="G112" s="501" t="s">
        <v>228</v>
      </c>
      <c r="H112" s="502"/>
      <c r="I112" s="243" t="s">
        <v>68</v>
      </c>
      <c r="J112" s="265"/>
    </row>
    <row r="113" spans="1:10" x14ac:dyDescent="0.3">
      <c r="A113" s="486" t="s">
        <v>303</v>
      </c>
      <c r="B113" s="486"/>
      <c r="C113" s="247" t="s">
        <v>313</v>
      </c>
      <c r="D113" s="247">
        <v>4</v>
      </c>
      <c r="E113" s="247">
        <v>10</v>
      </c>
      <c r="F113" s="247">
        <f>D113*E113</f>
        <v>40</v>
      </c>
      <c r="G113" s="489">
        <v>1</v>
      </c>
      <c r="H113" s="490"/>
      <c r="I113" s="244">
        <f>F113*G113</f>
        <v>40</v>
      </c>
      <c r="J113" s="266"/>
    </row>
    <row r="114" spans="1:10" x14ac:dyDescent="0.3">
      <c r="A114" s="486"/>
      <c r="B114" s="486"/>
      <c r="C114" s="247"/>
      <c r="D114" s="247"/>
      <c r="E114" s="247"/>
      <c r="F114" s="247"/>
      <c r="G114" s="489"/>
      <c r="H114" s="490"/>
      <c r="I114" s="244"/>
      <c r="J114" s="266"/>
    </row>
    <row r="115" spans="1:10" x14ac:dyDescent="0.3">
      <c r="A115" s="486"/>
      <c r="B115" s="486"/>
      <c r="C115" s="247"/>
      <c r="D115" s="247"/>
      <c r="E115" s="247"/>
      <c r="F115" s="247"/>
      <c r="G115" s="489"/>
      <c r="H115" s="490"/>
      <c r="I115" s="244"/>
      <c r="J115" s="266"/>
    </row>
    <row r="116" spans="1:10" x14ac:dyDescent="0.3">
      <c r="A116" s="486"/>
      <c r="B116" s="486"/>
      <c r="C116" s="247"/>
      <c r="D116" s="247"/>
      <c r="E116" s="247"/>
      <c r="F116" s="247"/>
      <c r="G116" s="489"/>
      <c r="H116" s="490"/>
      <c r="I116" s="244"/>
      <c r="J116" s="266"/>
    </row>
    <row r="117" spans="1:10" x14ac:dyDescent="0.3">
      <c r="A117" s="486"/>
      <c r="B117" s="486"/>
      <c r="C117" s="368"/>
      <c r="D117" s="247"/>
      <c r="E117" s="247"/>
      <c r="F117" s="247"/>
      <c r="G117" s="489"/>
      <c r="H117" s="490"/>
      <c r="I117" s="244"/>
      <c r="J117" s="266"/>
    </row>
    <row r="118" spans="1:10" x14ac:dyDescent="0.3">
      <c r="A118" s="486"/>
      <c r="B118" s="486"/>
      <c r="C118" s="368"/>
      <c r="D118" s="247"/>
      <c r="E118" s="247"/>
      <c r="F118" s="247"/>
      <c r="G118" s="489"/>
      <c r="H118" s="490"/>
      <c r="I118" s="244"/>
      <c r="J118" s="266"/>
    </row>
    <row r="119" spans="1:10" x14ac:dyDescent="0.3">
      <c r="A119" s="486"/>
      <c r="B119" s="486"/>
      <c r="C119" s="368"/>
      <c r="D119" s="247"/>
      <c r="E119" s="247"/>
      <c r="F119" s="247"/>
      <c r="G119" s="489"/>
      <c r="H119" s="490"/>
      <c r="I119" s="244"/>
      <c r="J119" s="266"/>
    </row>
    <row r="120" spans="1:10" x14ac:dyDescent="0.3">
      <c r="A120" s="486"/>
      <c r="B120" s="486"/>
      <c r="C120" s="368"/>
      <c r="D120" s="247"/>
      <c r="E120" s="247"/>
      <c r="F120" s="247"/>
      <c r="G120" s="489"/>
      <c r="H120" s="490"/>
      <c r="I120" s="244"/>
      <c r="J120" s="266"/>
    </row>
    <row r="121" spans="1:10" x14ac:dyDescent="0.3">
      <c r="A121" s="486"/>
      <c r="B121" s="486"/>
      <c r="C121" s="368"/>
      <c r="D121" s="247"/>
      <c r="E121" s="247"/>
      <c r="F121" s="247"/>
      <c r="G121" s="489"/>
      <c r="H121" s="490"/>
      <c r="I121" s="244"/>
      <c r="J121" s="266"/>
    </row>
    <row r="122" spans="1:10" x14ac:dyDescent="0.3">
      <c r="A122" s="486"/>
      <c r="B122" s="486"/>
      <c r="C122" s="368"/>
      <c r="D122" s="247"/>
      <c r="E122" s="247"/>
      <c r="F122" s="247"/>
      <c r="G122" s="489"/>
      <c r="H122" s="490"/>
      <c r="I122" s="244"/>
      <c r="J122" s="266"/>
    </row>
    <row r="123" spans="1:10" x14ac:dyDescent="0.3">
      <c r="A123" s="486"/>
      <c r="B123" s="486"/>
      <c r="C123" s="368"/>
      <c r="D123" s="247"/>
      <c r="E123" s="247"/>
      <c r="F123" s="247"/>
      <c r="G123" s="489"/>
      <c r="H123" s="490"/>
      <c r="I123" s="244"/>
      <c r="J123" s="266"/>
    </row>
    <row r="124" spans="1:10" x14ac:dyDescent="0.3">
      <c r="A124" s="491" t="s">
        <v>68</v>
      </c>
      <c r="B124" s="492"/>
      <c r="C124" s="492"/>
      <c r="D124" s="492"/>
      <c r="E124" s="492"/>
      <c r="F124" s="492"/>
      <c r="G124" s="492"/>
      <c r="H124" s="493"/>
      <c r="I124" s="245">
        <f>SUM(I113:I123)</f>
        <v>40</v>
      </c>
    </row>
    <row r="125" spans="1:10" x14ac:dyDescent="0.3">
      <c r="A125" s="258"/>
      <c r="B125" s="258"/>
      <c r="C125" s="258"/>
      <c r="D125" s="258"/>
      <c r="E125" s="258"/>
      <c r="F125" s="258"/>
      <c r="G125" s="258"/>
      <c r="H125" s="258"/>
      <c r="I125" s="259"/>
    </row>
    <row r="126" spans="1:10" ht="14.4" customHeight="1" x14ac:dyDescent="0.3">
      <c r="A126" s="494" t="s">
        <v>3</v>
      </c>
      <c r="B126" s="494"/>
      <c r="C126" s="495" t="str">
        <f>VLOOKUP(A127,PRESUPUESTO!$A$15:$G$32,2,)</f>
        <v>Reparacion de pintura para tuberia longitudinal y transversal</v>
      </c>
      <c r="D126" s="496"/>
      <c r="E126" s="496"/>
      <c r="F126" s="496"/>
      <c r="G126" s="496"/>
      <c r="H126" s="497"/>
      <c r="I126" s="243" t="s">
        <v>20</v>
      </c>
    </row>
    <row r="127" spans="1:10" x14ac:dyDescent="0.3">
      <c r="A127" s="494">
        <v>4.0999999999999996</v>
      </c>
      <c r="B127" s="494"/>
      <c r="C127" s="498"/>
      <c r="D127" s="499"/>
      <c r="E127" s="499"/>
      <c r="F127" s="499"/>
      <c r="G127" s="499"/>
      <c r="H127" s="500"/>
      <c r="I127" s="243" t="str">
        <f>VLOOKUP(A127,PRESUPUESTO!$A$15:$G$32,4,)</f>
        <v>GLB</v>
      </c>
    </row>
    <row r="128" spans="1:10" ht="16.8" customHeight="1" x14ac:dyDescent="0.3">
      <c r="A128" s="494" t="s">
        <v>19</v>
      </c>
      <c r="B128" s="494"/>
      <c r="C128" s="494"/>
      <c r="D128" s="243" t="s">
        <v>225</v>
      </c>
      <c r="E128" s="243" t="s">
        <v>247</v>
      </c>
      <c r="F128" s="243" t="s">
        <v>227</v>
      </c>
      <c r="G128" s="501" t="s">
        <v>228</v>
      </c>
      <c r="H128" s="502"/>
      <c r="I128" s="243" t="s">
        <v>68</v>
      </c>
      <c r="J128" s="265"/>
    </row>
    <row r="129" spans="1:20" x14ac:dyDescent="0.3">
      <c r="A129" s="486" t="s">
        <v>314</v>
      </c>
      <c r="B129" s="486"/>
      <c r="C129" s="247" t="s">
        <v>315</v>
      </c>
      <c r="D129" s="247"/>
      <c r="E129" s="247"/>
      <c r="F129" s="247"/>
      <c r="G129" s="489">
        <v>1</v>
      </c>
      <c r="H129" s="490"/>
      <c r="I129" s="244">
        <f>G129</f>
        <v>1</v>
      </c>
      <c r="J129" s="266"/>
    </row>
    <row r="130" spans="1:20" x14ac:dyDescent="0.3">
      <c r="A130" s="486"/>
      <c r="B130" s="486"/>
      <c r="C130" s="247"/>
      <c r="D130" s="247"/>
      <c r="E130" s="247"/>
      <c r="F130" s="247"/>
      <c r="G130" s="489"/>
      <c r="H130" s="490"/>
      <c r="I130" s="244"/>
      <c r="J130" s="266"/>
    </row>
    <row r="131" spans="1:20" x14ac:dyDescent="0.3">
      <c r="A131" s="486"/>
      <c r="B131" s="486"/>
      <c r="C131" s="247"/>
      <c r="D131" s="247"/>
      <c r="E131" s="247"/>
      <c r="F131" s="247"/>
      <c r="G131" s="489"/>
      <c r="H131" s="490"/>
      <c r="I131" s="244"/>
      <c r="J131" s="266"/>
    </row>
    <row r="132" spans="1:20" x14ac:dyDescent="0.3">
      <c r="A132" s="486"/>
      <c r="B132" s="486"/>
      <c r="C132" s="247"/>
      <c r="D132" s="247"/>
      <c r="E132" s="247"/>
      <c r="F132" s="247"/>
      <c r="G132" s="489"/>
      <c r="H132" s="490"/>
      <c r="I132" s="244"/>
      <c r="J132" s="266"/>
    </row>
    <row r="133" spans="1:20" x14ac:dyDescent="0.3">
      <c r="A133" s="486"/>
      <c r="B133" s="486"/>
      <c r="C133" s="247"/>
      <c r="D133" s="247"/>
      <c r="E133" s="247"/>
      <c r="F133" s="247"/>
      <c r="G133" s="489"/>
      <c r="H133" s="490"/>
      <c r="I133" s="244"/>
      <c r="J133" s="266"/>
    </row>
    <row r="134" spans="1:20" x14ac:dyDescent="0.3">
      <c r="A134" s="486"/>
      <c r="B134" s="486"/>
      <c r="C134" s="247"/>
      <c r="D134" s="247"/>
      <c r="E134" s="247"/>
      <c r="F134" s="247"/>
      <c r="G134" s="489"/>
      <c r="H134" s="490"/>
      <c r="I134" s="244"/>
      <c r="J134" s="266"/>
    </row>
    <row r="135" spans="1:20" x14ac:dyDescent="0.3">
      <c r="A135" s="486"/>
      <c r="B135" s="486"/>
      <c r="C135" s="247"/>
      <c r="D135" s="247"/>
      <c r="E135" s="247"/>
      <c r="F135" s="247"/>
      <c r="G135" s="489"/>
      <c r="H135" s="490"/>
      <c r="I135" s="244"/>
      <c r="J135" s="266"/>
    </row>
    <row r="136" spans="1:20" x14ac:dyDescent="0.3">
      <c r="A136" s="486"/>
      <c r="B136" s="486"/>
      <c r="C136" s="247"/>
      <c r="D136" s="247"/>
      <c r="E136" s="247"/>
      <c r="F136" s="247"/>
      <c r="G136" s="489"/>
      <c r="H136" s="490"/>
      <c r="I136" s="244"/>
      <c r="J136" s="266"/>
    </row>
    <row r="137" spans="1:20" x14ac:dyDescent="0.3">
      <c r="A137" s="486"/>
      <c r="B137" s="486"/>
      <c r="C137" s="247"/>
      <c r="D137" s="247"/>
      <c r="E137" s="247"/>
      <c r="F137" s="247"/>
      <c r="G137" s="489"/>
      <c r="H137" s="490"/>
      <c r="I137" s="244"/>
      <c r="J137" s="266"/>
    </row>
    <row r="138" spans="1:20" x14ac:dyDescent="0.3">
      <c r="A138" s="488" t="s">
        <v>68</v>
      </c>
      <c r="B138" s="488"/>
      <c r="C138" s="488"/>
      <c r="D138" s="488"/>
      <c r="E138" s="488"/>
      <c r="F138" s="488"/>
      <c r="G138" s="488"/>
      <c r="H138" s="488"/>
      <c r="I138" s="245">
        <f>SUM(I129:I137)</f>
        <v>1</v>
      </c>
    </row>
    <row r="139" spans="1:20" x14ac:dyDescent="0.3">
      <c r="A139" s="371"/>
      <c r="B139" s="371"/>
      <c r="C139" s="371"/>
      <c r="D139" s="371"/>
      <c r="E139" s="371"/>
      <c r="F139" s="371"/>
      <c r="G139" s="371"/>
      <c r="H139" s="371"/>
      <c r="I139" s="372"/>
    </row>
    <row r="140" spans="1:20" x14ac:dyDescent="0.3">
      <c r="A140" s="371"/>
      <c r="B140" s="371"/>
      <c r="C140" s="371"/>
      <c r="D140" s="371"/>
      <c r="E140" s="371"/>
      <c r="F140" s="371"/>
      <c r="G140" s="371"/>
      <c r="H140" s="371"/>
      <c r="I140" s="372"/>
    </row>
    <row r="141" spans="1:20" x14ac:dyDescent="0.3">
      <c r="A141" s="371"/>
      <c r="B141" s="371"/>
      <c r="C141" s="371"/>
      <c r="D141" s="371"/>
      <c r="E141" s="371"/>
      <c r="F141" s="371"/>
      <c r="G141" s="371"/>
      <c r="H141" s="371"/>
      <c r="I141" s="372"/>
    </row>
    <row r="142" spans="1:20" x14ac:dyDescent="0.3">
      <c r="A142" s="371"/>
      <c r="B142" s="371"/>
      <c r="C142" s="371"/>
      <c r="D142" s="371"/>
      <c r="E142" s="371"/>
      <c r="F142" s="371"/>
      <c r="G142" s="371"/>
      <c r="H142" s="371"/>
      <c r="I142" s="372"/>
    </row>
    <row r="143" spans="1:20" s="106" customFormat="1" x14ac:dyDescent="0.3">
      <c r="A143" s="373"/>
      <c r="B143" s="116" t="s">
        <v>250</v>
      </c>
      <c r="C143" s="116"/>
      <c r="D143" s="116"/>
      <c r="E143" s="487" t="s">
        <v>316</v>
      </c>
      <c r="F143" s="487"/>
      <c r="G143" s="487"/>
      <c r="H143" s="487"/>
      <c r="I143" s="370"/>
      <c r="J143" s="105"/>
      <c r="K143" s="105"/>
      <c r="T143" s="107"/>
    </row>
    <row r="144" spans="1:20" s="106" customFormat="1" x14ac:dyDescent="0.3">
      <c r="A144" s="373"/>
      <c r="B144" s="136" t="s">
        <v>249</v>
      </c>
      <c r="C144" s="130"/>
      <c r="D144" s="116"/>
      <c r="E144" s="136" t="s">
        <v>198</v>
      </c>
      <c r="F144" s="130"/>
      <c r="G144" s="130"/>
      <c r="H144" s="370"/>
      <c r="I144" s="370"/>
      <c r="J144" s="105"/>
      <c r="K144" s="105"/>
      <c r="T144" s="107"/>
    </row>
    <row r="145" spans="1:20" s="106" customFormat="1" x14ac:dyDescent="0.3">
      <c r="A145" s="373"/>
      <c r="B145" s="130" t="s">
        <v>203</v>
      </c>
      <c r="C145" s="46"/>
      <c r="D145" s="46"/>
      <c r="E145" s="130" t="s">
        <v>159</v>
      </c>
      <c r="F145" s="130"/>
      <c r="G145" s="130"/>
      <c r="H145" s="370"/>
      <c r="I145" s="370"/>
      <c r="J145" s="105"/>
      <c r="K145" s="105"/>
      <c r="T145" s="107"/>
    </row>
    <row r="146" spans="1:20" s="106" customFormat="1" x14ac:dyDescent="0.3">
      <c r="A146" s="46"/>
      <c r="B146" s="46"/>
      <c r="C146" s="45"/>
      <c r="D146" s="46"/>
      <c r="E146" s="130" t="s">
        <v>135</v>
      </c>
      <c r="F146" s="130"/>
      <c r="G146" s="130"/>
      <c r="H146" s="370"/>
      <c r="I146" s="370"/>
      <c r="J146" s="105"/>
      <c r="K146" s="105"/>
      <c r="T146" s="107"/>
    </row>
    <row r="147" spans="1:20" s="106" customFormat="1" x14ac:dyDescent="0.3">
      <c r="A147" s="46"/>
      <c r="B147" s="374"/>
      <c r="C147" s="374"/>
      <c r="D147" s="46"/>
      <c r="E147" s="46"/>
      <c r="F147" s="369"/>
      <c r="G147" s="370"/>
      <c r="H147" s="370"/>
      <c r="I147" s="370"/>
      <c r="J147" s="105"/>
      <c r="K147" s="105"/>
      <c r="T147" s="107"/>
    </row>
    <row r="148" spans="1:20" x14ac:dyDescent="0.3">
      <c r="A148" s="374"/>
      <c r="B148" s="374"/>
      <c r="C148" s="374"/>
      <c r="D148" s="374"/>
      <c r="E148" s="374"/>
      <c r="F148" s="374"/>
      <c r="G148" s="374"/>
      <c r="H148" s="374"/>
      <c r="I148" s="374"/>
    </row>
    <row r="149" spans="1:20" x14ac:dyDescent="0.3">
      <c r="B149" s="374"/>
      <c r="C149" s="374"/>
    </row>
  </sheetData>
  <mergeCells count="235">
    <mergeCell ref="G73:H73"/>
    <mergeCell ref="G74:H74"/>
    <mergeCell ref="A76:H76"/>
    <mergeCell ref="A78:B78"/>
    <mergeCell ref="C78:H79"/>
    <mergeCell ref="A62:B62"/>
    <mergeCell ref="C62:H63"/>
    <mergeCell ref="A63:B63"/>
    <mergeCell ref="A64:C64"/>
    <mergeCell ref="G64:H64"/>
    <mergeCell ref="G75:H75"/>
    <mergeCell ref="A79:B79"/>
    <mergeCell ref="A69:B69"/>
    <mergeCell ref="A70:B70"/>
    <mergeCell ref="A68:B68"/>
    <mergeCell ref="G68:H68"/>
    <mergeCell ref="G72:H72"/>
    <mergeCell ref="G69:H69"/>
    <mergeCell ref="G70:H70"/>
    <mergeCell ref="G71:H71"/>
    <mergeCell ref="G65:H65"/>
    <mergeCell ref="A66:B66"/>
    <mergeCell ref="A71:B71"/>
    <mergeCell ref="A72:B72"/>
    <mergeCell ref="A12:I12"/>
    <mergeCell ref="A14:I14"/>
    <mergeCell ref="A16:B16"/>
    <mergeCell ref="C16:H17"/>
    <mergeCell ref="A17:B17"/>
    <mergeCell ref="A18:C18"/>
    <mergeCell ref="G18:H18"/>
    <mergeCell ref="A22:B22"/>
    <mergeCell ref="G22:H22"/>
    <mergeCell ref="A19:B19"/>
    <mergeCell ref="G19:H19"/>
    <mergeCell ref="A20:B20"/>
    <mergeCell ref="G20:H20"/>
    <mergeCell ref="A21:B21"/>
    <mergeCell ref="G21:H21"/>
    <mergeCell ref="G4:H4"/>
    <mergeCell ref="C5:D6"/>
    <mergeCell ref="E5:F6"/>
    <mergeCell ref="G5:H5"/>
    <mergeCell ref="G6:H6"/>
    <mergeCell ref="A8:I9"/>
    <mergeCell ref="A1:B6"/>
    <mergeCell ref="C1:D2"/>
    <mergeCell ref="E1:F1"/>
    <mergeCell ref="G1:H1"/>
    <mergeCell ref="I1:I6"/>
    <mergeCell ref="E2:F3"/>
    <mergeCell ref="G2:H3"/>
    <mergeCell ref="C3:D3"/>
    <mergeCell ref="C4:D4"/>
    <mergeCell ref="E4:F4"/>
    <mergeCell ref="A45:H45"/>
    <mergeCell ref="A31:B31"/>
    <mergeCell ref="C31:H32"/>
    <mergeCell ref="A32:B32"/>
    <mergeCell ref="A36:B36"/>
    <mergeCell ref="G36:H36"/>
    <mergeCell ref="A37:B37"/>
    <mergeCell ref="G37:H37"/>
    <mergeCell ref="G42:H42"/>
    <mergeCell ref="A41:B41"/>
    <mergeCell ref="A42:B42"/>
    <mergeCell ref="A43:B43"/>
    <mergeCell ref="A44:B44"/>
    <mergeCell ref="A34:B34"/>
    <mergeCell ref="G34:H34"/>
    <mergeCell ref="A35:B35"/>
    <mergeCell ref="G35:H35"/>
    <mergeCell ref="G52:H52"/>
    <mergeCell ref="G53:H53"/>
    <mergeCell ref="G54:H54"/>
    <mergeCell ref="A48:B48"/>
    <mergeCell ref="G49:H49"/>
    <mergeCell ref="G59:H59"/>
    <mergeCell ref="C47:H48"/>
    <mergeCell ref="A49:C49"/>
    <mergeCell ref="G55:H55"/>
    <mergeCell ref="A47:B47"/>
    <mergeCell ref="A50:B50"/>
    <mergeCell ref="G50:H50"/>
    <mergeCell ref="G51:H51"/>
    <mergeCell ref="A59:B59"/>
    <mergeCell ref="A60:H60"/>
    <mergeCell ref="G44:H44"/>
    <mergeCell ref="A96:B96"/>
    <mergeCell ref="A97:B97"/>
    <mergeCell ref="G98:H98"/>
    <mergeCell ref="G101:H101"/>
    <mergeCell ref="G102:H102"/>
    <mergeCell ref="G103:H103"/>
    <mergeCell ref="G104:H104"/>
    <mergeCell ref="G56:H56"/>
    <mergeCell ref="G57:H57"/>
    <mergeCell ref="G58:H58"/>
    <mergeCell ref="A65:B65"/>
    <mergeCell ref="G66:H66"/>
    <mergeCell ref="A67:B67"/>
    <mergeCell ref="G67:H67"/>
    <mergeCell ref="A51:B51"/>
    <mergeCell ref="A52:B52"/>
    <mergeCell ref="A53:B53"/>
    <mergeCell ref="A54:B54"/>
    <mergeCell ref="A55:B55"/>
    <mergeCell ref="A56:B56"/>
    <mergeCell ref="A57:B57"/>
    <mergeCell ref="A58:B58"/>
    <mergeCell ref="G105:H105"/>
    <mergeCell ref="G100:H100"/>
    <mergeCell ref="A80:C80"/>
    <mergeCell ref="G86:H86"/>
    <mergeCell ref="G87:H87"/>
    <mergeCell ref="G88:H88"/>
    <mergeCell ref="A93:B93"/>
    <mergeCell ref="C93:H94"/>
    <mergeCell ref="A94:B94"/>
    <mergeCell ref="G80:H80"/>
    <mergeCell ref="A82:B82"/>
    <mergeCell ref="G82:H82"/>
    <mergeCell ref="A83:B83"/>
    <mergeCell ref="G83:H83"/>
    <mergeCell ref="A84:B84"/>
    <mergeCell ref="A91:H91"/>
    <mergeCell ref="G85:H85"/>
    <mergeCell ref="G89:H89"/>
    <mergeCell ref="G90:H90"/>
    <mergeCell ref="G84:H84"/>
    <mergeCell ref="A81:B81"/>
    <mergeCell ref="G81:H81"/>
    <mergeCell ref="A89:B89"/>
    <mergeCell ref="A90:B90"/>
    <mergeCell ref="G24:H24"/>
    <mergeCell ref="G25:H25"/>
    <mergeCell ref="G26:H26"/>
    <mergeCell ref="G27:H27"/>
    <mergeCell ref="G28:H28"/>
    <mergeCell ref="A33:C33"/>
    <mergeCell ref="G33:H33"/>
    <mergeCell ref="G23:H23"/>
    <mergeCell ref="G43:H43"/>
    <mergeCell ref="G41:H41"/>
    <mergeCell ref="G38:H38"/>
    <mergeCell ref="G39:H39"/>
    <mergeCell ref="G40:H40"/>
    <mergeCell ref="A29:H29"/>
    <mergeCell ref="A23:B23"/>
    <mergeCell ref="A24:B24"/>
    <mergeCell ref="A25:B25"/>
    <mergeCell ref="A26:B26"/>
    <mergeCell ref="A27:B27"/>
    <mergeCell ref="A28:B28"/>
    <mergeCell ref="A38:B38"/>
    <mergeCell ref="A39:B39"/>
    <mergeCell ref="A40:B40"/>
    <mergeCell ref="A128:C128"/>
    <mergeCell ref="G128:H128"/>
    <mergeCell ref="A95:C95"/>
    <mergeCell ref="G95:H95"/>
    <mergeCell ref="G96:H96"/>
    <mergeCell ref="G97:H97"/>
    <mergeCell ref="G99:H99"/>
    <mergeCell ref="A112:C112"/>
    <mergeCell ref="G112:H112"/>
    <mergeCell ref="A113:B113"/>
    <mergeCell ref="G113:H113"/>
    <mergeCell ref="A110:B110"/>
    <mergeCell ref="C110:H111"/>
    <mergeCell ref="A111:B111"/>
    <mergeCell ref="A108:H108"/>
    <mergeCell ref="A98:B98"/>
    <mergeCell ref="A99:B99"/>
    <mergeCell ref="A100:B100"/>
    <mergeCell ref="A101:B101"/>
    <mergeCell ref="A102:B102"/>
    <mergeCell ref="A103:B103"/>
    <mergeCell ref="G106:H106"/>
    <mergeCell ref="G107:H107"/>
    <mergeCell ref="A106:B106"/>
    <mergeCell ref="A124:H124"/>
    <mergeCell ref="A115:B115"/>
    <mergeCell ref="G115:H115"/>
    <mergeCell ref="G121:H121"/>
    <mergeCell ref="G122:H122"/>
    <mergeCell ref="G123:H123"/>
    <mergeCell ref="A126:B126"/>
    <mergeCell ref="C126:H127"/>
    <mergeCell ref="A127:B127"/>
    <mergeCell ref="G114:H114"/>
    <mergeCell ref="A116:B116"/>
    <mergeCell ref="G116:H116"/>
    <mergeCell ref="G117:H117"/>
    <mergeCell ref="G118:H118"/>
    <mergeCell ref="G119:H119"/>
    <mergeCell ref="G120:H120"/>
    <mergeCell ref="A122:B122"/>
    <mergeCell ref="A123:B123"/>
    <mergeCell ref="A117:B117"/>
    <mergeCell ref="A118:B118"/>
    <mergeCell ref="A119:B119"/>
    <mergeCell ref="A120:B120"/>
    <mergeCell ref="A121:B121"/>
    <mergeCell ref="A114:B114"/>
    <mergeCell ref="E143:H143"/>
    <mergeCell ref="A138:H138"/>
    <mergeCell ref="A132:B132"/>
    <mergeCell ref="G132:H132"/>
    <mergeCell ref="A133:B133"/>
    <mergeCell ref="G133:H133"/>
    <mergeCell ref="A129:B129"/>
    <mergeCell ref="G129:H129"/>
    <mergeCell ref="A130:B130"/>
    <mergeCell ref="G130:H130"/>
    <mergeCell ref="A131:B131"/>
    <mergeCell ref="G131:H131"/>
    <mergeCell ref="A136:B136"/>
    <mergeCell ref="G136:H136"/>
    <mergeCell ref="A137:B137"/>
    <mergeCell ref="G137:H137"/>
    <mergeCell ref="A134:B134"/>
    <mergeCell ref="G134:H134"/>
    <mergeCell ref="A135:B135"/>
    <mergeCell ref="G135:H135"/>
    <mergeCell ref="A107:B107"/>
    <mergeCell ref="A73:B73"/>
    <mergeCell ref="A74:B74"/>
    <mergeCell ref="A75:B75"/>
    <mergeCell ref="A85:B85"/>
    <mergeCell ref="A86:B86"/>
    <mergeCell ref="A87:B87"/>
    <mergeCell ref="A88:B88"/>
    <mergeCell ref="A104:B104"/>
    <mergeCell ref="A105:B105"/>
  </mergeCells>
  <phoneticPr fontId="34" type="noConversion"/>
  <pageMargins left="0.7" right="0.7" top="1" bottom="0.75" header="0.3" footer="0.3"/>
  <pageSetup scale="63" fitToHeight="0" orientation="portrait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"/>
  <dimension ref="A1:K58"/>
  <sheetViews>
    <sheetView view="pageBreakPreview" topLeftCell="A22" zoomScale="85" zoomScaleNormal="85" zoomScaleSheetLayoutView="85" workbookViewId="0">
      <selection activeCell="L35" sqref="L35:M48"/>
    </sheetView>
  </sheetViews>
  <sheetFormatPr baseColWidth="10" defaultColWidth="11.44140625" defaultRowHeight="14.4" x14ac:dyDescent="0.3"/>
  <cols>
    <col min="1" max="1" width="5" style="6" bestFit="1" customWidth="1"/>
    <col min="2" max="2" width="67.6640625" style="7" customWidth="1"/>
    <col min="3" max="3" width="4.33203125" style="8" bestFit="1" customWidth="1"/>
    <col min="4" max="4" width="9" style="8" bestFit="1" customWidth="1"/>
    <col min="5" max="5" width="11.44140625" style="8"/>
    <col min="6" max="6" width="4.88671875" style="8" bestFit="1" customWidth="1"/>
    <col min="7" max="7" width="8.44140625" style="8" bestFit="1" customWidth="1"/>
    <col min="8" max="8" width="11.88671875" style="8" bestFit="1" customWidth="1"/>
    <col min="9" max="9" width="3" style="8" bestFit="1" customWidth="1"/>
    <col min="10" max="10" width="6.6640625" style="8" bestFit="1" customWidth="1"/>
    <col min="11" max="11" width="8" style="8" bestFit="1" customWidth="1"/>
    <col min="13" max="13" width="26.5546875" customWidth="1"/>
  </cols>
  <sheetData>
    <row r="1" spans="1:11" ht="14.25" customHeight="1" x14ac:dyDescent="0.3">
      <c r="A1" s="546" t="s">
        <v>0</v>
      </c>
      <c r="B1" s="547"/>
      <c r="C1" s="547"/>
      <c r="D1" s="547"/>
      <c r="E1" s="547"/>
      <c r="F1" s="547"/>
      <c r="G1" s="547"/>
      <c r="H1" s="547"/>
      <c r="I1" s="547"/>
      <c r="J1" s="547"/>
      <c r="K1" s="548"/>
    </row>
    <row r="2" spans="1:11" ht="14.25" customHeight="1" x14ac:dyDescent="0.3">
      <c r="A2" s="549" t="s">
        <v>1</v>
      </c>
      <c r="B2" s="550"/>
      <c r="C2" s="550"/>
      <c r="D2" s="550"/>
      <c r="E2" s="550"/>
      <c r="F2" s="550"/>
      <c r="G2" s="550"/>
      <c r="H2" s="550"/>
      <c r="I2" s="550"/>
      <c r="J2" s="550"/>
      <c r="K2" s="551"/>
    </row>
    <row r="3" spans="1:11" ht="14.25" customHeight="1" x14ac:dyDescent="0.3">
      <c r="A3" s="549" t="s">
        <v>64</v>
      </c>
      <c r="B3" s="550"/>
      <c r="C3" s="550"/>
      <c r="D3" s="550"/>
      <c r="E3" s="550"/>
      <c r="F3" s="550"/>
      <c r="G3" s="550"/>
      <c r="H3" s="550"/>
      <c r="I3" s="550"/>
      <c r="J3" s="550"/>
      <c r="K3" s="551"/>
    </row>
    <row r="4" spans="1:11" ht="14.25" customHeight="1" thickBot="1" x14ac:dyDescent="0.35">
      <c r="A4" s="25"/>
      <c r="K4" s="26"/>
    </row>
    <row r="5" spans="1:11" ht="15" thickBot="1" x14ac:dyDescent="0.35">
      <c r="A5" s="552" t="s">
        <v>2</v>
      </c>
      <c r="B5" s="553"/>
      <c r="C5" s="553"/>
      <c r="D5" s="553"/>
      <c r="E5" s="553"/>
      <c r="F5" s="553"/>
      <c r="G5" s="553"/>
      <c r="H5" s="553"/>
      <c r="I5" s="553"/>
      <c r="J5" s="553"/>
      <c r="K5" s="554"/>
    </row>
    <row r="6" spans="1:11" ht="34.5" customHeight="1" thickBot="1" x14ac:dyDescent="0.35">
      <c r="A6" s="543" t="e">
        <f>+#REF!</f>
        <v>#REF!</v>
      </c>
      <c r="B6" s="544"/>
      <c r="C6" s="544"/>
      <c r="D6" s="544"/>
      <c r="E6" s="544"/>
      <c r="F6" s="544"/>
      <c r="G6" s="544"/>
      <c r="H6" s="544"/>
      <c r="I6" s="544"/>
      <c r="J6" s="544"/>
      <c r="K6" s="545"/>
    </row>
    <row r="7" spans="1:11" ht="15" thickBot="1" x14ac:dyDescent="0.35">
      <c r="A7" s="9" t="s">
        <v>3</v>
      </c>
      <c r="B7" s="10" t="s">
        <v>4</v>
      </c>
      <c r="C7" s="35" t="s">
        <v>5</v>
      </c>
      <c r="D7" s="35" t="s">
        <v>6</v>
      </c>
      <c r="E7" s="35" t="s">
        <v>7</v>
      </c>
      <c r="F7" s="35" t="s">
        <v>8</v>
      </c>
      <c r="G7" s="35" t="s">
        <v>9</v>
      </c>
      <c r="H7" s="35" t="s">
        <v>10</v>
      </c>
      <c r="I7" s="35" t="s">
        <v>11</v>
      </c>
      <c r="J7" s="35" t="s">
        <v>12</v>
      </c>
      <c r="K7" s="36" t="s">
        <v>13</v>
      </c>
    </row>
    <row r="8" spans="1:11" s="1" customFormat="1" ht="20.100000000000001" customHeight="1" x14ac:dyDescent="0.3">
      <c r="A8" s="44">
        <v>1</v>
      </c>
      <c r="B8" s="37" t="s">
        <v>14</v>
      </c>
      <c r="C8" s="38"/>
      <c r="D8" s="38"/>
      <c r="E8" s="38"/>
      <c r="F8" s="38"/>
      <c r="G8" s="38"/>
      <c r="H8" s="38"/>
      <c r="I8" s="38"/>
      <c r="J8" s="38"/>
      <c r="K8" s="39"/>
    </row>
    <row r="9" spans="1:11" s="2" customFormat="1" x14ac:dyDescent="0.3">
      <c r="A9" s="12">
        <v>1.1000000000000001</v>
      </c>
      <c r="B9" s="13" t="s">
        <v>15</v>
      </c>
      <c r="C9" s="14" t="s">
        <v>16</v>
      </c>
      <c r="D9" s="31"/>
      <c r="E9" s="31"/>
      <c r="F9" s="31"/>
      <c r="G9" s="31"/>
      <c r="H9" s="31"/>
      <c r="I9" s="31"/>
      <c r="J9" s="31"/>
      <c r="K9" s="32">
        <f>+G10</f>
        <v>3.5</v>
      </c>
    </row>
    <row r="10" spans="1:11" ht="21" customHeight="1" x14ac:dyDescent="0.3">
      <c r="A10" s="12"/>
      <c r="B10" s="13" t="s">
        <v>141</v>
      </c>
      <c r="C10" s="14"/>
      <c r="D10" s="31">
        <v>7</v>
      </c>
      <c r="E10" s="31">
        <v>0.5</v>
      </c>
      <c r="F10" s="31"/>
      <c r="G10" s="31">
        <f>--D10*E10</f>
        <v>3.5</v>
      </c>
      <c r="H10" s="31"/>
      <c r="I10" s="31"/>
      <c r="J10" s="31"/>
      <c r="K10" s="32"/>
    </row>
    <row r="11" spans="1:11" ht="21" customHeight="1" x14ac:dyDescent="0.3">
      <c r="A11" s="12">
        <v>1.2</v>
      </c>
      <c r="B11" s="13" t="s">
        <v>123</v>
      </c>
      <c r="C11" s="14" t="s">
        <v>16</v>
      </c>
      <c r="D11" s="31"/>
      <c r="E11" s="31"/>
      <c r="F11" s="31"/>
      <c r="G11" s="31"/>
      <c r="H11" s="31"/>
      <c r="I11" s="31"/>
      <c r="J11" s="31"/>
      <c r="K11" s="32">
        <f>+G12</f>
        <v>1</v>
      </c>
    </row>
    <row r="12" spans="1:11" ht="21" customHeight="1" x14ac:dyDescent="0.3">
      <c r="A12" s="12"/>
      <c r="B12" s="13" t="str">
        <f>B10</f>
        <v>Sector la Vega calle 3 entre crr 2 y 3</v>
      </c>
      <c r="C12" s="14"/>
      <c r="D12" s="31">
        <v>2.5</v>
      </c>
      <c r="E12" s="31">
        <v>0.4</v>
      </c>
      <c r="F12" s="31"/>
      <c r="G12" s="31">
        <f>--E12*D12</f>
        <v>1</v>
      </c>
      <c r="H12" s="31"/>
      <c r="I12" s="31"/>
      <c r="J12" s="31"/>
      <c r="K12" s="32"/>
    </row>
    <row r="13" spans="1:11" s="1" customFormat="1" ht="18" customHeight="1" x14ac:dyDescent="0.3">
      <c r="A13" s="44">
        <v>2</v>
      </c>
      <c r="B13" s="541" t="s">
        <v>132</v>
      </c>
      <c r="C13" s="541"/>
      <c r="D13" s="541"/>
      <c r="E13" s="541"/>
      <c r="F13" s="541"/>
      <c r="G13" s="541"/>
      <c r="H13" s="541"/>
      <c r="I13" s="541"/>
      <c r="J13" s="541"/>
      <c r="K13" s="542"/>
    </row>
    <row r="14" spans="1:11" s="2" customFormat="1" ht="19.649999999999999" customHeight="1" x14ac:dyDescent="0.3">
      <c r="A14" s="12">
        <v>2.1</v>
      </c>
      <c r="B14" s="13" t="s">
        <v>69</v>
      </c>
      <c r="C14" s="14" t="s">
        <v>17</v>
      </c>
      <c r="D14" s="31"/>
      <c r="E14" s="31"/>
      <c r="F14" s="31"/>
      <c r="G14" s="31"/>
      <c r="H14" s="31"/>
      <c r="I14" s="31"/>
      <c r="J14" s="31"/>
      <c r="K14" s="32">
        <f>SUM(H15:H15)</f>
        <v>2.5499999999999998</v>
      </c>
    </row>
    <row r="15" spans="1:11" ht="20.100000000000001" customHeight="1" x14ac:dyDescent="0.3">
      <c r="A15" s="12"/>
      <c r="B15" s="13" t="str">
        <f>B12</f>
        <v>Sector la Vega calle 3 entre crr 2 y 3</v>
      </c>
      <c r="C15" s="14"/>
      <c r="D15" s="31">
        <v>3.4</v>
      </c>
      <c r="E15" s="31">
        <v>0.5</v>
      </c>
      <c r="F15" s="31">
        <v>1.5</v>
      </c>
      <c r="G15" s="31"/>
      <c r="H15" s="31">
        <f>+D15*E15*F15</f>
        <v>2.5499999999999998</v>
      </c>
      <c r="I15" s="31"/>
      <c r="J15" s="31"/>
      <c r="K15" s="32"/>
    </row>
    <row r="16" spans="1:11" s="2" customFormat="1" ht="16.5" customHeight="1" x14ac:dyDescent="0.3">
      <c r="A16" s="12">
        <v>2.2000000000000002</v>
      </c>
      <c r="B16" s="13" t="s">
        <v>124</v>
      </c>
      <c r="C16" s="13" t="s">
        <v>70</v>
      </c>
      <c r="D16" s="31"/>
      <c r="E16" s="31"/>
      <c r="F16" s="31"/>
      <c r="G16" s="31"/>
      <c r="H16" s="31"/>
      <c r="I16" s="31"/>
      <c r="J16" s="31"/>
      <c r="K16" s="32">
        <f>--D17</f>
        <v>2.5</v>
      </c>
    </row>
    <row r="17" spans="1:11" ht="15.9" customHeight="1" x14ac:dyDescent="0.3">
      <c r="A17" s="12"/>
      <c r="B17" s="13" t="str">
        <f>B15</f>
        <v>Sector la Vega calle 3 entre crr 2 y 3</v>
      </c>
      <c r="C17" s="14"/>
      <c r="D17" s="31">
        <v>2.5</v>
      </c>
      <c r="E17" s="31"/>
      <c r="F17" s="31"/>
      <c r="G17" s="31"/>
      <c r="H17" s="31"/>
      <c r="I17" s="31"/>
      <c r="J17" s="31"/>
      <c r="K17" s="32"/>
    </row>
    <row r="18" spans="1:11" s="2" customFormat="1" ht="16.5" customHeight="1" x14ac:dyDescent="0.3">
      <c r="A18" s="12">
        <v>2.2999999999999998</v>
      </c>
      <c r="B18" s="13" t="s">
        <v>133</v>
      </c>
      <c r="C18" s="13" t="s">
        <v>17</v>
      </c>
      <c r="D18" s="31"/>
      <c r="E18" s="31"/>
      <c r="F18" s="31"/>
      <c r="G18" s="31"/>
      <c r="H18" s="31"/>
      <c r="I18" s="31"/>
      <c r="J18" s="31"/>
      <c r="K18" s="32">
        <f>--H19</f>
        <v>1.7000000000000002</v>
      </c>
    </row>
    <row r="19" spans="1:11" ht="15.9" customHeight="1" x14ac:dyDescent="0.3">
      <c r="A19" s="12"/>
      <c r="B19" s="13" t="str">
        <f>B17</f>
        <v>Sector la Vega calle 3 entre crr 2 y 3</v>
      </c>
      <c r="C19" s="14"/>
      <c r="D19" s="31">
        <v>2.5</v>
      </c>
      <c r="E19" s="31">
        <v>1.7</v>
      </c>
      <c r="F19" s="31">
        <v>0.4</v>
      </c>
      <c r="G19" s="31"/>
      <c r="H19" s="31">
        <f>+D19*E19*F19</f>
        <v>1.7000000000000002</v>
      </c>
      <c r="I19" s="31"/>
      <c r="J19" s="31"/>
      <c r="K19" s="32"/>
    </row>
    <row r="20" spans="1:11" ht="15.9" customHeight="1" x14ac:dyDescent="0.3">
      <c r="A20" s="12">
        <v>2.4</v>
      </c>
      <c r="B20" s="13" t="s">
        <v>138</v>
      </c>
      <c r="C20" s="14" t="s">
        <v>17</v>
      </c>
      <c r="D20" s="31"/>
      <c r="E20" s="31"/>
      <c r="F20" s="31"/>
      <c r="G20" s="31"/>
      <c r="H20" s="31"/>
      <c r="I20" s="31"/>
      <c r="J20" s="31"/>
      <c r="K20" s="32">
        <f>--H21</f>
        <v>0.375</v>
      </c>
    </row>
    <row r="21" spans="1:11" ht="15.9" customHeight="1" x14ac:dyDescent="0.3">
      <c r="A21" s="12"/>
      <c r="B21" s="13" t="str">
        <f>B19</f>
        <v>Sector la Vega calle 3 entre crr 2 y 3</v>
      </c>
      <c r="C21" s="14"/>
      <c r="D21" s="31">
        <f>+D19</f>
        <v>2.5</v>
      </c>
      <c r="E21" s="31">
        <v>0.5</v>
      </c>
      <c r="F21" s="31">
        <v>0.3</v>
      </c>
      <c r="G21" s="31"/>
      <c r="H21" s="31">
        <f>+D21*E21*F21</f>
        <v>0.375</v>
      </c>
      <c r="I21" s="31"/>
      <c r="J21" s="31"/>
      <c r="K21" s="32"/>
    </row>
    <row r="22" spans="1:11" s="2" customFormat="1" ht="19.05" customHeight="1" x14ac:dyDescent="0.3">
      <c r="A22" s="12">
        <v>2.5</v>
      </c>
      <c r="B22" s="13" t="s">
        <v>143</v>
      </c>
      <c r="C22" s="14" t="s">
        <v>70</v>
      </c>
      <c r="D22" s="31"/>
      <c r="E22" s="31"/>
      <c r="F22" s="31"/>
      <c r="G22" s="31"/>
      <c r="H22" s="31"/>
      <c r="I22" s="31"/>
      <c r="J22" s="31"/>
      <c r="K22" s="32">
        <f>D23</f>
        <v>3.4</v>
      </c>
    </row>
    <row r="23" spans="1:11" ht="15" customHeight="1" x14ac:dyDescent="0.3">
      <c r="A23" s="12"/>
      <c r="B23" s="13" t="str">
        <f>B21</f>
        <v>Sector la Vega calle 3 entre crr 2 y 3</v>
      </c>
      <c r="C23" s="14"/>
      <c r="D23" s="31">
        <v>3.4</v>
      </c>
      <c r="E23" s="31"/>
      <c r="F23" s="31"/>
      <c r="G23" s="31"/>
      <c r="H23" s="31"/>
      <c r="I23" s="31"/>
      <c r="J23" s="31"/>
      <c r="K23" s="32"/>
    </row>
    <row r="24" spans="1:11" ht="16.5" customHeight="1" x14ac:dyDescent="0.3">
      <c r="A24" s="12">
        <v>2.6</v>
      </c>
      <c r="B24" s="13" t="s">
        <v>144</v>
      </c>
      <c r="C24" s="14" t="s">
        <v>71</v>
      </c>
      <c r="D24" s="31"/>
      <c r="E24" s="31"/>
      <c r="F24" s="31"/>
      <c r="G24" s="31"/>
      <c r="H24" s="31"/>
      <c r="I24" s="31"/>
      <c r="J24" s="31"/>
      <c r="K24" s="32">
        <f>--J25</f>
        <v>1</v>
      </c>
    </row>
    <row r="25" spans="1:11" ht="15" customHeight="1" x14ac:dyDescent="0.3">
      <c r="A25" s="12"/>
      <c r="B25" s="13" t="str">
        <f>B23</f>
        <v>Sector la Vega calle 3 entre crr 2 y 3</v>
      </c>
      <c r="C25" s="14"/>
      <c r="D25" s="31"/>
      <c r="E25" s="31"/>
      <c r="F25" s="31"/>
      <c r="G25" s="31"/>
      <c r="H25" s="31"/>
      <c r="I25" s="31"/>
      <c r="J25" s="31">
        <v>1</v>
      </c>
      <c r="K25" s="32"/>
    </row>
    <row r="26" spans="1:11" ht="16.5" customHeight="1" x14ac:dyDescent="0.3">
      <c r="A26" s="12">
        <v>2.7</v>
      </c>
      <c r="B26" s="13" t="s">
        <v>134</v>
      </c>
      <c r="C26" s="14" t="s">
        <v>17</v>
      </c>
      <c r="D26" s="31"/>
      <c r="E26" s="31"/>
      <c r="F26" s="31"/>
      <c r="G26" s="31"/>
      <c r="H26" s="31"/>
      <c r="I26" s="31"/>
      <c r="J26" s="31"/>
      <c r="K26" s="32">
        <f>SUM(H27:H27)</f>
        <v>1.625</v>
      </c>
    </row>
    <row r="27" spans="1:11" ht="16.5" customHeight="1" x14ac:dyDescent="0.3">
      <c r="A27" s="12"/>
      <c r="B27" s="13" t="str">
        <f>B25</f>
        <v>Sector la Vega calle 3 entre crr 2 y 3</v>
      </c>
      <c r="C27" s="14"/>
      <c r="D27" s="31">
        <v>2.5</v>
      </c>
      <c r="E27" s="31">
        <v>0.5</v>
      </c>
      <c r="F27" s="31">
        <v>1.3</v>
      </c>
      <c r="G27" s="31"/>
      <c r="H27" s="31">
        <f>+D27*E27*F27</f>
        <v>1.625</v>
      </c>
      <c r="I27" s="31"/>
      <c r="J27" s="31"/>
      <c r="K27" s="32"/>
    </row>
    <row r="28" spans="1:11" ht="16.5" customHeight="1" x14ac:dyDescent="0.3">
      <c r="A28" s="12">
        <v>2.8</v>
      </c>
      <c r="B28" s="13" t="s">
        <v>122</v>
      </c>
      <c r="C28" s="14" t="s">
        <v>17</v>
      </c>
      <c r="D28" s="31"/>
      <c r="E28" s="31"/>
      <c r="F28" s="31"/>
      <c r="G28" s="31"/>
      <c r="H28" s="31"/>
      <c r="I28" s="31"/>
      <c r="J28" s="31"/>
      <c r="K28" s="32">
        <f>SUM(H29:H29)</f>
        <v>0.5</v>
      </c>
    </row>
    <row r="29" spans="1:11" ht="16.5" customHeight="1" x14ac:dyDescent="0.3">
      <c r="A29" s="12"/>
      <c r="B29" s="13" t="str">
        <f>B27</f>
        <v>Sector la Vega calle 3 entre crr 2 y 3</v>
      </c>
      <c r="C29" s="14"/>
      <c r="D29" s="31">
        <v>2.5</v>
      </c>
      <c r="E29" s="31">
        <v>1</v>
      </c>
      <c r="F29" s="31">
        <v>0.2</v>
      </c>
      <c r="G29" s="31"/>
      <c r="H29" s="31">
        <f>--D29*E29*F29</f>
        <v>0.5</v>
      </c>
      <c r="I29" s="31"/>
      <c r="J29" s="31"/>
      <c r="K29" s="32"/>
    </row>
    <row r="30" spans="1:11" ht="19.649999999999999" customHeight="1" x14ac:dyDescent="0.3">
      <c r="A30" s="12">
        <v>2.9</v>
      </c>
      <c r="B30" s="40" t="s">
        <v>148</v>
      </c>
      <c r="C30" s="41" t="s">
        <v>16</v>
      </c>
      <c r="D30" s="42"/>
      <c r="E30" s="42"/>
      <c r="F30" s="42"/>
      <c r="G30" s="42"/>
      <c r="H30" s="42"/>
      <c r="I30" s="42"/>
      <c r="J30" s="42"/>
      <c r="K30" s="43">
        <f>--G31</f>
        <v>0.88000000000000012</v>
      </c>
    </row>
    <row r="31" spans="1:11" ht="19.05" customHeight="1" x14ac:dyDescent="0.3">
      <c r="A31" s="12"/>
      <c r="B31" s="13" t="str">
        <f>B29</f>
        <v>Sector la Vega calle 3 entre crr 2 y 3</v>
      </c>
      <c r="C31" s="14"/>
      <c r="D31" s="31">
        <v>2.2000000000000002</v>
      </c>
      <c r="E31" s="31">
        <v>0.4</v>
      </c>
      <c r="F31" s="31"/>
      <c r="G31" s="31">
        <f>--D31*E31</f>
        <v>0.88000000000000012</v>
      </c>
      <c r="H31" s="31"/>
      <c r="I31" s="31"/>
      <c r="J31" s="31"/>
      <c r="K31" s="32"/>
    </row>
    <row r="32" spans="1:11" x14ac:dyDescent="0.3">
      <c r="A32" s="17">
        <v>2.1</v>
      </c>
      <c r="B32" s="18" t="s">
        <v>126</v>
      </c>
      <c r="C32" s="14" t="s">
        <v>16</v>
      </c>
      <c r="D32" s="31"/>
      <c r="E32" s="31"/>
      <c r="F32" s="31"/>
      <c r="G32" s="31"/>
      <c r="H32" s="31"/>
      <c r="I32" s="31"/>
      <c r="J32" s="31"/>
      <c r="K32" s="32">
        <f>--G33</f>
        <v>3</v>
      </c>
    </row>
    <row r="33" spans="1:11" ht="19.05" customHeight="1" x14ac:dyDescent="0.3">
      <c r="A33" s="12"/>
      <c r="B33" s="13" t="str">
        <f>B31</f>
        <v>Sector la Vega calle 3 entre crr 2 y 3</v>
      </c>
      <c r="C33" s="14"/>
      <c r="D33" s="31">
        <v>3</v>
      </c>
      <c r="E33" s="31">
        <v>1</v>
      </c>
      <c r="F33" s="31"/>
      <c r="G33" s="31">
        <f>--D33*E33</f>
        <v>3</v>
      </c>
      <c r="H33" s="31"/>
      <c r="I33" s="31"/>
      <c r="J33" s="31"/>
      <c r="K33" s="32"/>
    </row>
    <row r="34" spans="1:11" x14ac:dyDescent="0.3">
      <c r="A34" s="44">
        <v>3</v>
      </c>
      <c r="B34" s="541" t="s">
        <v>145</v>
      </c>
      <c r="C34" s="541"/>
      <c r="D34" s="541"/>
      <c r="E34" s="541"/>
      <c r="F34" s="541"/>
      <c r="G34" s="541"/>
      <c r="H34" s="541"/>
      <c r="I34" s="541"/>
      <c r="J34" s="541"/>
      <c r="K34" s="542"/>
    </row>
    <row r="35" spans="1:11" x14ac:dyDescent="0.3">
      <c r="A35" s="12">
        <v>4.0999999999999996</v>
      </c>
      <c r="B35" s="19" t="e">
        <f>+#REF!</f>
        <v>#REF!</v>
      </c>
      <c r="C35" s="14" t="s">
        <v>70</v>
      </c>
      <c r="D35" s="31"/>
      <c r="E35" s="31"/>
      <c r="F35" s="31"/>
      <c r="G35" s="31"/>
      <c r="H35" s="31"/>
      <c r="I35" s="31"/>
      <c r="J35" s="31"/>
      <c r="K35" s="32">
        <f>SUM(K36:K46)</f>
        <v>2328</v>
      </c>
    </row>
    <row r="36" spans="1:11" x14ac:dyDescent="0.3">
      <c r="A36" s="12"/>
      <c r="B36" s="13" t="s">
        <v>149</v>
      </c>
      <c r="C36" s="14"/>
      <c r="D36" s="33">
        <f>39.92+79.82+74.24+103.26+60.09+66.59+18.82+27</f>
        <v>469.74000000000007</v>
      </c>
      <c r="E36" s="31"/>
      <c r="F36" s="31"/>
      <c r="G36" s="31"/>
      <c r="H36" s="31"/>
      <c r="I36" s="31"/>
      <c r="J36" s="31"/>
      <c r="K36" s="34">
        <f>+D36</f>
        <v>469.74000000000007</v>
      </c>
    </row>
    <row r="37" spans="1:11" x14ac:dyDescent="0.3">
      <c r="A37" s="12"/>
      <c r="B37" s="13" t="s">
        <v>139</v>
      </c>
      <c r="C37" s="14"/>
      <c r="D37" s="33">
        <f>34.26+85.26+80.22+90.32+14.17</f>
        <v>304.23</v>
      </c>
      <c r="E37" s="31"/>
      <c r="F37" s="31"/>
      <c r="G37" s="31"/>
      <c r="H37" s="31"/>
      <c r="I37" s="31"/>
      <c r="J37" s="31"/>
      <c r="K37" s="34">
        <f t="shared" ref="K37:K43" si="0">+D37</f>
        <v>304.23</v>
      </c>
    </row>
    <row r="38" spans="1:11" x14ac:dyDescent="0.3">
      <c r="A38" s="12"/>
      <c r="B38" s="13" t="s">
        <v>150</v>
      </c>
      <c r="C38" s="14"/>
      <c r="D38" s="33">
        <f>21.71+11.22+12.57+47.95+38.64+14.74</f>
        <v>146.83000000000001</v>
      </c>
      <c r="E38" s="31"/>
      <c r="F38" s="31"/>
      <c r="G38" s="31"/>
      <c r="H38" s="31"/>
      <c r="I38" s="31"/>
      <c r="J38" s="31"/>
      <c r="K38" s="34">
        <f t="shared" si="0"/>
        <v>146.83000000000001</v>
      </c>
    </row>
    <row r="39" spans="1:11" x14ac:dyDescent="0.3">
      <c r="A39" s="12"/>
      <c r="B39" s="13" t="s">
        <v>140</v>
      </c>
      <c r="C39" s="14"/>
      <c r="D39" s="33">
        <f>42.91+56.52+56.63</f>
        <v>156.06</v>
      </c>
      <c r="E39" s="31"/>
      <c r="F39" s="31"/>
      <c r="G39" s="31"/>
      <c r="H39" s="31"/>
      <c r="I39" s="31"/>
      <c r="J39" s="31"/>
      <c r="K39" s="34">
        <f t="shared" si="0"/>
        <v>156.06</v>
      </c>
    </row>
    <row r="40" spans="1:11" x14ac:dyDescent="0.3">
      <c r="A40" s="12"/>
      <c r="B40" s="13" t="s">
        <v>151</v>
      </c>
      <c r="C40" s="14"/>
      <c r="D40" s="33">
        <v>180</v>
      </c>
      <c r="E40" s="31"/>
      <c r="F40" s="31"/>
      <c r="G40" s="31"/>
      <c r="H40" s="31"/>
      <c r="I40" s="31"/>
      <c r="J40" s="31"/>
      <c r="K40" s="34">
        <f t="shared" si="0"/>
        <v>180</v>
      </c>
    </row>
    <row r="41" spans="1:11" x14ac:dyDescent="0.3">
      <c r="A41" s="12"/>
      <c r="B41" s="13" t="s">
        <v>153</v>
      </c>
      <c r="C41" s="14"/>
      <c r="D41" s="33">
        <f>40.24+23.31+79.03</f>
        <v>142.57999999999998</v>
      </c>
      <c r="E41" s="31"/>
      <c r="F41" s="31"/>
      <c r="G41" s="31"/>
      <c r="H41" s="31"/>
      <c r="I41" s="31"/>
      <c r="J41" s="31"/>
      <c r="K41" s="34">
        <f t="shared" si="0"/>
        <v>142.57999999999998</v>
      </c>
    </row>
    <row r="42" spans="1:11" x14ac:dyDescent="0.3">
      <c r="A42" s="12"/>
      <c r="B42" s="13" t="s">
        <v>152</v>
      </c>
      <c r="C42" s="14"/>
      <c r="D42" s="33">
        <f>17.24+56.92+86.34+144+203</f>
        <v>507.5</v>
      </c>
      <c r="E42" s="31"/>
      <c r="F42" s="31"/>
      <c r="G42" s="31"/>
      <c r="H42" s="31"/>
      <c r="I42" s="31"/>
      <c r="J42" s="31"/>
      <c r="K42" s="34">
        <f t="shared" si="0"/>
        <v>507.5</v>
      </c>
    </row>
    <row r="43" spans="1:11" x14ac:dyDescent="0.3">
      <c r="A43" s="12"/>
      <c r="B43" s="13" t="s">
        <v>140</v>
      </c>
      <c r="C43" s="14"/>
      <c r="D43" s="33">
        <f>3*5</f>
        <v>15</v>
      </c>
      <c r="E43" s="31"/>
      <c r="F43" s="31"/>
      <c r="G43" s="31"/>
      <c r="H43" s="31"/>
      <c r="I43" s="31"/>
      <c r="J43" s="31"/>
      <c r="K43" s="34">
        <f t="shared" si="0"/>
        <v>15</v>
      </c>
    </row>
    <row r="44" spans="1:11" x14ac:dyDescent="0.3">
      <c r="A44" s="12"/>
      <c r="B44" s="13" t="s">
        <v>154</v>
      </c>
      <c r="C44" s="14"/>
      <c r="D44" s="33">
        <f>42.91+56.52+56.63</f>
        <v>156.06</v>
      </c>
      <c r="E44" s="31"/>
      <c r="F44" s="31"/>
      <c r="G44" s="31"/>
      <c r="H44" s="31"/>
      <c r="I44" s="31"/>
      <c r="J44" s="31"/>
      <c r="K44" s="34">
        <f t="shared" ref="K44:K45" si="1">+D44</f>
        <v>156.06</v>
      </c>
    </row>
    <row r="45" spans="1:11" x14ac:dyDescent="0.3">
      <c r="A45" s="12"/>
      <c r="B45" s="13" t="s">
        <v>155</v>
      </c>
      <c r="C45" s="14"/>
      <c r="D45" s="33">
        <v>180</v>
      </c>
      <c r="E45" s="31"/>
      <c r="F45" s="31"/>
      <c r="G45" s="31"/>
      <c r="H45" s="31"/>
      <c r="I45" s="31"/>
      <c r="J45" s="31"/>
      <c r="K45" s="34">
        <f t="shared" si="1"/>
        <v>180</v>
      </c>
    </row>
    <row r="46" spans="1:11" x14ac:dyDescent="0.3">
      <c r="A46" s="12"/>
      <c r="B46" s="13" t="s">
        <v>158</v>
      </c>
      <c r="C46" s="14"/>
      <c r="D46" s="33">
        <f>(10*1)+(10*6)</f>
        <v>70</v>
      </c>
      <c r="E46" s="31"/>
      <c r="F46" s="31"/>
      <c r="G46" s="31"/>
      <c r="H46" s="31"/>
      <c r="I46" s="31"/>
      <c r="J46" s="31"/>
      <c r="K46" s="34">
        <f t="shared" ref="K46" si="2">+D46</f>
        <v>70</v>
      </c>
    </row>
    <row r="47" spans="1:11" x14ac:dyDescent="0.3">
      <c r="A47" s="12">
        <v>4.2</v>
      </c>
      <c r="B47" s="19" t="e">
        <f>+#REF!</f>
        <v>#REF!</v>
      </c>
      <c r="C47" s="13" t="s">
        <v>5</v>
      </c>
      <c r="D47" s="31"/>
      <c r="E47" s="31"/>
      <c r="F47" s="31"/>
      <c r="G47" s="31"/>
      <c r="H47" s="31"/>
      <c r="I47" s="31"/>
      <c r="J47" s="31"/>
      <c r="K47" s="32">
        <f>+K48</f>
        <v>34</v>
      </c>
    </row>
    <row r="48" spans="1:11" x14ac:dyDescent="0.3">
      <c r="A48" s="12"/>
      <c r="B48" s="13" t="s">
        <v>157</v>
      </c>
      <c r="C48" s="14"/>
      <c r="D48" s="31"/>
      <c r="E48" s="31"/>
      <c r="F48" s="31"/>
      <c r="G48" s="31"/>
      <c r="H48" s="31"/>
      <c r="I48" s="31"/>
      <c r="J48" s="31">
        <v>34</v>
      </c>
      <c r="K48" s="34">
        <f>+J48</f>
        <v>34</v>
      </c>
    </row>
    <row r="49" spans="1:11" x14ac:dyDescent="0.3">
      <c r="A49" s="12">
        <v>4.3</v>
      </c>
      <c r="B49" s="19" t="e">
        <f>+#REF!</f>
        <v>#REF!</v>
      </c>
      <c r="C49" s="13" t="s">
        <v>5</v>
      </c>
      <c r="D49" s="31"/>
      <c r="E49" s="31"/>
      <c r="F49" s="31"/>
      <c r="G49" s="31"/>
      <c r="H49" s="31"/>
      <c r="I49" s="31"/>
      <c r="J49" s="31"/>
      <c r="K49" s="32">
        <f>+K50</f>
        <v>11</v>
      </c>
    </row>
    <row r="50" spans="1:11" x14ac:dyDescent="0.3">
      <c r="A50" s="12"/>
      <c r="B50" s="13" t="s">
        <v>156</v>
      </c>
      <c r="C50" s="14"/>
      <c r="D50" s="31"/>
      <c r="E50" s="31"/>
      <c r="F50" s="31"/>
      <c r="G50" s="31"/>
      <c r="H50" s="31"/>
      <c r="I50" s="31"/>
      <c r="J50" s="31">
        <v>11</v>
      </c>
      <c r="K50" s="34">
        <f>+J50</f>
        <v>11</v>
      </c>
    </row>
    <row r="51" spans="1:11" x14ac:dyDescent="0.3">
      <c r="A51" s="12"/>
      <c r="B51" s="13"/>
      <c r="C51" s="14"/>
      <c r="D51" s="14"/>
      <c r="E51" s="14"/>
      <c r="F51" s="14"/>
      <c r="G51" s="16"/>
      <c r="H51" s="14"/>
      <c r="I51" s="14"/>
      <c r="J51" s="14"/>
      <c r="K51" s="20"/>
    </row>
    <row r="52" spans="1:11" x14ac:dyDescent="0.3">
      <c r="A52" s="12"/>
      <c r="B52" s="13" t="s">
        <v>137</v>
      </c>
      <c r="C52" s="14"/>
      <c r="D52" s="14"/>
      <c r="E52" s="14" t="s">
        <v>136</v>
      </c>
      <c r="F52" s="14"/>
      <c r="G52" s="16"/>
      <c r="H52" s="14"/>
      <c r="I52" s="14"/>
      <c r="J52" s="14"/>
      <c r="K52" s="20"/>
    </row>
    <row r="53" spans="1:11" x14ac:dyDescent="0.3">
      <c r="A53" s="12"/>
      <c r="B53" s="13"/>
      <c r="C53" s="14"/>
      <c r="D53" s="14"/>
      <c r="E53" s="14"/>
      <c r="F53" s="14"/>
      <c r="G53" s="16"/>
      <c r="H53" s="14"/>
      <c r="I53" s="14"/>
      <c r="J53" s="14"/>
      <c r="K53" s="20"/>
    </row>
    <row r="54" spans="1:11" x14ac:dyDescent="0.3">
      <c r="A54" s="12"/>
      <c r="B54" s="13"/>
      <c r="C54" s="14"/>
      <c r="D54" s="14"/>
      <c r="E54" s="14"/>
      <c r="F54" s="14"/>
      <c r="G54" s="16"/>
      <c r="H54" s="14"/>
      <c r="I54" s="14"/>
      <c r="J54" s="14"/>
      <c r="K54" s="20"/>
    </row>
    <row r="55" spans="1:11" x14ac:dyDescent="0.3">
      <c r="A55" s="12"/>
      <c r="B55" s="27"/>
      <c r="C55" s="14"/>
      <c r="D55" s="14"/>
      <c r="E55" s="28"/>
      <c r="F55" s="28"/>
      <c r="G55" s="29"/>
      <c r="H55" s="28"/>
      <c r="I55" s="14"/>
      <c r="J55" s="14"/>
      <c r="K55" s="20"/>
    </row>
    <row r="56" spans="1:11" x14ac:dyDescent="0.3">
      <c r="A56" s="12"/>
      <c r="B56" s="15" t="e">
        <f>+#REF!</f>
        <v>#REF!</v>
      </c>
      <c r="C56" s="21"/>
      <c r="D56" s="21"/>
      <c r="E56" s="11" t="e">
        <f>+#REF!</f>
        <v>#REF!</v>
      </c>
      <c r="F56" s="14"/>
      <c r="G56" s="16"/>
      <c r="H56" s="14"/>
      <c r="I56" s="14"/>
      <c r="J56" s="14"/>
      <c r="K56" s="20"/>
    </row>
    <row r="57" spans="1:11" x14ac:dyDescent="0.3">
      <c r="A57" s="12"/>
      <c r="B57" s="18" t="e">
        <f>+#REF!</f>
        <v>#REF!</v>
      </c>
      <c r="C57" s="14"/>
      <c r="D57" s="14"/>
      <c r="E57" s="14" t="e">
        <f>+#REF!</f>
        <v>#REF!</v>
      </c>
      <c r="F57" s="14"/>
      <c r="G57" s="14"/>
      <c r="H57" s="14"/>
      <c r="I57" s="14"/>
      <c r="J57" s="14"/>
      <c r="K57" s="20"/>
    </row>
    <row r="58" spans="1:11" ht="15" thickBot="1" x14ac:dyDescent="0.35">
      <c r="A58" s="22"/>
      <c r="B58" s="30" t="e">
        <f>+#REF!</f>
        <v>#REF!</v>
      </c>
      <c r="C58" s="23"/>
      <c r="D58" s="23"/>
      <c r="E58" s="23" t="e">
        <f>+#REF!</f>
        <v>#REF!</v>
      </c>
      <c r="F58" s="23"/>
      <c r="G58" s="23"/>
      <c r="H58" s="23"/>
      <c r="I58" s="23"/>
      <c r="J58" s="23"/>
      <c r="K58" s="24"/>
    </row>
  </sheetData>
  <mergeCells count="7">
    <mergeCell ref="B13:K13"/>
    <mergeCell ref="B34:K34"/>
    <mergeCell ref="A6:K6"/>
    <mergeCell ref="A1:K1"/>
    <mergeCell ref="A2:K2"/>
    <mergeCell ref="A3:K3"/>
    <mergeCell ref="A5:K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9">
    <pageSetUpPr fitToPage="1"/>
  </sheetPr>
  <dimension ref="A1:T45"/>
  <sheetViews>
    <sheetView showGridLines="0" view="pageBreakPreview" topLeftCell="A19" zoomScaleNormal="100" zoomScaleSheetLayoutView="100" workbookViewId="0">
      <selection activeCell="J37" sqref="J37"/>
    </sheetView>
  </sheetViews>
  <sheetFormatPr baseColWidth="10" defaultColWidth="11.44140625" defaultRowHeight="13.8" x14ac:dyDescent="0.25"/>
  <cols>
    <col min="1" max="1" width="11.109375" style="114" customWidth="1"/>
    <col min="2" max="2" width="9.5546875" style="116" customWidth="1"/>
    <col min="3" max="3" width="9.88671875" style="116" customWidth="1"/>
    <col min="4" max="4" width="35.6640625" style="116" customWidth="1"/>
    <col min="5" max="5" width="18.109375" style="116" customWidth="1"/>
    <col min="6" max="6" width="11.33203125" style="135" bestFit="1" customWidth="1"/>
    <col min="7" max="7" width="21.6640625" style="135" customWidth="1"/>
    <col min="8" max="16384" width="11.44140625" style="114"/>
  </cols>
  <sheetData>
    <row r="1" spans="2:9" ht="19.649999999999999" customHeight="1" x14ac:dyDescent="0.3">
      <c r="B1" s="574"/>
      <c r="C1" s="575"/>
      <c r="D1" s="577" t="s">
        <v>195</v>
      </c>
      <c r="E1" s="350" t="s">
        <v>196</v>
      </c>
      <c r="F1" s="292">
        <v>103</v>
      </c>
      <c r="G1" s="566"/>
    </row>
    <row r="2" spans="2:9" ht="16.5" customHeight="1" x14ac:dyDescent="0.25">
      <c r="B2" s="576"/>
      <c r="C2" s="398"/>
      <c r="D2" s="400"/>
      <c r="E2" s="178" t="s">
        <v>163</v>
      </c>
      <c r="F2" s="408">
        <v>51</v>
      </c>
      <c r="G2" s="567"/>
    </row>
    <row r="3" spans="2:9" ht="27.6" customHeight="1" x14ac:dyDescent="0.25">
      <c r="B3" s="576"/>
      <c r="C3" s="398"/>
      <c r="D3" s="169" t="s">
        <v>164</v>
      </c>
      <c r="E3" s="177"/>
      <c r="F3" s="409"/>
      <c r="G3" s="567"/>
    </row>
    <row r="4" spans="2:9" ht="16.5" customHeight="1" x14ac:dyDescent="0.25">
      <c r="B4" s="576"/>
      <c r="C4" s="398"/>
      <c r="D4" s="170" t="s">
        <v>165</v>
      </c>
      <c r="E4" s="179" t="s">
        <v>166</v>
      </c>
      <c r="F4" s="171">
        <v>1</v>
      </c>
      <c r="G4" s="567"/>
    </row>
    <row r="5" spans="2:9" s="137" customFormat="1" ht="16.5" customHeight="1" x14ac:dyDescent="0.25">
      <c r="B5" s="576"/>
      <c r="C5" s="398"/>
      <c r="D5" s="412" t="s">
        <v>167</v>
      </c>
      <c r="E5" s="180" t="s">
        <v>168</v>
      </c>
      <c r="F5" s="169" t="s">
        <v>169</v>
      </c>
      <c r="G5" s="567"/>
      <c r="H5" s="138"/>
    </row>
    <row r="6" spans="2:9" s="137" customFormat="1" x14ac:dyDescent="0.25">
      <c r="B6" s="576"/>
      <c r="C6" s="398"/>
      <c r="D6" s="412"/>
      <c r="E6" s="176"/>
      <c r="F6" s="172">
        <v>44216</v>
      </c>
      <c r="G6" s="567"/>
      <c r="H6" s="138"/>
    </row>
    <row r="7" spans="2:9" s="137" customFormat="1" ht="16.5" customHeight="1" thickBot="1" x14ac:dyDescent="0.35">
      <c r="B7" s="351"/>
      <c r="C7" s="112"/>
      <c r="D7" s="112"/>
      <c r="E7" s="112"/>
      <c r="F7" s="112"/>
      <c r="G7" s="352"/>
      <c r="H7" s="173"/>
      <c r="I7" s="138"/>
    </row>
    <row r="8" spans="2:9" s="137" customFormat="1" ht="18.600000000000001" customHeight="1" x14ac:dyDescent="0.3">
      <c r="B8" s="568" t="str">
        <f>+PRESUPUESTO!A8</f>
        <v>MANTENIMIENTO Y REPARACION DE PUENTE VEHICULAR VIA LA GUISITA EN EL MUNICIPIO DE SAN MIGUEL PUTUMAYO</v>
      </c>
      <c r="C8" s="569"/>
      <c r="D8" s="569"/>
      <c r="E8" s="569"/>
      <c r="F8" s="569"/>
      <c r="G8" s="570"/>
      <c r="H8"/>
      <c r="I8" s="138"/>
    </row>
    <row r="9" spans="2:9" s="137" customFormat="1" ht="18.600000000000001" customHeight="1" thickBot="1" x14ac:dyDescent="0.35">
      <c r="B9" s="571"/>
      <c r="C9" s="572"/>
      <c r="D9" s="572"/>
      <c r="E9" s="572"/>
      <c r="F9" s="572"/>
      <c r="G9" s="573"/>
      <c r="H9"/>
      <c r="I9" s="138"/>
    </row>
    <row r="10" spans="2:9" x14ac:dyDescent="0.25">
      <c r="B10" s="115"/>
      <c r="G10" s="343"/>
    </row>
    <row r="11" spans="2:9" x14ac:dyDescent="0.25">
      <c r="B11" s="556" t="s">
        <v>160</v>
      </c>
      <c r="C11" s="557"/>
      <c r="D11" s="557"/>
      <c r="E11" s="557"/>
      <c r="F11" s="558"/>
      <c r="G11" s="353" t="s">
        <v>56</v>
      </c>
    </row>
    <row r="12" spans="2:9" x14ac:dyDescent="0.25">
      <c r="B12" s="354" t="s">
        <v>73</v>
      </c>
      <c r="C12" s="113"/>
      <c r="D12" s="560" t="s">
        <v>74</v>
      </c>
      <c r="E12" s="561"/>
      <c r="F12" s="134"/>
      <c r="G12" s="355">
        <v>100</v>
      </c>
    </row>
    <row r="13" spans="2:9" x14ac:dyDescent="0.25">
      <c r="B13" s="354" t="s">
        <v>75</v>
      </c>
      <c r="C13" s="113"/>
      <c r="D13" s="560" t="s">
        <v>76</v>
      </c>
      <c r="E13" s="561"/>
      <c r="F13" s="134"/>
      <c r="G13" s="355">
        <f>SUM(G14:G29)</f>
        <v>75.432000000000002</v>
      </c>
    </row>
    <row r="14" spans="2:9" x14ac:dyDescent="0.25">
      <c r="B14" s="354"/>
      <c r="C14" s="113" t="s">
        <v>77</v>
      </c>
      <c r="D14" s="436" t="s">
        <v>78</v>
      </c>
      <c r="E14" s="437"/>
      <c r="F14" s="141" t="s">
        <v>79</v>
      </c>
      <c r="G14" s="355">
        <v>8.33</v>
      </c>
    </row>
    <row r="15" spans="2:9" x14ac:dyDescent="0.25">
      <c r="B15" s="354"/>
      <c r="C15" s="113" t="s">
        <v>80</v>
      </c>
      <c r="D15" s="436" t="s">
        <v>81</v>
      </c>
      <c r="E15" s="437"/>
      <c r="F15" s="141" t="s">
        <v>82</v>
      </c>
      <c r="G15" s="355">
        <v>1</v>
      </c>
    </row>
    <row r="16" spans="2:9" x14ac:dyDescent="0.25">
      <c r="B16" s="354"/>
      <c r="C16" s="113" t="s">
        <v>83</v>
      </c>
      <c r="D16" s="436" t="s">
        <v>84</v>
      </c>
      <c r="E16" s="437"/>
      <c r="F16" s="141" t="s">
        <v>79</v>
      </c>
      <c r="G16" s="355">
        <v>8.33</v>
      </c>
    </row>
    <row r="17" spans="2:7" x14ac:dyDescent="0.25">
      <c r="B17" s="354"/>
      <c r="C17" s="113" t="s">
        <v>85</v>
      </c>
      <c r="D17" s="436" t="s">
        <v>86</v>
      </c>
      <c r="E17" s="437"/>
      <c r="F17" s="140" t="s">
        <v>87</v>
      </c>
      <c r="G17" s="355">
        <v>4</v>
      </c>
    </row>
    <row r="18" spans="2:7" x14ac:dyDescent="0.25">
      <c r="B18" s="354"/>
      <c r="C18" s="113" t="s">
        <v>88</v>
      </c>
      <c r="D18" s="436" t="s">
        <v>89</v>
      </c>
      <c r="E18" s="437"/>
      <c r="F18" s="140" t="s">
        <v>87</v>
      </c>
      <c r="G18" s="355">
        <v>2</v>
      </c>
    </row>
    <row r="19" spans="2:7" x14ac:dyDescent="0.25">
      <c r="B19" s="354"/>
      <c r="C19" s="113" t="s">
        <v>90</v>
      </c>
      <c r="D19" s="436" t="s">
        <v>91</v>
      </c>
      <c r="E19" s="437"/>
      <c r="F19" s="140" t="s">
        <v>87</v>
      </c>
      <c r="G19" s="355">
        <v>3</v>
      </c>
    </row>
    <row r="20" spans="2:7" x14ac:dyDescent="0.25">
      <c r="B20" s="354"/>
      <c r="C20" s="113" t="s">
        <v>92</v>
      </c>
      <c r="D20" s="436" t="s">
        <v>93</v>
      </c>
      <c r="E20" s="437"/>
      <c r="F20" s="140" t="s">
        <v>87</v>
      </c>
      <c r="G20" s="355">
        <v>8.5</v>
      </c>
    </row>
    <row r="21" spans="2:7" x14ac:dyDescent="0.25">
      <c r="B21" s="354"/>
      <c r="C21" s="113" t="s">
        <v>94</v>
      </c>
      <c r="D21" s="436" t="s">
        <v>95</v>
      </c>
      <c r="E21" s="437"/>
      <c r="F21" s="140" t="s">
        <v>87</v>
      </c>
      <c r="G21" s="355">
        <v>12</v>
      </c>
    </row>
    <row r="22" spans="2:7" x14ac:dyDescent="0.25">
      <c r="B22" s="354"/>
      <c r="C22" s="113" t="s">
        <v>96</v>
      </c>
      <c r="D22" s="436" t="s">
        <v>97</v>
      </c>
      <c r="E22" s="437"/>
      <c r="F22" s="140" t="s">
        <v>87</v>
      </c>
      <c r="G22" s="355">
        <v>6.96</v>
      </c>
    </row>
    <row r="23" spans="2:7" x14ac:dyDescent="0.25">
      <c r="B23" s="354"/>
      <c r="C23" s="113" t="s">
        <v>98</v>
      </c>
      <c r="D23" s="436" t="s">
        <v>99</v>
      </c>
      <c r="E23" s="437"/>
      <c r="F23" s="140" t="s">
        <v>87</v>
      </c>
      <c r="G23" s="355">
        <v>0.52200000000000002</v>
      </c>
    </row>
    <row r="24" spans="2:7" x14ac:dyDescent="0.25">
      <c r="B24" s="354"/>
      <c r="C24" s="113" t="s">
        <v>100</v>
      </c>
      <c r="D24" s="436" t="s">
        <v>101</v>
      </c>
      <c r="E24" s="437"/>
      <c r="F24" s="141" t="s">
        <v>102</v>
      </c>
      <c r="G24" s="355">
        <v>4.17</v>
      </c>
    </row>
    <row r="25" spans="2:7" x14ac:dyDescent="0.25">
      <c r="B25" s="354"/>
      <c r="C25" s="113" t="s">
        <v>103</v>
      </c>
      <c r="D25" s="564" t="s">
        <v>104</v>
      </c>
      <c r="E25" s="565"/>
      <c r="F25" s="142" t="s">
        <v>105</v>
      </c>
      <c r="G25" s="356">
        <v>0.83</v>
      </c>
    </row>
    <row r="26" spans="2:7" x14ac:dyDescent="0.25">
      <c r="B26" s="354"/>
      <c r="C26" s="113" t="s">
        <v>106</v>
      </c>
      <c r="D26" s="436" t="s">
        <v>107</v>
      </c>
      <c r="E26" s="437"/>
      <c r="F26" s="140" t="s">
        <v>87</v>
      </c>
      <c r="G26" s="355">
        <v>11.71</v>
      </c>
    </row>
    <row r="27" spans="2:7" x14ac:dyDescent="0.25">
      <c r="B27" s="354"/>
      <c r="C27" s="113" t="s">
        <v>108</v>
      </c>
      <c r="D27" s="564" t="s">
        <v>109</v>
      </c>
      <c r="E27" s="565"/>
      <c r="F27" s="143" t="s">
        <v>87</v>
      </c>
      <c r="G27" s="356">
        <v>0.08</v>
      </c>
    </row>
    <row r="28" spans="2:7" x14ac:dyDescent="0.25">
      <c r="B28" s="354"/>
      <c r="C28" s="113" t="s">
        <v>110</v>
      </c>
      <c r="D28" s="564" t="s">
        <v>111</v>
      </c>
      <c r="E28" s="565"/>
      <c r="F28" s="143" t="s">
        <v>87</v>
      </c>
      <c r="G28" s="356">
        <v>2</v>
      </c>
    </row>
    <row r="29" spans="2:7" x14ac:dyDescent="0.25">
      <c r="B29" s="354"/>
      <c r="C29" s="113" t="s">
        <v>112</v>
      </c>
      <c r="D29" s="436" t="s">
        <v>113</v>
      </c>
      <c r="E29" s="437"/>
      <c r="F29" s="143" t="s">
        <v>87</v>
      </c>
      <c r="G29" s="355">
        <v>2</v>
      </c>
    </row>
    <row r="30" spans="2:7" x14ac:dyDescent="0.25">
      <c r="B30" s="354" t="s">
        <v>114</v>
      </c>
      <c r="C30" s="113"/>
      <c r="D30" s="560" t="s">
        <v>115</v>
      </c>
      <c r="E30" s="561"/>
      <c r="F30" s="141"/>
      <c r="G30" s="357">
        <f>G12+G13</f>
        <v>175.43200000000002</v>
      </c>
    </row>
    <row r="31" spans="2:7" x14ac:dyDescent="0.25">
      <c r="B31" s="354"/>
      <c r="C31" s="113"/>
      <c r="D31" s="560"/>
      <c r="E31" s="561"/>
      <c r="F31" s="141"/>
      <c r="G31" s="355"/>
    </row>
    <row r="32" spans="2:7" x14ac:dyDescent="0.25">
      <c r="B32" s="354" t="s">
        <v>116</v>
      </c>
      <c r="C32" s="113"/>
      <c r="D32" s="560" t="s">
        <v>117</v>
      </c>
      <c r="E32" s="561"/>
      <c r="F32" s="141"/>
      <c r="G32" s="355">
        <f>G30</f>
        <v>175.43200000000002</v>
      </c>
    </row>
    <row r="33" spans="1:20" ht="14.4" thickBot="1" x14ac:dyDescent="0.3">
      <c r="B33" s="358"/>
      <c r="C33" s="359"/>
      <c r="D33" s="562" t="s">
        <v>118</v>
      </c>
      <c r="E33" s="563"/>
      <c r="F33" s="360"/>
      <c r="G33" s="361">
        <f>ROUND(G32/100,2)</f>
        <v>1.75</v>
      </c>
    </row>
    <row r="34" spans="1:20" x14ac:dyDescent="0.25">
      <c r="B34" s="338"/>
      <c r="C34" s="339"/>
      <c r="D34" s="339"/>
      <c r="E34" s="340"/>
      <c r="F34" s="341"/>
      <c r="G34" s="342"/>
    </row>
    <row r="35" spans="1:20" x14ac:dyDescent="0.25">
      <c r="B35" s="115"/>
      <c r="G35" s="343"/>
    </row>
    <row r="36" spans="1:20" x14ac:dyDescent="0.25">
      <c r="B36" s="115"/>
      <c r="G36" s="343"/>
    </row>
    <row r="37" spans="1:20" x14ac:dyDescent="0.25">
      <c r="B37" s="115"/>
      <c r="G37" s="343"/>
    </row>
    <row r="38" spans="1:20" s="106" customFormat="1" ht="14.4" x14ac:dyDescent="0.3">
      <c r="B38" s="336"/>
      <c r="C38" s="116"/>
      <c r="D38" s="116"/>
      <c r="E38" s="132"/>
      <c r="F38" s="133"/>
      <c r="G38" s="344"/>
      <c r="H38" s="108"/>
      <c r="I38" s="108"/>
      <c r="J38" s="105"/>
      <c r="K38" s="105"/>
      <c r="T38" s="107"/>
    </row>
    <row r="39" spans="1:20" s="106" customFormat="1" ht="14.4" x14ac:dyDescent="0.3">
      <c r="B39" s="115" t="s">
        <v>250</v>
      </c>
      <c r="C39" s="116"/>
      <c r="D39" s="116"/>
      <c r="E39" s="136" t="s">
        <v>198</v>
      </c>
      <c r="F39" s="130"/>
      <c r="G39" s="345"/>
      <c r="H39" s="108"/>
      <c r="I39" s="108"/>
      <c r="J39" s="105"/>
      <c r="K39" s="105"/>
      <c r="T39" s="107"/>
    </row>
    <row r="40" spans="1:20" s="106" customFormat="1" ht="14.4" x14ac:dyDescent="0.3">
      <c r="B40" s="346" t="s">
        <v>249</v>
      </c>
      <c r="C40" s="130"/>
      <c r="D40" s="46"/>
      <c r="E40" s="130" t="s">
        <v>159</v>
      </c>
      <c r="F40" s="130"/>
      <c r="G40" s="345"/>
      <c r="H40" s="108"/>
      <c r="I40" s="108"/>
      <c r="J40" s="105"/>
      <c r="K40" s="105"/>
      <c r="T40" s="107"/>
    </row>
    <row r="41" spans="1:20" s="106" customFormat="1" ht="15" thickBot="1" x14ac:dyDescent="0.35">
      <c r="A41" s="46"/>
      <c r="B41" s="347" t="s">
        <v>203</v>
      </c>
      <c r="C41" s="337"/>
      <c r="D41" s="337"/>
      <c r="E41" s="348" t="s">
        <v>135</v>
      </c>
      <c r="F41" s="348"/>
      <c r="G41" s="349"/>
      <c r="H41" s="108"/>
      <c r="I41" s="108"/>
      <c r="J41" s="105"/>
      <c r="K41" s="105"/>
      <c r="T41" s="107"/>
    </row>
    <row r="44" spans="1:20" x14ac:dyDescent="0.25">
      <c r="B44" s="559"/>
      <c r="C44" s="559"/>
      <c r="D44" s="559"/>
    </row>
    <row r="45" spans="1:20" x14ac:dyDescent="0.25">
      <c r="B45" s="555"/>
      <c r="C45" s="555"/>
      <c r="D45" s="555"/>
    </row>
  </sheetData>
  <mergeCells count="31">
    <mergeCell ref="G1:G6"/>
    <mergeCell ref="B8:G9"/>
    <mergeCell ref="B1:C6"/>
    <mergeCell ref="D1:D2"/>
    <mergeCell ref="F2:F3"/>
    <mergeCell ref="D5:D6"/>
    <mergeCell ref="D30:E30"/>
    <mergeCell ref="D31:E31"/>
    <mergeCell ref="D33:E33"/>
    <mergeCell ref="D32:E32"/>
    <mergeCell ref="D25:E25"/>
    <mergeCell ref="D27:E27"/>
    <mergeCell ref="D26:E26"/>
    <mergeCell ref="D28:E28"/>
    <mergeCell ref="D29:E29"/>
    <mergeCell ref="B45:D45"/>
    <mergeCell ref="B11:F11"/>
    <mergeCell ref="B44:D44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</mergeCells>
  <printOptions horizontalCentered="1" verticalCentered="1" gridLinesSet="0"/>
  <pageMargins left="7.874015748031496E-2" right="7.874015748031496E-2" top="0.74803149606299213" bottom="0.74803149606299213" header="0.31496062992125984" footer="0.31496062992125984"/>
  <pageSetup scale="80" fitToHeight="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0">
    <pageSetUpPr fitToPage="1"/>
  </sheetPr>
  <dimension ref="A1:T58"/>
  <sheetViews>
    <sheetView topLeftCell="A22" zoomScaleNormal="100" zoomScaleSheetLayoutView="71" workbookViewId="0">
      <selection activeCell="I27" sqref="I27"/>
    </sheetView>
  </sheetViews>
  <sheetFormatPr baseColWidth="10" defaultColWidth="11.44140625" defaultRowHeight="13.8" x14ac:dyDescent="0.3"/>
  <cols>
    <col min="1" max="4" width="18.88671875" style="168" customWidth="1"/>
    <col min="5" max="5" width="18.88671875" style="191" customWidth="1"/>
    <col min="6" max="7" width="18.88671875" style="168" customWidth="1"/>
    <col min="8" max="8" width="19.33203125" style="158" customWidth="1"/>
    <col min="9" max="9" width="11.44140625" style="158" bestFit="1" customWidth="1"/>
    <col min="10" max="11" width="11.44140625" style="158"/>
    <col min="12" max="12" width="13.44140625" style="158" bestFit="1" customWidth="1"/>
    <col min="13" max="16384" width="11.44140625" style="158"/>
  </cols>
  <sheetData>
    <row r="1" spans="1:7" x14ac:dyDescent="0.3">
      <c r="A1" s="597"/>
      <c r="B1" s="593" t="s">
        <v>161</v>
      </c>
      <c r="C1" s="594"/>
      <c r="D1" s="308" t="s">
        <v>162</v>
      </c>
      <c r="E1" s="309">
        <v>103</v>
      </c>
      <c r="F1" s="590"/>
      <c r="G1" s="293"/>
    </row>
    <row r="2" spans="1:7" x14ac:dyDescent="0.3">
      <c r="A2" s="598"/>
      <c r="B2" s="595"/>
      <c r="C2" s="596"/>
      <c r="D2" s="578" t="s">
        <v>163</v>
      </c>
      <c r="E2" s="588">
        <v>51</v>
      </c>
      <c r="F2" s="591"/>
      <c r="G2" s="293"/>
    </row>
    <row r="3" spans="1:7" x14ac:dyDescent="0.3">
      <c r="A3" s="598"/>
      <c r="B3" s="586" t="s">
        <v>164</v>
      </c>
      <c r="C3" s="587"/>
      <c r="D3" s="579"/>
      <c r="E3" s="589"/>
      <c r="F3" s="591"/>
      <c r="G3" s="293"/>
    </row>
    <row r="4" spans="1:7" x14ac:dyDescent="0.3">
      <c r="A4" s="598"/>
      <c r="B4" s="584" t="s">
        <v>165</v>
      </c>
      <c r="C4" s="585"/>
      <c r="D4" s="256" t="s">
        <v>166</v>
      </c>
      <c r="E4" s="257">
        <v>1</v>
      </c>
      <c r="F4" s="591"/>
      <c r="G4" s="293"/>
    </row>
    <row r="5" spans="1:7" x14ac:dyDescent="0.3">
      <c r="A5" s="598"/>
      <c r="B5" s="580" t="s">
        <v>167</v>
      </c>
      <c r="C5" s="581"/>
      <c r="D5" s="578" t="s">
        <v>168</v>
      </c>
      <c r="E5" s="257" t="s">
        <v>169</v>
      </c>
      <c r="F5" s="591"/>
      <c r="G5" s="293"/>
    </row>
    <row r="6" spans="1:7" x14ac:dyDescent="0.3">
      <c r="A6" s="599"/>
      <c r="B6" s="582"/>
      <c r="C6" s="583"/>
      <c r="D6" s="579"/>
      <c r="E6" s="270">
        <f>PRESUPUESTO!F6</f>
        <v>45402</v>
      </c>
      <c r="F6" s="592"/>
      <c r="G6" s="293"/>
    </row>
    <row r="7" spans="1:7" ht="14.4" thickBot="1" x14ac:dyDescent="0.35">
      <c r="A7" s="310"/>
      <c r="B7" s="159"/>
      <c r="C7" s="159"/>
      <c r="D7" s="159"/>
      <c r="E7" s="311"/>
      <c r="F7" s="312"/>
      <c r="G7" s="159"/>
    </row>
    <row r="8" spans="1:7" x14ac:dyDescent="0.3">
      <c r="A8" s="568" t="str">
        <f>+PRESUPUESTO!A8</f>
        <v>MANTENIMIENTO Y REPARACION DE PUENTE VEHICULAR VIA LA GUISITA EN EL MUNICIPIO DE SAN MIGUEL PUTUMAYO</v>
      </c>
      <c r="B8" s="569"/>
      <c r="C8" s="569"/>
      <c r="D8" s="569"/>
      <c r="E8" s="569"/>
      <c r="F8" s="570"/>
      <c r="G8" s="299"/>
    </row>
    <row r="9" spans="1:7" ht="14.4" thickBot="1" x14ac:dyDescent="0.35">
      <c r="A9" s="571"/>
      <c r="B9" s="572"/>
      <c r="C9" s="572"/>
      <c r="D9" s="572"/>
      <c r="E9" s="572"/>
      <c r="F9" s="573"/>
      <c r="G9" s="299"/>
    </row>
    <row r="10" spans="1:7" x14ac:dyDescent="0.3">
      <c r="A10" s="636" t="s">
        <v>238</v>
      </c>
      <c r="B10" s="637"/>
      <c r="C10" s="637"/>
      <c r="D10" s="637"/>
      <c r="E10" s="637"/>
      <c r="F10" s="638"/>
      <c r="G10" s="300"/>
    </row>
    <row r="11" spans="1:7" x14ac:dyDescent="0.3">
      <c r="A11" s="313"/>
      <c r="F11" s="314"/>
    </row>
    <row r="12" spans="1:7" x14ac:dyDescent="0.3">
      <c r="A12" s="633" t="s">
        <v>170</v>
      </c>
      <c r="B12" s="634"/>
      <c r="C12" s="634"/>
      <c r="D12" s="634"/>
      <c r="E12" s="634"/>
      <c r="F12" s="635"/>
      <c r="G12" s="301"/>
    </row>
    <row r="13" spans="1:7" x14ac:dyDescent="0.3">
      <c r="A13" s="315" t="s">
        <v>171</v>
      </c>
      <c r="B13" s="161" t="s">
        <v>172</v>
      </c>
      <c r="C13" s="586" t="s">
        <v>72</v>
      </c>
      <c r="D13" s="587"/>
      <c r="E13" s="586" t="s">
        <v>173</v>
      </c>
      <c r="F13" s="632"/>
      <c r="G13" s="302"/>
    </row>
    <row r="14" spans="1:7" x14ac:dyDescent="0.3">
      <c r="A14" s="316" t="s">
        <v>174</v>
      </c>
      <c r="B14" s="162">
        <v>3500000</v>
      </c>
      <c r="C14" s="630">
        <f>+'F.M '!G33</f>
        <v>1.75</v>
      </c>
      <c r="D14" s="631"/>
      <c r="E14" s="617">
        <f>B14*C14</f>
        <v>6125000</v>
      </c>
      <c r="F14" s="618"/>
      <c r="G14" s="303"/>
    </row>
    <row r="15" spans="1:7" x14ac:dyDescent="0.3">
      <c r="A15" s="609" t="s">
        <v>175</v>
      </c>
      <c r="B15" s="610"/>
      <c r="C15" s="610"/>
      <c r="D15" s="610"/>
      <c r="E15" s="610"/>
      <c r="F15" s="611"/>
      <c r="G15" s="304"/>
    </row>
    <row r="16" spans="1:7" ht="41.4" x14ac:dyDescent="0.3">
      <c r="A16" s="317" t="s">
        <v>176</v>
      </c>
      <c r="B16" s="163" t="s">
        <v>173</v>
      </c>
      <c r="C16" s="163" t="s">
        <v>177</v>
      </c>
      <c r="D16" s="163" t="s">
        <v>178</v>
      </c>
      <c r="E16" s="183" t="s">
        <v>179</v>
      </c>
      <c r="F16" s="318" t="s">
        <v>180</v>
      </c>
      <c r="G16" s="305"/>
    </row>
    <row r="17" spans="1:7" x14ac:dyDescent="0.3">
      <c r="A17" s="319" t="s">
        <v>174</v>
      </c>
      <c r="B17" s="192">
        <f>E14</f>
        <v>6125000</v>
      </c>
      <c r="C17" s="165">
        <v>1</v>
      </c>
      <c r="D17" s="166">
        <v>1</v>
      </c>
      <c r="E17" s="184">
        <f>ROUND((B17*C17*D17),0)</f>
        <v>6125000</v>
      </c>
      <c r="F17" s="320">
        <f>E17/E45</f>
        <v>4.2219848777264105E-2</v>
      </c>
      <c r="G17" s="305"/>
    </row>
    <row r="18" spans="1:7" x14ac:dyDescent="0.3">
      <c r="A18" s="639" t="s">
        <v>181</v>
      </c>
      <c r="B18" s="640"/>
      <c r="C18" s="628"/>
      <c r="D18" s="629"/>
      <c r="E18" s="185"/>
      <c r="F18" s="321"/>
      <c r="G18" s="305"/>
    </row>
    <row r="19" spans="1:7" x14ac:dyDescent="0.3">
      <c r="A19" s="641" t="s">
        <v>182</v>
      </c>
      <c r="B19" s="642"/>
      <c r="C19" s="164"/>
      <c r="D19" s="164"/>
      <c r="E19" s="186">
        <v>5500000</v>
      </c>
      <c r="F19" s="322">
        <f>E19/E45</f>
        <v>3.7911700942849395E-2</v>
      </c>
      <c r="G19" s="305"/>
    </row>
    <row r="20" spans="1:7" x14ac:dyDescent="0.3">
      <c r="A20" s="643" t="s">
        <v>183</v>
      </c>
      <c r="B20" s="644"/>
      <c r="C20" s="167"/>
      <c r="D20" s="164"/>
      <c r="E20" s="184"/>
      <c r="F20" s="323"/>
      <c r="G20" s="305"/>
    </row>
    <row r="21" spans="1:7" x14ac:dyDescent="0.3">
      <c r="A21" s="645" t="s">
        <v>184</v>
      </c>
      <c r="B21" s="646"/>
      <c r="C21" s="164"/>
      <c r="D21" s="164"/>
      <c r="E21" s="187">
        <v>250000</v>
      </c>
      <c r="F21" s="324">
        <f>E21/E45</f>
        <v>1.7232591337658816E-3</v>
      </c>
      <c r="G21" s="305"/>
    </row>
    <row r="22" spans="1:7" x14ac:dyDescent="0.3">
      <c r="A22" s="645" t="s">
        <v>119</v>
      </c>
      <c r="B22" s="646"/>
      <c r="C22" s="164"/>
      <c r="D22" s="164"/>
      <c r="E22" s="187">
        <v>2500000</v>
      </c>
      <c r="F22" s="324">
        <f>E22/E45</f>
        <v>1.7232591337658816E-2</v>
      </c>
      <c r="G22" s="305"/>
    </row>
    <row r="23" spans="1:7" x14ac:dyDescent="0.3">
      <c r="A23" s="645" t="s">
        <v>185</v>
      </c>
      <c r="B23" s="646"/>
      <c r="C23" s="164"/>
      <c r="D23" s="164"/>
      <c r="E23" s="187">
        <v>6210368.3861800041</v>
      </c>
      <c r="F23" s="324">
        <f>E23/E45</f>
        <v>4.2808296182142283E-2</v>
      </c>
      <c r="G23" s="305"/>
    </row>
    <row r="24" spans="1:7" x14ac:dyDescent="0.3">
      <c r="A24" s="620" t="s">
        <v>186</v>
      </c>
      <c r="B24" s="648"/>
      <c r="C24" s="164"/>
      <c r="D24" s="164"/>
      <c r="E24" s="184"/>
      <c r="F24" s="325"/>
      <c r="G24" s="305"/>
    </row>
    <row r="25" spans="1:7" x14ac:dyDescent="0.3">
      <c r="A25" s="645" t="s">
        <v>187</v>
      </c>
      <c r="B25" s="646"/>
      <c r="C25" s="164"/>
      <c r="D25" s="164"/>
      <c r="E25" s="188">
        <f>E45*F25</f>
        <v>22196313.514620002</v>
      </c>
      <c r="F25" s="326">
        <v>0.153</v>
      </c>
      <c r="G25" s="305"/>
    </row>
    <row r="26" spans="1:7" x14ac:dyDescent="0.3">
      <c r="A26" s="614" t="s">
        <v>120</v>
      </c>
      <c r="B26" s="615"/>
      <c r="C26" s="615"/>
      <c r="D26" s="616"/>
      <c r="E26" s="189">
        <f>SUM(E17:E25)</f>
        <v>42781681.900800005</v>
      </c>
      <c r="F26" s="327">
        <f>SUM(F17:F25)</f>
        <v>0.29489569637368052</v>
      </c>
      <c r="G26" s="305"/>
    </row>
    <row r="27" spans="1:7" x14ac:dyDescent="0.3">
      <c r="A27" s="328"/>
      <c r="B27" s="329"/>
      <c r="C27" s="329"/>
      <c r="D27" s="329"/>
      <c r="E27" s="190"/>
      <c r="F27" s="330"/>
      <c r="G27" s="305"/>
    </row>
    <row r="28" spans="1:7" x14ac:dyDescent="0.3">
      <c r="A28" s="609" t="s">
        <v>188</v>
      </c>
      <c r="B28" s="610"/>
      <c r="C28" s="610"/>
      <c r="D28" s="610"/>
      <c r="E28" s="610"/>
      <c r="F28" s="611"/>
      <c r="G28" s="305"/>
    </row>
    <row r="29" spans="1:7" x14ac:dyDescent="0.3">
      <c r="A29" s="619" t="s">
        <v>146</v>
      </c>
      <c r="B29" s="587"/>
      <c r="C29" s="160"/>
      <c r="D29" s="628" t="s">
        <v>179</v>
      </c>
      <c r="E29" s="629"/>
      <c r="F29" s="331" t="s">
        <v>189</v>
      </c>
      <c r="G29" s="305"/>
    </row>
    <row r="30" spans="1:7" x14ac:dyDescent="0.3">
      <c r="A30" s="605" t="s">
        <v>60</v>
      </c>
      <c r="B30" s="606"/>
      <c r="C30" s="164"/>
      <c r="D30" s="607">
        <f>F30*E45</f>
        <v>2901478.8908000006</v>
      </c>
      <c r="E30" s="608"/>
      <c r="F30" s="332">
        <v>0.02</v>
      </c>
      <c r="G30" s="305"/>
    </row>
    <row r="31" spans="1:7" x14ac:dyDescent="0.3">
      <c r="A31" s="614" t="s">
        <v>121</v>
      </c>
      <c r="B31" s="615"/>
      <c r="C31" s="616"/>
      <c r="D31" s="612">
        <f>D30</f>
        <v>2901478.8908000006</v>
      </c>
      <c r="E31" s="613"/>
      <c r="F31" s="333">
        <f>SUM(F30)</f>
        <v>0.02</v>
      </c>
      <c r="G31" s="305"/>
    </row>
    <row r="32" spans="1:7" x14ac:dyDescent="0.3">
      <c r="A32" s="328"/>
      <c r="B32" s="329"/>
      <c r="C32" s="329"/>
      <c r="D32" s="329"/>
      <c r="E32" s="190"/>
      <c r="F32" s="330"/>
      <c r="G32" s="305"/>
    </row>
    <row r="33" spans="1:10" x14ac:dyDescent="0.3">
      <c r="A33" s="609" t="s">
        <v>190</v>
      </c>
      <c r="B33" s="610"/>
      <c r="C33" s="610"/>
      <c r="D33" s="610"/>
      <c r="E33" s="610"/>
      <c r="F33" s="611"/>
      <c r="G33" s="305"/>
    </row>
    <row r="34" spans="1:10" x14ac:dyDescent="0.3">
      <c r="A34" s="619" t="s">
        <v>146</v>
      </c>
      <c r="B34" s="587"/>
      <c r="C34" s="160"/>
      <c r="D34" s="628" t="s">
        <v>179</v>
      </c>
      <c r="E34" s="629"/>
      <c r="F34" s="331" t="s">
        <v>189</v>
      </c>
      <c r="G34" s="305"/>
    </row>
    <row r="35" spans="1:10" x14ac:dyDescent="0.3">
      <c r="A35" s="605" t="s">
        <v>61</v>
      </c>
      <c r="B35" s="606"/>
      <c r="C35" s="164"/>
      <c r="D35" s="607">
        <f>F35*E45</f>
        <v>4352218.3362000007</v>
      </c>
      <c r="E35" s="608"/>
      <c r="F35" s="332">
        <v>0.03</v>
      </c>
      <c r="G35" s="305"/>
    </row>
    <row r="36" spans="1:10" x14ac:dyDescent="0.3">
      <c r="A36" s="614" t="s">
        <v>121</v>
      </c>
      <c r="B36" s="615"/>
      <c r="C36" s="616"/>
      <c r="D36" s="612">
        <f>D35</f>
        <v>4352218.3362000007</v>
      </c>
      <c r="E36" s="613"/>
      <c r="F36" s="333">
        <f>SUM(F35)</f>
        <v>0.03</v>
      </c>
      <c r="G36" s="305"/>
      <c r="H36" s="158" t="s">
        <v>256</v>
      </c>
    </row>
    <row r="37" spans="1:10" x14ac:dyDescent="0.3">
      <c r="A37" s="328"/>
      <c r="B37" s="329"/>
      <c r="C37" s="329"/>
      <c r="D37" s="307"/>
      <c r="E37" s="307"/>
      <c r="F37" s="334"/>
      <c r="G37" s="305"/>
    </row>
    <row r="38" spans="1:10" x14ac:dyDescent="0.3">
      <c r="A38" s="609" t="s">
        <v>191</v>
      </c>
      <c r="B38" s="610"/>
      <c r="C38" s="610"/>
      <c r="D38" s="610"/>
      <c r="E38" s="610"/>
      <c r="F38" s="611"/>
      <c r="G38" s="305"/>
    </row>
    <row r="39" spans="1:10" x14ac:dyDescent="0.3">
      <c r="A39" s="620" t="s">
        <v>192</v>
      </c>
      <c r="B39" s="621"/>
      <c r="C39" s="621"/>
      <c r="D39" s="621"/>
      <c r="E39" s="621"/>
      <c r="F39" s="622"/>
      <c r="G39" s="305"/>
    </row>
    <row r="40" spans="1:10" x14ac:dyDescent="0.3">
      <c r="A40" s="619" t="s">
        <v>146</v>
      </c>
      <c r="B40" s="587"/>
      <c r="C40" s="160"/>
      <c r="D40" s="628" t="s">
        <v>179</v>
      </c>
      <c r="E40" s="629"/>
      <c r="F40" s="331" t="s">
        <v>189</v>
      </c>
      <c r="G40" s="159"/>
    </row>
    <row r="41" spans="1:10" x14ac:dyDescent="0.3">
      <c r="A41" s="605" t="s">
        <v>193</v>
      </c>
      <c r="B41" s="606"/>
      <c r="C41" s="164"/>
      <c r="D41" s="607">
        <f>+F41*E45</f>
        <v>42781681.900800012</v>
      </c>
      <c r="E41" s="608"/>
      <c r="F41" s="335">
        <f>F26</f>
        <v>0.29489569637368052</v>
      </c>
      <c r="G41" s="306"/>
      <c r="H41" s="296">
        <f>J41-I41</f>
        <v>-8.0001354217529297E-4</v>
      </c>
      <c r="I41" s="297">
        <f>D41</f>
        <v>42781681.900800012</v>
      </c>
      <c r="J41" s="296">
        <f>PRESUPUESTO!G32</f>
        <v>42781681.899999999</v>
      </c>
    </row>
    <row r="42" spans="1:10" x14ac:dyDescent="0.3">
      <c r="A42" s="605" t="s">
        <v>60</v>
      </c>
      <c r="B42" s="606"/>
      <c r="C42" s="164"/>
      <c r="D42" s="607">
        <f>F42*E45</f>
        <v>2901478.8908000006</v>
      </c>
      <c r="E42" s="608"/>
      <c r="F42" s="335">
        <f>F31</f>
        <v>0.02</v>
      </c>
      <c r="G42" s="306"/>
      <c r="H42" s="298">
        <f t="shared" ref="H42:H43" si="0">J42-I42</f>
        <v>-8.0000050365924835E-4</v>
      </c>
      <c r="I42" s="297">
        <f>D42</f>
        <v>2901478.8908000006</v>
      </c>
      <c r="J42" s="296">
        <f>PRESUPUESTO!G33</f>
        <v>2901478.89</v>
      </c>
    </row>
    <row r="43" spans="1:10" x14ac:dyDescent="0.3">
      <c r="A43" s="605" t="s">
        <v>61</v>
      </c>
      <c r="B43" s="606"/>
      <c r="C43" s="164"/>
      <c r="D43" s="607">
        <f>F43*E45</f>
        <v>4352218.3362000007</v>
      </c>
      <c r="E43" s="608"/>
      <c r="F43" s="332">
        <f>F36</f>
        <v>0.03</v>
      </c>
      <c r="G43" s="306"/>
      <c r="H43" s="298">
        <f t="shared" si="0"/>
        <v>3.7999991327524185E-3</v>
      </c>
      <c r="I43" s="297">
        <f>D43</f>
        <v>4352218.3362000007</v>
      </c>
      <c r="J43" s="296">
        <f>PRESUPUESTO!G34</f>
        <v>4352218.34</v>
      </c>
    </row>
    <row r="44" spans="1:10" x14ac:dyDescent="0.3">
      <c r="A44" s="623" t="s">
        <v>68</v>
      </c>
      <c r="B44" s="624"/>
      <c r="C44" s="625"/>
      <c r="D44" s="612">
        <f>SUM(D41:E43)</f>
        <v>50035379.12780001</v>
      </c>
      <c r="E44" s="613"/>
      <c r="F44" s="333">
        <f>SUM(F41:F43)</f>
        <v>0.34489569637368056</v>
      </c>
      <c r="G44" s="306"/>
    </row>
    <row r="45" spans="1:10" x14ac:dyDescent="0.3">
      <c r="A45" s="600" t="s">
        <v>194</v>
      </c>
      <c r="B45" s="601"/>
      <c r="C45" s="601"/>
      <c r="D45" s="602"/>
      <c r="E45" s="626">
        <f>PRESUPUESTO!G31</f>
        <v>145073944.54000002</v>
      </c>
      <c r="F45" s="627"/>
      <c r="G45" s="306"/>
    </row>
    <row r="46" spans="1:10" x14ac:dyDescent="0.3">
      <c r="A46" s="600" t="s">
        <v>204</v>
      </c>
      <c r="B46" s="601"/>
      <c r="C46" s="601"/>
      <c r="D46" s="602"/>
      <c r="E46" s="603">
        <f>+D44</f>
        <v>50035379.12780001</v>
      </c>
      <c r="F46" s="604"/>
      <c r="G46" s="306"/>
    </row>
    <row r="47" spans="1:10" ht="14.4" thickBot="1" x14ac:dyDescent="0.35">
      <c r="A47" s="649" t="s">
        <v>24</v>
      </c>
      <c r="B47" s="650"/>
      <c r="C47" s="650"/>
      <c r="D47" s="651"/>
      <c r="E47" s="652">
        <f>+E45+E46</f>
        <v>195109323.66780004</v>
      </c>
      <c r="F47" s="653"/>
      <c r="G47" s="306"/>
    </row>
    <row r="48" spans="1:10" x14ac:dyDescent="0.3">
      <c r="G48" s="306"/>
    </row>
    <row r="54" spans="1:20" x14ac:dyDescent="0.3">
      <c r="D54" s="168" t="s">
        <v>253</v>
      </c>
    </row>
    <row r="55" spans="1:20" s="106" customFormat="1" ht="14.4" x14ac:dyDescent="0.3">
      <c r="A55" s="116" t="s">
        <v>250</v>
      </c>
      <c r="C55" s="116"/>
      <c r="D55" s="136" t="s">
        <v>198</v>
      </c>
      <c r="E55" s="136"/>
      <c r="F55" s="130"/>
      <c r="G55" s="130"/>
      <c r="H55" s="108"/>
      <c r="I55" s="108"/>
      <c r="J55" s="105"/>
      <c r="K55" s="105"/>
      <c r="T55" s="107"/>
    </row>
    <row r="56" spans="1:20" s="106" customFormat="1" ht="14.4" x14ac:dyDescent="0.3">
      <c r="A56" s="136" t="s">
        <v>249</v>
      </c>
      <c r="C56" s="130"/>
      <c r="D56" s="130" t="s">
        <v>159</v>
      </c>
      <c r="E56" s="130"/>
      <c r="F56" s="130"/>
      <c r="G56" s="130"/>
      <c r="H56" s="108"/>
      <c r="I56" s="108"/>
      <c r="J56" s="105"/>
      <c r="K56" s="105"/>
      <c r="T56" s="107"/>
    </row>
    <row r="57" spans="1:20" s="106" customFormat="1" ht="14.4" x14ac:dyDescent="0.3">
      <c r="A57" s="130" t="s">
        <v>203</v>
      </c>
      <c r="C57" s="46"/>
      <c r="D57" s="130" t="s">
        <v>135</v>
      </c>
      <c r="E57" s="130"/>
      <c r="F57" s="130"/>
      <c r="G57" s="130"/>
      <c r="H57" s="108"/>
      <c r="I57" s="108"/>
      <c r="J57" s="105"/>
      <c r="K57" s="105"/>
      <c r="T57" s="107"/>
    </row>
    <row r="58" spans="1:20" x14ac:dyDescent="0.3">
      <c r="A58" s="647"/>
      <c r="B58" s="647"/>
      <c r="C58" s="647"/>
      <c r="D58" s="647"/>
      <c r="E58" s="647"/>
      <c r="F58" s="647"/>
      <c r="G58" s="293"/>
    </row>
  </sheetData>
  <mergeCells count="60">
    <mergeCell ref="A58:F58"/>
    <mergeCell ref="A21:B21"/>
    <mergeCell ref="A22:B22"/>
    <mergeCell ref="A29:B29"/>
    <mergeCell ref="D29:E29"/>
    <mergeCell ref="A30:B30"/>
    <mergeCell ref="D30:E30"/>
    <mergeCell ref="A31:C31"/>
    <mergeCell ref="D31:E31"/>
    <mergeCell ref="A23:B23"/>
    <mergeCell ref="A24:B24"/>
    <mergeCell ref="A35:B35"/>
    <mergeCell ref="D35:E35"/>
    <mergeCell ref="A47:D47"/>
    <mergeCell ref="E47:F47"/>
    <mergeCell ref="D40:E40"/>
    <mergeCell ref="A8:F9"/>
    <mergeCell ref="A33:F33"/>
    <mergeCell ref="A34:B34"/>
    <mergeCell ref="D34:E34"/>
    <mergeCell ref="C14:D14"/>
    <mergeCell ref="E13:F13"/>
    <mergeCell ref="C13:D13"/>
    <mergeCell ref="A12:F12"/>
    <mergeCell ref="A10:F10"/>
    <mergeCell ref="A15:F15"/>
    <mergeCell ref="A18:B18"/>
    <mergeCell ref="C18:D18"/>
    <mergeCell ref="A19:B19"/>
    <mergeCell ref="A20:B20"/>
    <mergeCell ref="A26:D26"/>
    <mergeCell ref="A25:B25"/>
    <mergeCell ref="A40:B40"/>
    <mergeCell ref="A39:F39"/>
    <mergeCell ref="A44:C44"/>
    <mergeCell ref="D44:E44"/>
    <mergeCell ref="A45:D45"/>
    <mergeCell ref="E45:F45"/>
    <mergeCell ref="F1:F6"/>
    <mergeCell ref="B1:C2"/>
    <mergeCell ref="A1:A6"/>
    <mergeCell ref="A46:D46"/>
    <mergeCell ref="E46:F46"/>
    <mergeCell ref="A41:B41"/>
    <mergeCell ref="D41:E41"/>
    <mergeCell ref="A42:B42"/>
    <mergeCell ref="D42:E42"/>
    <mergeCell ref="A43:B43"/>
    <mergeCell ref="D43:E43"/>
    <mergeCell ref="A38:F38"/>
    <mergeCell ref="D36:E36"/>
    <mergeCell ref="A36:C36"/>
    <mergeCell ref="A28:F28"/>
    <mergeCell ref="E14:F14"/>
    <mergeCell ref="D5:D6"/>
    <mergeCell ref="B5:C6"/>
    <mergeCell ref="B4:C4"/>
    <mergeCell ref="B3:C3"/>
    <mergeCell ref="E2:E3"/>
    <mergeCell ref="D2:D3"/>
  </mergeCells>
  <pageMargins left="0.7" right="0.7" top="0.75" bottom="0.75" header="0.3" footer="0.3"/>
  <pageSetup scale="79" fitToHeight="0" orientation="portrait" r:id="rId1"/>
  <colBreaks count="1" manualBreakCount="1">
    <brk id="7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1">
    <tabColor theme="8" tint="0.39997558519241921"/>
    <pageSetUpPr fitToPage="1"/>
  </sheetPr>
  <dimension ref="A1:M97"/>
  <sheetViews>
    <sheetView topLeftCell="A55" zoomScale="80" zoomScaleNormal="80" zoomScaleSheetLayoutView="80" workbookViewId="0">
      <selection activeCell="H83" sqref="H83"/>
    </sheetView>
  </sheetViews>
  <sheetFormatPr baseColWidth="10" defaultRowHeight="14.4" x14ac:dyDescent="0.3"/>
  <cols>
    <col min="1" max="1" width="18.33203125" style="195" customWidth="1"/>
    <col min="2" max="2" width="20.88671875" style="195" customWidth="1"/>
    <col min="3" max="3" width="18" style="195" customWidth="1"/>
    <col min="4" max="4" width="10" style="195" customWidth="1"/>
    <col min="5" max="5" width="11.5546875" style="195"/>
    <col min="6" max="6" width="13.44140625" style="195" customWidth="1"/>
    <col min="7" max="7" width="11.5546875" style="195"/>
    <col min="8" max="8" width="18.109375" style="195" customWidth="1"/>
    <col min="9" max="9" width="19.33203125" bestFit="1" customWidth="1"/>
    <col min="12" max="12" width="13.88671875" bestFit="1" customWidth="1"/>
    <col min="13" max="13" width="12.44140625" bestFit="1" customWidth="1"/>
  </cols>
  <sheetData>
    <row r="1" spans="1:13" x14ac:dyDescent="0.3">
      <c r="A1" s="663"/>
      <c r="B1" s="665" t="s">
        <v>161</v>
      </c>
      <c r="C1" s="666"/>
      <c r="D1" s="667"/>
      <c r="E1" s="671" t="s">
        <v>162</v>
      </c>
      <c r="F1" s="671"/>
      <c r="G1" s="237">
        <v>103</v>
      </c>
      <c r="H1" s="671"/>
    </row>
    <row r="2" spans="1:13" x14ac:dyDescent="0.3">
      <c r="A2" s="664"/>
      <c r="B2" s="668"/>
      <c r="C2" s="669"/>
      <c r="D2" s="670"/>
      <c r="E2" s="673" t="s">
        <v>163</v>
      </c>
      <c r="F2" s="673"/>
      <c r="G2" s="671">
        <v>51</v>
      </c>
      <c r="H2" s="671"/>
    </row>
    <row r="3" spans="1:13" x14ac:dyDescent="0.3">
      <c r="A3" s="664"/>
      <c r="B3" s="674" t="s">
        <v>164</v>
      </c>
      <c r="C3" s="675"/>
      <c r="D3" s="676"/>
      <c r="E3" s="673"/>
      <c r="F3" s="673"/>
      <c r="G3" s="671"/>
      <c r="H3" s="671"/>
    </row>
    <row r="4" spans="1:13" x14ac:dyDescent="0.3">
      <c r="A4" s="664"/>
      <c r="B4" s="677" t="s">
        <v>165</v>
      </c>
      <c r="C4" s="678"/>
      <c r="D4" s="679"/>
      <c r="E4" s="671" t="s">
        <v>166</v>
      </c>
      <c r="F4" s="671"/>
      <c r="G4" s="237">
        <v>1</v>
      </c>
      <c r="H4" s="671"/>
    </row>
    <row r="5" spans="1:13" x14ac:dyDescent="0.3">
      <c r="A5" s="664"/>
      <c r="B5" s="680" t="s">
        <v>167</v>
      </c>
      <c r="C5" s="681"/>
      <c r="D5" s="682"/>
      <c r="E5" s="673" t="s">
        <v>168</v>
      </c>
      <c r="F5" s="673"/>
      <c r="G5" s="237" t="s">
        <v>169</v>
      </c>
      <c r="H5" s="671"/>
    </row>
    <row r="6" spans="1:13" ht="15" thickBot="1" x14ac:dyDescent="0.35">
      <c r="A6" s="664"/>
      <c r="B6" s="683"/>
      <c r="C6" s="684"/>
      <c r="D6" s="685"/>
      <c r="E6" s="686"/>
      <c r="F6" s="686"/>
      <c r="G6" s="194">
        <f>PRESUPUESTO!F6</f>
        <v>45402</v>
      </c>
      <c r="H6" s="672"/>
    </row>
    <row r="7" spans="1:13" x14ac:dyDescent="0.3">
      <c r="A7" s="654" t="str">
        <f>+PRESUPUESTO!A8</f>
        <v>MANTENIMIENTO Y REPARACION DE PUENTE VEHICULAR VIA LA GUISITA EN EL MUNICIPIO DE SAN MIGUEL PUTUMAYO</v>
      </c>
      <c r="B7" s="655"/>
      <c r="C7" s="655"/>
      <c r="D7" s="655"/>
      <c r="E7" s="655"/>
      <c r="F7" s="655"/>
      <c r="G7" s="655"/>
      <c r="H7" s="656"/>
    </row>
    <row r="8" spans="1:13" x14ac:dyDescent="0.3">
      <c r="A8" s="657"/>
      <c r="B8" s="658"/>
      <c r="C8" s="658"/>
      <c r="D8" s="658"/>
      <c r="E8" s="658"/>
      <c r="F8" s="658"/>
      <c r="G8" s="658"/>
      <c r="H8" s="659"/>
    </row>
    <row r="9" spans="1:13" ht="15" thickBot="1" x14ac:dyDescent="0.35">
      <c r="A9" s="660"/>
      <c r="B9" s="661"/>
      <c r="C9" s="661"/>
      <c r="D9" s="661"/>
      <c r="E9" s="661"/>
      <c r="F9" s="661"/>
      <c r="G9" s="661"/>
      <c r="H9" s="662"/>
    </row>
    <row r="10" spans="1:13" x14ac:dyDescent="0.3">
      <c r="A10" s="238"/>
      <c r="B10" s="239"/>
      <c r="C10" s="239"/>
      <c r="D10" s="239"/>
      <c r="E10" s="239"/>
      <c r="F10" s="239"/>
      <c r="G10" s="239"/>
      <c r="H10" s="240"/>
    </row>
    <row r="11" spans="1:13" x14ac:dyDescent="0.3">
      <c r="A11" s="462" t="s">
        <v>25</v>
      </c>
      <c r="B11" s="698"/>
      <c r="C11" s="698"/>
      <c r="D11" s="698"/>
      <c r="E11" s="698"/>
      <c r="F11" s="698"/>
      <c r="G11" s="698"/>
      <c r="H11" s="463"/>
    </row>
    <row r="12" spans="1:13" x14ac:dyDescent="0.3">
      <c r="A12" s="148"/>
      <c r="B12" s="116"/>
      <c r="C12" s="116"/>
      <c r="D12" s="116"/>
      <c r="E12" s="116"/>
      <c r="F12" s="122"/>
      <c r="G12" s="116"/>
      <c r="H12" s="144"/>
    </row>
    <row r="13" spans="1:13" x14ac:dyDescent="0.3">
      <c r="A13" s="196" t="s">
        <v>208</v>
      </c>
      <c r="B13" s="693" t="s">
        <v>224</v>
      </c>
      <c r="C13" s="694"/>
      <c r="D13" s="694"/>
      <c r="E13" s="694"/>
      <c r="F13" s="695"/>
      <c r="G13" s="197" t="s">
        <v>27</v>
      </c>
      <c r="H13" s="196" t="s">
        <v>200</v>
      </c>
    </row>
    <row r="14" spans="1:13" x14ac:dyDescent="0.3">
      <c r="A14" s="149"/>
      <c r="B14" s="271"/>
      <c r="C14" s="271"/>
      <c r="D14" s="271"/>
      <c r="E14" s="271"/>
      <c r="F14" s="272"/>
      <c r="G14" s="271"/>
      <c r="H14" s="273"/>
    </row>
    <row r="15" spans="1:13" ht="15" thickBot="1" x14ac:dyDescent="0.35">
      <c r="A15" s="198" t="s">
        <v>28</v>
      </c>
      <c r="B15" s="450" t="s">
        <v>209</v>
      </c>
      <c r="C15" s="451"/>
      <c r="D15" s="451"/>
      <c r="E15" s="451"/>
      <c r="F15" s="451"/>
      <c r="G15" s="452"/>
      <c r="H15" s="144"/>
    </row>
    <row r="16" spans="1:13" ht="15" thickBot="1" x14ac:dyDescent="0.35">
      <c r="A16" s="236"/>
      <c r="B16" s="453" t="s">
        <v>30</v>
      </c>
      <c r="C16" s="454"/>
      <c r="D16" s="236" t="s">
        <v>12</v>
      </c>
      <c r="E16" s="236" t="s">
        <v>32</v>
      </c>
      <c r="F16" s="123" t="s">
        <v>33</v>
      </c>
      <c r="G16" s="236" t="s">
        <v>34</v>
      </c>
      <c r="H16" s="144"/>
      <c r="I16" s="691" t="s">
        <v>210</v>
      </c>
      <c r="J16" s="691"/>
      <c r="K16" s="691"/>
      <c r="L16" s="691"/>
      <c r="M16" s="692"/>
    </row>
    <row r="17" spans="1:13" x14ac:dyDescent="0.3">
      <c r="A17" s="199"/>
      <c r="B17" s="696"/>
      <c r="C17" s="697"/>
      <c r="D17" s="200"/>
      <c r="E17" s="201"/>
      <c r="F17" s="201"/>
      <c r="G17" s="201"/>
      <c r="H17" s="145"/>
      <c r="I17" s="202" t="s">
        <v>211</v>
      </c>
      <c r="J17" s="195" t="s">
        <v>212</v>
      </c>
      <c r="K17" s="195"/>
      <c r="L17" s="249">
        <v>120000</v>
      </c>
      <c r="M17" s="249">
        <f>L17/8</f>
        <v>15000</v>
      </c>
    </row>
    <row r="18" spans="1:13" x14ac:dyDescent="0.3">
      <c r="A18" s="113"/>
      <c r="B18" s="689"/>
      <c r="C18" s="690"/>
      <c r="D18" s="203"/>
      <c r="E18" s="204"/>
      <c r="F18" s="204"/>
      <c r="G18" s="204"/>
      <c r="H18" s="145"/>
      <c r="I18" s="202" t="s">
        <v>213</v>
      </c>
      <c r="J18" s="195" t="s">
        <v>214</v>
      </c>
      <c r="K18" s="195"/>
      <c r="L18" s="249">
        <v>100000</v>
      </c>
      <c r="M18" s="249">
        <f>L18/8</f>
        <v>12500</v>
      </c>
    </row>
    <row r="19" spans="1:13" x14ac:dyDescent="0.3">
      <c r="A19" s="148"/>
      <c r="B19" s="116"/>
      <c r="C19" s="116"/>
      <c r="D19" s="116"/>
      <c r="E19" s="122" t="s">
        <v>35</v>
      </c>
      <c r="F19" s="122"/>
      <c r="G19" s="122"/>
      <c r="H19" s="205">
        <f>ROUND(SUM(G17:G18),0)</f>
        <v>0</v>
      </c>
      <c r="I19" s="202" t="s">
        <v>254</v>
      </c>
      <c r="J19" s="195" t="s">
        <v>214</v>
      </c>
      <c r="K19" s="195"/>
      <c r="L19" s="249">
        <v>100000</v>
      </c>
      <c r="M19" s="249">
        <f>L19/8</f>
        <v>12500</v>
      </c>
    </row>
    <row r="20" spans="1:13" ht="15" thickBot="1" x14ac:dyDescent="0.35">
      <c r="A20" s="120" t="s">
        <v>36</v>
      </c>
      <c r="B20" s="450" t="s">
        <v>37</v>
      </c>
      <c r="C20" s="451"/>
      <c r="D20" s="451"/>
      <c r="E20" s="451"/>
      <c r="F20" s="451"/>
      <c r="G20" s="452"/>
      <c r="H20" s="139"/>
    </row>
    <row r="21" spans="1:13" ht="15" thickBot="1" x14ac:dyDescent="0.35">
      <c r="A21" s="236"/>
      <c r="B21" s="453" t="s">
        <v>30</v>
      </c>
      <c r="C21" s="454"/>
      <c r="D21" s="113" t="s">
        <v>12</v>
      </c>
      <c r="E21" s="123" t="s">
        <v>38</v>
      </c>
      <c r="F21" s="123" t="s">
        <v>39</v>
      </c>
      <c r="G21" s="123" t="s">
        <v>34</v>
      </c>
      <c r="H21" s="139"/>
      <c r="I21" s="691" t="s">
        <v>215</v>
      </c>
      <c r="J21" s="691"/>
      <c r="K21" s="691"/>
      <c r="L21" s="691"/>
      <c r="M21" s="692"/>
    </row>
    <row r="22" spans="1:13" x14ac:dyDescent="0.3">
      <c r="A22" s="113"/>
      <c r="B22" s="687" t="s">
        <v>218</v>
      </c>
      <c r="C22" s="688"/>
      <c r="D22" s="206" t="s">
        <v>219</v>
      </c>
      <c r="E22" s="182">
        <v>450</v>
      </c>
      <c r="F22" s="216">
        <f>M22</f>
        <v>800</v>
      </c>
      <c r="G22" s="182">
        <f>+F22*E22</f>
        <v>360000</v>
      </c>
      <c r="H22" s="139"/>
      <c r="I22" s="202" t="s">
        <v>216</v>
      </c>
      <c r="J22" s="195" t="s">
        <v>217</v>
      </c>
      <c r="K22" s="195"/>
      <c r="L22" s="249">
        <v>40000</v>
      </c>
      <c r="M22" s="249">
        <f>L22/50</f>
        <v>800</v>
      </c>
    </row>
    <row r="23" spans="1:13" x14ac:dyDescent="0.3">
      <c r="A23" s="113"/>
      <c r="B23" s="687" t="s">
        <v>206</v>
      </c>
      <c r="C23" s="688"/>
      <c r="D23" s="206" t="s">
        <v>207</v>
      </c>
      <c r="E23" s="182">
        <v>260</v>
      </c>
      <c r="F23" s="216">
        <v>180</v>
      </c>
      <c r="G23" s="182">
        <f>+F23*E23</f>
        <v>46800</v>
      </c>
      <c r="H23" s="139"/>
      <c r="I23" s="202" t="s">
        <v>220</v>
      </c>
      <c r="J23" s="195" t="s">
        <v>229</v>
      </c>
      <c r="K23" s="195"/>
      <c r="L23" s="249">
        <v>800000</v>
      </c>
      <c r="M23" s="207">
        <f>L23/5</f>
        <v>160000</v>
      </c>
    </row>
    <row r="24" spans="1:13" x14ac:dyDescent="0.3">
      <c r="A24" s="113"/>
      <c r="B24" s="687" t="s">
        <v>222</v>
      </c>
      <c r="C24" s="688"/>
      <c r="D24" s="206" t="s">
        <v>200</v>
      </c>
      <c r="E24" s="208">
        <v>1.08</v>
      </c>
      <c r="F24" s="216">
        <f>M23</f>
        <v>160000</v>
      </c>
      <c r="G24" s="182">
        <f>+F24*E24</f>
        <v>172800</v>
      </c>
      <c r="H24" s="139"/>
      <c r="I24" s="202" t="s">
        <v>221</v>
      </c>
      <c r="J24" s="195" t="s">
        <v>229</v>
      </c>
      <c r="K24" s="195"/>
      <c r="L24" s="249">
        <v>1625000</v>
      </c>
      <c r="M24" s="249">
        <f>L24/5</f>
        <v>325000</v>
      </c>
    </row>
    <row r="25" spans="1:13" x14ac:dyDescent="0.3">
      <c r="A25" s="113"/>
      <c r="B25" s="687"/>
      <c r="C25" s="688"/>
      <c r="D25" s="206"/>
      <c r="E25" s="208"/>
      <c r="F25" s="181"/>
      <c r="G25" s="182"/>
      <c r="H25" s="139"/>
    </row>
    <row r="26" spans="1:13" x14ac:dyDescent="0.3">
      <c r="A26" s="149" t="s">
        <v>40</v>
      </c>
      <c r="B26" s="116"/>
      <c r="C26" s="116"/>
      <c r="D26" s="116"/>
      <c r="E26" s="122" t="s">
        <v>41</v>
      </c>
      <c r="F26" s="122"/>
      <c r="G26" s="122"/>
      <c r="H26" s="209">
        <f>(SUM(G22:G25))</f>
        <v>579600</v>
      </c>
    </row>
    <row r="27" spans="1:13" x14ac:dyDescent="0.3">
      <c r="A27" s="120" t="s">
        <v>42</v>
      </c>
      <c r="B27" s="450" t="s">
        <v>43</v>
      </c>
      <c r="C27" s="451"/>
      <c r="D27" s="451"/>
      <c r="E27" s="451"/>
      <c r="F27" s="451"/>
      <c r="G27" s="452"/>
      <c r="H27" s="139"/>
    </row>
    <row r="28" spans="1:13" x14ac:dyDescent="0.3">
      <c r="A28" s="113"/>
      <c r="B28" s="236" t="s">
        <v>30</v>
      </c>
      <c r="C28" s="236" t="s">
        <v>223</v>
      </c>
      <c r="D28" s="236" t="s">
        <v>46</v>
      </c>
      <c r="E28" s="123" t="s">
        <v>38</v>
      </c>
      <c r="F28" s="121" t="s">
        <v>48</v>
      </c>
      <c r="G28" s="121" t="s">
        <v>34</v>
      </c>
      <c r="H28" s="139"/>
    </row>
    <row r="29" spans="1:13" x14ac:dyDescent="0.3">
      <c r="A29" s="113"/>
      <c r="B29" s="113"/>
      <c r="C29" s="210"/>
      <c r="D29" s="134"/>
      <c r="E29" s="124"/>
      <c r="F29" s="211"/>
      <c r="G29" s="212"/>
      <c r="H29" s="139"/>
    </row>
    <row r="30" spans="1:13" x14ac:dyDescent="0.3">
      <c r="A30" s="149"/>
      <c r="B30" s="116"/>
      <c r="C30" s="116"/>
      <c r="D30" s="116"/>
      <c r="E30" s="122" t="s">
        <v>49</v>
      </c>
      <c r="F30" s="122"/>
      <c r="G30" s="122"/>
      <c r="H30" s="209">
        <f>SUM(G29)</f>
        <v>0</v>
      </c>
    </row>
    <row r="31" spans="1:13" x14ac:dyDescent="0.3">
      <c r="A31" s="120" t="s">
        <v>50</v>
      </c>
      <c r="B31" s="450" t="s">
        <v>18</v>
      </c>
      <c r="C31" s="451"/>
      <c r="D31" s="451"/>
      <c r="E31" s="451"/>
      <c r="F31" s="451"/>
      <c r="G31" s="452"/>
      <c r="H31" s="139"/>
    </row>
    <row r="32" spans="1:13" x14ac:dyDescent="0.3">
      <c r="A32" s="113"/>
      <c r="B32" s="113" t="s">
        <v>30</v>
      </c>
      <c r="C32" s="236" t="s">
        <v>12</v>
      </c>
      <c r="D32" s="236" t="s">
        <v>13</v>
      </c>
      <c r="E32" s="236" t="s">
        <v>51</v>
      </c>
      <c r="F32" s="123"/>
      <c r="G32" s="121" t="s">
        <v>52</v>
      </c>
      <c r="H32" s="139"/>
    </row>
    <row r="33" spans="1:8" x14ac:dyDescent="0.3">
      <c r="A33" s="113"/>
      <c r="B33" s="113"/>
      <c r="C33" s="127"/>
      <c r="D33" s="113"/>
      <c r="E33" s="121"/>
      <c r="F33" s="121"/>
      <c r="G33" s="121"/>
      <c r="H33" s="139"/>
    </row>
    <row r="34" spans="1:8" x14ac:dyDescent="0.3">
      <c r="A34" s="149"/>
      <c r="B34" s="116"/>
      <c r="C34" s="116"/>
      <c r="D34" s="116"/>
      <c r="E34" s="122" t="s">
        <v>49</v>
      </c>
      <c r="F34" s="122"/>
      <c r="G34" s="122"/>
      <c r="H34" s="139">
        <f>SUM(G33)</f>
        <v>0</v>
      </c>
    </row>
    <row r="35" spans="1:8" x14ac:dyDescent="0.3">
      <c r="A35" s="148"/>
      <c r="B35" s="116"/>
      <c r="C35" s="116"/>
      <c r="D35" s="116"/>
      <c r="E35" s="122"/>
      <c r="F35" s="122"/>
      <c r="G35" s="122"/>
      <c r="H35" s="139"/>
    </row>
    <row r="36" spans="1:8" x14ac:dyDescent="0.3">
      <c r="A36" s="148"/>
      <c r="B36" s="116"/>
      <c r="C36" s="116"/>
      <c r="D36" s="128" t="s">
        <v>53</v>
      </c>
      <c r="E36" s="129"/>
      <c r="F36" s="129"/>
      <c r="G36" s="129"/>
      <c r="H36" s="213">
        <f>ROUND(SUM(H19:H35),0)</f>
        <v>579600</v>
      </c>
    </row>
    <row r="37" spans="1:8" x14ac:dyDescent="0.3">
      <c r="A37" s="120" t="s">
        <v>54</v>
      </c>
      <c r="B37" s="450" t="s">
        <v>55</v>
      </c>
      <c r="C37" s="451"/>
      <c r="D37" s="451"/>
      <c r="E37" s="451"/>
      <c r="F37" s="451"/>
      <c r="G37" s="452"/>
      <c r="H37" s="139"/>
    </row>
    <row r="38" spans="1:8" x14ac:dyDescent="0.3">
      <c r="A38" s="236"/>
      <c r="B38" s="236" t="s">
        <v>30</v>
      </c>
      <c r="C38" s="236" t="s">
        <v>56</v>
      </c>
      <c r="D38" s="113" t="s">
        <v>57</v>
      </c>
      <c r="E38" s="121"/>
      <c r="F38" s="121" t="s">
        <v>58</v>
      </c>
      <c r="G38" s="121"/>
      <c r="H38" s="139"/>
    </row>
    <row r="39" spans="1:8" x14ac:dyDescent="0.3">
      <c r="A39" s="113"/>
      <c r="B39" s="236" t="s">
        <v>59</v>
      </c>
      <c r="C39" s="126">
        <v>0.1</v>
      </c>
      <c r="D39" s="113"/>
      <c r="E39" s="124"/>
      <c r="F39" s="214"/>
      <c r="G39" s="215">
        <f>+H36*C39</f>
        <v>57960</v>
      </c>
      <c r="H39" s="139"/>
    </row>
    <row r="40" spans="1:8" x14ac:dyDescent="0.3">
      <c r="A40" s="113"/>
      <c r="B40" s="236" t="s">
        <v>60</v>
      </c>
      <c r="C40" s="126">
        <v>0.02</v>
      </c>
      <c r="D40" s="113"/>
      <c r="E40" s="124"/>
      <c r="F40" s="214"/>
      <c r="G40" s="215">
        <f>+H36*C40</f>
        <v>11592</v>
      </c>
      <c r="H40" s="139"/>
    </row>
    <row r="41" spans="1:8" x14ac:dyDescent="0.3">
      <c r="A41" s="148"/>
      <c r="B41" s="116"/>
      <c r="C41" s="116"/>
      <c r="D41" s="128" t="s">
        <v>62</v>
      </c>
      <c r="E41" s="129"/>
      <c r="F41" s="129"/>
      <c r="G41" s="129"/>
      <c r="H41" s="213">
        <f>SUM(G39:G40)</f>
        <v>69552</v>
      </c>
    </row>
    <row r="42" spans="1:8" x14ac:dyDescent="0.3">
      <c r="A42" s="148"/>
      <c r="B42" s="116"/>
      <c r="C42" s="116"/>
      <c r="D42" s="116"/>
      <c r="E42" s="122"/>
      <c r="F42" s="122"/>
      <c r="G42" s="122"/>
      <c r="H42" s="213"/>
    </row>
    <row r="43" spans="1:8" x14ac:dyDescent="0.3">
      <c r="A43" s="148"/>
      <c r="B43" s="116"/>
      <c r="C43" s="116"/>
      <c r="D43" s="128" t="s">
        <v>63</v>
      </c>
      <c r="E43" s="129"/>
      <c r="F43" s="129"/>
      <c r="G43" s="122"/>
      <c r="H43" s="213">
        <f>ROUND((H36+H41),0)</f>
        <v>649152</v>
      </c>
    </row>
    <row r="44" spans="1:8" x14ac:dyDescent="0.3">
      <c r="A44" s="148"/>
      <c r="B44" s="116"/>
      <c r="C44" s="116"/>
      <c r="H44" s="274"/>
    </row>
    <row r="45" spans="1:8" x14ac:dyDescent="0.3">
      <c r="A45" s="148"/>
      <c r="B45" s="116"/>
      <c r="C45" s="116"/>
      <c r="H45" s="274"/>
    </row>
    <row r="46" spans="1:8" x14ac:dyDescent="0.3">
      <c r="A46" s="148"/>
      <c r="B46" s="116"/>
      <c r="C46" s="116"/>
      <c r="H46" s="274"/>
    </row>
    <row r="47" spans="1:8" x14ac:dyDescent="0.3">
      <c r="A47" s="275"/>
      <c r="B47" s="118"/>
      <c r="C47" s="116"/>
      <c r="H47" s="274"/>
    </row>
    <row r="48" spans="1:8" x14ac:dyDescent="0.3">
      <c r="A48" s="276" t="str">
        <f>[12]Presupuesto!C73</f>
        <v>ARQ. GUILLERMO YAMID VALLEJOS BENAVIDES</v>
      </c>
      <c r="B48" s="130"/>
      <c r="C48" s="116"/>
      <c r="H48" s="274"/>
    </row>
    <row r="49" spans="1:13" x14ac:dyDescent="0.3">
      <c r="A49" s="276" t="str">
        <f>[12]Presupuesto!C74</f>
        <v>SECRETARIO DE PLANEACION Y OBRAS PUBLICAS</v>
      </c>
      <c r="B49" s="130"/>
      <c r="C49" s="116"/>
      <c r="H49" s="274"/>
    </row>
    <row r="50" spans="1:13" x14ac:dyDescent="0.3">
      <c r="A50" s="277" t="str">
        <f>[12]Presupuesto!C75</f>
        <v>SAN MIGUEL - PUTUMAYO</v>
      </c>
      <c r="B50" s="153"/>
      <c r="C50" s="118"/>
      <c r="D50" s="278"/>
      <c r="E50" s="278"/>
      <c r="F50" s="278"/>
      <c r="G50" s="278"/>
      <c r="H50" s="279"/>
    </row>
    <row r="51" spans="1:13" x14ac:dyDescent="0.3">
      <c r="A51" s="663"/>
      <c r="B51" s="665" t="s">
        <v>161</v>
      </c>
      <c r="C51" s="666"/>
      <c r="D51" s="667"/>
      <c r="E51" s="671" t="s">
        <v>162</v>
      </c>
      <c r="F51" s="671"/>
      <c r="G51" s="237">
        <v>103</v>
      </c>
      <c r="H51" s="671"/>
    </row>
    <row r="52" spans="1:13" x14ac:dyDescent="0.3">
      <c r="A52" s="664"/>
      <c r="B52" s="668"/>
      <c r="C52" s="669"/>
      <c r="D52" s="670"/>
      <c r="E52" s="673" t="s">
        <v>163</v>
      </c>
      <c r="F52" s="673"/>
      <c r="G52" s="671">
        <v>51</v>
      </c>
      <c r="H52" s="671"/>
    </row>
    <row r="53" spans="1:13" x14ac:dyDescent="0.3">
      <c r="A53" s="664"/>
      <c r="B53" s="674" t="s">
        <v>164</v>
      </c>
      <c r="C53" s="675"/>
      <c r="D53" s="676"/>
      <c r="E53" s="673"/>
      <c r="F53" s="673"/>
      <c r="G53" s="671"/>
      <c r="H53" s="671"/>
    </row>
    <row r="54" spans="1:13" x14ac:dyDescent="0.3">
      <c r="A54" s="664"/>
      <c r="B54" s="677" t="s">
        <v>165</v>
      </c>
      <c r="C54" s="678"/>
      <c r="D54" s="679"/>
      <c r="E54" s="671" t="s">
        <v>166</v>
      </c>
      <c r="F54" s="671"/>
      <c r="G54" s="237">
        <v>1</v>
      </c>
      <c r="H54" s="671"/>
    </row>
    <row r="55" spans="1:13" x14ac:dyDescent="0.3">
      <c r="A55" s="664"/>
      <c r="B55" s="680" t="s">
        <v>167</v>
      </c>
      <c r="C55" s="681"/>
      <c r="D55" s="682"/>
      <c r="E55" s="673" t="s">
        <v>168</v>
      </c>
      <c r="F55" s="673"/>
      <c r="G55" s="237" t="s">
        <v>169</v>
      </c>
      <c r="H55" s="671"/>
    </row>
    <row r="56" spans="1:13" ht="15" thickBot="1" x14ac:dyDescent="0.35">
      <c r="A56" s="664"/>
      <c r="B56" s="683"/>
      <c r="C56" s="684"/>
      <c r="D56" s="685"/>
      <c r="E56" s="686"/>
      <c r="F56" s="686"/>
      <c r="G56" s="194">
        <f>PRESUPUESTO!F64</f>
        <v>0</v>
      </c>
      <c r="H56" s="672"/>
    </row>
    <row r="57" spans="1:13" x14ac:dyDescent="0.3">
      <c r="A57" s="654" t="str">
        <f>A7</f>
        <v>MANTENIMIENTO Y REPARACION DE PUENTE VEHICULAR VIA LA GUISITA EN EL MUNICIPIO DE SAN MIGUEL PUTUMAYO</v>
      </c>
      <c r="B57" s="655"/>
      <c r="C57" s="655"/>
      <c r="D57" s="655"/>
      <c r="E57" s="655"/>
      <c r="F57" s="655"/>
      <c r="G57" s="655"/>
      <c r="H57" s="656"/>
    </row>
    <row r="58" spans="1:13" x14ac:dyDescent="0.3">
      <c r="A58" s="657"/>
      <c r="B58" s="658"/>
      <c r="C58" s="658"/>
      <c r="D58" s="658"/>
      <c r="E58" s="658"/>
      <c r="F58" s="658"/>
      <c r="G58" s="658"/>
      <c r="H58" s="659"/>
    </row>
    <row r="59" spans="1:13" ht="15" thickBot="1" x14ac:dyDescent="0.35">
      <c r="A59" s="660"/>
      <c r="B59" s="661"/>
      <c r="C59" s="661"/>
      <c r="D59" s="661"/>
      <c r="E59" s="661"/>
      <c r="F59" s="661"/>
      <c r="G59" s="661"/>
      <c r="H59" s="662"/>
    </row>
    <row r="60" spans="1:13" x14ac:dyDescent="0.3">
      <c r="A60" s="196" t="s">
        <v>235</v>
      </c>
      <c r="B60" s="693" t="s">
        <v>236</v>
      </c>
      <c r="C60" s="694"/>
      <c r="D60" s="694"/>
      <c r="E60" s="694"/>
      <c r="F60" s="695"/>
      <c r="G60" s="197" t="s">
        <v>27</v>
      </c>
      <c r="H60" s="196" t="s">
        <v>200</v>
      </c>
    </row>
    <row r="61" spans="1:13" x14ac:dyDescent="0.3">
      <c r="A61" s="149"/>
      <c r="B61" s="271"/>
      <c r="C61" s="271"/>
      <c r="D61" s="271"/>
      <c r="E61" s="271"/>
      <c r="F61" s="272"/>
      <c r="G61" s="271"/>
      <c r="H61" s="273"/>
    </row>
    <row r="62" spans="1:13" x14ac:dyDescent="0.3">
      <c r="A62" s="198" t="s">
        <v>28</v>
      </c>
      <c r="B62" s="450" t="s">
        <v>209</v>
      </c>
      <c r="C62" s="451"/>
      <c r="D62" s="451"/>
      <c r="E62" s="451"/>
      <c r="F62" s="451"/>
      <c r="G62" s="452"/>
      <c r="H62" s="144"/>
    </row>
    <row r="63" spans="1:13" ht="15" thickBot="1" x14ac:dyDescent="0.35">
      <c r="A63" s="236"/>
      <c r="B63" s="453" t="s">
        <v>30</v>
      </c>
      <c r="C63" s="454"/>
      <c r="D63" s="236" t="s">
        <v>12</v>
      </c>
      <c r="E63" s="236" t="s">
        <v>32</v>
      </c>
      <c r="F63" s="123" t="s">
        <v>33</v>
      </c>
      <c r="G63" s="236" t="s">
        <v>34</v>
      </c>
      <c r="H63" s="144"/>
    </row>
    <row r="64" spans="1:13" ht="15" thickBot="1" x14ac:dyDescent="0.35">
      <c r="A64" s="199"/>
      <c r="B64" s="696"/>
      <c r="C64" s="697"/>
      <c r="D64" s="200"/>
      <c r="E64" s="201"/>
      <c r="F64" s="201"/>
      <c r="G64" s="201"/>
      <c r="H64" s="145"/>
      <c r="I64" s="691" t="s">
        <v>210</v>
      </c>
      <c r="J64" s="691"/>
      <c r="K64" s="691"/>
      <c r="L64" s="691"/>
      <c r="M64" s="692"/>
    </row>
    <row r="65" spans="1:13" x14ac:dyDescent="0.3">
      <c r="A65" s="113"/>
      <c r="B65" s="689"/>
      <c r="C65" s="690"/>
      <c r="D65" s="203"/>
      <c r="E65" s="204"/>
      <c r="F65" s="204"/>
      <c r="G65" s="204"/>
      <c r="H65" s="145"/>
      <c r="I65" s="202" t="s">
        <v>211</v>
      </c>
      <c r="J65" s="195" t="s">
        <v>212</v>
      </c>
      <c r="K65" s="195"/>
      <c r="L65" s="249">
        <v>120000</v>
      </c>
      <c r="M65" s="249">
        <f>L65/8</f>
        <v>15000</v>
      </c>
    </row>
    <row r="66" spans="1:13" x14ac:dyDescent="0.3">
      <c r="A66" s="148"/>
      <c r="B66" s="116"/>
      <c r="C66" s="116"/>
      <c r="D66" s="116"/>
      <c r="E66" s="122" t="s">
        <v>35</v>
      </c>
      <c r="F66" s="122"/>
      <c r="G66" s="122"/>
      <c r="H66" s="205">
        <f>ROUND(SUM(G64:G65),0)</f>
        <v>0</v>
      </c>
      <c r="I66" s="202" t="s">
        <v>213</v>
      </c>
      <c r="J66" s="195" t="s">
        <v>214</v>
      </c>
      <c r="K66" s="195"/>
      <c r="L66" s="249">
        <v>100000</v>
      </c>
      <c r="M66" s="249">
        <f>L66/8</f>
        <v>12500</v>
      </c>
    </row>
    <row r="67" spans="1:13" ht="15" thickBot="1" x14ac:dyDescent="0.35">
      <c r="A67" s="120" t="s">
        <v>36</v>
      </c>
      <c r="B67" s="450" t="s">
        <v>37</v>
      </c>
      <c r="C67" s="451"/>
      <c r="D67" s="451"/>
      <c r="E67" s="451"/>
      <c r="F67" s="451"/>
      <c r="G67" s="452"/>
      <c r="H67" s="139"/>
    </row>
    <row r="68" spans="1:13" ht="15" thickBot="1" x14ac:dyDescent="0.35">
      <c r="A68" s="236"/>
      <c r="B68" s="453" t="s">
        <v>30</v>
      </c>
      <c r="C68" s="454"/>
      <c r="D68" s="113" t="s">
        <v>12</v>
      </c>
      <c r="E68" s="123" t="s">
        <v>38</v>
      </c>
      <c r="F68" s="123" t="s">
        <v>39</v>
      </c>
      <c r="G68" s="123" t="s">
        <v>34</v>
      </c>
      <c r="H68" s="139"/>
      <c r="I68" s="691" t="s">
        <v>215</v>
      </c>
      <c r="J68" s="691"/>
      <c r="K68" s="691"/>
      <c r="L68" s="691"/>
      <c r="M68" s="692"/>
    </row>
    <row r="69" spans="1:13" x14ac:dyDescent="0.3">
      <c r="A69" s="113"/>
      <c r="B69" s="687" t="s">
        <v>218</v>
      </c>
      <c r="C69" s="688"/>
      <c r="D69" s="206" t="s">
        <v>219</v>
      </c>
      <c r="E69" s="182">
        <v>320</v>
      </c>
      <c r="F69" s="216">
        <f>M69</f>
        <v>800</v>
      </c>
      <c r="G69" s="182">
        <f>+F69*E69</f>
        <v>256000</v>
      </c>
      <c r="H69" s="139"/>
      <c r="I69" s="202" t="s">
        <v>216</v>
      </c>
      <c r="J69" s="195" t="s">
        <v>217</v>
      </c>
      <c r="K69" s="195"/>
      <c r="L69" s="249">
        <v>40000</v>
      </c>
      <c r="M69" s="249">
        <f>L69/50</f>
        <v>800</v>
      </c>
    </row>
    <row r="70" spans="1:13" x14ac:dyDescent="0.3">
      <c r="A70" s="113"/>
      <c r="B70" s="687" t="s">
        <v>206</v>
      </c>
      <c r="C70" s="688"/>
      <c r="D70" s="206" t="s">
        <v>207</v>
      </c>
      <c r="E70" s="182">
        <v>160</v>
      </c>
      <c r="F70" s="216">
        <v>180</v>
      </c>
      <c r="G70" s="182">
        <f>+F70*E70</f>
        <v>28800</v>
      </c>
      <c r="H70" s="139"/>
      <c r="I70" s="202" t="s">
        <v>220</v>
      </c>
      <c r="J70" s="195" t="s">
        <v>229</v>
      </c>
      <c r="K70" s="195"/>
      <c r="L70" s="249">
        <v>800000</v>
      </c>
      <c r="M70" s="207">
        <f>L70/7</f>
        <v>114285.71428571429</v>
      </c>
    </row>
    <row r="71" spans="1:13" x14ac:dyDescent="0.3">
      <c r="A71" s="113"/>
      <c r="B71" s="687" t="s">
        <v>222</v>
      </c>
      <c r="C71" s="688"/>
      <c r="D71" s="206" t="s">
        <v>200</v>
      </c>
      <c r="E71" s="208">
        <v>0.52</v>
      </c>
      <c r="F71" s="269">
        <f>M70</f>
        <v>114285.71428571429</v>
      </c>
      <c r="G71" s="182">
        <f>+F71*E71</f>
        <v>59428.571428571435</v>
      </c>
      <c r="H71" s="139"/>
      <c r="I71" s="202" t="s">
        <v>221</v>
      </c>
      <c r="J71" s="195" t="s">
        <v>229</v>
      </c>
      <c r="K71" s="195"/>
      <c r="L71" s="249">
        <v>1625000</v>
      </c>
      <c r="M71" s="249">
        <f>L71/7</f>
        <v>232142.85714285713</v>
      </c>
    </row>
    <row r="72" spans="1:13" x14ac:dyDescent="0.3">
      <c r="A72" s="113"/>
      <c r="B72" s="687" t="s">
        <v>237</v>
      </c>
      <c r="C72" s="688"/>
      <c r="D72" s="206" t="s">
        <v>200</v>
      </c>
      <c r="E72" s="208">
        <v>0.9</v>
      </c>
      <c r="F72" s="269">
        <f>M71</f>
        <v>232142.85714285713</v>
      </c>
      <c r="G72" s="182">
        <f>E72*F72</f>
        <v>208928.57142857142</v>
      </c>
      <c r="H72" s="139"/>
    </row>
    <row r="73" spans="1:13" x14ac:dyDescent="0.3">
      <c r="A73" s="149" t="s">
        <v>40</v>
      </c>
      <c r="B73" s="116"/>
      <c r="C73" s="116"/>
      <c r="D73" s="116"/>
      <c r="E73" s="122" t="s">
        <v>41</v>
      </c>
      <c r="F73" s="122"/>
      <c r="G73" s="122"/>
      <c r="H73" s="209">
        <f>(SUM(G69:G72))</f>
        <v>553157.14285714284</v>
      </c>
    </row>
    <row r="74" spans="1:13" x14ac:dyDescent="0.3">
      <c r="A74" s="120" t="s">
        <v>42</v>
      </c>
      <c r="B74" s="450" t="s">
        <v>43</v>
      </c>
      <c r="C74" s="451"/>
      <c r="D74" s="451"/>
      <c r="E74" s="451"/>
      <c r="F74" s="451"/>
      <c r="G74" s="452"/>
      <c r="H74" s="139"/>
    </row>
    <row r="75" spans="1:13" x14ac:dyDescent="0.3">
      <c r="A75" s="113"/>
      <c r="B75" s="236" t="s">
        <v>30</v>
      </c>
      <c r="C75" s="236" t="s">
        <v>223</v>
      </c>
      <c r="D75" s="236" t="s">
        <v>46</v>
      </c>
      <c r="E75" s="123" t="s">
        <v>38</v>
      </c>
      <c r="F75" s="121" t="s">
        <v>48</v>
      </c>
      <c r="G75" s="121" t="s">
        <v>34</v>
      </c>
      <c r="H75" s="139"/>
    </row>
    <row r="76" spans="1:13" x14ac:dyDescent="0.3">
      <c r="A76" s="113"/>
      <c r="B76" s="113"/>
      <c r="C76" s="210"/>
      <c r="D76" s="134"/>
      <c r="E76" s="124"/>
      <c r="F76" s="211"/>
      <c r="G76" s="212"/>
      <c r="H76" s="139"/>
    </row>
    <row r="77" spans="1:13" x14ac:dyDescent="0.3">
      <c r="A77" s="149"/>
      <c r="B77" s="116"/>
      <c r="C77" s="116"/>
      <c r="D77" s="116"/>
      <c r="E77" s="122" t="s">
        <v>49</v>
      </c>
      <c r="F77" s="122"/>
      <c r="G77" s="122"/>
      <c r="H77" s="209">
        <f>SUM(G76)</f>
        <v>0</v>
      </c>
    </row>
    <row r="78" spans="1:13" x14ac:dyDescent="0.3">
      <c r="A78" s="120" t="s">
        <v>50</v>
      </c>
      <c r="B78" s="450" t="s">
        <v>18</v>
      </c>
      <c r="C78" s="451"/>
      <c r="D78" s="451"/>
      <c r="E78" s="451"/>
      <c r="F78" s="451"/>
      <c r="G78" s="452"/>
      <c r="H78" s="139"/>
    </row>
    <row r="79" spans="1:13" x14ac:dyDescent="0.3">
      <c r="A79" s="113"/>
      <c r="B79" s="113" t="s">
        <v>30</v>
      </c>
      <c r="C79" s="236" t="s">
        <v>12</v>
      </c>
      <c r="D79" s="236" t="s">
        <v>13</v>
      </c>
      <c r="E79" s="236" t="s">
        <v>51</v>
      </c>
      <c r="F79" s="123"/>
      <c r="G79" s="121" t="s">
        <v>52</v>
      </c>
      <c r="H79" s="139"/>
    </row>
    <row r="80" spans="1:13" x14ac:dyDescent="0.3">
      <c r="A80" s="113"/>
      <c r="B80" s="113"/>
      <c r="C80" s="127"/>
      <c r="D80" s="113"/>
      <c r="E80" s="121"/>
      <c r="F80" s="121"/>
      <c r="G80" s="121"/>
      <c r="H80" s="139"/>
    </row>
    <row r="81" spans="1:8" x14ac:dyDescent="0.3">
      <c r="A81" s="149"/>
      <c r="B81" s="116"/>
      <c r="C81" s="116"/>
      <c r="D81" s="116"/>
      <c r="E81" s="122" t="s">
        <v>49</v>
      </c>
      <c r="F81" s="122"/>
      <c r="G81" s="122"/>
      <c r="H81" s="139">
        <f>SUM(G80)</f>
        <v>0</v>
      </c>
    </row>
    <row r="82" spans="1:8" x14ac:dyDescent="0.3">
      <c r="A82" s="148"/>
      <c r="B82" s="116"/>
      <c r="C82" s="116"/>
      <c r="D82" s="116"/>
      <c r="E82" s="122"/>
      <c r="F82" s="122"/>
      <c r="G82" s="122"/>
      <c r="H82" s="139"/>
    </row>
    <row r="83" spans="1:8" x14ac:dyDescent="0.3">
      <c r="A83" s="148"/>
      <c r="B83" s="116"/>
      <c r="C83" s="116"/>
      <c r="D83" s="128" t="s">
        <v>53</v>
      </c>
      <c r="E83" s="129"/>
      <c r="F83" s="129"/>
      <c r="G83" s="129"/>
      <c r="H83" s="213">
        <f>ROUND(SUM(H66:H82),0)</f>
        <v>553157</v>
      </c>
    </row>
    <row r="84" spans="1:8" x14ac:dyDescent="0.3">
      <c r="A84" s="120" t="s">
        <v>54</v>
      </c>
      <c r="B84" s="450" t="s">
        <v>55</v>
      </c>
      <c r="C84" s="451"/>
      <c r="D84" s="451"/>
      <c r="E84" s="451"/>
      <c r="F84" s="451"/>
      <c r="G84" s="452"/>
      <c r="H84" s="139"/>
    </row>
    <row r="85" spans="1:8" x14ac:dyDescent="0.3">
      <c r="A85" s="236"/>
      <c r="B85" s="236" t="s">
        <v>30</v>
      </c>
      <c r="C85" s="236" t="s">
        <v>56</v>
      </c>
      <c r="D85" s="113" t="s">
        <v>57</v>
      </c>
      <c r="E85" s="121"/>
      <c r="F85" s="121" t="s">
        <v>58</v>
      </c>
      <c r="G85" s="121"/>
      <c r="H85" s="139"/>
    </row>
    <row r="86" spans="1:8" x14ac:dyDescent="0.3">
      <c r="A86" s="113"/>
      <c r="B86" s="236" t="s">
        <v>59</v>
      </c>
      <c r="C86" s="126">
        <v>0.1</v>
      </c>
      <c r="D86" s="113"/>
      <c r="E86" s="124"/>
      <c r="F86" s="214"/>
      <c r="G86" s="215">
        <f>+H83*C86</f>
        <v>55315.700000000004</v>
      </c>
      <c r="H86" s="139"/>
    </row>
    <row r="87" spans="1:8" x14ac:dyDescent="0.3">
      <c r="A87" s="113"/>
      <c r="B87" s="236" t="s">
        <v>60</v>
      </c>
      <c r="C87" s="126">
        <v>0.02</v>
      </c>
      <c r="D87" s="113"/>
      <c r="E87" s="124"/>
      <c r="F87" s="214"/>
      <c r="G87" s="215">
        <f>+H83*C87</f>
        <v>11063.14</v>
      </c>
      <c r="H87" s="139"/>
    </row>
    <row r="88" spans="1:8" x14ac:dyDescent="0.3">
      <c r="A88" s="148"/>
      <c r="B88" s="116"/>
      <c r="C88" s="116"/>
      <c r="D88" s="128" t="s">
        <v>62</v>
      </c>
      <c r="E88" s="129"/>
      <c r="F88" s="129"/>
      <c r="G88" s="129"/>
      <c r="H88" s="213">
        <f>SUM(G86:G87)</f>
        <v>66378.84</v>
      </c>
    </row>
    <row r="89" spans="1:8" x14ac:dyDescent="0.3">
      <c r="A89" s="148"/>
      <c r="B89" s="116"/>
      <c r="C89" s="116"/>
      <c r="D89" s="116"/>
      <c r="E89" s="122"/>
      <c r="F89" s="122"/>
      <c r="G89" s="122"/>
      <c r="H89" s="213"/>
    </row>
    <row r="90" spans="1:8" x14ac:dyDescent="0.3">
      <c r="A90" s="148"/>
      <c r="B90" s="116"/>
      <c r="C90" s="116"/>
      <c r="D90" s="128" t="s">
        <v>63</v>
      </c>
      <c r="E90" s="129"/>
      <c r="F90" s="129"/>
      <c r="G90" s="122"/>
      <c r="H90" s="213">
        <f>ROUND((H83+H88),0)</f>
        <v>619536</v>
      </c>
    </row>
    <row r="91" spans="1:8" x14ac:dyDescent="0.3">
      <c r="A91" s="148"/>
      <c r="B91" s="116"/>
      <c r="C91" s="116"/>
      <c r="H91" s="274"/>
    </row>
    <row r="92" spans="1:8" x14ac:dyDescent="0.3">
      <c r="A92" s="148"/>
      <c r="B92" s="116"/>
      <c r="C92" s="116"/>
      <c r="H92" s="274"/>
    </row>
    <row r="93" spans="1:8" x14ac:dyDescent="0.3">
      <c r="A93" s="148"/>
      <c r="B93" s="116"/>
      <c r="C93" s="116"/>
      <c r="H93" s="274"/>
    </row>
    <row r="94" spans="1:8" x14ac:dyDescent="0.3">
      <c r="A94" s="275"/>
      <c r="B94" s="118"/>
      <c r="C94" s="116"/>
      <c r="H94" s="274"/>
    </row>
    <row r="95" spans="1:8" x14ac:dyDescent="0.3">
      <c r="A95" s="276" t="str">
        <f>A48</f>
        <v>ARQ. GUILLERMO YAMID VALLEJOS BENAVIDES</v>
      </c>
      <c r="B95" s="130"/>
      <c r="C95" s="116"/>
      <c r="H95" s="274"/>
    </row>
    <row r="96" spans="1:8" x14ac:dyDescent="0.3">
      <c r="A96" s="276" t="str">
        <f>A49</f>
        <v>SECRETARIO DE PLANEACION Y OBRAS PUBLICAS</v>
      </c>
      <c r="B96" s="130"/>
      <c r="C96" s="116"/>
      <c r="H96" s="274"/>
    </row>
    <row r="97" spans="1:8" x14ac:dyDescent="0.3">
      <c r="A97" s="277" t="str">
        <f>A50</f>
        <v>SAN MIGUEL - PUTUMAYO</v>
      </c>
      <c r="B97" s="153"/>
      <c r="C97" s="118"/>
      <c r="D97" s="278"/>
      <c r="E97" s="278"/>
      <c r="F97" s="278"/>
      <c r="G97" s="278"/>
      <c r="H97" s="279"/>
    </row>
  </sheetData>
  <mergeCells count="57">
    <mergeCell ref="E1:F1"/>
    <mergeCell ref="E2:F3"/>
    <mergeCell ref="G2:G3"/>
    <mergeCell ref="B3:D3"/>
    <mergeCell ref="B4:D4"/>
    <mergeCell ref="B20:G20"/>
    <mergeCell ref="I21:M21"/>
    <mergeCell ref="E4:F4"/>
    <mergeCell ref="B5:D6"/>
    <mergeCell ref="E5:F6"/>
    <mergeCell ref="A7:H9"/>
    <mergeCell ref="A11:H11"/>
    <mergeCell ref="B13:F13"/>
    <mergeCell ref="H1:H6"/>
    <mergeCell ref="B15:G15"/>
    <mergeCell ref="B16:C16"/>
    <mergeCell ref="I16:M16"/>
    <mergeCell ref="B17:C17"/>
    <mergeCell ref="B18:C18"/>
    <mergeCell ref="A1:A6"/>
    <mergeCell ref="B1:D2"/>
    <mergeCell ref="B31:G31"/>
    <mergeCell ref="B37:G37"/>
    <mergeCell ref="B21:C21"/>
    <mergeCell ref="B22:C22"/>
    <mergeCell ref="B23:C23"/>
    <mergeCell ref="B24:C24"/>
    <mergeCell ref="B25:C25"/>
    <mergeCell ref="B27:G27"/>
    <mergeCell ref="B60:F60"/>
    <mergeCell ref="B62:G62"/>
    <mergeCell ref="B63:C63"/>
    <mergeCell ref="I64:M64"/>
    <mergeCell ref="B64:C64"/>
    <mergeCell ref="B65:C65"/>
    <mergeCell ref="B67:G67"/>
    <mergeCell ref="I68:M68"/>
    <mergeCell ref="B68:C68"/>
    <mergeCell ref="B69:C69"/>
    <mergeCell ref="B84:G84"/>
    <mergeCell ref="B70:C70"/>
    <mergeCell ref="B71:C71"/>
    <mergeCell ref="B72:C72"/>
    <mergeCell ref="B74:G74"/>
    <mergeCell ref="B78:G78"/>
    <mergeCell ref="A57:H59"/>
    <mergeCell ref="A51:A56"/>
    <mergeCell ref="B51:D52"/>
    <mergeCell ref="E51:F51"/>
    <mergeCell ref="H51:H56"/>
    <mergeCell ref="E52:F53"/>
    <mergeCell ref="G52:G53"/>
    <mergeCell ref="B53:D53"/>
    <mergeCell ref="B54:D54"/>
    <mergeCell ref="E54:F54"/>
    <mergeCell ref="B55:D56"/>
    <mergeCell ref="E55:F56"/>
  </mergeCells>
  <pageMargins left="0.7" right="0.7" top="0.75" bottom="0.75" header="0.3" footer="0.3"/>
  <pageSetup scale="74" fitToHeight="0" orientation="portrait" horizontalDpi="360" verticalDpi="360" r:id="rId1"/>
  <rowBreaks count="1" manualBreakCount="1">
    <brk id="50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8</vt:i4>
      </vt:variant>
    </vt:vector>
  </HeadingPairs>
  <TitlesOfParts>
    <vt:vector size="16" baseType="lpstr">
      <vt:lpstr>BASICO</vt:lpstr>
      <vt:lpstr>PRESUPUESTO</vt:lpstr>
      <vt:lpstr>APUS</vt:lpstr>
      <vt:lpstr>MEMORIA CANTIDADES</vt:lpstr>
      <vt:lpstr>Memoria de Cantidades</vt:lpstr>
      <vt:lpstr>F.M </vt:lpstr>
      <vt:lpstr>DESGLOSE AIU</vt:lpstr>
      <vt:lpstr>BASICOS RURAL</vt:lpstr>
      <vt:lpstr>APUS!Área_de_impresión</vt:lpstr>
      <vt:lpstr>BASICO!Área_de_impresión</vt:lpstr>
      <vt:lpstr>'BASICOS RURAL'!Área_de_impresión</vt:lpstr>
      <vt:lpstr>'DESGLOSE AIU'!Área_de_impresión</vt:lpstr>
      <vt:lpstr>'F.M '!Área_de_impresión</vt:lpstr>
      <vt:lpstr>'MEMORIA CANTIDADES'!Área_de_impresión</vt:lpstr>
      <vt:lpstr>'Memoria de Cantidades'!Área_de_impresión</vt:lpstr>
      <vt:lpstr>PRESUPUESTO!Área_de_impresión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ASUS TUF</cp:lastModifiedBy>
  <cp:lastPrinted>2025-11-18T16:03:02Z</cp:lastPrinted>
  <dcterms:created xsi:type="dcterms:W3CDTF">2018-08-13T21:50:36Z</dcterms:created>
  <dcterms:modified xsi:type="dcterms:W3CDTF">2025-11-18T16:03:08Z</dcterms:modified>
</cp:coreProperties>
</file>