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autoCompressPictures="0" defaultThemeVersion="124226"/>
  <mc:AlternateContent xmlns:mc="http://schemas.openxmlformats.org/markup-compatibility/2006">
    <mc:Choice Requires="x15">
      <x15ac:absPath xmlns:x15ac="http://schemas.microsoft.com/office/spreadsheetml/2010/11/ac" url="https://gobiernobogota-my.sharepoint.com/personal/miguel_granados_gobiernobogota_gov_co/Documents/3. FDL Usme/1. Miguel Ángel - Contrato 634-2025 FDLU/3. Archivos diciembre 2025/Ev Fin CMA-027-2025 Interventoría Malla Víal/"/>
    </mc:Choice>
  </mc:AlternateContent>
  <xr:revisionPtr revIDLastSave="34" documentId="8_{9C85A2B0-D8CD-42AA-8DF2-6D64EE316AB7}" xr6:coauthVersionLast="47" xr6:coauthVersionMax="47" xr10:uidLastSave="{BE2E86B9-AEB5-4A14-B92C-6FBBDAF85CF4}"/>
  <bookViews>
    <workbookView xWindow="-120" yWindow="-120" windowWidth="29040" windowHeight="15720" firstSheet="4" activeTab="7" xr2:uid="{00000000-000D-0000-FFFF-FFFF00000000}"/>
  </bookViews>
  <sheets>
    <sheet name="1. Oferentes 1 a 8" sheetId="37" r:id="rId1"/>
    <sheet name="2. Oferentes 9 a 13" sheetId="38" r:id="rId2"/>
    <sheet name="3. Oferentes 14 a 19" sheetId="39" r:id="rId3"/>
    <sheet name="4. Oferentes 20 a 27" sheetId="40" r:id="rId4"/>
    <sheet name="5. Oferentes 28 a 33" sheetId="41" r:id="rId5"/>
    <sheet name="6. Oferentes 34 a 38" sheetId="42" r:id="rId6"/>
    <sheet name="7. Oferentes 39 a 46" sheetId="43" r:id="rId7"/>
    <sheet name="Consolidado 1 a 9" sheetId="7" r:id="rId8"/>
  </sheets>
  <definedNames>
    <definedName name="_xlnm._FilterDatabase" localSheetId="7" hidden="1">'Consolidado 1 a 9'!$A$11:$L$57</definedName>
    <definedName name="_xlnm.Print_Area" localSheetId="0">'1. Oferentes 1 a 8'!$B$2:$N$56</definedName>
    <definedName name="_xlnm.Print_Area" localSheetId="1">'2. Oferentes 9 a 13'!$B$2:$Q$56</definedName>
    <definedName name="_xlnm.Print_Area" localSheetId="2">'3. Oferentes 14 a 19'!$B$2:$Q$56</definedName>
    <definedName name="_xlnm.Print_Area" localSheetId="3">'4. Oferentes 20 a 27'!$B$2:$N$56</definedName>
    <definedName name="_xlnm.Print_Area" localSheetId="4">'5. Oferentes 28 a 33'!$B$2:$N$56</definedName>
    <definedName name="_xlnm.Print_Area" localSheetId="5">'6. Oferentes 34 a 38'!$B$2:$P$56</definedName>
    <definedName name="_xlnm.Print_Area" localSheetId="6">'7. Oferentes 39 a 46'!$B$2:$N$56</definedName>
    <definedName name="_xlnm.Print_Area" localSheetId="7">'Consolidado 1 a 9'!$A$1:$K$70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B53" i="41" l="1"/>
  <c r="B53" i="42"/>
  <c r="B53" i="43"/>
  <c r="B53" i="40"/>
  <c r="B53" i="39"/>
  <c r="B53" i="38"/>
  <c r="F11" i="42"/>
  <c r="F19" i="42"/>
  <c r="F18" i="42"/>
  <c r="F16" i="42"/>
  <c r="F15" i="42"/>
  <c r="F14" i="42"/>
  <c r="F13" i="42"/>
  <c r="F12" i="42"/>
  <c r="E71" i="42"/>
  <c r="E72" i="42" s="1"/>
  <c r="E10" i="42" s="1"/>
  <c r="E67" i="42"/>
  <c r="E22" i="42"/>
  <c r="E21" i="42"/>
  <c r="E20" i="42"/>
  <c r="E17" i="42"/>
  <c r="G72" i="40"/>
  <c r="G10" i="40" s="1"/>
  <c r="H71" i="40"/>
  <c r="G71" i="40"/>
  <c r="G8" i="40"/>
  <c r="G40" i="40"/>
  <c r="G39" i="40"/>
  <c r="G38" i="40"/>
  <c r="G37" i="40"/>
  <c r="G34" i="40"/>
  <c r="G33" i="40" s="1"/>
  <c r="G32" i="40"/>
  <c r="G31" i="40" s="1"/>
  <c r="G30" i="40"/>
  <c r="G29" i="40" s="1"/>
  <c r="G28" i="40"/>
  <c r="G27" i="40" s="1"/>
  <c r="G22" i="40"/>
  <c r="G21" i="40"/>
  <c r="G20" i="40"/>
  <c r="G17" i="40"/>
  <c r="H71" i="39"/>
  <c r="I71" i="39" s="1"/>
  <c r="H67" i="39"/>
  <c r="H22" i="39"/>
  <c r="H21" i="39"/>
  <c r="H20" i="39"/>
  <c r="H17" i="39"/>
  <c r="N8" i="38"/>
  <c r="K71" i="38"/>
  <c r="K72" i="38" s="1"/>
  <c r="K10" i="38" s="1"/>
  <c r="L71" i="38"/>
  <c r="K67" i="38"/>
  <c r="K22" i="38"/>
  <c r="K21" i="38"/>
  <c r="K20" i="38"/>
  <c r="K17" i="38"/>
  <c r="G67" i="38"/>
  <c r="G22" i="38"/>
  <c r="G21" i="38"/>
  <c r="G20" i="38"/>
  <c r="G17" i="38"/>
  <c r="L19" i="43"/>
  <c r="L18" i="43"/>
  <c r="L16" i="43"/>
  <c r="L15" i="43"/>
  <c r="L14" i="43"/>
  <c r="L13" i="43"/>
  <c r="L12" i="43"/>
  <c r="F19" i="43"/>
  <c r="F18" i="43"/>
  <c r="F16" i="43"/>
  <c r="F15" i="43"/>
  <c r="F14" i="43"/>
  <c r="F13" i="43"/>
  <c r="F12" i="43"/>
  <c r="P19" i="42"/>
  <c r="P18" i="42"/>
  <c r="P16" i="42"/>
  <c r="P15" i="42"/>
  <c r="P14" i="42"/>
  <c r="P13" i="42"/>
  <c r="P12" i="42"/>
  <c r="N12" i="41"/>
  <c r="N13" i="41"/>
  <c r="N14" i="41"/>
  <c r="N15" i="41"/>
  <c r="N16" i="41"/>
  <c r="N18" i="41"/>
  <c r="N19" i="41"/>
  <c r="L19" i="42"/>
  <c r="L18" i="42"/>
  <c r="L16" i="42"/>
  <c r="L15" i="42"/>
  <c r="L14" i="42"/>
  <c r="L13" i="42"/>
  <c r="L12" i="42"/>
  <c r="I19" i="42"/>
  <c r="I18" i="42"/>
  <c r="I16" i="42"/>
  <c r="I15" i="42"/>
  <c r="I14" i="42"/>
  <c r="I13" i="42"/>
  <c r="I12" i="42"/>
  <c r="J19" i="41"/>
  <c r="J18" i="41"/>
  <c r="J16" i="41"/>
  <c r="J15" i="41"/>
  <c r="J14" i="41"/>
  <c r="J13" i="41"/>
  <c r="J12" i="41"/>
  <c r="E19" i="41"/>
  <c r="E18" i="41"/>
  <c r="E16" i="41"/>
  <c r="E15" i="41"/>
  <c r="E14" i="41"/>
  <c r="E13" i="41"/>
  <c r="E12" i="41"/>
  <c r="N19" i="40"/>
  <c r="N18" i="40"/>
  <c r="N16" i="40"/>
  <c r="N15" i="40"/>
  <c r="N14" i="40"/>
  <c r="N13" i="40"/>
  <c r="N12" i="40"/>
  <c r="F19" i="40"/>
  <c r="F18" i="40"/>
  <c r="F16" i="40"/>
  <c r="F15" i="40"/>
  <c r="F14" i="40"/>
  <c r="F13" i="40"/>
  <c r="F12" i="40"/>
  <c r="Q19" i="39"/>
  <c r="Q18" i="39"/>
  <c r="Q16" i="39"/>
  <c r="Q15" i="39"/>
  <c r="Q14" i="39"/>
  <c r="Q13" i="39"/>
  <c r="Q12" i="39"/>
  <c r="M19" i="39"/>
  <c r="M18" i="39"/>
  <c r="M16" i="39"/>
  <c r="M15" i="39"/>
  <c r="M14" i="39"/>
  <c r="M13" i="39"/>
  <c r="M12" i="39"/>
  <c r="J19" i="39"/>
  <c r="J18" i="39"/>
  <c r="J16" i="39"/>
  <c r="J15" i="39"/>
  <c r="J14" i="39"/>
  <c r="J13" i="39"/>
  <c r="J12" i="39"/>
  <c r="F19" i="39"/>
  <c r="F18" i="39"/>
  <c r="F16" i="39"/>
  <c r="F15" i="39"/>
  <c r="F14" i="39"/>
  <c r="F13" i="39"/>
  <c r="F12" i="39"/>
  <c r="Q19" i="38"/>
  <c r="Q18" i="38"/>
  <c r="Q16" i="38"/>
  <c r="Q15" i="38"/>
  <c r="Q14" i="38"/>
  <c r="Q13" i="38"/>
  <c r="Q12" i="38"/>
  <c r="M19" i="38"/>
  <c r="M18" i="38"/>
  <c r="M16" i="38"/>
  <c r="M15" i="38"/>
  <c r="M14" i="38"/>
  <c r="M13" i="38"/>
  <c r="M12" i="38"/>
  <c r="I19" i="38"/>
  <c r="I18" i="38"/>
  <c r="I16" i="38"/>
  <c r="I15" i="38"/>
  <c r="I14" i="38"/>
  <c r="I13" i="38"/>
  <c r="I12" i="38"/>
  <c r="E19" i="38"/>
  <c r="E18" i="38"/>
  <c r="E16" i="38"/>
  <c r="E15" i="38"/>
  <c r="E14" i="38"/>
  <c r="E13" i="38"/>
  <c r="E12" i="38"/>
  <c r="M19" i="37"/>
  <c r="M18" i="37"/>
  <c r="M16" i="37"/>
  <c r="M15" i="37"/>
  <c r="M14" i="37"/>
  <c r="M13" i="37"/>
  <c r="M12" i="37"/>
  <c r="M11" i="37"/>
  <c r="J50" i="7" a="1"/>
  <c r="J50" i="7" l="1"/>
  <c r="I17" i="42"/>
  <c r="L17" i="43"/>
  <c r="F17" i="43"/>
  <c r="P17" i="42"/>
  <c r="L17" i="42"/>
  <c r="F17" i="42"/>
  <c r="N17" i="41"/>
  <c r="J17" i="41"/>
  <c r="E17" i="41"/>
  <c r="N17" i="40"/>
  <c r="G41" i="40"/>
  <c r="F17" i="40"/>
  <c r="J17" i="39"/>
  <c r="H72" i="39"/>
  <c r="H10" i="39" s="1"/>
  <c r="Q17" i="39"/>
  <c r="M17" i="39"/>
  <c r="F17" i="39"/>
  <c r="I17" i="38"/>
  <c r="Q17" i="38"/>
  <c r="M17" i="38"/>
  <c r="E17" i="38"/>
  <c r="M17" i="37"/>
  <c r="J19" i="37"/>
  <c r="J18" i="37"/>
  <c r="J12" i="37"/>
  <c r="J13" i="37"/>
  <c r="J14" i="37"/>
  <c r="J15" i="37"/>
  <c r="J16" i="37"/>
  <c r="N71" i="43" l="1"/>
  <c r="M71" i="43"/>
  <c r="M72" i="43" s="1"/>
  <c r="G71" i="43"/>
  <c r="I40" i="43"/>
  <c r="I39" i="43" s="1"/>
  <c r="H40" i="43"/>
  <c r="H39" i="43"/>
  <c r="I38" i="43"/>
  <c r="I37" i="43" s="1"/>
  <c r="H38" i="43"/>
  <c r="H37" i="43"/>
  <c r="I34" i="43"/>
  <c r="H34" i="43"/>
  <c r="I32" i="43"/>
  <c r="I31" i="43" s="1"/>
  <c r="H32" i="43"/>
  <c r="H31" i="43" s="1"/>
  <c r="I30" i="43"/>
  <c r="I29" i="43" s="1"/>
  <c r="H30" i="43"/>
  <c r="H29" i="43" s="1"/>
  <c r="I28" i="43"/>
  <c r="I27" i="43" s="1"/>
  <c r="H28" i="43"/>
  <c r="H27" i="43" s="1"/>
  <c r="I22" i="43"/>
  <c r="H22" i="43"/>
  <c r="I21" i="43"/>
  <c r="H21" i="43"/>
  <c r="I20" i="43"/>
  <c r="H20" i="43"/>
  <c r="I17" i="43"/>
  <c r="H17" i="43"/>
  <c r="E22" i="43"/>
  <c r="D22" i="43"/>
  <c r="E21" i="43"/>
  <c r="D21" i="43"/>
  <c r="E20" i="43"/>
  <c r="D20" i="43"/>
  <c r="E17" i="43"/>
  <c r="D17" i="43"/>
  <c r="F11" i="43"/>
  <c r="F22" i="43" s="1"/>
  <c r="C72" i="43"/>
  <c r="C10" i="43" s="1"/>
  <c r="D71" i="43"/>
  <c r="E71" i="43" s="1"/>
  <c r="K67" i="43"/>
  <c r="J67" i="43"/>
  <c r="B55" i="43"/>
  <c r="B50" i="43"/>
  <c r="B47" i="43"/>
  <c r="B46" i="43"/>
  <c r="N40" i="43"/>
  <c r="N39" i="43" s="1"/>
  <c r="G40" i="43"/>
  <c r="G39" i="43" s="1"/>
  <c r="C40" i="43"/>
  <c r="C39" i="43"/>
  <c r="B39" i="43"/>
  <c r="N38" i="43"/>
  <c r="N37" i="43" s="1"/>
  <c r="G38" i="43"/>
  <c r="G37" i="43" s="1"/>
  <c r="C38" i="43"/>
  <c r="C37" i="43" s="1"/>
  <c r="B37" i="43"/>
  <c r="N34" i="43"/>
  <c r="G34" i="43"/>
  <c r="C34" i="43"/>
  <c r="B34" i="43"/>
  <c r="B33" i="43"/>
  <c r="N32" i="43"/>
  <c r="N31" i="43" s="1"/>
  <c r="G32" i="43"/>
  <c r="G31" i="43" s="1"/>
  <c r="C32" i="43"/>
  <c r="C31" i="43" s="1"/>
  <c r="B31" i="43"/>
  <c r="N30" i="43"/>
  <c r="N29" i="43" s="1"/>
  <c r="G30" i="43"/>
  <c r="G29" i="43" s="1"/>
  <c r="C30" i="43"/>
  <c r="C29" i="43" s="1"/>
  <c r="B29" i="43"/>
  <c r="N28" i="43"/>
  <c r="N27" i="43" s="1"/>
  <c r="G28" i="43"/>
  <c r="G27" i="43" s="1"/>
  <c r="C28" i="43"/>
  <c r="C27" i="43" s="1"/>
  <c r="B27" i="43"/>
  <c r="Q22" i="43"/>
  <c r="P25" i="43" s="1"/>
  <c r="N22" i="43"/>
  <c r="K22" i="43"/>
  <c r="J22" i="43"/>
  <c r="G22" i="43"/>
  <c r="C22" i="43"/>
  <c r="N21" i="43"/>
  <c r="K21" i="43"/>
  <c r="J21" i="43"/>
  <c r="G21" i="43"/>
  <c r="C21" i="43"/>
  <c r="N20" i="43"/>
  <c r="K20" i="43"/>
  <c r="J20" i="43"/>
  <c r="G20" i="43"/>
  <c r="C20" i="43"/>
  <c r="N17" i="43"/>
  <c r="K17" i="43"/>
  <c r="J17" i="43"/>
  <c r="G17" i="43"/>
  <c r="C17" i="43"/>
  <c r="L11" i="43"/>
  <c r="D67" i="43"/>
  <c r="G71" i="42"/>
  <c r="G72" i="42" s="1"/>
  <c r="G10" i="42" s="1"/>
  <c r="H67" i="42"/>
  <c r="G67" i="42"/>
  <c r="I40" i="42"/>
  <c r="I39" i="42"/>
  <c r="H22" i="42"/>
  <c r="G22" i="42"/>
  <c r="I21" i="42"/>
  <c r="H21" i="42"/>
  <c r="G21" i="42"/>
  <c r="H20" i="42"/>
  <c r="G20" i="42"/>
  <c r="I32" i="42"/>
  <c r="I31" i="42" s="1"/>
  <c r="H17" i="42"/>
  <c r="G17" i="42"/>
  <c r="I38" i="42"/>
  <c r="I37" i="42" s="1"/>
  <c r="I30" i="42"/>
  <c r="I29" i="42" s="1"/>
  <c r="I28" i="42"/>
  <c r="I27" i="42" s="1"/>
  <c r="I34" i="42"/>
  <c r="I11" i="42"/>
  <c r="I22" i="42" s="1"/>
  <c r="C72" i="42"/>
  <c r="C10" i="42" s="1"/>
  <c r="D71" i="42"/>
  <c r="D72" i="42" s="1"/>
  <c r="D10" i="42" s="1"/>
  <c r="O67" i="42"/>
  <c r="N67" i="42"/>
  <c r="K67" i="42"/>
  <c r="J67" i="42"/>
  <c r="D67" i="42"/>
  <c r="C67" i="42"/>
  <c r="B55" i="42"/>
  <c r="B50" i="42"/>
  <c r="B47" i="42"/>
  <c r="B46" i="42"/>
  <c r="M40" i="42"/>
  <c r="M39" i="42" s="1"/>
  <c r="B39" i="42"/>
  <c r="M38" i="42"/>
  <c r="M37" i="42" s="1"/>
  <c r="F38" i="42"/>
  <c r="F37" i="42" s="1"/>
  <c r="B37" i="42"/>
  <c r="M34" i="42"/>
  <c r="B34" i="42"/>
  <c r="B33" i="42"/>
  <c r="M32" i="42"/>
  <c r="M31" i="42" s="1"/>
  <c r="B31" i="42"/>
  <c r="M30" i="42"/>
  <c r="M29" i="42" s="1"/>
  <c r="B29" i="42"/>
  <c r="M28" i="42"/>
  <c r="M27" i="42" s="1"/>
  <c r="B27" i="42"/>
  <c r="R25" i="42"/>
  <c r="S22" i="42"/>
  <c r="O22" i="42"/>
  <c r="N22" i="42"/>
  <c r="M22" i="42"/>
  <c r="K22" i="42"/>
  <c r="J22" i="42"/>
  <c r="D22" i="42"/>
  <c r="C22" i="42"/>
  <c r="O21" i="42"/>
  <c r="N21" i="42"/>
  <c r="M21" i="42"/>
  <c r="K21" i="42"/>
  <c r="J21" i="42"/>
  <c r="D21" i="42"/>
  <c r="C21" i="42"/>
  <c r="O20" i="42"/>
  <c r="N20" i="42"/>
  <c r="M20" i="42"/>
  <c r="K20" i="42"/>
  <c r="J20" i="42"/>
  <c r="F20" i="42"/>
  <c r="D20" i="42"/>
  <c r="C20" i="42"/>
  <c r="L32" i="42"/>
  <c r="L31" i="42" s="1"/>
  <c r="P21" i="42"/>
  <c r="O17" i="42"/>
  <c r="N17" i="42"/>
  <c r="M17" i="42"/>
  <c r="K17" i="42"/>
  <c r="J17" i="42"/>
  <c r="D17" i="42"/>
  <c r="C17" i="42"/>
  <c r="F30" i="42"/>
  <c r="F29" i="42" s="1"/>
  <c r="F21" i="42"/>
  <c r="P28" i="42"/>
  <c r="P27" i="42" s="1"/>
  <c r="F34" i="42"/>
  <c r="P11" i="42"/>
  <c r="P22" i="42" s="1"/>
  <c r="L11" i="42"/>
  <c r="L22" i="42" s="1"/>
  <c r="F22" i="42"/>
  <c r="G40" i="41"/>
  <c r="G39" i="41" s="1"/>
  <c r="G38" i="41"/>
  <c r="G37" i="41" s="1"/>
  <c r="G34" i="41"/>
  <c r="G32" i="41"/>
  <c r="G31" i="41"/>
  <c r="G30" i="41"/>
  <c r="G29" i="41" s="1"/>
  <c r="G28" i="41"/>
  <c r="G27" i="41" s="1"/>
  <c r="G22" i="41"/>
  <c r="G21" i="41"/>
  <c r="G20" i="41"/>
  <c r="G17" i="41"/>
  <c r="F40" i="41"/>
  <c r="F39" i="41" s="1"/>
  <c r="F38" i="41"/>
  <c r="F37" i="41" s="1"/>
  <c r="F34" i="41"/>
  <c r="F32" i="41"/>
  <c r="F31" i="41" s="1"/>
  <c r="F30" i="41"/>
  <c r="F29" i="41" s="1"/>
  <c r="F28" i="41"/>
  <c r="F27" i="41" s="1"/>
  <c r="F22" i="41"/>
  <c r="F21" i="41"/>
  <c r="F20" i="41"/>
  <c r="F17" i="41"/>
  <c r="D72" i="41"/>
  <c r="D10" i="41" s="1"/>
  <c r="C72" i="41"/>
  <c r="C10" i="41" s="1"/>
  <c r="D71" i="41"/>
  <c r="F71" i="41" s="1"/>
  <c r="M67" i="41"/>
  <c r="L67" i="41"/>
  <c r="I67" i="41"/>
  <c r="H67" i="41"/>
  <c r="D67" i="41"/>
  <c r="C67" i="41"/>
  <c r="B55" i="41"/>
  <c r="B50" i="41"/>
  <c r="B47" i="41"/>
  <c r="B46" i="41"/>
  <c r="K40" i="41"/>
  <c r="K39" i="41" s="1"/>
  <c r="B39" i="41"/>
  <c r="K38" i="41"/>
  <c r="K37" i="41" s="1"/>
  <c r="B37" i="41"/>
  <c r="K34" i="41"/>
  <c r="B34" i="41"/>
  <c r="B33" i="41"/>
  <c r="K32" i="41"/>
  <c r="K31" i="41" s="1"/>
  <c r="B31" i="41"/>
  <c r="K30" i="41"/>
  <c r="K29" i="41" s="1"/>
  <c r="B29" i="41"/>
  <c r="K28" i="41"/>
  <c r="K27" i="41" s="1"/>
  <c r="B27" i="41"/>
  <c r="P25" i="41"/>
  <c r="Q22" i="41"/>
  <c r="M22" i="41"/>
  <c r="L22" i="41"/>
  <c r="K22" i="41"/>
  <c r="I22" i="41"/>
  <c r="H22" i="41"/>
  <c r="D22" i="41"/>
  <c r="C22" i="41"/>
  <c r="M21" i="41"/>
  <c r="L21" i="41"/>
  <c r="K21" i="41"/>
  <c r="I21" i="41"/>
  <c r="H21" i="41"/>
  <c r="D21" i="41"/>
  <c r="C21" i="41"/>
  <c r="M20" i="41"/>
  <c r="L20" i="41"/>
  <c r="K20" i="41"/>
  <c r="I20" i="41"/>
  <c r="H20" i="41"/>
  <c r="D20" i="41"/>
  <c r="C20" i="41"/>
  <c r="N38" i="41"/>
  <c r="N37" i="41" s="1"/>
  <c r="J32" i="41"/>
  <c r="J31" i="41" s="1"/>
  <c r="E21" i="41"/>
  <c r="M17" i="41"/>
  <c r="L17" i="41"/>
  <c r="K17" i="41"/>
  <c r="I17" i="41"/>
  <c r="H17" i="41"/>
  <c r="D17" i="41"/>
  <c r="C17" i="41"/>
  <c r="J20" i="41"/>
  <c r="N30" i="41"/>
  <c r="N29" i="41" s="1"/>
  <c r="J30" i="41"/>
  <c r="J29" i="41" s="1"/>
  <c r="E30" i="41"/>
  <c r="E29" i="41" s="1"/>
  <c r="N28" i="41"/>
  <c r="N27" i="41" s="1"/>
  <c r="J34" i="41"/>
  <c r="E28" i="41"/>
  <c r="E27" i="41" s="1"/>
  <c r="N11" i="41"/>
  <c r="N22" i="41" s="1"/>
  <c r="J11" i="41"/>
  <c r="J22" i="41" s="1"/>
  <c r="E11" i="41"/>
  <c r="E22" i="41" s="1"/>
  <c r="J40" i="40"/>
  <c r="I40" i="40"/>
  <c r="I39" i="40" s="1"/>
  <c r="H40" i="40"/>
  <c r="H39" i="40" s="1"/>
  <c r="J39" i="40"/>
  <c r="J38" i="40"/>
  <c r="J37" i="40" s="1"/>
  <c r="I38" i="40"/>
  <c r="I37" i="40" s="1"/>
  <c r="H38" i="40"/>
  <c r="H37" i="40" s="1"/>
  <c r="J34" i="40"/>
  <c r="I34" i="40"/>
  <c r="H34" i="40"/>
  <c r="H33" i="40" s="1"/>
  <c r="J32" i="40"/>
  <c r="J31" i="40" s="1"/>
  <c r="I32" i="40"/>
  <c r="I31" i="40" s="1"/>
  <c r="H32" i="40"/>
  <c r="H31" i="40" s="1"/>
  <c r="J30" i="40"/>
  <c r="J29" i="40" s="1"/>
  <c r="I30" i="40"/>
  <c r="I29" i="40" s="1"/>
  <c r="H30" i="40"/>
  <c r="H29" i="40"/>
  <c r="J28" i="40"/>
  <c r="J27" i="40" s="1"/>
  <c r="I28" i="40"/>
  <c r="I27" i="40" s="1"/>
  <c r="H28" i="40"/>
  <c r="H27" i="40" s="1"/>
  <c r="J22" i="40"/>
  <c r="I22" i="40"/>
  <c r="H22" i="40"/>
  <c r="J21" i="40"/>
  <c r="I21" i="40"/>
  <c r="H21" i="40"/>
  <c r="J20" i="40"/>
  <c r="I20" i="40"/>
  <c r="H20" i="40"/>
  <c r="J17" i="40"/>
  <c r="I17" i="40"/>
  <c r="H17" i="40"/>
  <c r="C72" i="40"/>
  <c r="C10" i="40" s="1"/>
  <c r="D71" i="40"/>
  <c r="E71" i="40" s="1"/>
  <c r="M67" i="40"/>
  <c r="L67" i="40"/>
  <c r="E67" i="40"/>
  <c r="D67" i="40"/>
  <c r="B55" i="40"/>
  <c r="B50" i="40"/>
  <c r="B47" i="40"/>
  <c r="B46" i="40"/>
  <c r="K40" i="40"/>
  <c r="K39" i="40" s="1"/>
  <c r="C40" i="40"/>
  <c r="C39" i="40" s="1"/>
  <c r="B39" i="40"/>
  <c r="K38" i="40"/>
  <c r="K37" i="40" s="1"/>
  <c r="C38" i="40"/>
  <c r="C37" i="40" s="1"/>
  <c r="B37" i="40"/>
  <c r="K34" i="40"/>
  <c r="C34" i="40"/>
  <c r="B34" i="40"/>
  <c r="B33" i="40"/>
  <c r="K32" i="40"/>
  <c r="K31" i="40" s="1"/>
  <c r="C32" i="40"/>
  <c r="C31" i="40" s="1"/>
  <c r="B31" i="40"/>
  <c r="K30" i="40"/>
  <c r="K29" i="40" s="1"/>
  <c r="C30" i="40"/>
  <c r="C29" i="40" s="1"/>
  <c r="B29" i="40"/>
  <c r="K28" i="40"/>
  <c r="K27" i="40" s="1"/>
  <c r="C28" i="40"/>
  <c r="C27" i="40" s="1"/>
  <c r="B27" i="40"/>
  <c r="Q22" i="40"/>
  <c r="P25" i="40" s="1"/>
  <c r="M22" i="40"/>
  <c r="L22" i="40"/>
  <c r="K22" i="40"/>
  <c r="E22" i="40"/>
  <c r="D22" i="40"/>
  <c r="C22" i="40"/>
  <c r="M21" i="40"/>
  <c r="L21" i="40"/>
  <c r="K21" i="40"/>
  <c r="E21" i="40"/>
  <c r="D21" i="40"/>
  <c r="C21" i="40"/>
  <c r="M20" i="40"/>
  <c r="L20" i="40"/>
  <c r="K20" i="40"/>
  <c r="E20" i="40"/>
  <c r="D20" i="40"/>
  <c r="C20" i="40"/>
  <c r="M17" i="40"/>
  <c r="L17" i="40"/>
  <c r="K17" i="40"/>
  <c r="E17" i="40"/>
  <c r="D17" i="40"/>
  <c r="C17" i="40"/>
  <c r="N11" i="40"/>
  <c r="N22" i="40" s="1"/>
  <c r="F11" i="40"/>
  <c r="F22" i="40" s="1"/>
  <c r="N40" i="39"/>
  <c r="N39" i="39"/>
  <c r="N38" i="39"/>
  <c r="N37" i="39" s="1"/>
  <c r="N34" i="39"/>
  <c r="N33" i="39" s="1"/>
  <c r="N32" i="39"/>
  <c r="N31" i="39" s="1"/>
  <c r="N30" i="39"/>
  <c r="N29" i="39" s="1"/>
  <c r="N28" i="39"/>
  <c r="N27" i="39" s="1"/>
  <c r="N22" i="39"/>
  <c r="N21" i="39"/>
  <c r="N20" i="39"/>
  <c r="N17" i="39"/>
  <c r="L22" i="39"/>
  <c r="K22" i="39"/>
  <c r="L21" i="39"/>
  <c r="K21" i="39"/>
  <c r="L20" i="39"/>
  <c r="K20" i="39"/>
  <c r="L17" i="39"/>
  <c r="K17" i="39"/>
  <c r="M11" i="39"/>
  <c r="I22" i="39"/>
  <c r="G22" i="39"/>
  <c r="I21" i="39"/>
  <c r="G21" i="39"/>
  <c r="I20" i="39"/>
  <c r="G20" i="39"/>
  <c r="I17" i="39"/>
  <c r="G17" i="39"/>
  <c r="J11" i="39"/>
  <c r="J22" i="39" s="1"/>
  <c r="E22" i="39"/>
  <c r="D22" i="39"/>
  <c r="E21" i="39"/>
  <c r="D21" i="39"/>
  <c r="E20" i="39"/>
  <c r="D20" i="39"/>
  <c r="E17" i="39"/>
  <c r="D17" i="39"/>
  <c r="F11" i="39"/>
  <c r="F22" i="39" s="1"/>
  <c r="C40" i="39"/>
  <c r="C39" i="39" s="1"/>
  <c r="C38" i="39"/>
  <c r="C37" i="39" s="1"/>
  <c r="C34" i="39"/>
  <c r="C32" i="39"/>
  <c r="C31" i="39" s="1"/>
  <c r="C30" i="39"/>
  <c r="C29" i="39" s="1"/>
  <c r="C28" i="39"/>
  <c r="C27" i="39" s="1"/>
  <c r="C22" i="39"/>
  <c r="C21" i="39"/>
  <c r="C20" i="39"/>
  <c r="C17" i="39"/>
  <c r="C72" i="39"/>
  <c r="C10" i="39" s="1"/>
  <c r="D71" i="39"/>
  <c r="E71" i="39" s="1"/>
  <c r="P67" i="39"/>
  <c r="O67" i="39"/>
  <c r="K67" i="39"/>
  <c r="G67" i="39"/>
  <c r="D67" i="39"/>
  <c r="B55" i="39"/>
  <c r="B50" i="39"/>
  <c r="B47" i="39"/>
  <c r="B46" i="39"/>
  <c r="B39" i="39"/>
  <c r="B37" i="39"/>
  <c r="B34" i="39"/>
  <c r="B33" i="39"/>
  <c r="B31" i="39"/>
  <c r="B29" i="39"/>
  <c r="B27" i="39"/>
  <c r="T22" i="39"/>
  <c r="S25" i="39" s="1"/>
  <c r="P22" i="39"/>
  <c r="O22" i="39"/>
  <c r="P21" i="39"/>
  <c r="O21" i="39"/>
  <c r="P20" i="39"/>
  <c r="O20" i="39"/>
  <c r="P17" i="39"/>
  <c r="O17" i="39"/>
  <c r="Q11" i="39"/>
  <c r="Q22" i="39" s="1"/>
  <c r="I67" i="39"/>
  <c r="E67" i="39"/>
  <c r="E8" i="38"/>
  <c r="I8" i="38" s="1"/>
  <c r="Q30" i="38"/>
  <c r="Q29" i="38" s="1"/>
  <c r="Q28" i="38"/>
  <c r="Q27" i="38" s="1"/>
  <c r="P22" i="38"/>
  <c r="O22" i="38"/>
  <c r="P21" i="38"/>
  <c r="O21" i="38"/>
  <c r="P20" i="38"/>
  <c r="O20" i="38"/>
  <c r="Q40" i="38"/>
  <c r="Q39" i="38" s="1"/>
  <c r="P17" i="38"/>
  <c r="O17" i="38"/>
  <c r="Q34" i="38"/>
  <c r="Q11" i="38"/>
  <c r="Q22" i="38" s="1"/>
  <c r="N40" i="38"/>
  <c r="N39" i="38" s="1"/>
  <c r="N38" i="38"/>
  <c r="N37" i="38"/>
  <c r="N34" i="38"/>
  <c r="N33" i="38" s="1"/>
  <c r="N32" i="38"/>
  <c r="N31" i="38"/>
  <c r="N30" i="38"/>
  <c r="N29" i="38" s="1"/>
  <c r="N28" i="38"/>
  <c r="N27" i="38" s="1"/>
  <c r="N22" i="38"/>
  <c r="N21" i="38"/>
  <c r="N20" i="38"/>
  <c r="N17" i="38"/>
  <c r="H22" i="38"/>
  <c r="F22" i="38"/>
  <c r="H21" i="38"/>
  <c r="F21" i="38"/>
  <c r="H20" i="38"/>
  <c r="F20" i="38"/>
  <c r="H17" i="38"/>
  <c r="F17" i="38"/>
  <c r="I11" i="38"/>
  <c r="I22" i="38" s="1"/>
  <c r="D22" i="38"/>
  <c r="C22" i="38"/>
  <c r="D21" i="38"/>
  <c r="C21" i="38"/>
  <c r="D20" i="38"/>
  <c r="C20" i="38"/>
  <c r="D17" i="38"/>
  <c r="C17" i="38"/>
  <c r="E11" i="38"/>
  <c r="E22" i="38" s="1"/>
  <c r="C72" i="38"/>
  <c r="C10" i="38" s="1"/>
  <c r="D71" i="38"/>
  <c r="F71" i="38" s="1"/>
  <c r="G71" i="38" s="1"/>
  <c r="O67" i="38"/>
  <c r="L67" i="38"/>
  <c r="J67" i="38"/>
  <c r="C67" i="38"/>
  <c r="B55" i="38"/>
  <c r="B50" i="38"/>
  <c r="B47" i="38"/>
  <c r="B46" i="38"/>
  <c r="B39" i="38"/>
  <c r="B37" i="38"/>
  <c r="B34" i="38"/>
  <c r="B33" i="38"/>
  <c r="B31" i="38"/>
  <c r="B29" i="38"/>
  <c r="B27" i="38"/>
  <c r="T22" i="38"/>
  <c r="S25" i="38" s="1"/>
  <c r="L22" i="38"/>
  <c r="J22" i="38"/>
  <c r="L21" i="38"/>
  <c r="J21" i="38"/>
  <c r="L20" i="38"/>
  <c r="J20" i="38"/>
  <c r="L17" i="38"/>
  <c r="J17" i="38"/>
  <c r="M11" i="38"/>
  <c r="M22" i="38" s="1"/>
  <c r="D67" i="38"/>
  <c r="N72" i="37"/>
  <c r="N10" i="37" s="1"/>
  <c r="N71" i="37"/>
  <c r="L71" i="37"/>
  <c r="L72" i="37"/>
  <c r="L10" i="37" s="1"/>
  <c r="L67" i="37"/>
  <c r="K71" i="37"/>
  <c r="N40" i="37"/>
  <c r="N39" i="37" s="1"/>
  <c r="N38" i="37"/>
  <c r="N37" i="37"/>
  <c r="N34" i="37"/>
  <c r="N33" i="37" s="1"/>
  <c r="N32" i="37"/>
  <c r="N31" i="37" s="1"/>
  <c r="N30" i="37"/>
  <c r="N29" i="37" s="1"/>
  <c r="N28" i="37"/>
  <c r="N27" i="37" s="1"/>
  <c r="N22" i="37"/>
  <c r="N21" i="37"/>
  <c r="N20" i="37"/>
  <c r="N17" i="37"/>
  <c r="N8" i="37"/>
  <c r="L22" i="37"/>
  <c r="K22" i="37"/>
  <c r="L21" i="37"/>
  <c r="K21" i="37"/>
  <c r="L20" i="37"/>
  <c r="K20" i="37"/>
  <c r="L17" i="37"/>
  <c r="K17" i="37"/>
  <c r="M8" i="37"/>
  <c r="I22" i="37"/>
  <c r="H22" i="37"/>
  <c r="I21" i="37"/>
  <c r="H21" i="37"/>
  <c r="I20" i="37"/>
  <c r="H20" i="37"/>
  <c r="I17" i="37"/>
  <c r="H17" i="37"/>
  <c r="J11" i="37"/>
  <c r="J22" i="37" s="1"/>
  <c r="A19" i="7"/>
  <c r="A20" i="7" s="1"/>
  <c r="C17" i="37"/>
  <c r="D17" i="37"/>
  <c r="E17" i="37"/>
  <c r="F17" i="37"/>
  <c r="G17" i="37"/>
  <c r="M67" i="37"/>
  <c r="K67" i="37"/>
  <c r="C33" i="43" l="1"/>
  <c r="C41" i="43"/>
  <c r="F10" i="42"/>
  <c r="F41" i="42" s="1"/>
  <c r="F33" i="42"/>
  <c r="I33" i="42"/>
  <c r="K33" i="41"/>
  <c r="E10" i="41"/>
  <c r="I33" i="40"/>
  <c r="C41" i="40"/>
  <c r="C33" i="40"/>
  <c r="G71" i="39"/>
  <c r="E72" i="39"/>
  <c r="E10" i="39" s="1"/>
  <c r="C33" i="39"/>
  <c r="C41" i="39"/>
  <c r="G72" i="38"/>
  <c r="G10" i="38" s="1"/>
  <c r="H71" i="38"/>
  <c r="Q33" i="38"/>
  <c r="D72" i="38"/>
  <c r="D10" i="38" s="1"/>
  <c r="E10" i="38"/>
  <c r="N41" i="37"/>
  <c r="I67" i="38"/>
  <c r="M8" i="38"/>
  <c r="M22" i="43"/>
  <c r="M21" i="43"/>
  <c r="F30" i="43"/>
  <c r="F29" i="43" s="1"/>
  <c r="H33" i="43"/>
  <c r="I33" i="43"/>
  <c r="F40" i="43"/>
  <c r="F39" i="43" s="1"/>
  <c r="F32" i="43"/>
  <c r="F31" i="43" s="1"/>
  <c r="G33" i="43"/>
  <c r="N33" i="43"/>
  <c r="F21" i="43"/>
  <c r="E72" i="43"/>
  <c r="E10" i="43" s="1"/>
  <c r="D72" i="43"/>
  <c r="D10" i="43" s="1"/>
  <c r="F10" i="43" s="1"/>
  <c r="M40" i="43"/>
  <c r="M39" i="43" s="1"/>
  <c r="L22" i="43"/>
  <c r="E67" i="43"/>
  <c r="I20" i="42"/>
  <c r="H71" i="42"/>
  <c r="F28" i="42"/>
  <c r="F27" i="42" s="1"/>
  <c r="L28" i="42"/>
  <c r="L27" i="42" s="1"/>
  <c r="F32" i="42"/>
  <c r="F31" i="42" s="1"/>
  <c r="P34" i="42"/>
  <c r="P33" i="42" s="1"/>
  <c r="L21" i="42"/>
  <c r="M33" i="42"/>
  <c r="P30" i="42"/>
  <c r="P29" i="42" s="1"/>
  <c r="F40" i="42"/>
  <c r="F39" i="42" s="1"/>
  <c r="P32" i="42"/>
  <c r="P31" i="42" s="1"/>
  <c r="L34" i="42"/>
  <c r="L33" i="42" s="1"/>
  <c r="L38" i="42"/>
  <c r="L37" i="42" s="1"/>
  <c r="L40" i="42"/>
  <c r="L39" i="42" s="1"/>
  <c r="L30" i="42"/>
  <c r="L29" i="42" s="1"/>
  <c r="P38" i="42"/>
  <c r="P37" i="42" s="1"/>
  <c r="P40" i="42"/>
  <c r="P39" i="42" s="1"/>
  <c r="L20" i="42"/>
  <c r="P20" i="42"/>
  <c r="J28" i="41"/>
  <c r="J27" i="41" s="1"/>
  <c r="N32" i="41"/>
  <c r="N31" i="41" s="1"/>
  <c r="F33" i="41"/>
  <c r="G33" i="41"/>
  <c r="E20" i="41"/>
  <c r="N21" i="41"/>
  <c r="J33" i="41"/>
  <c r="G71" i="41"/>
  <c r="F72" i="41"/>
  <c r="F10" i="41" s="1"/>
  <c r="F41" i="41" s="1"/>
  <c r="E40" i="41"/>
  <c r="E39" i="41" s="1"/>
  <c r="E38" i="41"/>
  <c r="E37" i="41" s="1"/>
  <c r="J21" i="41"/>
  <c r="E32" i="41"/>
  <c r="E31" i="41" s="1"/>
  <c r="E34" i="41"/>
  <c r="E33" i="41" s="1"/>
  <c r="J40" i="41"/>
  <c r="J39" i="41" s="1"/>
  <c r="J38" i="41"/>
  <c r="J37" i="41" s="1"/>
  <c r="N40" i="41"/>
  <c r="N39" i="41" s="1"/>
  <c r="N20" i="41"/>
  <c r="N34" i="41"/>
  <c r="N33" i="41" s="1"/>
  <c r="J33" i="40"/>
  <c r="K33" i="40"/>
  <c r="N28" i="40"/>
  <c r="N27" i="40" s="1"/>
  <c r="N34" i="40"/>
  <c r="N33" i="40" s="1"/>
  <c r="E72" i="40"/>
  <c r="E10" i="40" s="1"/>
  <c r="D72" i="40"/>
  <c r="D10" i="40" s="1"/>
  <c r="F10" i="40" s="1"/>
  <c r="F30" i="40"/>
  <c r="F29" i="40" s="1"/>
  <c r="M32" i="39"/>
  <c r="M31" i="39" s="1"/>
  <c r="Q20" i="39"/>
  <c r="F32" i="39"/>
  <c r="F31" i="39" s="1"/>
  <c r="M38" i="39"/>
  <c r="M37" i="39" s="1"/>
  <c r="J40" i="39"/>
  <c r="J39" i="39" s="1"/>
  <c r="Q40" i="39"/>
  <c r="Q39" i="39" s="1"/>
  <c r="F28" i="39"/>
  <c r="F27" i="39" s="1"/>
  <c r="M22" i="39"/>
  <c r="F30" i="39"/>
  <c r="F29" i="39" s="1"/>
  <c r="F38" i="39"/>
  <c r="F37" i="39" s="1"/>
  <c r="D72" i="39"/>
  <c r="D10" i="39" s="1"/>
  <c r="F10" i="39" s="1"/>
  <c r="Q20" i="38"/>
  <c r="Q32" i="38"/>
  <c r="Q31" i="38" s="1"/>
  <c r="Q21" i="38"/>
  <c r="Q38" i="38"/>
  <c r="Q37" i="38" s="1"/>
  <c r="M40" i="38"/>
  <c r="M39" i="38" s="1"/>
  <c r="E28" i="38"/>
  <c r="E27" i="38" s="1"/>
  <c r="E32" i="38"/>
  <c r="E31" i="38" s="1"/>
  <c r="I38" i="38"/>
  <c r="I37" i="38" s="1"/>
  <c r="M30" i="38"/>
  <c r="M29" i="38" s="1"/>
  <c r="F67" i="38"/>
  <c r="M32" i="38"/>
  <c r="M31" i="38" s="1"/>
  <c r="E67" i="38"/>
  <c r="M38" i="37"/>
  <c r="M37" i="37" s="1"/>
  <c r="M20" i="37"/>
  <c r="M32" i="37"/>
  <c r="M31" i="37" s="1"/>
  <c r="M21" i="37"/>
  <c r="J17" i="37"/>
  <c r="M22" i="37"/>
  <c r="A21" i="7"/>
  <c r="H72" i="42" l="1"/>
  <c r="H10" i="42" s="1"/>
  <c r="I10" i="42" s="1"/>
  <c r="I41" i="42" s="1"/>
  <c r="J71" i="42"/>
  <c r="E41" i="41"/>
  <c r="K71" i="39"/>
  <c r="I72" i="39"/>
  <c r="I10" i="39" s="1"/>
  <c r="F41" i="39"/>
  <c r="M28" i="43"/>
  <c r="M27" i="43" s="1"/>
  <c r="N67" i="38"/>
  <c r="Q8" i="38"/>
  <c r="C8" i="39" s="1"/>
  <c r="J28" i="37"/>
  <c r="J27" i="37" s="1"/>
  <c r="J21" i="37"/>
  <c r="M38" i="43"/>
  <c r="M37" i="43" s="1"/>
  <c r="M20" i="43"/>
  <c r="M32" i="43"/>
  <c r="M31" i="43" s="1"/>
  <c r="M34" i="43"/>
  <c r="M33" i="43" s="1"/>
  <c r="F20" i="43"/>
  <c r="L30" i="43"/>
  <c r="L29" i="43" s="1"/>
  <c r="F34" i="43"/>
  <c r="F33" i="43" s="1"/>
  <c r="F28" i="43"/>
  <c r="F27" i="43" s="1"/>
  <c r="F41" i="43" s="1"/>
  <c r="L28" i="43"/>
  <c r="L27" i="43" s="1"/>
  <c r="F38" i="43"/>
  <c r="F37" i="43" s="1"/>
  <c r="L32" i="43"/>
  <c r="L31" i="43" s="1"/>
  <c r="L38" i="43"/>
  <c r="L37" i="43" s="1"/>
  <c r="L21" i="43"/>
  <c r="L20" i="43"/>
  <c r="L40" i="43"/>
  <c r="L39" i="43" s="1"/>
  <c r="L34" i="43"/>
  <c r="L33" i="43" s="1"/>
  <c r="K71" i="42"/>
  <c r="J72" i="42"/>
  <c r="J10" i="42" s="1"/>
  <c r="H71" i="41"/>
  <c r="G72" i="41"/>
  <c r="G10" i="41" s="1"/>
  <c r="G41" i="41" s="1"/>
  <c r="N32" i="40"/>
  <c r="N31" i="40" s="1"/>
  <c r="N20" i="40"/>
  <c r="N38" i="40"/>
  <c r="N37" i="40" s="1"/>
  <c r="N21" i="40"/>
  <c r="N40" i="40"/>
  <c r="N39" i="40" s="1"/>
  <c r="F40" i="40"/>
  <c r="F39" i="40" s="1"/>
  <c r="F38" i="40"/>
  <c r="F37" i="40" s="1"/>
  <c r="F32" i="40"/>
  <c r="F31" i="40" s="1"/>
  <c r="F21" i="40"/>
  <c r="F20" i="40"/>
  <c r="F34" i="40"/>
  <c r="F33" i="40" s="1"/>
  <c r="F28" i="40"/>
  <c r="F27" i="40" s="1"/>
  <c r="N30" i="40"/>
  <c r="N29" i="40" s="1"/>
  <c r="J21" i="39"/>
  <c r="J38" i="39"/>
  <c r="J37" i="39" s="1"/>
  <c r="Q34" i="39"/>
  <c r="Q33" i="39" s="1"/>
  <c r="Q30" i="39"/>
  <c r="Q29" i="39" s="1"/>
  <c r="J32" i="39"/>
  <c r="J31" i="39" s="1"/>
  <c r="M20" i="39"/>
  <c r="Q28" i="39"/>
  <c r="Q27" i="39" s="1"/>
  <c r="M34" i="39"/>
  <c r="M33" i="39" s="1"/>
  <c r="M28" i="39"/>
  <c r="M27" i="39" s="1"/>
  <c r="M21" i="39"/>
  <c r="F40" i="39"/>
  <c r="F39" i="39" s="1"/>
  <c r="F20" i="39"/>
  <c r="J20" i="39"/>
  <c r="J30" i="39"/>
  <c r="J29" i="39" s="1"/>
  <c r="Q38" i="39"/>
  <c r="Q37" i="39" s="1"/>
  <c r="Q21" i="39"/>
  <c r="Q32" i="39"/>
  <c r="Q31" i="39" s="1"/>
  <c r="M30" i="39"/>
  <c r="M29" i="39" s="1"/>
  <c r="F21" i="39"/>
  <c r="F34" i="39"/>
  <c r="F33" i="39" s="1"/>
  <c r="J34" i="39"/>
  <c r="J33" i="39" s="1"/>
  <c r="J28" i="39"/>
  <c r="J27" i="39" s="1"/>
  <c r="M40" i="39"/>
  <c r="M39" i="39" s="1"/>
  <c r="L67" i="39"/>
  <c r="G72" i="39"/>
  <c r="G10" i="39" s="1"/>
  <c r="J10" i="39" s="1"/>
  <c r="I40" i="38"/>
  <c r="I39" i="38" s="1"/>
  <c r="I20" i="38"/>
  <c r="E40" i="38"/>
  <c r="E39" i="38" s="1"/>
  <c r="E20" i="38"/>
  <c r="E30" i="38"/>
  <c r="E29" i="38" s="1"/>
  <c r="I32" i="38"/>
  <c r="I31" i="38" s="1"/>
  <c r="I21" i="38"/>
  <c r="E34" i="38"/>
  <c r="E33" i="38" s="1"/>
  <c r="E41" i="38" s="1"/>
  <c r="M38" i="38"/>
  <c r="M37" i="38" s="1"/>
  <c r="M21" i="38"/>
  <c r="M20" i="38"/>
  <c r="I30" i="38"/>
  <c r="I29" i="38" s="1"/>
  <c r="I34" i="38"/>
  <c r="I33" i="38" s="1"/>
  <c r="I28" i="38"/>
  <c r="I27" i="38" s="1"/>
  <c r="E38" i="38"/>
  <c r="E37" i="38" s="1"/>
  <c r="E21" i="38"/>
  <c r="M28" i="38"/>
  <c r="M27" i="38" s="1"/>
  <c r="M34" i="38"/>
  <c r="M33" i="38" s="1"/>
  <c r="H67" i="38"/>
  <c r="F72" i="38"/>
  <c r="F10" i="38" s="1"/>
  <c r="J20" i="37"/>
  <c r="J32" i="37"/>
  <c r="J31" i="37" s="1"/>
  <c r="J38" i="37"/>
  <c r="J37" i="37" s="1"/>
  <c r="J34" i="37"/>
  <c r="J33" i="37" s="1"/>
  <c r="M40" i="37"/>
  <c r="M39" i="37" s="1"/>
  <c r="M28" i="37"/>
  <c r="M27" i="37" s="1"/>
  <c r="M34" i="37"/>
  <c r="M33" i="37" s="1"/>
  <c r="M30" i="37"/>
  <c r="M29" i="37" s="1"/>
  <c r="J40" i="37"/>
  <c r="J39" i="37" s="1"/>
  <c r="J30" i="37"/>
  <c r="J29" i="37" s="1"/>
  <c r="A22" i="7"/>
  <c r="B6" i="7"/>
  <c r="B5" i="7"/>
  <c r="C9" i="7"/>
  <c r="C7" i="7"/>
  <c r="F41" i="40" l="1"/>
  <c r="J41" i="39"/>
  <c r="L71" i="39"/>
  <c r="N71" i="39" s="1"/>
  <c r="C67" i="39"/>
  <c r="F8" i="39"/>
  <c r="M30" i="43"/>
  <c r="M29" i="43" s="1"/>
  <c r="M17" i="43"/>
  <c r="H71" i="43"/>
  <c r="G72" i="43"/>
  <c r="G10" i="43" s="1"/>
  <c r="G41" i="43" s="1"/>
  <c r="L10" i="42"/>
  <c r="L41" i="42" s="1"/>
  <c r="M71" i="42"/>
  <c r="K72" i="42"/>
  <c r="K10" i="42" s="1"/>
  <c r="I71" i="41"/>
  <c r="H72" i="41"/>
  <c r="H10" i="41" s="1"/>
  <c r="I71" i="40"/>
  <c r="J71" i="40" s="1"/>
  <c r="M67" i="38"/>
  <c r="J71" i="38"/>
  <c r="H72" i="38"/>
  <c r="H10" i="38" s="1"/>
  <c r="I10" i="38" s="1"/>
  <c r="I41" i="38" s="1"/>
  <c r="A23" i="7"/>
  <c r="D8" i="37"/>
  <c r="E8" i="37" s="1"/>
  <c r="F8" i="37" s="1"/>
  <c r="G8" i="37" s="1"/>
  <c r="J8" i="37" s="1"/>
  <c r="D71" i="37"/>
  <c r="E71" i="37" s="1"/>
  <c r="G40" i="37"/>
  <c r="G39" i="37" s="1"/>
  <c r="F40" i="37"/>
  <c r="F39" i="37" s="1"/>
  <c r="G38" i="37"/>
  <c r="G37" i="37" s="1"/>
  <c r="F38" i="37"/>
  <c r="F37" i="37" s="1"/>
  <c r="G34" i="37"/>
  <c r="F34" i="37"/>
  <c r="G32" i="37"/>
  <c r="G31" i="37" s="1"/>
  <c r="F32" i="37"/>
  <c r="F31" i="37" s="1"/>
  <c r="G30" i="37"/>
  <c r="G29" i="37" s="1"/>
  <c r="F30" i="37"/>
  <c r="F29" i="37" s="1"/>
  <c r="G28" i="37"/>
  <c r="G27" i="37" s="1"/>
  <c r="F28" i="37"/>
  <c r="F27" i="37" s="1"/>
  <c r="G22" i="37"/>
  <c r="F22" i="37"/>
  <c r="G21" i="37"/>
  <c r="F21" i="37"/>
  <c r="G20" i="37"/>
  <c r="F20" i="37"/>
  <c r="C72" i="37"/>
  <c r="C10" i="37" s="1"/>
  <c r="B55" i="37"/>
  <c r="B50" i="37"/>
  <c r="B47" i="37"/>
  <c r="B46" i="37"/>
  <c r="E40" i="37"/>
  <c r="E39" i="37" s="1"/>
  <c r="D40" i="37"/>
  <c r="D39" i="37" s="1"/>
  <c r="C40" i="37"/>
  <c r="C39" i="37" s="1"/>
  <c r="B39" i="37"/>
  <c r="E38" i="37"/>
  <c r="E37" i="37" s="1"/>
  <c r="D38" i="37"/>
  <c r="D37" i="37" s="1"/>
  <c r="C38" i="37"/>
  <c r="C37" i="37" s="1"/>
  <c r="B37" i="37"/>
  <c r="E34" i="37"/>
  <c r="D34" i="37"/>
  <c r="C34" i="37"/>
  <c r="B34" i="37"/>
  <c r="B33" i="37"/>
  <c r="E32" i="37"/>
  <c r="E31" i="37" s="1"/>
  <c r="D32" i="37"/>
  <c r="D31" i="37" s="1"/>
  <c r="C32" i="37"/>
  <c r="C31" i="37" s="1"/>
  <c r="B31" i="37"/>
  <c r="E30" i="37"/>
  <c r="E29" i="37" s="1"/>
  <c r="D30" i="37"/>
  <c r="D29" i="37" s="1"/>
  <c r="C30" i="37"/>
  <c r="C29" i="37" s="1"/>
  <c r="B29" i="37"/>
  <c r="E28" i="37"/>
  <c r="E27" i="37" s="1"/>
  <c r="D28" i="37"/>
  <c r="D27" i="37" s="1"/>
  <c r="C28" i="37"/>
  <c r="C27" i="37" s="1"/>
  <c r="B27" i="37"/>
  <c r="Q22" i="37"/>
  <c r="P25" i="37" s="1"/>
  <c r="E22" i="37"/>
  <c r="D22" i="37"/>
  <c r="C22" i="37"/>
  <c r="E21" i="37"/>
  <c r="D21" i="37"/>
  <c r="C21" i="37"/>
  <c r="E20" i="37"/>
  <c r="D20" i="37"/>
  <c r="C20" i="37"/>
  <c r="K71" i="40" l="1"/>
  <c r="L71" i="40" s="1"/>
  <c r="M71" i="40" s="1"/>
  <c r="J72" i="40"/>
  <c r="J10" i="40" s="1"/>
  <c r="J41" i="40" s="1"/>
  <c r="L72" i="39"/>
  <c r="L10" i="39" s="1"/>
  <c r="O71" i="39"/>
  <c r="N72" i="39"/>
  <c r="N10" i="39" s="1"/>
  <c r="N41" i="39" s="1"/>
  <c r="F67" i="39"/>
  <c r="J8" i="39"/>
  <c r="I71" i="43"/>
  <c r="H72" i="43"/>
  <c r="H10" i="43" s="1"/>
  <c r="H41" i="43" s="1"/>
  <c r="M72" i="42"/>
  <c r="M10" i="42" s="1"/>
  <c r="M41" i="42" s="1"/>
  <c r="N71" i="42"/>
  <c r="J10" i="41"/>
  <c r="J41" i="41" s="1"/>
  <c r="I72" i="41"/>
  <c r="I10" i="41" s="1"/>
  <c r="K71" i="41"/>
  <c r="H72" i="40"/>
  <c r="H10" i="40" s="1"/>
  <c r="H41" i="40" s="1"/>
  <c r="K72" i="39"/>
  <c r="K10" i="39" s="1"/>
  <c r="M10" i="39" s="1"/>
  <c r="M41" i="39" s="1"/>
  <c r="J72" i="38"/>
  <c r="J10" i="38" s="1"/>
  <c r="Q67" i="38"/>
  <c r="P67" i="38"/>
  <c r="A24" i="7"/>
  <c r="D33" i="37"/>
  <c r="E33" i="37"/>
  <c r="G33" i="37"/>
  <c r="C33" i="37"/>
  <c r="C41" i="37" s="1"/>
  <c r="F33" i="37"/>
  <c r="C67" i="37"/>
  <c r="I67" i="37"/>
  <c r="G67" i="37"/>
  <c r="F67" i="37"/>
  <c r="F71" i="37"/>
  <c r="G71" i="37" s="1"/>
  <c r="H71" i="37" s="1"/>
  <c r="E72" i="37"/>
  <c r="E10" i="37" s="1"/>
  <c r="E41" i="37" s="1"/>
  <c r="D72" i="37"/>
  <c r="D10" i="37" s="1"/>
  <c r="D41" i="37" s="1"/>
  <c r="E67" i="37"/>
  <c r="D67" i="37"/>
  <c r="M8" i="39" l="1"/>
  <c r="J67" i="39"/>
  <c r="J71" i="43"/>
  <c r="I72" i="43"/>
  <c r="N72" i="42"/>
  <c r="N10" i="42" s="1"/>
  <c r="O71" i="42"/>
  <c r="O72" i="42" s="1"/>
  <c r="O10" i="42" s="1"/>
  <c r="K72" i="41"/>
  <c r="K10" i="41" s="1"/>
  <c r="K41" i="41" s="1"/>
  <c r="L71" i="41"/>
  <c r="I72" i="40"/>
  <c r="I10" i="40" s="1"/>
  <c r="I41" i="40" s="1"/>
  <c r="M10" i="38"/>
  <c r="M41" i="38" s="1"/>
  <c r="N71" i="38"/>
  <c r="L72" i="38"/>
  <c r="L10" i="38" s="1"/>
  <c r="A25" i="7"/>
  <c r="F72" i="37"/>
  <c r="F10" i="37" s="1"/>
  <c r="F41" i="37" s="1"/>
  <c r="I71" i="37"/>
  <c r="H72" i="37"/>
  <c r="H10" i="37" s="1"/>
  <c r="J67" i="37"/>
  <c r="G72" i="37"/>
  <c r="G10" i="37" s="1"/>
  <c r="G41" i="37" s="1"/>
  <c r="H67" i="37"/>
  <c r="I21" i="7" a="1"/>
  <c r="J20" i="7" a="1"/>
  <c r="C23" i="7" a="1"/>
  <c r="B21" i="7" a="1"/>
  <c r="D24" i="7" a="1"/>
  <c r="B24" i="7" a="1"/>
  <c r="D21" i="7" a="1"/>
  <c r="F23" i="7" a="1"/>
  <c r="C20" i="7" a="1"/>
  <c r="C22" i="7" a="1"/>
  <c r="E24" i="7" a="1"/>
  <c r="H22" i="7" a="1"/>
  <c r="B19" i="7" a="1"/>
  <c r="J19" i="7" a="1"/>
  <c r="H20" i="7" a="1"/>
  <c r="G19" i="7" a="1"/>
  <c r="F22" i="7" a="1"/>
  <c r="B23" i="7" a="1"/>
  <c r="I19" i="7" a="1"/>
  <c r="E19" i="7" a="1"/>
  <c r="G24" i="7" a="1"/>
  <c r="C19" i="7" a="1"/>
  <c r="G22" i="7" a="1"/>
  <c r="F20" i="7" a="1"/>
  <c r="I22" i="7" a="1"/>
  <c r="E22" i="7" a="1"/>
  <c r="C21" i="7" a="1"/>
  <c r="G21" i="7" a="1"/>
  <c r="F19" i="7" a="1"/>
  <c r="D20" i="7" a="1"/>
  <c r="D23" i="7" a="1"/>
  <c r="B22" i="7" a="1"/>
  <c r="C24" i="7" a="1"/>
  <c r="J22" i="7" a="1"/>
  <c r="B20" i="7" a="1"/>
  <c r="H19" i="7" a="1"/>
  <c r="D22" i="7" a="1"/>
  <c r="J21" i="7" a="1"/>
  <c r="H21" i="7" a="1"/>
  <c r="H23" i="7" a="1"/>
  <c r="G20" i="7" a="1"/>
  <c r="F21" i="7" a="1"/>
  <c r="D19" i="7" a="1"/>
  <c r="I20" i="7" a="1"/>
  <c r="E21" i="7" a="1"/>
  <c r="H24" i="7" a="1"/>
  <c r="E23" i="7" a="1"/>
  <c r="E20" i="7" a="1"/>
  <c r="G23" i="7" a="1"/>
  <c r="F24" i="7" a="1"/>
  <c r="N8" i="39" l="1"/>
  <c r="M67" i="39"/>
  <c r="I10" i="43"/>
  <c r="I41" i="43" s="1"/>
  <c r="J72" i="43"/>
  <c r="J10" i="43" s="1"/>
  <c r="K71" i="43"/>
  <c r="P10" i="42"/>
  <c r="P41" i="42" s="1"/>
  <c r="L72" i="41"/>
  <c r="L10" i="41" s="1"/>
  <c r="M71" i="41"/>
  <c r="M72" i="41" s="1"/>
  <c r="M10" i="41" s="1"/>
  <c r="K72" i="40"/>
  <c r="K10" i="40" s="1"/>
  <c r="K41" i="40" s="1"/>
  <c r="O72" i="39"/>
  <c r="O10" i="39" s="1"/>
  <c r="Q10" i="39" s="1"/>
  <c r="Q41" i="39" s="1"/>
  <c r="P71" i="39"/>
  <c r="P72" i="39" s="1"/>
  <c r="P10" i="39" s="1"/>
  <c r="N72" i="38"/>
  <c r="N10" i="38" s="1"/>
  <c r="O71" i="38"/>
  <c r="P71" i="38" s="1"/>
  <c r="P72" i="38" s="1"/>
  <c r="P10" i="38" s="1"/>
  <c r="K72" i="37"/>
  <c r="K10" i="37" s="1"/>
  <c r="M10" i="37" s="1"/>
  <c r="M41" i="37" s="1"/>
  <c r="F19" i="7"/>
  <c r="B19" i="7"/>
  <c r="H19" i="7"/>
  <c r="B20" i="7"/>
  <c r="C19" i="7"/>
  <c r="F20" i="7"/>
  <c r="D20" i="7"/>
  <c r="D19" i="7"/>
  <c r="J19" i="7"/>
  <c r="E19" i="7"/>
  <c r="E20" i="7"/>
  <c r="J20" i="7"/>
  <c r="C20" i="7"/>
  <c r="H20" i="7"/>
  <c r="I19" i="7"/>
  <c r="G20" i="7"/>
  <c r="I20" i="7"/>
  <c r="G19" i="7"/>
  <c r="G21" i="7"/>
  <c r="F21" i="7"/>
  <c r="J21" i="7"/>
  <c r="D21" i="7"/>
  <c r="I21" i="7"/>
  <c r="E21" i="7"/>
  <c r="H21" i="7"/>
  <c r="B21" i="7"/>
  <c r="C21" i="7"/>
  <c r="C22" i="7"/>
  <c r="F22" i="7"/>
  <c r="D22" i="7"/>
  <c r="B22" i="7"/>
  <c r="E22" i="7"/>
  <c r="J22" i="7"/>
  <c r="H22" i="7"/>
  <c r="G22" i="7"/>
  <c r="I22" i="7"/>
  <c r="H23" i="7"/>
  <c r="F23" i="7"/>
  <c r="D23" i="7"/>
  <c r="B23" i="7"/>
  <c r="E23" i="7"/>
  <c r="G23" i="7"/>
  <c r="C23" i="7"/>
  <c r="F24" i="7"/>
  <c r="H24" i="7"/>
  <c r="G24" i="7"/>
  <c r="D24" i="7"/>
  <c r="C24" i="7"/>
  <c r="B24" i="7"/>
  <c r="E24" i="7"/>
  <c r="A26" i="7"/>
  <c r="I72" i="37"/>
  <c r="I10" i="37" s="1"/>
  <c r="J10" i="37" s="1"/>
  <c r="J41" i="37" s="1"/>
  <c r="I23" i="7" a="1"/>
  <c r="I23" i="7" l="1"/>
  <c r="N41" i="38"/>
  <c r="N67" i="39"/>
  <c r="Q8" i="39"/>
  <c r="K72" i="43"/>
  <c r="K10" i="43" s="1"/>
  <c r="N72" i="43"/>
  <c r="N10" i="43" s="1"/>
  <c r="N41" i="43" s="1"/>
  <c r="L10" i="43"/>
  <c r="L41" i="43" s="1"/>
  <c r="N10" i="41"/>
  <c r="N41" i="41" s="1"/>
  <c r="L72" i="40"/>
  <c r="L10" i="40" s="1"/>
  <c r="M72" i="40"/>
  <c r="M10" i="40" s="1"/>
  <c r="O72" i="38"/>
  <c r="O10" i="38" s="1"/>
  <c r="Q10" i="38" s="1"/>
  <c r="A27" i="7"/>
  <c r="E25" i="7" a="1"/>
  <c r="D26" i="7" a="1"/>
  <c r="G26" i="7" a="1"/>
  <c r="F26" i="7" a="1"/>
  <c r="F25" i="7" a="1"/>
  <c r="I25" i="7" a="1"/>
  <c r="J25" i="7" a="1"/>
  <c r="C26" i="7" a="1"/>
  <c r="D25" i="7" a="1"/>
  <c r="J26" i="7" a="1"/>
  <c r="I24" i="7" a="1"/>
  <c r="B25" i="7" a="1"/>
  <c r="C25" i="7" a="1"/>
  <c r="J23" i="7" a="1"/>
  <c r="E26" i="7" a="1"/>
  <c r="I26" i="7" a="1"/>
  <c r="B26" i="7" a="1"/>
  <c r="H26" i="7" a="1"/>
  <c r="H25" i="7" a="1"/>
  <c r="G25" i="7" a="1"/>
  <c r="B25" i="7" l="1"/>
  <c r="H25" i="7"/>
  <c r="E25" i="7"/>
  <c r="D25" i="7"/>
  <c r="I25" i="7"/>
  <c r="C25" i="7"/>
  <c r="G25" i="7"/>
  <c r="F25" i="7"/>
  <c r="J25" i="7"/>
  <c r="I24" i="7"/>
  <c r="J23" i="7"/>
  <c r="Q41" i="38"/>
  <c r="C8" i="40"/>
  <c r="Q67" i="39"/>
  <c r="M10" i="43"/>
  <c r="M41" i="43" s="1"/>
  <c r="N10" i="40"/>
  <c r="N41" i="40" s="1"/>
  <c r="G26" i="7"/>
  <c r="F26" i="7"/>
  <c r="H26" i="7"/>
  <c r="E26" i="7"/>
  <c r="B26" i="7"/>
  <c r="C26" i="7"/>
  <c r="I26" i="7"/>
  <c r="D26" i="7"/>
  <c r="J26" i="7"/>
  <c r="A28" i="7"/>
  <c r="N67" i="37"/>
  <c r="B12" i="7" a="1"/>
  <c r="B27" i="7" a="1"/>
  <c r="F27" i="7" a="1"/>
  <c r="J27" i="7" a="1"/>
  <c r="E12" i="7" a="1"/>
  <c r="D27" i="7" a="1"/>
  <c r="C27" i="7" a="1"/>
  <c r="D12" i="7" a="1"/>
  <c r="H12" i="7" a="1"/>
  <c r="I27" i="7" a="1"/>
  <c r="C12" i="7" a="1"/>
  <c r="G12" i="7" a="1"/>
  <c r="G27" i="7" a="1"/>
  <c r="H27" i="7" a="1"/>
  <c r="E27" i="7" a="1"/>
  <c r="F8" i="40" l="1"/>
  <c r="C67" i="40"/>
  <c r="F27" i="7"/>
  <c r="C27" i="7"/>
  <c r="G27" i="7"/>
  <c r="H27" i="7"/>
  <c r="I27" i="7"/>
  <c r="D27" i="7"/>
  <c r="J27" i="7"/>
  <c r="B27" i="7"/>
  <c r="E27" i="7"/>
  <c r="A29" i="7"/>
  <c r="B12" i="7"/>
  <c r="E12" i="7"/>
  <c r="G12" i="7"/>
  <c r="D12" i="7"/>
  <c r="H12" i="7"/>
  <c r="C12" i="7"/>
  <c r="G28" i="7" a="1"/>
  <c r="I28" i="7" a="1"/>
  <c r="E28" i="7" a="1"/>
  <c r="B28" i="7" a="1"/>
  <c r="C28" i="7" a="1"/>
  <c r="F28" i="7" a="1"/>
  <c r="F12" i="7" a="1"/>
  <c r="J28" i="7" a="1"/>
  <c r="J12" i="7" a="1"/>
  <c r="H28" i="7" a="1"/>
  <c r="D28" i="7" a="1"/>
  <c r="F67" i="40" l="1"/>
  <c r="D28" i="7"/>
  <c r="J28" i="7"/>
  <c r="E28" i="7"/>
  <c r="G28" i="7"/>
  <c r="H28" i="7"/>
  <c r="C28" i="7"/>
  <c r="F28" i="7"/>
  <c r="B28" i="7"/>
  <c r="I28" i="7"/>
  <c r="A30" i="7"/>
  <c r="J12" i="7"/>
  <c r="F12" i="7"/>
  <c r="B29" i="7" a="1"/>
  <c r="G29" i="7" a="1"/>
  <c r="I29" i="7" a="1"/>
  <c r="J29" i="7" a="1"/>
  <c r="D29" i="7" a="1"/>
  <c r="F29" i="7" a="1"/>
  <c r="I12" i="7" a="1"/>
  <c r="C29" i="7" a="1"/>
  <c r="H29" i="7" a="1"/>
  <c r="E29" i="7" a="1"/>
  <c r="H8" i="40" l="1"/>
  <c r="G67" i="40"/>
  <c r="B29" i="7"/>
  <c r="I29" i="7"/>
  <c r="F29" i="7"/>
  <c r="D29" i="7"/>
  <c r="E29" i="7"/>
  <c r="H29" i="7"/>
  <c r="G29" i="7"/>
  <c r="C29" i="7"/>
  <c r="J29" i="7"/>
  <c r="A31" i="7"/>
  <c r="I12" i="7"/>
  <c r="D30" i="7" a="1"/>
  <c r="I30" i="7" a="1"/>
  <c r="F30" i="7" a="1"/>
  <c r="H30" i="7" a="1"/>
  <c r="J30" i="7" a="1"/>
  <c r="C30" i="7" a="1"/>
  <c r="G30" i="7" a="1"/>
  <c r="E30" i="7" a="1"/>
  <c r="B30" i="7" a="1"/>
  <c r="H67" i="40" l="1"/>
  <c r="I8" i="40"/>
  <c r="J30" i="7"/>
  <c r="C30" i="7"/>
  <c r="B30" i="7"/>
  <c r="I30" i="7"/>
  <c r="D30" i="7"/>
  <c r="F30" i="7"/>
  <c r="G30" i="7"/>
  <c r="E30" i="7"/>
  <c r="H30" i="7"/>
  <c r="A32" i="7"/>
  <c r="A13" i="7"/>
  <c r="C13" i="7" a="1"/>
  <c r="I13" i="7" a="1"/>
  <c r="F13" i="7" a="1"/>
  <c r="B13" i="7" a="1"/>
  <c r="J13" i="7" a="1"/>
  <c r="E13" i="7" a="1"/>
  <c r="D13" i="7" a="1"/>
  <c r="H13" i="7" a="1"/>
  <c r="G13" i="7" a="1"/>
  <c r="I67" i="40" l="1"/>
  <c r="J8" i="40"/>
  <c r="A33" i="7"/>
  <c r="I13" i="7"/>
  <c r="B13" i="7"/>
  <c r="C13" i="7"/>
  <c r="D13" i="7"/>
  <c r="F13" i="7"/>
  <c r="E13" i="7"/>
  <c r="G13" i="7"/>
  <c r="H13" i="7"/>
  <c r="J13" i="7"/>
  <c r="A14" i="7"/>
  <c r="I14" i="7" a="1"/>
  <c r="B14" i="7" a="1"/>
  <c r="G14" i="7" a="1"/>
  <c r="C14" i="7" a="1"/>
  <c r="D14" i="7" a="1"/>
  <c r="J14" i="7" a="1"/>
  <c r="E14" i="7" a="1"/>
  <c r="H14" i="7" a="1"/>
  <c r="F14" i="7" a="1"/>
  <c r="J67" i="40" l="1"/>
  <c r="K8" i="40"/>
  <c r="A34" i="7"/>
  <c r="B14" i="7"/>
  <c r="C14" i="7"/>
  <c r="G14" i="7"/>
  <c r="D14" i="7"/>
  <c r="H14" i="7"/>
  <c r="E14" i="7"/>
  <c r="F14" i="7"/>
  <c r="J14" i="7"/>
  <c r="I14" i="7"/>
  <c r="A15" i="7"/>
  <c r="I15" i="7" a="1"/>
  <c r="B15" i="7" a="1"/>
  <c r="E15" i="7" a="1"/>
  <c r="J15" i="7" a="1"/>
  <c r="D15" i="7" a="1"/>
  <c r="H15" i="7" a="1"/>
  <c r="F15" i="7" a="1"/>
  <c r="C15" i="7" a="1"/>
  <c r="G15" i="7" a="1"/>
  <c r="N8" i="40" l="1"/>
  <c r="K67" i="40"/>
  <c r="A35" i="7"/>
  <c r="F15" i="7"/>
  <c r="I15" i="7"/>
  <c r="H15" i="7"/>
  <c r="E15" i="7"/>
  <c r="C15" i="7"/>
  <c r="J15" i="7"/>
  <c r="G15" i="7"/>
  <c r="D15" i="7"/>
  <c r="B15" i="7"/>
  <c r="A16" i="7"/>
  <c r="G34" i="7" a="1"/>
  <c r="H33" i="7" a="1"/>
  <c r="I33" i="7" a="1"/>
  <c r="C34" i="7" a="1"/>
  <c r="G32" i="7" a="1"/>
  <c r="D33" i="7" a="1"/>
  <c r="J16" i="7" a="1"/>
  <c r="I31" i="7" a="1"/>
  <c r="C33" i="7" a="1"/>
  <c r="D16" i="7" a="1"/>
  <c r="H16" i="7" a="1"/>
  <c r="H34" i="7" a="1"/>
  <c r="G33" i="7" a="1"/>
  <c r="E34" i="7" a="1"/>
  <c r="F32" i="7" a="1"/>
  <c r="C32" i="7" a="1"/>
  <c r="E32" i="7" a="1"/>
  <c r="B31" i="7" a="1"/>
  <c r="D34" i="7" a="1"/>
  <c r="D32" i="7" a="1"/>
  <c r="E16" i="7" a="1"/>
  <c r="F34" i="7" a="1"/>
  <c r="C16" i="7" a="1"/>
  <c r="E31" i="7" a="1"/>
  <c r="C31" i="7" a="1"/>
  <c r="I32" i="7" a="1"/>
  <c r="J31" i="7" a="1"/>
  <c r="B16" i="7" a="1"/>
  <c r="H31" i="7" a="1"/>
  <c r="I34" i="7" a="1"/>
  <c r="J33" i="7" a="1"/>
  <c r="B34" i="7" a="1"/>
  <c r="B32" i="7" a="1"/>
  <c r="F33" i="7" a="1"/>
  <c r="F31" i="7" a="1"/>
  <c r="B33" i="7" a="1"/>
  <c r="G16" i="7" a="1"/>
  <c r="J34" i="7" a="1"/>
  <c r="I16" i="7" a="1"/>
  <c r="D31" i="7" a="1"/>
  <c r="F16" i="7" a="1"/>
  <c r="E33" i="7" a="1"/>
  <c r="G31" i="7" a="1"/>
  <c r="H32" i="7" a="1"/>
  <c r="J32" i="7" a="1"/>
  <c r="I32" i="7" l="1"/>
  <c r="F32" i="7"/>
  <c r="J32" i="7"/>
  <c r="D32" i="7"/>
  <c r="G32" i="7"/>
  <c r="C32" i="7"/>
  <c r="E32" i="7"/>
  <c r="H32" i="7"/>
  <c r="B32" i="7"/>
  <c r="I31" i="7"/>
  <c r="B31" i="7"/>
  <c r="D31" i="7"/>
  <c r="G31" i="7"/>
  <c r="E31" i="7"/>
  <c r="H31" i="7"/>
  <c r="F31" i="7"/>
  <c r="C31" i="7"/>
  <c r="J31" i="7"/>
  <c r="D33" i="7"/>
  <c r="H33" i="7"/>
  <c r="J33" i="7"/>
  <c r="I33" i="7"/>
  <c r="C33" i="7"/>
  <c r="G33" i="7"/>
  <c r="E33" i="7"/>
  <c r="F33" i="7"/>
  <c r="B33" i="7"/>
  <c r="E8" i="41"/>
  <c r="N67" i="40"/>
  <c r="F34" i="7"/>
  <c r="G34" i="7"/>
  <c r="B34" i="7"/>
  <c r="H34" i="7"/>
  <c r="C34" i="7"/>
  <c r="D34" i="7"/>
  <c r="J34" i="7"/>
  <c r="I34" i="7"/>
  <c r="E34" i="7"/>
  <c r="A36" i="7"/>
  <c r="F16" i="7"/>
  <c r="B16" i="7"/>
  <c r="E16" i="7"/>
  <c r="D16" i="7"/>
  <c r="G16" i="7"/>
  <c r="J16" i="7"/>
  <c r="I16" i="7"/>
  <c r="H16" i="7"/>
  <c r="C16" i="7"/>
  <c r="A17" i="7"/>
  <c r="G17" i="7" a="1"/>
  <c r="F17" i="7" a="1"/>
  <c r="J35" i="7" a="1"/>
  <c r="D35" i="7" a="1"/>
  <c r="C35" i="7" a="1"/>
  <c r="H17" i="7" a="1"/>
  <c r="H35" i="7" a="1"/>
  <c r="F35" i="7" a="1"/>
  <c r="D17" i="7" a="1"/>
  <c r="C17" i="7" a="1"/>
  <c r="J17" i="7" a="1"/>
  <c r="B17" i="7" a="1"/>
  <c r="I17" i="7" a="1"/>
  <c r="E35" i="7" a="1"/>
  <c r="B35" i="7" a="1"/>
  <c r="I35" i="7" a="1"/>
  <c r="G35" i="7" a="1"/>
  <c r="E17" i="7" a="1"/>
  <c r="E67" i="41" l="1"/>
  <c r="F8" i="41"/>
  <c r="I35" i="7"/>
  <c r="E35" i="7"/>
  <c r="C35" i="7"/>
  <c r="G35" i="7"/>
  <c r="H35" i="7"/>
  <c r="D35" i="7"/>
  <c r="J35" i="7"/>
  <c r="F35" i="7"/>
  <c r="B35" i="7"/>
  <c r="A37" i="7"/>
  <c r="D17" i="7"/>
  <c r="F17" i="7"/>
  <c r="C17" i="7"/>
  <c r="I17" i="7"/>
  <c r="G17" i="7"/>
  <c r="B17" i="7"/>
  <c r="J17" i="7"/>
  <c r="E17" i="7"/>
  <c r="H17" i="7"/>
  <c r="A18" i="7"/>
  <c r="I18" i="7" a="1"/>
  <c r="J18" i="7" a="1"/>
  <c r="E36" i="7" a="1"/>
  <c r="D36" i="7" a="1"/>
  <c r="B36" i="7" a="1"/>
  <c r="G36" i="7" a="1"/>
  <c r="H36" i="7" a="1"/>
  <c r="E18" i="7" a="1"/>
  <c r="G18" i="7" a="1"/>
  <c r="J36" i="7" a="1"/>
  <c r="F18" i="7" a="1"/>
  <c r="H18" i="7" a="1"/>
  <c r="C36" i="7" a="1"/>
  <c r="B18" i="7" a="1"/>
  <c r="I36" i="7" a="1"/>
  <c r="C18" i="7" a="1"/>
  <c r="F36" i="7" a="1"/>
  <c r="D18" i="7" a="1"/>
  <c r="F67" i="41" l="1"/>
  <c r="G8" i="41"/>
  <c r="F36" i="7"/>
  <c r="G36" i="7"/>
  <c r="C36" i="7"/>
  <c r="J36" i="7"/>
  <c r="E36" i="7"/>
  <c r="H36" i="7"/>
  <c r="I36" i="7"/>
  <c r="D36" i="7"/>
  <c r="B36" i="7"/>
  <c r="A38" i="7"/>
  <c r="C18" i="7"/>
  <c r="B18" i="7"/>
  <c r="H18" i="7"/>
  <c r="D18" i="7"/>
  <c r="G18" i="7"/>
  <c r="E18" i="7"/>
  <c r="F18" i="7"/>
  <c r="I18" i="7"/>
  <c r="J18" i="7"/>
  <c r="E37" i="7" a="1"/>
  <c r="B37" i="7" a="1"/>
  <c r="J37" i="7" a="1"/>
  <c r="F37" i="7" a="1"/>
  <c r="D37" i="7" a="1"/>
  <c r="I37" i="7" a="1"/>
  <c r="H37" i="7" a="1"/>
  <c r="G37" i="7" a="1"/>
  <c r="C37" i="7" a="1"/>
  <c r="G67" i="41" l="1"/>
  <c r="J8" i="41"/>
  <c r="G37" i="7"/>
  <c r="C37" i="7"/>
  <c r="B37" i="7"/>
  <c r="J37" i="7"/>
  <c r="H37" i="7"/>
  <c r="I37" i="7"/>
  <c r="D37" i="7"/>
  <c r="E37" i="7"/>
  <c r="F37" i="7"/>
  <c r="A39" i="7"/>
  <c r="E38" i="7" a="1"/>
  <c r="D38" i="7" a="1"/>
  <c r="F38" i="7" a="1"/>
  <c r="J38" i="7" a="1"/>
  <c r="I38" i="7" a="1"/>
  <c r="B38" i="7" a="1"/>
  <c r="G38" i="7" a="1"/>
  <c r="H38" i="7" a="1"/>
  <c r="C38" i="7" a="1"/>
  <c r="J67" i="41" l="1"/>
  <c r="K8" i="41"/>
  <c r="J38" i="7"/>
  <c r="E38" i="7"/>
  <c r="G38" i="7"/>
  <c r="H38" i="7"/>
  <c r="I38" i="7"/>
  <c r="F38" i="7"/>
  <c r="B38" i="7"/>
  <c r="C38" i="7"/>
  <c r="D38" i="7"/>
  <c r="A40" i="7"/>
  <c r="K67" i="41" l="1"/>
  <c r="N8" i="41"/>
  <c r="A41" i="7"/>
  <c r="H40" i="7" a="1"/>
  <c r="E40" i="7" a="1"/>
  <c r="C40" i="7" a="1"/>
  <c r="I39" i="7" a="1"/>
  <c r="I40" i="7" a="1"/>
  <c r="C39" i="7" a="1"/>
  <c r="B39" i="7" a="1"/>
  <c r="H39" i="7" a="1"/>
  <c r="B40" i="7" a="1"/>
  <c r="F39" i="7" a="1"/>
  <c r="J40" i="7" a="1"/>
  <c r="E39" i="7" a="1"/>
  <c r="D39" i="7" a="1"/>
  <c r="G39" i="7" a="1"/>
  <c r="G40" i="7" a="1"/>
  <c r="F40" i="7" a="1"/>
  <c r="D40" i="7" a="1"/>
  <c r="J39" i="7" a="1"/>
  <c r="G39" i="7" l="1"/>
  <c r="F39" i="7"/>
  <c r="B39" i="7"/>
  <c r="E39" i="7"/>
  <c r="J39" i="7"/>
  <c r="D39" i="7"/>
  <c r="I39" i="7"/>
  <c r="H39" i="7"/>
  <c r="C39" i="7"/>
  <c r="N67" i="41"/>
  <c r="F8" i="42"/>
  <c r="F40" i="7"/>
  <c r="D40" i="7"/>
  <c r="J40" i="7"/>
  <c r="E40" i="7"/>
  <c r="G40" i="7"/>
  <c r="B40" i="7"/>
  <c r="H40" i="7"/>
  <c r="C40" i="7"/>
  <c r="I40" i="7"/>
  <c r="A42" i="7"/>
  <c r="F41" i="7" a="1"/>
  <c r="B41" i="7" a="1"/>
  <c r="J41" i="7" a="1"/>
  <c r="H41" i="7" a="1"/>
  <c r="I41" i="7" a="1"/>
  <c r="E41" i="7" a="1"/>
  <c r="C41" i="7" a="1"/>
  <c r="G41" i="7" a="1"/>
  <c r="D41" i="7" a="1"/>
  <c r="F67" i="42" l="1"/>
  <c r="I8" i="42"/>
  <c r="E41" i="7"/>
  <c r="F41" i="7"/>
  <c r="G41" i="7"/>
  <c r="B41" i="7"/>
  <c r="H41" i="7"/>
  <c r="C41" i="7"/>
  <c r="I41" i="7"/>
  <c r="D41" i="7"/>
  <c r="J41" i="7"/>
  <c r="A43" i="7"/>
  <c r="J42" i="7" a="1"/>
  <c r="E42" i="7" a="1"/>
  <c r="C42" i="7" a="1"/>
  <c r="H42" i="7" a="1"/>
  <c r="B42" i="7" a="1"/>
  <c r="D42" i="7" a="1"/>
  <c r="I42" i="7" a="1"/>
  <c r="F42" i="7" a="1"/>
  <c r="G42" i="7" a="1"/>
  <c r="I67" i="42" l="1"/>
  <c r="L8" i="42"/>
  <c r="C42" i="7"/>
  <c r="G42" i="7"/>
  <c r="E42" i="7"/>
  <c r="H42" i="7"/>
  <c r="I42" i="7"/>
  <c r="D42" i="7"/>
  <c r="J42" i="7"/>
  <c r="F42" i="7"/>
  <c r="B42" i="7"/>
  <c r="A44" i="7"/>
  <c r="E43" i="7" a="1"/>
  <c r="F43" i="7" a="1"/>
  <c r="I43" i="7" a="1"/>
  <c r="C43" i="7" a="1"/>
  <c r="D43" i="7" a="1"/>
  <c r="B43" i="7" a="1"/>
  <c r="J43" i="7" a="1"/>
  <c r="H43" i="7" a="1"/>
  <c r="G43" i="7" a="1"/>
  <c r="M8" i="42" l="1"/>
  <c r="L67" i="42"/>
  <c r="G43" i="7"/>
  <c r="J43" i="7"/>
  <c r="E43" i="7"/>
  <c r="F43" i="7"/>
  <c r="I43" i="7"/>
  <c r="B43" i="7"/>
  <c r="H43" i="7"/>
  <c r="C43" i="7"/>
  <c r="D43" i="7"/>
  <c r="A45" i="7"/>
  <c r="H44" i="7" a="1"/>
  <c r="J44" i="7" a="1"/>
  <c r="E44" i="7" a="1"/>
  <c r="G44" i="7" a="1"/>
  <c r="D44" i="7" a="1"/>
  <c r="C44" i="7" a="1"/>
  <c r="F44" i="7" a="1"/>
  <c r="I44" i="7" a="1"/>
  <c r="B44" i="7" a="1"/>
  <c r="P8" i="42" l="1"/>
  <c r="M67" i="42"/>
  <c r="B44" i="7"/>
  <c r="H44" i="7"/>
  <c r="I44" i="7"/>
  <c r="G44" i="7"/>
  <c r="C44" i="7"/>
  <c r="E44" i="7"/>
  <c r="D44" i="7"/>
  <c r="F44" i="7"/>
  <c r="J44" i="7"/>
  <c r="A46" i="7"/>
  <c r="J45" i="7" a="1"/>
  <c r="G45" i="7" a="1"/>
  <c r="F45" i="7" a="1"/>
  <c r="I45" i="7" a="1"/>
  <c r="D45" i="7" a="1"/>
  <c r="B45" i="7" a="1"/>
  <c r="C45" i="7" a="1"/>
  <c r="E45" i="7" a="1"/>
  <c r="H45" i="7" a="1"/>
  <c r="P67" i="42" l="1"/>
  <c r="C8" i="43"/>
  <c r="D45" i="7"/>
  <c r="E45" i="7"/>
  <c r="F45" i="7"/>
  <c r="J45" i="7"/>
  <c r="G45" i="7"/>
  <c r="B45" i="7"/>
  <c r="H45" i="7"/>
  <c r="I45" i="7"/>
  <c r="C45" i="7"/>
  <c r="A47" i="7"/>
  <c r="F46" i="7" a="1"/>
  <c r="C46" i="7" a="1"/>
  <c r="E46" i="7" a="1"/>
  <c r="J46" i="7" a="1"/>
  <c r="D46" i="7" a="1"/>
  <c r="G46" i="7" a="1"/>
  <c r="B46" i="7" a="1"/>
  <c r="I46" i="7" a="1"/>
  <c r="H46" i="7" a="1"/>
  <c r="F8" i="43" l="1"/>
  <c r="C67" i="43"/>
  <c r="C46" i="7"/>
  <c r="G46" i="7"/>
  <c r="B46" i="7"/>
  <c r="H46" i="7"/>
  <c r="D46" i="7"/>
  <c r="E46" i="7"/>
  <c r="I46" i="7"/>
  <c r="J46" i="7"/>
  <c r="F46" i="7"/>
  <c r="A48" i="7"/>
  <c r="B47" i="7" a="1"/>
  <c r="D47" i="7" a="1"/>
  <c r="J47" i="7" a="1"/>
  <c r="F47" i="7" a="1"/>
  <c r="G47" i="7" a="1"/>
  <c r="E47" i="7" a="1"/>
  <c r="C47" i="7" a="1"/>
  <c r="H47" i="7" a="1"/>
  <c r="I47" i="7" a="1"/>
  <c r="G8" i="43" l="1"/>
  <c r="F67" i="43"/>
  <c r="H47" i="7"/>
  <c r="C47" i="7"/>
  <c r="I47" i="7"/>
  <c r="J47" i="7"/>
  <c r="D47" i="7"/>
  <c r="E47" i="7"/>
  <c r="F47" i="7"/>
  <c r="G47" i="7"/>
  <c r="B47" i="7"/>
  <c r="A49" i="7"/>
  <c r="C48" i="7" a="1"/>
  <c r="H48" i="7" a="1"/>
  <c r="I48" i="7" a="1"/>
  <c r="J48" i="7" a="1"/>
  <c r="D48" i="7" a="1"/>
  <c r="E48" i="7" a="1"/>
  <c r="B48" i="7" a="1"/>
  <c r="G48" i="7" a="1"/>
  <c r="F48" i="7" a="1"/>
  <c r="H8" i="43" l="1"/>
  <c r="G67" i="43"/>
  <c r="E48" i="7"/>
  <c r="F48" i="7"/>
  <c r="G48" i="7"/>
  <c r="B48" i="7"/>
  <c r="C48" i="7"/>
  <c r="I48" i="7"/>
  <c r="D48" i="7"/>
  <c r="J48" i="7"/>
  <c r="H48" i="7"/>
  <c r="A50" i="7"/>
  <c r="I49" i="7" a="1"/>
  <c r="E49" i="7" a="1"/>
  <c r="B49" i="7" a="1"/>
  <c r="H49" i="7" a="1"/>
  <c r="C49" i="7" a="1"/>
  <c r="D49" i="7" a="1"/>
  <c r="G49" i="7" a="1"/>
  <c r="F49" i="7" a="1"/>
  <c r="J49" i="7" a="1"/>
  <c r="I8" i="43" l="1"/>
  <c r="H67" i="43"/>
  <c r="G49" i="7"/>
  <c r="B49" i="7"/>
  <c r="I49" i="7"/>
  <c r="J49" i="7"/>
  <c r="E49" i="7"/>
  <c r="H49" i="7"/>
  <c r="C49" i="7"/>
  <c r="D49" i="7"/>
  <c r="F49" i="7"/>
  <c r="A51" i="7"/>
  <c r="I67" i="43" l="1"/>
  <c r="L8" i="43"/>
  <c r="A52" i="7"/>
  <c r="M8" i="43" l="1"/>
  <c r="L67" i="43"/>
  <c r="A53" i="7"/>
  <c r="M67" i="43" l="1"/>
  <c r="N8" i="43"/>
  <c r="A54" i="7"/>
  <c r="I50" i="7" a="1"/>
  <c r="H53" i="7" a="1"/>
  <c r="F52" i="7" a="1"/>
  <c r="C51" i="7" a="1"/>
  <c r="D51" i="7" a="1"/>
  <c r="D52" i="7" a="1"/>
  <c r="J51" i="7" a="1"/>
  <c r="C50" i="7" a="1"/>
  <c r="I53" i="7" a="1"/>
  <c r="F50" i="7" a="1"/>
  <c r="B51" i="7" a="1"/>
  <c r="E53" i="7" a="1"/>
  <c r="J52" i="7" a="1"/>
  <c r="J53" i="7" a="1"/>
  <c r="E52" i="7" a="1"/>
  <c r="G50" i="7" a="1"/>
  <c r="H51" i="7" a="1"/>
  <c r="C52" i="7" a="1"/>
  <c r="B50" i="7" a="1"/>
  <c r="B52" i="7" a="1"/>
  <c r="D50" i="7" a="1"/>
  <c r="C53" i="7" a="1"/>
  <c r="D53" i="7" a="1"/>
  <c r="E51" i="7" a="1"/>
  <c r="F53" i="7" a="1"/>
  <c r="G51" i="7" a="1"/>
  <c r="I51" i="7" a="1"/>
  <c r="E50" i="7" a="1"/>
  <c r="H52" i="7" a="1"/>
  <c r="B53" i="7" a="1"/>
  <c r="I52" i="7" a="1"/>
  <c r="G52" i="7" a="1"/>
  <c r="G53" i="7" a="1"/>
  <c r="F51" i="7" a="1"/>
  <c r="H50" i="7" a="1"/>
  <c r="H51" i="7" l="1"/>
  <c r="I51" i="7"/>
  <c r="C51" i="7"/>
  <c r="D51" i="7"/>
  <c r="J51" i="7"/>
  <c r="F51" i="7"/>
  <c r="E51" i="7"/>
  <c r="G51" i="7"/>
  <c r="B51" i="7"/>
  <c r="E50" i="7"/>
  <c r="F50" i="7"/>
  <c r="G50" i="7"/>
  <c r="D50" i="7"/>
  <c r="C50" i="7"/>
  <c r="H50" i="7"/>
  <c r="B50" i="7"/>
  <c r="I50" i="7"/>
  <c r="E52" i="7"/>
  <c r="D52" i="7"/>
  <c r="I52" i="7"/>
  <c r="F52" i="7"/>
  <c r="H52" i="7"/>
  <c r="B52" i="7"/>
  <c r="J52" i="7"/>
  <c r="G52" i="7"/>
  <c r="C52" i="7"/>
  <c r="N67" i="43"/>
  <c r="E53" i="7"/>
  <c r="F53" i="7"/>
  <c r="H53" i="7"/>
  <c r="C53" i="7"/>
  <c r="D53" i="7"/>
  <c r="G53" i="7"/>
  <c r="B53" i="7"/>
  <c r="I53" i="7"/>
  <c r="J53" i="7"/>
  <c r="A55" i="7"/>
  <c r="F54" i="7" a="1"/>
  <c r="C54" i="7" a="1"/>
  <c r="G54" i="7" a="1"/>
  <c r="D54" i="7" a="1"/>
  <c r="B54" i="7" a="1"/>
  <c r="H54" i="7" a="1"/>
  <c r="I54" i="7" a="1"/>
  <c r="E54" i="7" a="1"/>
  <c r="J54" i="7" a="1"/>
  <c r="E54" i="7" l="1"/>
  <c r="I54" i="7"/>
  <c r="J54" i="7"/>
  <c r="B54" i="7"/>
  <c r="C54" i="7"/>
  <c r="D54" i="7"/>
  <c r="F54" i="7"/>
  <c r="G54" i="7"/>
  <c r="H54" i="7"/>
  <c r="A56" i="7"/>
  <c r="C55" i="7" a="1"/>
  <c r="E55" i="7" a="1"/>
  <c r="B55" i="7" a="1"/>
  <c r="F55" i="7" a="1"/>
  <c r="G55" i="7" a="1"/>
  <c r="H55" i="7" a="1"/>
  <c r="J55" i="7" a="1"/>
  <c r="D55" i="7" a="1"/>
  <c r="I55" i="7" a="1"/>
  <c r="J55" i="7" l="1"/>
  <c r="E55" i="7"/>
  <c r="F55" i="7"/>
  <c r="G55" i="7"/>
  <c r="B55" i="7"/>
  <c r="H55" i="7"/>
  <c r="C55" i="7"/>
  <c r="I55" i="7"/>
  <c r="D55" i="7"/>
  <c r="A57" i="7"/>
  <c r="D56" i="7" a="1"/>
  <c r="B56" i="7" a="1"/>
  <c r="H56" i="7" a="1"/>
  <c r="F56" i="7" a="1"/>
  <c r="J56" i="7" a="1"/>
  <c r="I56" i="7" a="1"/>
  <c r="E56" i="7" a="1"/>
  <c r="G56" i="7" a="1"/>
  <c r="C56" i="7" a="1"/>
  <c r="G56" i="7" l="1"/>
  <c r="H56" i="7"/>
  <c r="B56" i="7"/>
  <c r="C56" i="7"/>
  <c r="I56" i="7"/>
  <c r="D56" i="7"/>
  <c r="E56" i="7"/>
  <c r="J56" i="7"/>
  <c r="F56" i="7"/>
  <c r="E57" i="7" a="1"/>
  <c r="J57" i="7" a="1"/>
  <c r="C57" i="7" a="1"/>
  <c r="H57" i="7" a="1"/>
  <c r="B57" i="7" a="1"/>
  <c r="I57" i="7" a="1"/>
  <c r="D57" i="7" a="1"/>
  <c r="G57" i="7" a="1"/>
  <c r="F57" i="7" a="1"/>
  <c r="D57" i="7" l="1"/>
  <c r="E57" i="7"/>
  <c r="I57" i="7"/>
  <c r="J57" i="7"/>
  <c r="J58" i="7" s="1"/>
  <c r="B56" i="43" s="1"/>
  <c r="F57" i="7"/>
  <c r="G57" i="7"/>
  <c r="B57" i="7"/>
  <c r="H57" i="7"/>
  <c r="C57" i="7"/>
  <c r="B56" i="41" l="1"/>
  <c r="B56" i="42"/>
  <c r="B56" i="39"/>
  <c r="B56" i="40"/>
  <c r="B56" i="37"/>
  <c r="B56" i="3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<sst xmlns="http://schemas.openxmlformats.org/spreadsheetml/2006/main" count="1015" uniqueCount="187">
  <si>
    <t>Código: GCO-GCI-F107
Versión: 03
Vigencia: 21 de diciembre de 2022
Caso HOLA: 282943</t>
  </si>
  <si>
    <t>CONCEPTO / NOMBRE OFERENTE</t>
  </si>
  <si>
    <t>Datos para validación financiera</t>
  </si>
  <si>
    <t>Oferente No.</t>
  </si>
  <si>
    <t>BALANCE GENERAL CON CORTE A 31 DE DICIEMBRE DEL AÑO: 2024</t>
  </si>
  <si>
    <t>31-DIC.-2024 RUP</t>
  </si>
  <si>
    <t>INFORMACION TOMADA DEL RUP VIGENTE</t>
  </si>
  <si>
    <t>ACTIVO CORRIENTE</t>
  </si>
  <si>
    <t>PASIVO CORRIENTE</t>
  </si>
  <si>
    <t>ACTIVO TOTAL</t>
  </si>
  <si>
    <t>PASIVO TOTAL</t>
  </si>
  <si>
    <t xml:space="preserve">PATRIMONIO </t>
  </si>
  <si>
    <t>Activo total-Pasivo total-Patrimonio</t>
  </si>
  <si>
    <t>UTILIDAD OPERACIONAL</t>
  </si>
  <si>
    <t>GASTOS DE INTERESES</t>
  </si>
  <si>
    <r>
      <t>Rentabilidad del Patrimonio 
(</t>
    </r>
    <r>
      <rPr>
        <sz val="12"/>
        <rFont val="Garamond"/>
        <family val="1"/>
      </rPr>
      <t>Utilidad Operacional / Patrimonio)</t>
    </r>
  </si>
  <si>
    <r>
      <t>Rentabilidad del Activo 
(</t>
    </r>
    <r>
      <rPr>
        <sz val="12"/>
        <rFont val="Garamond"/>
        <family val="1"/>
      </rPr>
      <t xml:space="preserve">Utilidad Operacional / Activo Total) </t>
    </r>
  </si>
  <si>
    <t>VALOR DEL PRESUPUESTO OFICIAL</t>
  </si>
  <si>
    <t>CRITERIO DE VERIFICACIÓN FINANCIERA</t>
  </si>
  <si>
    <t>IL = Activo corriente / Pasivo corriente</t>
  </si>
  <si>
    <t>ET = (Pasivo total / Activo total)*100</t>
  </si>
  <si>
    <t>RC= (Utilidad Operacional) / (Gastos de Intereses)</t>
  </si>
  <si>
    <t>CRITERIO DE VERIFICACIÓN CAPACIDAD ORGANIZACIONAL</t>
  </si>
  <si>
    <r>
      <t>RP</t>
    </r>
    <r>
      <rPr>
        <b/>
        <sz val="12"/>
        <rFont val="Garamond"/>
        <family val="1"/>
      </rPr>
      <t xml:space="preserve">  </t>
    </r>
    <r>
      <rPr>
        <sz val="12"/>
        <rFont val="Garamond"/>
        <family val="1"/>
      </rPr>
      <t xml:space="preserve">= (Utilidad Operacional / Patrimonio)    </t>
    </r>
  </si>
  <si>
    <t xml:space="preserve">RA   = (Utilidad Operacional / Activo Total) </t>
  </si>
  <si>
    <t>CUMPLIMIENTO REQUISITOS HABLITANTES</t>
  </si>
  <si>
    <r>
      <rPr>
        <b/>
        <sz val="12"/>
        <rFont val="Garamond"/>
        <family val="1"/>
      </rPr>
      <t xml:space="preserve">NOTA: </t>
    </r>
    <r>
      <rPr>
        <sz val="12"/>
        <rFont val="Garamond"/>
        <family val="1"/>
      </rPr>
      <t xml:space="preserve">Una vez verificada la Información Financiera presentada por cada uno de los proponentes, se informa que las sociedades arriba descritas, que </t>
    </r>
  </si>
  <si>
    <t>Fecha de elaboración (preliminar):</t>
  </si>
  <si>
    <t>Miguel Ángel Granados Gutiérrez</t>
  </si>
  <si>
    <t>Fecha de verificación definitiva:</t>
  </si>
  <si>
    <t>Comité Evaluador Financiero</t>
  </si>
  <si>
    <t>Verificaciones efectuadas por el(los) miembro(s) del Comité Evaluador:</t>
  </si>
  <si>
    <t>Fecha de elaboración:</t>
  </si>
  <si>
    <t>Fecha de expedición RUP:</t>
  </si>
  <si>
    <t>Fecha de última renovación en el registro de los proponentes:</t>
  </si>
  <si>
    <t>Fecha de cierre del proceso:</t>
  </si>
  <si>
    <t>Días (calend.) transcurridos entre exped. RUP y cierre del proceso:</t>
  </si>
  <si>
    <t>Clasificación para evaluación aplicable:</t>
  </si>
  <si>
    <t>Alcaldía de Bogotá D.C.</t>
  </si>
  <si>
    <t>Secretaría Distrital de Gobierno</t>
  </si>
  <si>
    <t>Presupuesto Oficial del Proceso</t>
  </si>
  <si>
    <t>Fecha corte Información Financiera</t>
  </si>
  <si>
    <t>Fecha cierre del proceso de selección</t>
  </si>
  <si>
    <t>VERIFICACIóN DE LOS INDICADORES</t>
  </si>
  <si>
    <t>RUP</t>
  </si>
  <si>
    <t>RESULTADO FINANCIERO</t>
  </si>
  <si>
    <t>OBERVACIONES</t>
  </si>
  <si>
    <t>NOMBRE DEL PROPONENTE</t>
  </si>
  <si>
    <t xml:space="preserve">Índice de liquidez </t>
  </si>
  <si>
    <t xml:space="preserve">Índice de endeudamiento </t>
  </si>
  <si>
    <t>Razón de Cobertura de intereses</t>
  </si>
  <si>
    <t>Capital de trabajo</t>
  </si>
  <si>
    <t xml:space="preserve">Rentabilidad del patrimonio </t>
  </si>
  <si>
    <t>Rentabilidad del activo</t>
  </si>
  <si>
    <t>VIGENTE; EN FIRME Y 30 DÍAS ANTERIORES</t>
  </si>
  <si>
    <t>CUMPLE</t>
  </si>
  <si>
    <t>Ninguna.</t>
  </si>
  <si>
    <t xml:space="preserve">* Se realiza la Evaluación Financiera y Organizacional de acuerdo a lo establecido con el pliego de condiciones definitivo del proceso; la evaluación es puesta a disposición de la Oficina de Contratación y Despacho para que se continúe con el proceso de evaluación. </t>
  </si>
  <si>
    <t>SMMLV 2025</t>
  </si>
  <si>
    <t>Plazo:</t>
  </si>
  <si>
    <t>VERIFICACIÓN FINANCIERA Y CAPACIDAD ORGANIZACIONAL</t>
  </si>
  <si>
    <t xml:space="preserve">            cumplen con lo solicitado en los pliegos de condiciones definitivos en cuanto a los Indicadores Financieros requeridos, se encuentran HABILITADAS.</t>
  </si>
  <si>
    <t>NO CUMPLE</t>
  </si>
  <si>
    <t>PRESENTACIÓN DE RUP VIGENTE EN TÉRMINO</t>
  </si>
  <si>
    <t>Hoja</t>
  </si>
  <si>
    <t>Los Proponentes obligados a estar inscritos en el Registro Único de Proponentes (RUP), deben aportar el certificado con fecha de expedición no mayor a treinta (30) días calendario anteriores a la fecha de cierre del Proceso de Contratación.</t>
  </si>
  <si>
    <t>Profesional Área de Contratación - FDL Usme</t>
  </si>
  <si>
    <t>Alcaldía Local de Usme</t>
  </si>
  <si>
    <t>A</t>
  </si>
  <si>
    <t>B</t>
  </si>
  <si>
    <t>OBJETO: “REALIZAR LA INTERVENTORIA TÉCNICA, ADMINISTRATIVA, FINANCIERA, SISO, JURÍDICA, AMBIENTAL Y CONTABLE A LA EJECUCION DEL CONTRATO DE OBRA PUBLICA QUE CELEBRE EL FONDO DE DESARROLLO LOCAL DE USME COMO RESULTADO DE LA ADJUDICACION DE 
LA LICITACION PUBLICA QUE TIENE POR OBJETO "REALIZAR LAS OBRAS DE CONSERVACIÓN DE LA MALLA VIAL Y ESPACIO PÚBLICO ASOCIADO EN LA LOCALIDAD DE USME, BOGOTÁ, D.C. A TRAVÉS DEL SISTEMA DE PRECIOS UNITARIOS FIJOS Y A MONTO AGOTABLE”</t>
  </si>
  <si>
    <t>FDLU-CMA-027-2025 (143212)</t>
  </si>
  <si>
    <t>Seis (6) meses</t>
  </si>
  <si>
    <t>&gt;0</t>
  </si>
  <si>
    <t>&lt;4.000</t>
  </si>
  <si>
    <t>Rango 1</t>
  </si>
  <si>
    <t>Tratándose de Proponentes Plurales estos indicadores solo se aplicarán si por lo menos uno de los integrantes acredita la calidad de Mipyme de conformidad con lo previsto en el artículo 2.2.1.2.4.2.4. del Decreto 1082 de 2015, o la normas que los modifiquen, sustituyan o complementen, y tienen una participación igual o superior al diez por ciento (10 %) en el Consorcio o en la Unión Temporal.</t>
  </si>
  <si>
    <t>MiPyME</t>
  </si>
  <si>
    <t>Gran Empresa</t>
  </si>
  <si>
    <t>MiPyME:</t>
  </si>
  <si>
    <t>1. Oferentes 1 a 8</t>
  </si>
  <si>
    <t>2. Oferentes 9 a 13</t>
  </si>
  <si>
    <t>3. Oferentes 14 a 19</t>
  </si>
  <si>
    <t>4. Oferentes 20 a 27</t>
  </si>
  <si>
    <t>5. Oferentes 28 a 33</t>
  </si>
  <si>
    <t>6. Oferentes 34 a 38</t>
  </si>
  <si>
    <t>7. Oferentes 39 a 46</t>
  </si>
  <si>
    <t>OSAC S.A.S NIT: 860033402 1</t>
  </si>
  <si>
    <t>PROYECTO SANABRIA SAS N.I.T: 901.633.148-6</t>
  </si>
  <si>
    <t>MAVECA INGENIERIA SAS NIT:901646981-1</t>
  </si>
  <si>
    <t>GRUPO METRO COLOMBIA S.A.S NIT: 830010109 8</t>
  </si>
  <si>
    <t>SOLUCIONES AVANZADAS DE INGENIERA Y CONSTRUCCION S A S NIT: 900641841 2</t>
  </si>
  <si>
    <t>CODIPRO INGENIERIA Y ARQUITECTURA LTDA CONSTRUCCIONES DISEÑOS Y PROYECTOS NIT: 800172033 2</t>
  </si>
  <si>
    <t>INGEBAMER S.A.S. NIT:901194158-5</t>
  </si>
  <si>
    <t>CONSORCIO USMINIA</t>
  </si>
  <si>
    <t>-</t>
  </si>
  <si>
    <t>HUPERNIKAO INGENIERIA S.A.S. NIT: 900234357 3</t>
  </si>
  <si>
    <t>CONSULTORIA TECNICA DE OBRAS S.A.S. SIGLA C.T.O. INGENIERIA S.A.S. NIT: 900.944.467 - 1</t>
  </si>
  <si>
    <t>CONSORCIO HUPK INTERVIAL USME</t>
  </si>
  <si>
    <t>INGENIEROS CONSTRUCTORES Y ASESORES SAS NIT: 900104908 4</t>
  </si>
  <si>
    <t>KALPA INGENIERIA SAS SOCIEDAD DE BENEFICIO E INTERÉS COLECTIVO-BIC NIT: 901506984 3</t>
  </si>
  <si>
    <t>SUMAK INGENIERIA S.A.S NIT: 900922872 7</t>
  </si>
  <si>
    <t>CONSORCIO 3871 USME</t>
  </si>
  <si>
    <t>C</t>
  </si>
  <si>
    <t>AC2R INGENIERIA Y PROYECTOS S.A.S NIT: 830123577 7</t>
  </si>
  <si>
    <t>MARC PROYECTOS S.A.S. NIT: 901.191.916 - 8</t>
  </si>
  <si>
    <t>CON Y CON SAS NIT:800232208-2</t>
  </si>
  <si>
    <t>CONSORCIO INTERVIAL AMC</t>
  </si>
  <si>
    <t>MSC INGENIERIA S A S NIT: 830090285 8</t>
  </si>
  <si>
    <t>AMV CONSULTORES SAS NIT: 901245617 4</t>
  </si>
  <si>
    <t>CORTES LEIVA ASOCIADOS S A S NIT: 900.859.890 - 0</t>
  </si>
  <si>
    <t>CONSORCIO VIAL</t>
  </si>
  <si>
    <t>INGENIEROS CONSULTORES Y CONSTRUCTORES ARG SAS NIT: 900008687 0</t>
  </si>
  <si>
    <t>ESTUDIO, DISEÑO Y CONSTRUCCION EN INGENIERIA S.A.S NIT: 901216827 0</t>
  </si>
  <si>
    <t>TABIQUE ENGENHARIA LDA. NIT: 900891853 2</t>
  </si>
  <si>
    <t>CONSORCIO VIAL TAED 027-USME</t>
  </si>
  <si>
    <t>HR INGENIERIA SAS NIT: 830133073 1</t>
  </si>
  <si>
    <t>AS INGENIERIA Y CONSULTORIA S.A.S NIT:901728234-0</t>
  </si>
  <si>
    <t>LEPESQUEUR MARTINEZ ALFREDO JOSE NIT:10766786-4</t>
  </si>
  <si>
    <t>CONSORCIO INTEROBRAS USME</t>
  </si>
  <si>
    <t>ARCELIA ARIAS DIAZ NIT: 41773229 5</t>
  </si>
  <si>
    <t>ARENAS PRADA NORTON FERNANDO NIT:93396792-2</t>
  </si>
  <si>
    <t>MCPP INGENIERIA SAS NIT: 901957001 3</t>
  </si>
  <si>
    <t>22-MAY.-2025 RUP</t>
  </si>
  <si>
    <t>CONSORCIO INTER USME</t>
  </si>
  <si>
    <t>PROYECTISTAS DE COLOMBIA &amp; CIA. S.A.S PROYECTCOL S.A.S NIT:830144388-1</t>
  </si>
  <si>
    <t>JMELO INGENIERIA DE PROYECTOS S.A.S. NIT: 900866325 1</t>
  </si>
  <si>
    <t>CONSORCIO VIAS PJ</t>
  </si>
  <si>
    <t>GRUPO IRT S.A.S. NIT: 901.291.784 - 1</t>
  </si>
  <si>
    <t>SPL INFRAESTRUCTURA SAS NIT: 901920140 9</t>
  </si>
  <si>
    <t>24-FEB.-2025 RUP</t>
  </si>
  <si>
    <t>SPL INGENIERIA SAS NIT: 901554678 9</t>
  </si>
  <si>
    <t>CONSORCIO SPL INFRAESTRUCTURA 027</t>
  </si>
  <si>
    <t>INVESTMENT &amp; CONSTRUCTION SAS NIT: 900224218 5</t>
  </si>
  <si>
    <t>PROYECTISTAS ASOCIADOS SAS NIT: 900426155 7</t>
  </si>
  <si>
    <t>CONSTRUCTORA TEATINO VARGAS - CONSTRUTEV S.A.S NIT: 830512601 5</t>
  </si>
  <si>
    <t>CONSORCIO VÍAS URBANAS P&amp;C U-027</t>
  </si>
  <si>
    <t>INTERVENTORIA Y CONSTRUCIVILES S.A.S NIT: 900107376 1</t>
  </si>
  <si>
    <t>EQUILATERO ARQUITECTURA E INGENIERÍA SAS NIT: 901272510-1</t>
  </si>
  <si>
    <t>MIRS LATINOAMERICA S A S NIT: 900241875 6</t>
  </si>
  <si>
    <t>R &amp; M CONSTRUCCIONES E INTERVENTORIAS S A S NIT: 830028126 2</t>
  </si>
  <si>
    <t>KONSTRUCCIONES Y KONSULTORIAS S.A.S SIGLA:KONKON S.A.S NIT:901839938-3</t>
  </si>
  <si>
    <t>ENVIRONMENTAL AND GEOMECHANICAL SOLUTIONS EGS SAS NIT: 900573269 7</t>
  </si>
  <si>
    <t>JAPG INGENIERÍA SAS NIT: 901795306 8</t>
  </si>
  <si>
    <t>CONSORCIO INT VUM 25</t>
  </si>
  <si>
    <t>ARM CONSULTORIA Y CONSTRUCCIONES SAS NIT: 901212455 6</t>
  </si>
  <si>
    <t>YOU ARE SERVICES S.A.S. SIGLA:YA SERVICES SAS NIT:901796967-0</t>
  </si>
  <si>
    <t>CONSORCIO INTER VIAS USME 2025</t>
  </si>
  <si>
    <t>SOLUCIONES PARA LA INGENIERIA S.A.S NIT: 900389180 2</t>
  </si>
  <si>
    <t>CB INGENIEROS S.A.S NIT: 860509943 7</t>
  </si>
  <si>
    <t>PROYECTOS URBANOS &amp; CONSTRUCCIONES DEL CARIBE SAS NIT:830515396-3</t>
  </si>
  <si>
    <t>DESARROLLO TECNOLOGIA Y PLANEACION COLOMBIA S.A.S NIT: 901.743.392 - 9</t>
  </si>
  <si>
    <t>CONSORCIO INTERVIAS USME 2025</t>
  </si>
  <si>
    <t>INGENIEROS CIVILES ESPECIALISTAS S.A.S. NIT: 802.008.390 - 3</t>
  </si>
  <si>
    <t>INGENIERIA Y DESARROLLO NACIONAL INALDEX SAS NIT: 901431997 5</t>
  </si>
  <si>
    <t>CONSORCIO INTER USME 2026</t>
  </si>
  <si>
    <t>PC PROYECCION E INGENIERIA S.A.S NIT:901757531-7</t>
  </si>
  <si>
    <t>PUENTES GORDO GERMAN ALONSO NIT:7162821-0</t>
  </si>
  <si>
    <t>CORZO GARCIA JORGE WILLAN NIT: 5689243-9</t>
  </si>
  <si>
    <t>CONSORCIO INTERVIAL USME027 PCP-PC</t>
  </si>
  <si>
    <t>CRAM INGENIERIA S.A.S NIT: 901863222 1</t>
  </si>
  <si>
    <t>CARDOZO ROA ANDRES MAURICIO NIT: 79965798 7</t>
  </si>
  <si>
    <t>CONSORCIO CRAM 056 DE 2025</t>
  </si>
  <si>
    <t>ALMA INTERVENTORÍA &amp; CONSULTORÍA SAS NIT: 901573477 6</t>
  </si>
  <si>
    <t>ICOD CONSTRUCCIONES Y PROYECTOS SAS NIT: 901172605 1</t>
  </si>
  <si>
    <t>MASEB INGENIERIA SAS NIT: 901579224 7</t>
  </si>
  <si>
    <t>CONSORCIO INTER VIAS IM</t>
  </si>
  <si>
    <t>VATHA S.A.S NIT:901733411-8</t>
  </si>
  <si>
    <t>ZERMIRA S.A.S. NIT:901896761-1</t>
  </si>
  <si>
    <t>CONSORCIO VAZER USME</t>
  </si>
  <si>
    <t>GERMAN RAMIREZ BARBOSA NIT: 19342296 1</t>
  </si>
  <si>
    <t>LEMOINE RIVERA INGENIEROS ASOCIADOS SAS NIT:800175083-4</t>
  </si>
  <si>
    <t>PROYECTOS DESARROLLO E INFRAESTRUCTURA COLOMBIA SAS NIT: 900578931 8</t>
  </si>
  <si>
    <t>JET INGENIERIA SOCIEDAD POR ACCIONES SIMPLIFICADA NIT: 802.024.876 - 8</t>
  </si>
  <si>
    <t>MCCA SAS NIT: 901922907-1</t>
  </si>
  <si>
    <t>03-MAR.-2025 RUP</t>
  </si>
  <si>
    <t>CONSORCIO PERSEVERAR VIAL USME</t>
  </si>
  <si>
    <t>LITORAL CONSULTING S.A.S. NIT : 901499397 - 9</t>
  </si>
  <si>
    <t>TECNOLOGIA DE NUEVAS MEDICIONES COLOMBIA S A S NIT: 830018821 0</t>
  </si>
  <si>
    <t>INGENIERIA OCIMACS S.A.S NIT:901478086-3</t>
  </si>
  <si>
    <t>O.P.H. INGENIEROS ASOCIADOS S A S NIT: 901048528 2</t>
  </si>
  <si>
    <t>CONSORCIO INTERVENTORIA LUCIA</t>
  </si>
  <si>
    <t>INGENIERIA Y GERENCIA DE OBRAS SAS SIGLA:INGEROBRAS SAS NIT:900201542-8</t>
  </si>
  <si>
    <t>El Proponente subsanó.</t>
  </si>
  <si>
    <t>NO HABILITADO</t>
  </si>
  <si>
    <t>Proceso limitado a MiPyME.</t>
  </si>
  <si>
    <t>INCOPLAN IN S.A.S NIT: 901472564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</si>
</sst>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41" formatCode="_-* #,##0_-;\-* #,##0_-;_-* &quot;-&quot;_-;_-@_-"/>
    <numFmt numFmtId="43" formatCode="_-* #,##0.00_-;\-* #,##0.00_-;_-* &quot;-&quot;??_-;_-@_-"/>
    <numFmt numFmtId="164" formatCode="[$-C0A]dd\-mmm\-yy;@"/>
    <numFmt numFmtId="165" formatCode="##\ &quot;días&quot;"/>
    <numFmt numFmtId="166" formatCode="[$-F800]dddd\,\ mmmm\ dd\,\ yyyy"/>
    <numFmt numFmtId="167" formatCode="0\ &quot;días&quot;"/>
    <numFmt numFmtId="168" formatCode="&quot;$&quot;\ #,##0"/>
    <numFmt numFmtId="169" formatCode="0\ &quot;meses&quot;"/>
  </numFmts>
  <fonts count="3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name val="Garamond"/>
      <family val="1"/>
    </font>
    <font>
      <sz val="11"/>
      <name val="Garamond"/>
      <family val="1"/>
    </font>
    <font>
      <b/>
      <sz val="11"/>
      <color rgb="FFFF0000"/>
      <name val="Garamond"/>
      <family val="1"/>
    </font>
    <font>
      <b/>
      <sz val="20"/>
      <name val="Garamond"/>
      <family val="1"/>
    </font>
    <font>
      <sz val="12"/>
      <name val="Garamond"/>
      <family val="1"/>
    </font>
    <font>
      <b/>
      <sz val="12"/>
      <name val="Garamond"/>
      <family val="1"/>
    </font>
    <font>
      <b/>
      <sz val="12"/>
      <color theme="1"/>
      <name val="Garamond"/>
      <family val="1"/>
    </font>
    <font>
      <sz val="12"/>
      <color theme="1"/>
      <name val="Garamond"/>
      <family val="1"/>
    </font>
    <font>
      <b/>
      <sz val="12"/>
      <color theme="0"/>
      <name val="Garamond"/>
      <family val="1"/>
    </font>
    <font>
      <i/>
      <sz val="11"/>
      <name val="Garamond"/>
      <family val="1"/>
    </font>
    <font>
      <b/>
      <sz val="11"/>
      <color theme="1"/>
      <name val="Calibri"/>
      <family val="2"/>
      <scheme val="minor"/>
    </font>
    <font>
      <sz val="10"/>
      <color theme="1"/>
      <name val="Tahoma"/>
      <family val="2"/>
    </font>
    <font>
      <b/>
      <sz val="10"/>
      <color theme="1"/>
      <name val="Tahoma"/>
      <family val="2"/>
    </font>
    <font>
      <sz val="10"/>
      <color indexed="8"/>
      <name val="Tahoma"/>
      <family val="2"/>
    </font>
    <font>
      <sz val="9"/>
      <name val="Tahoma"/>
      <family val="2"/>
    </font>
    <font>
      <b/>
      <sz val="11"/>
      <color theme="1"/>
      <name val="Tahoma"/>
      <family val="2"/>
    </font>
    <font>
      <b/>
      <sz val="12"/>
      <color theme="1"/>
      <name val="Tahoma"/>
      <family val="2"/>
    </font>
    <font>
      <sz val="11"/>
      <color theme="0"/>
      <name val="Calibri"/>
      <family val="2"/>
      <scheme val="minor"/>
    </font>
    <font>
      <b/>
      <i/>
      <sz val="9"/>
      <name val="Garamond"/>
      <family val="1"/>
    </font>
    <font>
      <b/>
      <i/>
      <sz val="12"/>
      <name val="Garamond"/>
      <family val="1"/>
    </font>
    <font>
      <sz val="10"/>
      <name val="Garamond"/>
      <family val="1"/>
    </font>
    <font>
      <i/>
      <sz val="11"/>
      <color theme="1"/>
      <name val="Calibri"/>
      <family val="2"/>
      <scheme val="minor"/>
    </font>
    <font>
      <sz val="10"/>
      <name val="Tahoma"/>
      <family val="2"/>
    </font>
    <font>
      <b/>
      <sz val="11"/>
      <name val="Tahoma"/>
      <family val="2"/>
    </font>
  </fonts>
  <fills count="9">
    <fill>
      <patternFill patternType="none"/>
    </fill>
    <fill>
      <patternFill patternType="gray125"/>
    </fill>
    <fill>
      <patternFill patternType="solid">
        <fgColor theme="8"/>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1"/>
        <bgColor indexed="64"/>
      </patternFill>
    </fill>
    <fill>
      <patternFill patternType="solid">
        <fgColor theme="6" tint="0.59999389629810485"/>
        <bgColor indexed="64"/>
      </patternFill>
    </fill>
    <fill>
      <patternFill patternType="solid">
        <fgColor theme="0"/>
        <bgColor indexed="64"/>
      </patternFill>
    </fill>
    <fill>
      <patternFill patternType="solid">
        <fgColor rgb="FFFFFF00"/>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
      <left/>
      <right style="medium">
        <color auto="1"/>
      </right>
      <top/>
      <bottom/>
      <diagonal/>
    </border>
    <border>
      <left style="medium">
        <color auto="1"/>
      </left>
      <right/>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top/>
      <bottom style="thin">
        <color auto="1"/>
      </bottom>
      <diagonal/>
    </border>
    <border>
      <left style="medium">
        <color auto="1"/>
      </left>
      <right style="thin">
        <color auto="1"/>
      </right>
      <top style="medium">
        <color auto="1"/>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auto="1"/>
      </right>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thin">
        <color auto="1"/>
      </bottom>
      <diagonal/>
    </border>
    <border>
      <left/>
      <right style="medium">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style="medium">
        <color auto="1"/>
      </top>
      <bottom/>
      <diagonal/>
    </border>
    <border>
      <left style="thin">
        <color auto="1"/>
      </left>
      <right style="medium">
        <color auto="1"/>
      </right>
      <top style="medium">
        <color auto="1"/>
      </top>
      <bottom/>
      <diagonal/>
    </border>
    <border>
      <left style="thin">
        <color auto="1"/>
      </left>
      <right style="medium">
        <color auto="1"/>
      </right>
      <top/>
      <bottom/>
      <diagonal/>
    </border>
    <border>
      <left style="thin">
        <color auto="1"/>
      </left>
      <right style="medium">
        <color auto="1"/>
      </right>
      <top/>
      <bottom style="thin">
        <color auto="1"/>
      </bottom>
      <diagonal/>
    </border>
  </borders>
  <cellStyleXfs count="6">
    <xf numFmtId="0" fontId="0" fillId="0" borderId="0"/>
    <xf numFmtId="9" fontId="7" fillId="0" borderId="0" applyFont="0" applyFill="0" applyBorder="0" applyAlignment="0" applyProtection="0"/>
    <xf numFmtId="43" fontId="7" fillId="0" borderId="0" applyFont="0" applyFill="0" applyBorder="0" applyAlignment="0" applyProtection="0"/>
    <xf numFmtId="0" fontId="7" fillId="0" borderId="0"/>
    <xf numFmtId="0" fontId="6" fillId="0" borderId="0"/>
    <xf numFmtId="0" fontId="4" fillId="0" borderId="0"/>
  </cellStyleXfs>
  <cellXfs count="241">
    <xf numFmtId="0" fontId="0" fillId="0" borderId="0" xfId="0"/>
    <xf numFmtId="0" fontId="9" fillId="0" borderId="0" xfId="0" applyFont="1"/>
    <xf numFmtId="0" fontId="8" fillId="0" borderId="0" xfId="0" applyFont="1" applyAlignment="1">
      <alignment horizontal="center" vertical="center" wrapText="1"/>
    </xf>
    <xf numFmtId="0" fontId="9" fillId="0" borderId="0" xfId="0" applyFont="1" applyAlignment="1">
      <alignment vertical="center"/>
    </xf>
    <xf numFmtId="41" fontId="9" fillId="0" borderId="0" xfId="0" applyNumberFormat="1" applyFont="1" applyAlignment="1">
      <alignment vertical="center"/>
    </xf>
    <xf numFmtId="0" fontId="8" fillId="0" borderId="0" xfId="0" applyFont="1" applyAlignment="1">
      <alignment vertical="center" wrapText="1"/>
    </xf>
    <xf numFmtId="0" fontId="8" fillId="0" borderId="0" xfId="0" applyFont="1" applyAlignment="1">
      <alignment vertical="top" wrapText="1"/>
    </xf>
    <xf numFmtId="0" fontId="10" fillId="0" borderId="0" xfId="0" applyFont="1"/>
    <xf numFmtId="0" fontId="13" fillId="2" borderId="1" xfId="0" applyFont="1" applyFill="1" applyBorder="1" applyAlignment="1">
      <alignment horizontal="center" vertical="center" wrapText="1"/>
    </xf>
    <xf numFmtId="0" fontId="13" fillId="0" borderId="1" xfId="0" applyFont="1" applyBorder="1" applyAlignment="1">
      <alignment horizontal="center" vertical="center"/>
    </xf>
    <xf numFmtId="9" fontId="13" fillId="0" borderId="1" xfId="0" applyNumberFormat="1" applyFont="1" applyBorder="1" applyAlignment="1">
      <alignment horizontal="center" vertical="center" wrapText="1"/>
    </xf>
    <xf numFmtId="0" fontId="13" fillId="3" borderId="5" xfId="0" applyFont="1" applyFill="1" applyBorder="1" applyAlignment="1">
      <alignment horizontal="left" vertical="center" wrapText="1"/>
    </xf>
    <xf numFmtId="0" fontId="13" fillId="5" borderId="5" xfId="0" applyFont="1" applyFill="1" applyBorder="1" applyAlignment="1">
      <alignment horizontal="center" vertical="center"/>
    </xf>
    <xf numFmtId="0" fontId="13" fillId="5" borderId="1" xfId="0" applyFont="1" applyFill="1" applyBorder="1" applyAlignment="1">
      <alignment horizontal="center" vertical="center"/>
    </xf>
    <xf numFmtId="4" fontId="14" fillId="0" borderId="1" xfId="0" applyNumberFormat="1" applyFont="1" applyBorder="1" applyAlignment="1">
      <alignment horizontal="center" vertical="center"/>
    </xf>
    <xf numFmtId="4" fontId="15" fillId="0" borderId="1" xfId="0" applyNumberFormat="1" applyFont="1" applyBorder="1" applyAlignment="1">
      <alignment horizontal="center" vertical="center"/>
    </xf>
    <xf numFmtId="4" fontId="13" fillId="0" borderId="1" xfId="0" applyNumberFormat="1" applyFont="1" applyBorder="1" applyAlignment="1">
      <alignment horizontal="center" vertical="center"/>
    </xf>
    <xf numFmtId="10" fontId="12" fillId="0" borderId="1" xfId="1" applyNumberFormat="1" applyFont="1" applyFill="1" applyBorder="1" applyAlignment="1">
      <alignment horizontal="center" vertical="center"/>
    </xf>
    <xf numFmtId="0" fontId="13" fillId="0" borderId="5" xfId="0" applyFont="1" applyBorder="1" applyAlignment="1">
      <alignment horizontal="center" vertical="center"/>
    </xf>
    <xf numFmtId="0" fontId="13" fillId="6" borderId="1" xfId="0" applyFont="1" applyFill="1" applyBorder="1" applyAlignment="1">
      <alignment horizontal="center" vertical="center"/>
    </xf>
    <xf numFmtId="0" fontId="12"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3" fillId="0" borderId="5" xfId="0" applyFont="1" applyBorder="1" applyAlignment="1">
      <alignment horizontal="left" vertical="center" wrapText="1"/>
    </xf>
    <xf numFmtId="0" fontId="13" fillId="0" borderId="5"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14" xfId="0" applyFont="1" applyBorder="1" applyAlignment="1">
      <alignment horizontal="centerContinuous" vertical="center" wrapText="1"/>
    </xf>
    <xf numFmtId="0" fontId="13" fillId="0" borderId="15" xfId="0" applyFont="1" applyBorder="1" applyAlignment="1">
      <alignment horizontal="centerContinuous" vertical="center" wrapText="1"/>
    </xf>
    <xf numFmtId="0" fontId="13" fillId="0" borderId="13" xfId="0" applyFont="1" applyBorder="1" applyAlignment="1">
      <alignment horizontal="centerContinuous" vertical="center" wrapText="1"/>
    </xf>
    <xf numFmtId="2" fontId="12" fillId="0" borderId="1" xfId="1" applyNumberFormat="1" applyFont="1" applyFill="1" applyBorder="1" applyAlignment="1">
      <alignment horizontal="center" vertical="center"/>
    </xf>
    <xf numFmtId="0" fontId="13" fillId="4" borderId="14" xfId="0" applyFont="1" applyFill="1" applyBorder="1" applyAlignment="1">
      <alignment horizontal="centerContinuous" vertical="center"/>
    </xf>
    <xf numFmtId="0" fontId="13" fillId="4" borderId="15" xfId="0" applyFont="1" applyFill="1" applyBorder="1" applyAlignment="1">
      <alignment horizontal="centerContinuous" vertical="center"/>
    </xf>
    <xf numFmtId="0" fontId="13" fillId="4" borderId="13" xfId="0" applyFont="1" applyFill="1" applyBorder="1" applyAlignment="1">
      <alignment horizontal="centerContinuous" vertical="center"/>
    </xf>
    <xf numFmtId="0" fontId="13" fillId="0" borderId="14" xfId="0" applyFont="1" applyBorder="1" applyAlignment="1">
      <alignment horizontal="center" vertical="center"/>
    </xf>
    <xf numFmtId="0" fontId="13" fillId="0" borderId="15" xfId="0" applyFont="1" applyBorder="1" applyAlignment="1">
      <alignment horizontal="center" vertical="center"/>
    </xf>
    <xf numFmtId="0" fontId="12" fillId="0" borderId="0" xfId="0" applyFont="1" applyAlignment="1">
      <alignment horizontal="center" vertical="center" wrapText="1"/>
    </xf>
    <xf numFmtId="0" fontId="13" fillId="0" borderId="5" xfId="0" quotePrefix="1" applyFont="1" applyBorder="1" applyAlignment="1">
      <alignment horizontal="left" vertical="center" wrapText="1"/>
    </xf>
    <xf numFmtId="0" fontId="13" fillId="4" borderId="5" xfId="0" applyFont="1" applyFill="1" applyBorder="1" applyAlignment="1">
      <alignment horizontal="centerContinuous" vertical="center"/>
    </xf>
    <xf numFmtId="4" fontId="12" fillId="0" borderId="1" xfId="0" applyNumberFormat="1" applyFont="1" applyBorder="1" applyAlignment="1">
      <alignment horizontal="center" vertical="center"/>
    </xf>
    <xf numFmtId="0" fontId="13" fillId="4" borderId="1" xfId="0" applyFont="1" applyFill="1" applyBorder="1" applyAlignment="1">
      <alignment horizontal="centerContinuous" vertical="center"/>
    </xf>
    <xf numFmtId="14" fontId="13" fillId="0" borderId="1" xfId="0" quotePrefix="1" applyNumberFormat="1" applyFont="1" applyBorder="1" applyAlignment="1">
      <alignment horizontal="center" vertical="center" wrapText="1"/>
    </xf>
    <xf numFmtId="2" fontId="9" fillId="0" borderId="1" xfId="0" applyNumberFormat="1" applyFont="1" applyBorder="1" applyAlignment="1">
      <alignment horizontal="center" vertical="center"/>
    </xf>
    <xf numFmtId="9" fontId="9" fillId="0" borderId="1" xfId="0" applyNumberFormat="1" applyFont="1" applyBorder="1" applyAlignment="1">
      <alignment horizontal="center" vertical="center"/>
    </xf>
    <xf numFmtId="6" fontId="9" fillId="0" borderId="1" xfId="0" applyNumberFormat="1" applyFont="1" applyBorder="1" applyAlignment="1">
      <alignment vertical="center"/>
    </xf>
    <xf numFmtId="0" fontId="9" fillId="0" borderId="1" xfId="0" applyFont="1" applyBorder="1" applyAlignment="1">
      <alignment horizontal="center" vertical="center" wrapText="1"/>
    </xf>
    <xf numFmtId="10" fontId="9" fillId="0" borderId="1" xfId="0" applyNumberFormat="1" applyFont="1" applyBorder="1" applyAlignment="1">
      <alignment horizontal="center" vertical="center"/>
    </xf>
    <xf numFmtId="0" fontId="13" fillId="0" borderId="4" xfId="0" applyFont="1" applyBorder="1" applyAlignment="1">
      <alignment horizontal="center" vertical="center" wrapText="1"/>
    </xf>
    <xf numFmtId="0" fontId="12" fillId="0" borderId="4" xfId="0" applyFont="1" applyBorder="1" applyAlignment="1">
      <alignment horizontal="left" vertical="center" indent="2"/>
    </xf>
    <xf numFmtId="0" fontId="8" fillId="0" borderId="16" xfId="0" quotePrefix="1" applyFont="1" applyBorder="1" applyAlignment="1">
      <alignment horizontal="left"/>
    </xf>
    <xf numFmtId="0" fontId="9" fillId="0" borderId="17" xfId="0" applyFont="1" applyBorder="1"/>
    <xf numFmtId="0" fontId="9" fillId="0" borderId="18" xfId="0" applyFont="1" applyBorder="1"/>
    <xf numFmtId="0" fontId="9" fillId="0" borderId="9" xfId="0" applyFont="1" applyBorder="1"/>
    <xf numFmtId="0" fontId="9" fillId="0" borderId="10" xfId="0" applyFont="1" applyBorder="1"/>
    <xf numFmtId="0" fontId="9" fillId="0" borderId="9" xfId="0" applyFont="1" applyBorder="1" applyAlignment="1">
      <alignment horizontal="center"/>
    </xf>
    <xf numFmtId="0" fontId="9" fillId="0" borderId="0" xfId="0" applyFont="1" applyAlignment="1">
      <alignment horizontal="center"/>
    </xf>
    <xf numFmtId="0" fontId="9" fillId="0" borderId="9" xfId="0" quotePrefix="1" applyFont="1" applyBorder="1" applyAlignment="1">
      <alignment horizontal="left"/>
    </xf>
    <xf numFmtId="164" fontId="9" fillId="0" borderId="0" xfId="0" applyNumberFormat="1" applyFont="1" applyAlignment="1">
      <alignment horizontal="center"/>
    </xf>
    <xf numFmtId="165" fontId="9" fillId="0" borderId="0" xfId="0" applyNumberFormat="1" applyFont="1" applyAlignment="1">
      <alignment horizontal="center"/>
    </xf>
    <xf numFmtId="166" fontId="13" fillId="0" borderId="0" xfId="0" applyNumberFormat="1" applyFont="1" applyAlignment="1">
      <alignment vertical="top"/>
    </xf>
    <xf numFmtId="166" fontId="13" fillId="0" borderId="4" xfId="0" quotePrefix="1" applyNumberFormat="1" applyFont="1" applyBorder="1" applyAlignment="1">
      <alignment horizontal="right" vertical="center"/>
    </xf>
    <xf numFmtId="166" fontId="13" fillId="0" borderId="4" xfId="0" applyNumberFormat="1" applyFont="1" applyBorder="1" applyAlignment="1">
      <alignment horizontal="right" vertical="center" wrapText="1"/>
    </xf>
    <xf numFmtId="0" fontId="13" fillId="0" borderId="15" xfId="0" applyFont="1" applyBorder="1" applyAlignment="1">
      <alignment horizontal="left" vertical="center"/>
    </xf>
    <xf numFmtId="0" fontId="9" fillId="0" borderId="10" xfId="0" applyFont="1" applyBorder="1" applyAlignment="1">
      <alignment horizontal="center"/>
    </xf>
    <xf numFmtId="164" fontId="9" fillId="0" borderId="10" xfId="0" applyNumberFormat="1" applyFont="1" applyBorder="1" applyAlignment="1">
      <alignment horizontal="center"/>
    </xf>
    <xf numFmtId="0" fontId="13" fillId="4" borderId="1" xfId="0" quotePrefix="1" applyFont="1" applyFill="1" applyBorder="1" applyAlignment="1">
      <alignment horizontal="center" vertical="center" wrapText="1"/>
    </xf>
    <xf numFmtId="0" fontId="13" fillId="0" borderId="0" xfId="0" applyFont="1" applyAlignment="1">
      <alignment horizontal="center" vertical="center"/>
    </xf>
    <xf numFmtId="0" fontId="12" fillId="0" borderId="0" xfId="0" quotePrefix="1" applyFont="1" applyAlignment="1">
      <alignment horizontal="center" vertical="center"/>
    </xf>
    <xf numFmtId="0" fontId="16" fillId="0" borderId="14" xfId="0" applyFont="1" applyBorder="1" applyAlignment="1">
      <alignment horizontal="center" vertical="center"/>
    </xf>
    <xf numFmtId="165" fontId="9" fillId="0" borderId="10" xfId="0" applyNumberFormat="1" applyFont="1" applyBorder="1" applyAlignment="1">
      <alignment horizontal="center"/>
    </xf>
    <xf numFmtId="164" fontId="8" fillId="0" borderId="0" xfId="0" applyNumberFormat="1" applyFont="1" applyAlignment="1">
      <alignment horizontal="center"/>
    </xf>
    <xf numFmtId="166" fontId="13" fillId="0" borderId="17" xfId="0" applyNumberFormat="1" applyFont="1" applyBorder="1" applyAlignment="1">
      <alignment vertical="top"/>
    </xf>
    <xf numFmtId="167" fontId="9" fillId="0" borderId="0" xfId="0" applyNumberFormat="1" applyFont="1" applyAlignment="1">
      <alignment horizontal="center"/>
    </xf>
    <xf numFmtId="0" fontId="13" fillId="0" borderId="17" xfId="0" quotePrefix="1" applyFont="1" applyBorder="1" applyAlignment="1">
      <alignment vertical="center"/>
    </xf>
    <xf numFmtId="0" fontId="13" fillId="0" borderId="23" xfId="0" quotePrefix="1" applyFont="1" applyBorder="1" applyAlignment="1">
      <alignment vertical="center"/>
    </xf>
    <xf numFmtId="0" fontId="13" fillId="0" borderId="7" xfId="0" quotePrefix="1" applyFont="1" applyBorder="1" applyAlignment="1">
      <alignment vertical="center"/>
    </xf>
    <xf numFmtId="0" fontId="13" fillId="0" borderId="25" xfId="0" quotePrefix="1" applyFont="1" applyBorder="1" applyAlignment="1">
      <alignment vertical="center"/>
    </xf>
    <xf numFmtId="166" fontId="12" fillId="0" borderId="4" xfId="0" quotePrefix="1" applyNumberFormat="1" applyFont="1" applyBorder="1" applyAlignment="1">
      <alignment horizontal="left" vertical="center"/>
    </xf>
    <xf numFmtId="0" fontId="9" fillId="0" borderId="20" xfId="0" applyFont="1" applyBorder="1"/>
    <xf numFmtId="0" fontId="9" fillId="0" borderId="21" xfId="0" applyFont="1" applyBorder="1"/>
    <xf numFmtId="167" fontId="17" fillId="0" borderId="9" xfId="0" applyNumberFormat="1" applyFont="1" applyBorder="1" applyAlignment="1">
      <alignment horizontal="center"/>
    </xf>
    <xf numFmtId="0" fontId="13" fillId="0" borderId="4" xfId="0" quotePrefix="1" applyFont="1" applyBorder="1" applyAlignment="1">
      <alignment horizontal="center" vertical="center"/>
    </xf>
    <xf numFmtId="6" fontId="9" fillId="0" borderId="0" xfId="0" applyNumberFormat="1" applyFont="1"/>
    <xf numFmtId="0" fontId="6" fillId="0" borderId="0" xfId="4"/>
    <xf numFmtId="0" fontId="6" fillId="7" borderId="0" xfId="4" applyFill="1"/>
    <xf numFmtId="0" fontId="18" fillId="0" borderId="27" xfId="4" applyFont="1" applyBorder="1" applyAlignment="1">
      <alignment horizontal="center"/>
    </xf>
    <xf numFmtId="0" fontId="20" fillId="0" borderId="1" xfId="4" applyFont="1" applyBorder="1" applyAlignment="1">
      <alignment horizontal="center" vertical="center" wrapText="1"/>
    </xf>
    <xf numFmtId="0" fontId="6" fillId="0" borderId="1" xfId="4" applyBorder="1" applyAlignment="1">
      <alignment horizontal="center" vertical="center"/>
    </xf>
    <xf numFmtId="0" fontId="19" fillId="0" borderId="1" xfId="4" applyFont="1" applyBorder="1" applyAlignment="1">
      <alignment horizontal="center" vertical="center" wrapText="1"/>
    </xf>
    <xf numFmtId="0" fontId="20" fillId="0" borderId="1" xfId="4" quotePrefix="1" applyFont="1" applyBorder="1" applyAlignment="1">
      <alignment horizontal="center" vertical="center" wrapText="1"/>
    </xf>
    <xf numFmtId="164" fontId="8" fillId="0" borderId="10" xfId="0" applyNumberFormat="1" applyFont="1" applyBorder="1" applyAlignment="1">
      <alignment horizontal="center"/>
    </xf>
    <xf numFmtId="166" fontId="12" fillId="0" borderId="19" xfId="0" quotePrefix="1" applyNumberFormat="1" applyFont="1" applyBorder="1" applyAlignment="1">
      <alignment horizontal="left" vertical="center"/>
    </xf>
    <xf numFmtId="0" fontId="9" fillId="0" borderId="0" xfId="0" applyFont="1" applyAlignment="1">
      <alignment horizontal="center" vertical="center"/>
    </xf>
    <xf numFmtId="0" fontId="8" fillId="0" borderId="0" xfId="0" quotePrefix="1" applyFont="1" applyAlignment="1">
      <alignment horizontal="center" vertical="center"/>
    </xf>
    <xf numFmtId="169" fontId="9" fillId="0" borderId="0" xfId="0" applyNumberFormat="1" applyFont="1" applyAlignment="1">
      <alignment horizontal="center" vertical="center"/>
    </xf>
    <xf numFmtId="6" fontId="9" fillId="0" borderId="0" xfId="0" applyNumberFormat="1" applyFont="1" applyAlignment="1">
      <alignment vertical="center"/>
    </xf>
    <xf numFmtId="0" fontId="9" fillId="0" borderId="0" xfId="0" quotePrefix="1" applyFont="1" applyAlignment="1">
      <alignment horizontal="left" vertical="center"/>
    </xf>
    <xf numFmtId="41" fontId="9" fillId="0" borderId="0" xfId="0" applyNumberFormat="1" applyFont="1" applyAlignment="1">
      <alignment horizontal="right" vertical="center"/>
    </xf>
    <xf numFmtId="0" fontId="9" fillId="0" borderId="0" xfId="0" applyFont="1" applyAlignment="1">
      <alignment horizontal="right" vertical="center"/>
    </xf>
    <xf numFmtId="0" fontId="9" fillId="0" borderId="12" xfId="0" applyFont="1" applyBorder="1" applyAlignment="1">
      <alignment vertical="top" wrapText="1"/>
    </xf>
    <xf numFmtId="0" fontId="13" fillId="0" borderId="13" xfId="0" applyFont="1" applyBorder="1" applyAlignment="1">
      <alignment horizontal="center" vertical="center"/>
    </xf>
    <xf numFmtId="9" fontId="13" fillId="0" borderId="6" xfId="0" applyNumberFormat="1" applyFont="1" applyBorder="1" applyAlignment="1">
      <alignment horizontal="center" vertical="center" wrapText="1"/>
    </xf>
    <xf numFmtId="0" fontId="9" fillId="0" borderId="7" xfId="0" quotePrefix="1" applyFont="1" applyBorder="1" applyAlignment="1">
      <alignment horizontal="left" vertical="top" wrapText="1"/>
    </xf>
    <xf numFmtId="0" fontId="13" fillId="4" borderId="6" xfId="0" quotePrefix="1" applyFont="1" applyFill="1" applyBorder="1" applyAlignment="1">
      <alignment horizontal="center" vertical="center" wrapText="1"/>
    </xf>
    <xf numFmtId="14" fontId="13" fillId="0" borderId="6" xfId="0" quotePrefix="1" applyNumberFormat="1" applyFont="1" applyBorder="1" applyAlignment="1">
      <alignment horizontal="center" vertical="center" wrapText="1"/>
    </xf>
    <xf numFmtId="0" fontId="13" fillId="0" borderId="6" xfId="0" applyFont="1" applyBorder="1" applyAlignment="1">
      <alignment horizontal="center" vertical="center" wrapText="1"/>
    </xf>
    <xf numFmtId="4" fontId="14" fillId="0" borderId="6" xfId="0" applyNumberFormat="1" applyFont="1" applyBorder="1" applyAlignment="1">
      <alignment horizontal="center" vertical="center"/>
    </xf>
    <xf numFmtId="4" fontId="15" fillId="0" borderId="6" xfId="0" applyNumberFormat="1" applyFont="1" applyBorder="1" applyAlignment="1">
      <alignment horizontal="center" vertical="center"/>
    </xf>
    <xf numFmtId="4" fontId="13" fillId="0" borderId="6" xfId="0" applyNumberFormat="1" applyFont="1" applyBorder="1" applyAlignment="1">
      <alignment horizontal="center" vertical="center"/>
    </xf>
    <xf numFmtId="10" fontId="12" fillId="0" borderId="6" xfId="1" applyNumberFormat="1" applyFont="1" applyFill="1" applyBorder="1" applyAlignment="1">
      <alignment horizontal="center" vertical="center"/>
    </xf>
    <xf numFmtId="4" fontId="12" fillId="0" borderId="6" xfId="0" applyNumberFormat="1" applyFont="1" applyBorder="1" applyAlignment="1">
      <alignment horizontal="center" vertical="center"/>
    </xf>
    <xf numFmtId="0" fontId="13" fillId="4" borderId="6" xfId="0" applyFont="1" applyFill="1" applyBorder="1" applyAlignment="1">
      <alignment horizontal="centerContinuous" vertical="center"/>
    </xf>
    <xf numFmtId="0" fontId="13" fillId="0" borderId="6" xfId="0" applyFont="1" applyBorder="1" applyAlignment="1">
      <alignment horizontal="center" vertical="center"/>
    </xf>
    <xf numFmtId="0" fontId="9" fillId="0" borderId="3" xfId="0" applyFont="1" applyBorder="1" applyAlignment="1">
      <alignment vertical="center"/>
    </xf>
    <xf numFmtId="0" fontId="13" fillId="0" borderId="3" xfId="0" applyFont="1" applyBorder="1" applyAlignment="1">
      <alignment horizontal="center" vertical="center"/>
    </xf>
    <xf numFmtId="0" fontId="12" fillId="0" borderId="3" xfId="0" quotePrefix="1" applyFont="1" applyBorder="1" applyAlignment="1">
      <alignment horizontal="center" vertical="center"/>
    </xf>
    <xf numFmtId="166" fontId="13" fillId="0" borderId="3" xfId="0" applyNumberFormat="1" applyFont="1" applyBorder="1" applyAlignment="1">
      <alignment vertical="top"/>
    </xf>
    <xf numFmtId="166" fontId="13" fillId="0" borderId="23" xfId="0" applyNumberFormat="1" applyFont="1" applyBorder="1" applyAlignment="1">
      <alignment vertical="top"/>
    </xf>
    <xf numFmtId="167" fontId="9" fillId="0" borderId="10" xfId="0" applyNumberFormat="1" applyFont="1" applyBorder="1" applyAlignment="1">
      <alignment horizontal="center"/>
    </xf>
    <xf numFmtId="0" fontId="20" fillId="7" borderId="0" xfId="4" applyFont="1" applyFill="1" applyAlignment="1">
      <alignment vertical="center"/>
    </xf>
    <xf numFmtId="0" fontId="19" fillId="7" borderId="0" xfId="4" applyFont="1" applyFill="1" applyAlignment="1">
      <alignment vertical="center"/>
    </xf>
    <xf numFmtId="166" fontId="12" fillId="0" borderId="22" xfId="0" quotePrefix="1" applyNumberFormat="1" applyFont="1" applyBorder="1" applyAlignment="1">
      <alignment horizontal="left" vertical="center"/>
    </xf>
    <xf numFmtId="0" fontId="13" fillId="0" borderId="0" xfId="0" quotePrefix="1" applyFont="1" applyAlignment="1">
      <alignment horizontal="center" vertical="center"/>
    </xf>
    <xf numFmtId="0" fontId="21" fillId="7" borderId="0" xfId="4" applyFont="1" applyFill="1" applyAlignment="1">
      <alignment horizontal="centerContinuous" vertical="center" wrapText="1"/>
    </xf>
    <xf numFmtId="0" fontId="24" fillId="7" borderId="0" xfId="4" applyFont="1" applyFill="1" applyAlignment="1">
      <alignment horizontal="centerContinuous" vertical="center" wrapText="1"/>
    </xf>
    <xf numFmtId="0" fontId="23" fillId="7" borderId="0" xfId="4" applyFont="1" applyFill="1" applyAlignment="1">
      <alignment horizontal="centerContinuous" vertical="center" wrapText="1"/>
    </xf>
    <xf numFmtId="0" fontId="20" fillId="7" borderId="0" xfId="4" applyFont="1" applyFill="1" applyAlignment="1">
      <alignment horizontal="centerContinuous" vertical="center" wrapText="1"/>
    </xf>
    <xf numFmtId="0" fontId="19" fillId="7" borderId="0" xfId="4" applyFont="1" applyFill="1" applyAlignment="1">
      <alignment horizontal="centerContinuous" vertical="center" wrapText="1"/>
    </xf>
    <xf numFmtId="0" fontId="5" fillId="0" borderId="1" xfId="4" quotePrefix="1" applyFont="1" applyBorder="1" applyAlignment="1">
      <alignment horizontal="left" vertical="center" wrapText="1"/>
    </xf>
    <xf numFmtId="0" fontId="9" fillId="7" borderId="0" xfId="0" quotePrefix="1" applyFont="1" applyFill="1" applyAlignment="1">
      <alignment horizontal="center" vertical="center" wrapText="1"/>
    </xf>
    <xf numFmtId="0" fontId="9" fillId="7" borderId="10" xfId="0" quotePrefix="1" applyFont="1" applyFill="1" applyBorder="1" applyAlignment="1">
      <alignment horizontal="center" vertical="center" wrapText="1"/>
    </xf>
    <xf numFmtId="0" fontId="13" fillId="6" borderId="6" xfId="0" applyFont="1" applyFill="1" applyBorder="1" applyAlignment="1">
      <alignment horizontal="center" vertical="center"/>
    </xf>
    <xf numFmtId="166" fontId="12" fillId="0" borderId="0" xfId="0" applyNumberFormat="1" applyFont="1" applyAlignment="1">
      <alignment horizontal="center" vertical="top"/>
    </xf>
    <xf numFmtId="1" fontId="9" fillId="0" borderId="0" xfId="0" applyNumberFormat="1" applyFont="1" applyAlignment="1">
      <alignment vertical="center"/>
    </xf>
    <xf numFmtId="3" fontId="9" fillId="0" borderId="0" xfId="0" applyNumberFormat="1" applyFont="1" applyAlignment="1">
      <alignment vertical="center"/>
    </xf>
    <xf numFmtId="0" fontId="5" fillId="0" borderId="0" xfId="4" applyFont="1"/>
    <xf numFmtId="168" fontId="22" fillId="0" borderId="28" xfId="4" applyNumberFormat="1" applyFont="1" applyBorder="1" applyAlignment="1">
      <alignment vertical="center" wrapText="1"/>
    </xf>
    <xf numFmtId="164" fontId="22" fillId="0" borderId="28" xfId="4" applyNumberFormat="1" applyFont="1" applyBorder="1" applyAlignment="1">
      <alignment horizontal="center" vertical="center"/>
    </xf>
    <xf numFmtId="0" fontId="20" fillId="7" borderId="26" xfId="4" applyFont="1" applyFill="1" applyBorder="1" applyAlignment="1">
      <alignment horizontal="left" wrapText="1"/>
    </xf>
    <xf numFmtId="0" fontId="20" fillId="0" borderId="26" xfId="4" applyFont="1" applyBorder="1"/>
    <xf numFmtId="0" fontId="6" fillId="0" borderId="16" xfId="4" applyBorder="1"/>
    <xf numFmtId="0" fontId="6" fillId="0" borderId="17" xfId="4" applyBorder="1"/>
    <xf numFmtId="0" fontId="6" fillId="0" borderId="18" xfId="4" applyBorder="1"/>
    <xf numFmtId="0" fontId="6" fillId="0" borderId="9" xfId="4" applyBorder="1"/>
    <xf numFmtId="0" fontId="6" fillId="0" borderId="10" xfId="4" applyBorder="1"/>
    <xf numFmtId="166" fontId="5" fillId="0" borderId="0" xfId="4" quotePrefix="1" applyNumberFormat="1" applyFont="1" applyAlignment="1">
      <alignment horizontal="center"/>
    </xf>
    <xf numFmtId="0" fontId="25" fillId="0" borderId="10" xfId="4" applyFont="1" applyBorder="1"/>
    <xf numFmtId="0" fontId="6" fillId="0" borderId="9" xfId="4" applyBorder="1" applyAlignment="1">
      <alignment horizontal="center"/>
    </xf>
    <xf numFmtId="0" fontId="6" fillId="0" borderId="0" xfId="4" applyAlignment="1">
      <alignment horizontal="center"/>
    </xf>
    <xf numFmtId="0" fontId="6" fillId="0" borderId="11" xfId="4" applyBorder="1"/>
    <xf numFmtId="0" fontId="6" fillId="0" borderId="7" xfId="4" applyBorder="1"/>
    <xf numFmtId="0" fontId="6" fillId="0" borderId="12" xfId="4" applyBorder="1"/>
    <xf numFmtId="0" fontId="13" fillId="2" borderId="6" xfId="0" applyFont="1" applyFill="1" applyBorder="1" applyAlignment="1">
      <alignment horizontal="center" vertical="center" wrapText="1"/>
    </xf>
    <xf numFmtId="164" fontId="8" fillId="8" borderId="1" xfId="0" applyNumberFormat="1" applyFont="1" applyFill="1" applyBorder="1" applyAlignment="1">
      <alignment horizontal="center"/>
    </xf>
    <xf numFmtId="0" fontId="26" fillId="0" borderId="11" xfId="0" applyFont="1" applyBorder="1"/>
    <xf numFmtId="0" fontId="9" fillId="0" borderId="9" xfId="0" quotePrefix="1" applyFont="1" applyBorder="1" applyAlignment="1">
      <alignment horizontal="center" vertical="center" wrapText="1"/>
    </xf>
    <xf numFmtId="0" fontId="27" fillId="0" borderId="5" xfId="0" applyFont="1" applyBorder="1" applyAlignment="1">
      <alignment horizontal="right" vertical="center" wrapText="1" indent="1"/>
    </xf>
    <xf numFmtId="0" fontId="13" fillId="0" borderId="5" xfId="0" quotePrefix="1" applyFont="1" applyBorder="1" applyAlignment="1">
      <alignment horizontal="center" vertical="center" wrapText="1"/>
    </xf>
    <xf numFmtId="0" fontId="12" fillId="0" borderId="5" xfId="0" quotePrefix="1" applyFont="1" applyBorder="1" applyAlignment="1">
      <alignment horizontal="right" vertical="center" wrapText="1"/>
    </xf>
    <xf numFmtId="0" fontId="12" fillId="0" borderId="5" xfId="0" applyFont="1" applyBorder="1" applyAlignment="1">
      <alignment horizontal="right" vertical="center" wrapText="1"/>
    </xf>
    <xf numFmtId="0" fontId="12" fillId="0" borderId="5" xfId="0" applyFont="1" applyBorder="1" applyAlignment="1">
      <alignment horizontal="right" vertical="center"/>
    </xf>
    <xf numFmtId="0" fontId="12" fillId="0" borderId="22" xfId="0" quotePrefix="1" applyFont="1" applyBorder="1" applyAlignment="1">
      <alignment horizontal="left" vertical="center"/>
    </xf>
    <xf numFmtId="0" fontId="12" fillId="0" borderId="24" xfId="0" quotePrefix="1" applyFont="1" applyBorder="1" applyAlignment="1">
      <alignment horizontal="left" vertical="center"/>
    </xf>
    <xf numFmtId="6" fontId="12" fillId="0" borderId="1" xfId="0" applyNumberFormat="1" applyFont="1" applyBorder="1" applyAlignment="1">
      <alignment horizontal="right" vertical="center" indent="1"/>
    </xf>
    <xf numFmtId="6" fontId="12" fillId="0" borderId="6" xfId="0" applyNumberFormat="1" applyFont="1" applyBorder="1" applyAlignment="1">
      <alignment horizontal="right" vertical="center" indent="1"/>
    </xf>
    <xf numFmtId="6" fontId="13" fillId="3" borderId="1" xfId="0" applyNumberFormat="1" applyFont="1" applyFill="1" applyBorder="1" applyAlignment="1">
      <alignment horizontal="right" vertical="center" indent="1"/>
    </xf>
    <xf numFmtId="6" fontId="13" fillId="3" borderId="6" xfId="0" applyNumberFormat="1" applyFont="1" applyFill="1" applyBorder="1" applyAlignment="1">
      <alignment horizontal="right" vertical="center" indent="1"/>
    </xf>
    <xf numFmtId="0" fontId="8" fillId="8" borderId="1" xfId="0" quotePrefix="1" applyFont="1" applyFill="1" applyBorder="1" applyAlignment="1">
      <alignment horizontal="center" vertical="center"/>
    </xf>
    <xf numFmtId="0" fontId="8" fillId="8" borderId="1" xfId="0" quotePrefix="1" applyFont="1" applyFill="1" applyBorder="1" applyAlignment="1">
      <alignment horizontal="center" vertical="center" wrapText="1"/>
    </xf>
    <xf numFmtId="2" fontId="12" fillId="0" borderId="6" xfId="1" applyNumberFormat="1" applyFont="1" applyFill="1" applyBorder="1" applyAlignment="1">
      <alignment horizontal="center" vertical="center"/>
    </xf>
    <xf numFmtId="0" fontId="13" fillId="5" borderId="6" xfId="0" applyFont="1" applyFill="1" applyBorder="1" applyAlignment="1">
      <alignment horizontal="center" vertical="center"/>
    </xf>
    <xf numFmtId="0" fontId="13" fillId="0" borderId="13" xfId="0" applyFont="1" applyBorder="1" applyAlignment="1">
      <alignment horizontal="left" vertical="center"/>
    </xf>
    <xf numFmtId="9" fontId="12" fillId="0" borderId="1" xfId="1" applyFont="1" applyFill="1" applyBorder="1" applyAlignment="1">
      <alignment horizontal="center" vertical="center"/>
    </xf>
    <xf numFmtId="9" fontId="12" fillId="0" borderId="6" xfId="1" applyFont="1" applyFill="1" applyBorder="1" applyAlignment="1">
      <alignment horizontal="center" vertical="center"/>
    </xf>
    <xf numFmtId="0" fontId="20" fillId="7" borderId="0" xfId="4" quotePrefix="1" applyFont="1" applyFill="1" applyAlignment="1">
      <alignment horizontal="left" vertical="center" wrapText="1"/>
    </xf>
    <xf numFmtId="0" fontId="28" fillId="0" borderId="0" xfId="0" applyFont="1"/>
    <xf numFmtId="0" fontId="28" fillId="0" borderId="0" xfId="0" applyFont="1" applyAlignment="1">
      <alignment wrapText="1"/>
    </xf>
    <xf numFmtId="6" fontId="28" fillId="0" borderId="0" xfId="0" applyNumberFormat="1" applyFont="1"/>
    <xf numFmtId="0" fontId="30" fillId="0" borderId="1" xfId="4" applyFont="1" applyBorder="1" applyAlignment="1">
      <alignment horizontal="center" vertical="center" wrapText="1"/>
    </xf>
    <xf numFmtId="0" fontId="31" fillId="0" borderId="1" xfId="4" applyFont="1" applyBorder="1" applyAlignment="1">
      <alignment horizontal="center" vertical="center" wrapText="1"/>
    </xf>
    <xf numFmtId="0" fontId="20" fillId="0" borderId="1" xfId="4" quotePrefix="1" applyFont="1" applyBorder="1" applyAlignment="1">
      <alignment vertical="center" wrapText="1"/>
    </xf>
    <xf numFmtId="0" fontId="29" fillId="0" borderId="0" xfId="4" applyFont="1"/>
    <xf numFmtId="0" fontId="3" fillId="0" borderId="0" xfId="4" applyFont="1"/>
    <xf numFmtId="0" fontId="3" fillId="0" borderId="1" xfId="4" quotePrefix="1" applyFont="1" applyBorder="1" applyAlignment="1">
      <alignment horizontal="left" vertical="center" wrapText="1"/>
    </xf>
    <xf numFmtId="0" fontId="11" fillId="0" borderId="2" xfId="0" applyFont="1" applyBorder="1" applyAlignment="1">
      <alignment horizontal="center" vertical="center" wrapText="1" readingOrder="1"/>
    </xf>
    <xf numFmtId="0" fontId="11" fillId="0" borderId="0" xfId="0" applyFont="1" applyAlignment="1">
      <alignment horizontal="center" vertical="center" wrapText="1" readingOrder="1"/>
    </xf>
    <xf numFmtId="0" fontId="11" fillId="0" borderId="7" xfId="0" applyFont="1" applyBorder="1" applyAlignment="1">
      <alignment horizontal="center" vertical="center" wrapText="1" readingOrder="1"/>
    </xf>
    <xf numFmtId="0" fontId="12" fillId="0" borderId="10" xfId="0" applyFont="1" applyBorder="1" applyAlignment="1">
      <alignment horizontal="center" vertical="center" wrapText="1"/>
    </xf>
    <xf numFmtId="0" fontId="9" fillId="0" borderId="10" xfId="0" applyFont="1" applyBorder="1" applyAlignment="1">
      <alignment vertical="center"/>
    </xf>
    <xf numFmtId="0" fontId="13" fillId="0" borderId="10" xfId="0" applyFont="1" applyBorder="1" applyAlignment="1">
      <alignment horizontal="center" vertical="center"/>
    </xf>
    <xf numFmtId="0" fontId="12" fillId="0" borderId="10" xfId="0" quotePrefix="1" applyFont="1" applyBorder="1" applyAlignment="1">
      <alignment horizontal="center" vertical="center"/>
    </xf>
    <xf numFmtId="0" fontId="13" fillId="0" borderId="10" xfId="0" quotePrefix="1" applyFont="1" applyBorder="1" applyAlignment="1">
      <alignment horizontal="center" vertical="center"/>
    </xf>
    <xf numFmtId="9" fontId="13" fillId="0" borderId="26" xfId="0" applyNumberFormat="1" applyFont="1" applyBorder="1" applyAlignment="1">
      <alignment horizontal="center" vertical="center" wrapText="1"/>
    </xf>
    <xf numFmtId="6" fontId="12" fillId="0" borderId="26" xfId="0" applyNumberFormat="1" applyFont="1" applyBorder="1" applyAlignment="1">
      <alignment horizontal="right" vertical="center" indent="1"/>
    </xf>
    <xf numFmtId="0" fontId="13" fillId="5" borderId="26" xfId="0" applyFont="1" applyFill="1" applyBorder="1" applyAlignment="1">
      <alignment horizontal="center" vertical="center"/>
    </xf>
    <xf numFmtId="4" fontId="14" fillId="0" borderId="26" xfId="0" applyNumberFormat="1" applyFont="1" applyBorder="1" applyAlignment="1">
      <alignment horizontal="center" vertical="center"/>
    </xf>
    <xf numFmtId="4" fontId="15" fillId="0" borderId="26" xfId="0" applyNumberFormat="1" applyFont="1" applyBorder="1" applyAlignment="1">
      <alignment horizontal="center" vertical="center"/>
    </xf>
    <xf numFmtId="4" fontId="13" fillId="0" borderId="26" xfId="0" applyNumberFormat="1" applyFont="1" applyBorder="1" applyAlignment="1">
      <alignment horizontal="center" vertical="center"/>
    </xf>
    <xf numFmtId="10" fontId="12" fillId="0" borderId="26" xfId="1" applyNumberFormat="1" applyFont="1" applyFill="1" applyBorder="1" applyAlignment="1">
      <alignment horizontal="center" vertical="center"/>
    </xf>
    <xf numFmtId="4" fontId="12" fillId="0" borderId="26" xfId="0" applyNumberFormat="1" applyFont="1" applyBorder="1" applyAlignment="1">
      <alignment horizontal="center" vertical="center"/>
    </xf>
    <xf numFmtId="0" fontId="13" fillId="4" borderId="26" xfId="0" applyFont="1" applyFill="1" applyBorder="1" applyAlignment="1">
      <alignment horizontal="centerContinuous" vertical="center"/>
    </xf>
    <xf numFmtId="0" fontId="13" fillId="0" borderId="26" xfId="0" applyFont="1" applyBorder="1" applyAlignment="1">
      <alignment horizontal="center" vertical="center"/>
    </xf>
    <xf numFmtId="9" fontId="12" fillId="0" borderId="26" xfId="1" applyFont="1" applyFill="1" applyBorder="1" applyAlignment="1">
      <alignment horizontal="center" vertical="center"/>
    </xf>
    <xf numFmtId="0" fontId="13" fillId="6" borderId="26" xfId="0" applyFont="1" applyFill="1" applyBorder="1" applyAlignment="1">
      <alignment horizontal="center" vertical="center"/>
    </xf>
    <xf numFmtId="0" fontId="13" fillId="3" borderId="27" xfId="0" applyFont="1" applyFill="1" applyBorder="1" applyAlignment="1">
      <alignment horizontal="center" vertical="center" wrapText="1"/>
    </xf>
    <xf numFmtId="0" fontId="9" fillId="0" borderId="0" xfId="0" quotePrefix="1" applyFont="1" applyAlignment="1">
      <alignment horizontal="right" vertical="center"/>
    </xf>
    <xf numFmtId="0" fontId="13" fillId="4" borderId="27" xfId="0" applyFont="1" applyFill="1" applyBorder="1" applyAlignment="1">
      <alignment horizontal="centerContinuous" vertical="center"/>
    </xf>
    <xf numFmtId="0" fontId="13" fillId="0" borderId="27" xfId="0" applyFont="1" applyBorder="1" applyAlignment="1">
      <alignment horizontal="left" vertical="center"/>
    </xf>
    <xf numFmtId="0" fontId="13" fillId="0" borderId="6" xfId="0" applyFont="1" applyBorder="1" applyAlignment="1">
      <alignment horizontal="left" vertical="center"/>
    </xf>
    <xf numFmtId="0" fontId="2" fillId="7" borderId="0" xfId="4" quotePrefix="1" applyFont="1" applyFill="1" applyAlignment="1">
      <alignment horizontal="left" vertical="center"/>
    </xf>
    <xf numFmtId="0" fontId="13" fillId="4" borderId="26" xfId="0" quotePrefix="1" applyFont="1" applyFill="1" applyBorder="1" applyAlignment="1">
      <alignment horizontal="center" vertical="center" wrapText="1"/>
    </xf>
    <xf numFmtId="0" fontId="13" fillId="2" borderId="26" xfId="0" applyFont="1" applyFill="1" applyBorder="1" applyAlignment="1">
      <alignment horizontal="center" vertical="center" wrapText="1"/>
    </xf>
    <xf numFmtId="14" fontId="13" fillId="0" borderId="26" xfId="0" quotePrefix="1" applyNumberFormat="1" applyFont="1" applyBorder="1" applyAlignment="1">
      <alignment horizontal="center" vertical="center" wrapText="1"/>
    </xf>
    <xf numFmtId="0" fontId="13" fillId="0" borderId="26" xfId="0" applyFont="1" applyBorder="1" applyAlignment="1">
      <alignment horizontal="center" vertical="center" wrapText="1"/>
    </xf>
    <xf numFmtId="2" fontId="12" fillId="0" borderId="26" xfId="1" applyNumberFormat="1" applyFont="1" applyFill="1" applyBorder="1" applyAlignment="1">
      <alignment horizontal="center" vertical="center"/>
    </xf>
    <xf numFmtId="6" fontId="13" fillId="3" borderId="26" xfId="0" applyNumberFormat="1" applyFont="1" applyFill="1" applyBorder="1" applyAlignment="1">
      <alignment horizontal="right" vertical="center" indent="1"/>
    </xf>
    <xf numFmtId="0" fontId="13" fillId="0" borderId="26" xfId="0" applyFont="1" applyBorder="1" applyAlignment="1">
      <alignment horizontal="left" vertical="center"/>
    </xf>
    <xf numFmtId="0" fontId="13" fillId="3" borderId="1" xfId="0" applyFont="1" applyFill="1" applyBorder="1" applyAlignment="1">
      <alignment horizontal="center" vertical="center" wrapText="1"/>
    </xf>
    <xf numFmtId="0" fontId="13" fillId="4" borderId="27" xfId="0" applyFont="1" applyFill="1" applyBorder="1" applyAlignment="1">
      <alignment horizontal="center" vertical="center"/>
    </xf>
    <xf numFmtId="9" fontId="12" fillId="4" borderId="1" xfId="1" applyFont="1" applyFill="1" applyBorder="1" applyAlignment="1">
      <alignment horizontal="center" vertical="center"/>
    </xf>
    <xf numFmtId="0" fontId="13" fillId="4" borderId="27" xfId="0" applyFont="1" applyFill="1" applyBorder="1" applyAlignment="1">
      <alignment horizontal="left" vertical="center" wrapText="1"/>
    </xf>
    <xf numFmtId="0" fontId="13" fillId="4" borderId="1" xfId="0" applyFont="1" applyFill="1" applyBorder="1" applyAlignment="1">
      <alignment horizontal="center" vertical="center"/>
    </xf>
    <xf numFmtId="0" fontId="13" fillId="4" borderId="1" xfId="0" applyFont="1" applyFill="1" applyBorder="1" applyAlignment="1">
      <alignment horizontal="left" vertical="center" wrapText="1"/>
    </xf>
    <xf numFmtId="0" fontId="1" fillId="0" borderId="1" xfId="4" quotePrefix="1" applyFont="1" applyBorder="1" applyAlignment="1">
      <alignment horizontal="left" vertical="center" wrapText="1"/>
    </xf>
    <xf numFmtId="0" fontId="9" fillId="0" borderId="8" xfId="0" applyFont="1" applyBorder="1" applyAlignment="1">
      <alignment horizontal="center"/>
    </xf>
    <xf numFmtId="0" fontId="9" fillId="0" borderId="5" xfId="0" applyFont="1" applyBorder="1" applyAlignment="1">
      <alignment horizontal="center"/>
    </xf>
    <xf numFmtId="0" fontId="11" fillId="0" borderId="29" xfId="0" applyFont="1" applyBorder="1" applyAlignment="1">
      <alignment horizontal="center" vertical="center" wrapText="1" readingOrder="1"/>
    </xf>
    <xf numFmtId="0" fontId="11" fillId="0" borderId="2" xfId="0" applyFont="1" applyBorder="1" applyAlignment="1">
      <alignment horizontal="center" vertical="center" wrapText="1" readingOrder="1"/>
    </xf>
    <xf numFmtId="0" fontId="11" fillId="0" borderId="9" xfId="0" applyFont="1" applyBorder="1" applyAlignment="1">
      <alignment horizontal="center" vertical="center" wrapText="1" readingOrder="1"/>
    </xf>
    <xf numFmtId="0" fontId="11" fillId="0" borderId="0" xfId="0" applyFont="1" applyAlignment="1">
      <alignment horizontal="center" vertical="center" wrapText="1" readingOrder="1"/>
    </xf>
    <xf numFmtId="0" fontId="11" fillId="0" borderId="11" xfId="0" applyFont="1" applyBorder="1" applyAlignment="1">
      <alignment horizontal="center" vertical="center" wrapText="1" readingOrder="1"/>
    </xf>
    <xf numFmtId="0" fontId="11" fillId="0" borderId="7" xfId="0" applyFont="1" applyBorder="1" applyAlignment="1">
      <alignment horizontal="center" vertical="center" wrapText="1" readingOrder="1"/>
    </xf>
    <xf numFmtId="0" fontId="12" fillId="0" borderId="30" xfId="0" quotePrefix="1" applyFont="1" applyBorder="1" applyAlignment="1">
      <alignment horizontal="left" vertical="center" wrapText="1"/>
    </xf>
    <xf numFmtId="0" fontId="12" fillId="0" borderId="31" xfId="0" quotePrefix="1" applyFont="1" applyBorder="1" applyAlignment="1">
      <alignment horizontal="left" vertical="center" wrapText="1"/>
    </xf>
    <xf numFmtId="0" fontId="12" fillId="0" borderId="32" xfId="0" quotePrefix="1" applyFont="1" applyBorder="1" applyAlignment="1">
      <alignment horizontal="left" vertical="center" wrapText="1"/>
    </xf>
    <xf numFmtId="0" fontId="18" fillId="0" borderId="26" xfId="4" quotePrefix="1" applyFont="1" applyBorder="1" applyAlignment="1">
      <alignment horizontal="center"/>
    </xf>
    <xf numFmtId="0" fontId="18" fillId="0" borderId="7" xfId="4" applyFont="1" applyBorder="1" applyAlignment="1">
      <alignment horizontal="center"/>
    </xf>
    <xf numFmtId="0" fontId="18" fillId="0" borderId="15" xfId="4" applyFont="1" applyBorder="1" applyAlignment="1">
      <alignment horizontal="center"/>
    </xf>
    <xf numFmtId="0" fontId="18" fillId="0" borderId="27" xfId="4" applyFont="1" applyBorder="1" applyAlignment="1">
      <alignment horizontal="center"/>
    </xf>
    <xf numFmtId="0" fontId="23" fillId="0" borderId="1" xfId="4" applyFont="1" applyBorder="1" applyAlignment="1">
      <alignment horizontal="center" vertical="center" wrapText="1"/>
    </xf>
    <xf numFmtId="0" fontId="18" fillId="0" borderId="1" xfId="4" applyFont="1" applyBorder="1" applyAlignment="1">
      <alignment horizontal="center" vertical="center"/>
    </xf>
    <xf numFmtId="0" fontId="18" fillId="0" borderId="7" xfId="4" applyFont="1" applyBorder="1" applyAlignment="1">
      <alignment horizontal="center" vertical="center"/>
    </xf>
    <xf numFmtId="0" fontId="18" fillId="0" borderId="17" xfId="4" applyFont="1" applyBorder="1" applyAlignment="1">
      <alignment horizontal="center" vertical="center"/>
    </xf>
  </cellXfs>
  <cellStyles count="6">
    <cellStyle name="Millares 2" xfId="2" xr:uid="{00000000-0005-0000-0000-000000000000}"/>
    <cellStyle name="Normal" xfId="0" builtinId="0"/>
    <cellStyle name="Normal 2" xfId="3" xr:uid="{00000000-0005-0000-0000-000002000000}"/>
    <cellStyle name="Normal 3" xfId="4" xr:uid="{00000000-0005-0000-0000-000003000000}"/>
    <cellStyle name="Normal 4" xfId="5" xr:uid="{F7CEEF83-247B-49AE-A039-8AA464314FBA}"/>
    <cellStyle name="Porcentaje" xfId="1" builtinId="5"/>
  </cellStyles>
  <dxfs count="64">
    <dxf>
      <font>
        <b/>
        <i val="0"/>
        <color rgb="FFC00000"/>
      </font>
    </dxf>
    <dxf>
      <font>
        <b/>
        <i val="0"/>
        <color rgb="FFC00000"/>
      </font>
    </dxf>
    <dxf>
      <font>
        <b/>
        <i val="0"/>
        <color rgb="FFC00000"/>
      </font>
    </dxf>
    <dxf>
      <font>
        <color rgb="FF9C0006"/>
      </font>
      <fill>
        <patternFill>
          <bgColor rgb="FFFFC7CE"/>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59996337778862885"/>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59996337778862885"/>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59996337778862885"/>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59996337778862885"/>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59996337778862885"/>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59996337778862885"/>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59996337778862885"/>
        </patternFill>
      </fill>
    </dxf>
    <dxf>
      <fill>
        <patternFill>
          <bgColor theme="5" tint="0.39994506668294322"/>
        </patternFill>
      </fill>
    </dxf>
    <dxf>
      <fill>
        <patternFill>
          <bgColor theme="9" tint="0.39994506668294322"/>
        </patternFill>
      </fill>
    </dxf>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twoCellAnchor editAs="oneCell">
    <xdr:from>
      <xdr:col>1</xdr:col>
      <xdr:colOff>242156</xdr:colOff>
      <xdr:row>0</xdr:row>
      <xdr:rowOff>116417</xdr:rowOff>
    </xdr:from>
    <xdr:to>
      <xdr:col>1</xdr:col>
      <xdr:colOff>2672666</xdr:colOff>
      <xdr:row>3</xdr:row>
      <xdr:rowOff>136979</xdr:rowOff>
    </xdr:to>
    <xdr:pic>
      <xdr:nvPicPr>
        <xdr:cNvPr id="2" name="3 Imagen" descr="Logo de SDG.jpg">
          <a:extLst>
            <a:ext uri="{FF2B5EF4-FFF2-40B4-BE49-F238E27FC236}">
              <a16:creationId xmlns:a16="http://schemas.microsoft.com/office/drawing/2014/main" id="{2AC4A3AC-C8C7-4C81-BFC3-F4F416CBCFC0}"/>
            </a:ext>
          </a:extLst>
        </xdr:cNvPr>
        <xdr:cNvPicPr>
          <a:picLocks noChangeAspect="1"/>
        </xdr:cNvPicPr>
      </xdr:nvPicPr>
      <xdr:blipFill>
        <a:blip xmlns:r="http://schemas.openxmlformats.org/officeDocument/2006/relationships" r:embed="rId1" cstate="print"/>
        <a:srcRect/>
        <a:stretch>
          <a:fillRect/>
        </a:stretch>
      </xdr:blipFill>
      <xdr:spPr bwMode="auto">
        <a:xfrm>
          <a:off x="337406" y="116417"/>
          <a:ext cx="2430510" cy="706362"/>
        </a:xfrm>
        <a:prstGeom prst="rect">
          <a:avLst/>
        </a:prstGeom>
        <a:noFill/>
        <a:ln w="9525">
          <a:noFill/>
          <a:miter lim="800000"/>
          <a:headEnd/>
          <a:tailEnd/>
        </a:ln>
      </xdr:spPr>
    </xdr:pic>
    <xdr:clientData/>
  </xdr:twoCellAnchor>
  <xdr:twoCellAnchor editAs="oneCell">
    <xdr:from>
      <xdr:col>3</xdr:col>
      <xdr:colOff>381000</xdr:colOff>
      <xdr:row>45</xdr:row>
      <xdr:rowOff>52917</xdr:rowOff>
    </xdr:from>
    <xdr:to>
      <xdr:col>3</xdr:col>
      <xdr:colOff>1457325</xdr:colOff>
      <xdr:row>49</xdr:row>
      <xdr:rowOff>67734</xdr:rowOff>
    </xdr:to>
    <xdr:pic>
      <xdr:nvPicPr>
        <xdr:cNvPr id="4" name="Imagen 3">
          <a:extLst>
            <a:ext uri="{FF2B5EF4-FFF2-40B4-BE49-F238E27FC236}">
              <a16:creationId xmlns:a16="http://schemas.microsoft.com/office/drawing/2014/main" id="{FF999662-548C-4248-8191-9233C7D109A0}"/>
            </a:ext>
          </a:extLst>
        </xdr:cNvPr>
        <xdr:cNvPicPr>
          <a:picLocks noChangeAspect="1"/>
        </xdr:cNvPicPr>
      </xdr:nvPicPr>
      <xdr:blipFill>
        <a:blip xmlns:r="http://schemas.openxmlformats.org/officeDocument/2006/relationships" r:embed="rId2"/>
        <a:stretch>
          <a:fillRect/>
        </a:stretch>
      </xdr:blipFill>
      <xdr:spPr>
        <a:xfrm>
          <a:off x="6276975" y="13206942"/>
          <a:ext cx="1076325" cy="81491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242156</xdr:colOff>
      <xdr:row>0</xdr:row>
      <xdr:rowOff>116417</xdr:rowOff>
    </xdr:from>
    <xdr:to>
      <xdr:col>1</xdr:col>
      <xdr:colOff>2672666</xdr:colOff>
      <xdr:row>3</xdr:row>
      <xdr:rowOff>136979</xdr:rowOff>
    </xdr:to>
    <xdr:pic>
      <xdr:nvPicPr>
        <xdr:cNvPr id="2" name="3 Imagen" descr="Logo de SDG.jpg">
          <a:extLst>
            <a:ext uri="{FF2B5EF4-FFF2-40B4-BE49-F238E27FC236}">
              <a16:creationId xmlns:a16="http://schemas.microsoft.com/office/drawing/2014/main" id="{7E4E81BD-E94C-44B2-A688-375641D7AA35}"/>
            </a:ext>
          </a:extLst>
        </xdr:cNvPr>
        <xdr:cNvPicPr>
          <a:picLocks noChangeAspect="1"/>
        </xdr:cNvPicPr>
      </xdr:nvPicPr>
      <xdr:blipFill>
        <a:blip xmlns:r="http://schemas.openxmlformats.org/officeDocument/2006/relationships" r:embed="rId1" cstate="print"/>
        <a:srcRect/>
        <a:stretch>
          <a:fillRect/>
        </a:stretch>
      </xdr:blipFill>
      <xdr:spPr bwMode="auto">
        <a:xfrm>
          <a:off x="337406" y="116417"/>
          <a:ext cx="2430510" cy="706362"/>
        </a:xfrm>
        <a:prstGeom prst="rect">
          <a:avLst/>
        </a:prstGeom>
        <a:noFill/>
        <a:ln w="9525">
          <a:noFill/>
          <a:miter lim="800000"/>
          <a:headEnd/>
          <a:tailEnd/>
        </a:ln>
      </xdr:spPr>
    </xdr:pic>
    <xdr:clientData/>
  </xdr:twoCellAnchor>
  <xdr:twoCellAnchor editAs="oneCell">
    <xdr:from>
      <xdr:col>3</xdr:col>
      <xdr:colOff>381000</xdr:colOff>
      <xdr:row>45</xdr:row>
      <xdr:rowOff>52917</xdr:rowOff>
    </xdr:from>
    <xdr:to>
      <xdr:col>3</xdr:col>
      <xdr:colOff>1457325</xdr:colOff>
      <xdr:row>49</xdr:row>
      <xdr:rowOff>67734</xdr:rowOff>
    </xdr:to>
    <xdr:pic>
      <xdr:nvPicPr>
        <xdr:cNvPr id="3" name="Imagen 2">
          <a:extLst>
            <a:ext uri="{FF2B5EF4-FFF2-40B4-BE49-F238E27FC236}">
              <a16:creationId xmlns:a16="http://schemas.microsoft.com/office/drawing/2014/main" id="{F3C975D9-615A-4F68-B271-A95B7465A185}"/>
            </a:ext>
          </a:extLst>
        </xdr:cNvPr>
        <xdr:cNvPicPr>
          <a:picLocks noChangeAspect="1"/>
        </xdr:cNvPicPr>
      </xdr:nvPicPr>
      <xdr:blipFill>
        <a:blip xmlns:r="http://schemas.openxmlformats.org/officeDocument/2006/relationships" r:embed="rId2"/>
        <a:stretch>
          <a:fillRect/>
        </a:stretch>
      </xdr:blipFill>
      <xdr:spPr>
        <a:xfrm>
          <a:off x="6276975" y="13206942"/>
          <a:ext cx="1076325" cy="81491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242156</xdr:colOff>
      <xdr:row>0</xdr:row>
      <xdr:rowOff>116417</xdr:rowOff>
    </xdr:from>
    <xdr:to>
      <xdr:col>1</xdr:col>
      <xdr:colOff>2672666</xdr:colOff>
      <xdr:row>3</xdr:row>
      <xdr:rowOff>136979</xdr:rowOff>
    </xdr:to>
    <xdr:pic>
      <xdr:nvPicPr>
        <xdr:cNvPr id="2" name="3 Imagen" descr="Logo de SDG.jpg">
          <a:extLst>
            <a:ext uri="{FF2B5EF4-FFF2-40B4-BE49-F238E27FC236}">
              <a16:creationId xmlns:a16="http://schemas.microsoft.com/office/drawing/2014/main" id="{E3BEDA5D-04C7-4B3C-98EB-BFA8EE0A26ED}"/>
            </a:ext>
          </a:extLst>
        </xdr:cNvPr>
        <xdr:cNvPicPr>
          <a:picLocks noChangeAspect="1"/>
        </xdr:cNvPicPr>
      </xdr:nvPicPr>
      <xdr:blipFill>
        <a:blip xmlns:r="http://schemas.openxmlformats.org/officeDocument/2006/relationships" r:embed="rId1" cstate="print"/>
        <a:srcRect/>
        <a:stretch>
          <a:fillRect/>
        </a:stretch>
      </xdr:blipFill>
      <xdr:spPr bwMode="auto">
        <a:xfrm>
          <a:off x="337406" y="116417"/>
          <a:ext cx="2430510" cy="706362"/>
        </a:xfrm>
        <a:prstGeom prst="rect">
          <a:avLst/>
        </a:prstGeom>
        <a:noFill/>
        <a:ln w="9525">
          <a:noFill/>
          <a:miter lim="800000"/>
          <a:headEnd/>
          <a:tailEnd/>
        </a:ln>
      </xdr:spPr>
    </xdr:pic>
    <xdr:clientData/>
  </xdr:twoCellAnchor>
  <xdr:twoCellAnchor editAs="oneCell">
    <xdr:from>
      <xdr:col>3</xdr:col>
      <xdr:colOff>381000</xdr:colOff>
      <xdr:row>45</xdr:row>
      <xdr:rowOff>52917</xdr:rowOff>
    </xdr:from>
    <xdr:to>
      <xdr:col>3</xdr:col>
      <xdr:colOff>1457325</xdr:colOff>
      <xdr:row>49</xdr:row>
      <xdr:rowOff>67735</xdr:rowOff>
    </xdr:to>
    <xdr:pic>
      <xdr:nvPicPr>
        <xdr:cNvPr id="3" name="Imagen 2">
          <a:extLst>
            <a:ext uri="{FF2B5EF4-FFF2-40B4-BE49-F238E27FC236}">
              <a16:creationId xmlns:a16="http://schemas.microsoft.com/office/drawing/2014/main" id="{A910E42F-B64F-4454-A430-66FCD54BF9F5}"/>
            </a:ext>
          </a:extLst>
        </xdr:cNvPr>
        <xdr:cNvPicPr>
          <a:picLocks noChangeAspect="1"/>
        </xdr:cNvPicPr>
      </xdr:nvPicPr>
      <xdr:blipFill>
        <a:blip xmlns:r="http://schemas.openxmlformats.org/officeDocument/2006/relationships" r:embed="rId2"/>
        <a:stretch>
          <a:fillRect/>
        </a:stretch>
      </xdr:blipFill>
      <xdr:spPr>
        <a:xfrm>
          <a:off x="6276975" y="13206942"/>
          <a:ext cx="1076325" cy="81491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242156</xdr:colOff>
      <xdr:row>0</xdr:row>
      <xdr:rowOff>116417</xdr:rowOff>
    </xdr:from>
    <xdr:to>
      <xdr:col>1</xdr:col>
      <xdr:colOff>2672666</xdr:colOff>
      <xdr:row>3</xdr:row>
      <xdr:rowOff>136979</xdr:rowOff>
    </xdr:to>
    <xdr:pic>
      <xdr:nvPicPr>
        <xdr:cNvPr id="2" name="3 Imagen" descr="Logo de SDG.jpg">
          <a:extLst>
            <a:ext uri="{FF2B5EF4-FFF2-40B4-BE49-F238E27FC236}">
              <a16:creationId xmlns:a16="http://schemas.microsoft.com/office/drawing/2014/main" id="{7B25FE27-4AFA-4056-A4FF-420A7810F5D2}"/>
            </a:ext>
          </a:extLst>
        </xdr:cNvPr>
        <xdr:cNvPicPr>
          <a:picLocks noChangeAspect="1"/>
        </xdr:cNvPicPr>
      </xdr:nvPicPr>
      <xdr:blipFill>
        <a:blip xmlns:r="http://schemas.openxmlformats.org/officeDocument/2006/relationships" r:embed="rId1" cstate="print"/>
        <a:srcRect/>
        <a:stretch>
          <a:fillRect/>
        </a:stretch>
      </xdr:blipFill>
      <xdr:spPr bwMode="auto">
        <a:xfrm>
          <a:off x="337406" y="116417"/>
          <a:ext cx="2430510" cy="706362"/>
        </a:xfrm>
        <a:prstGeom prst="rect">
          <a:avLst/>
        </a:prstGeom>
        <a:noFill/>
        <a:ln w="9525">
          <a:noFill/>
          <a:miter lim="800000"/>
          <a:headEnd/>
          <a:tailEnd/>
        </a:ln>
      </xdr:spPr>
    </xdr:pic>
    <xdr:clientData/>
  </xdr:twoCellAnchor>
  <xdr:twoCellAnchor editAs="oneCell">
    <xdr:from>
      <xdr:col>3</xdr:col>
      <xdr:colOff>381000</xdr:colOff>
      <xdr:row>45</xdr:row>
      <xdr:rowOff>52917</xdr:rowOff>
    </xdr:from>
    <xdr:to>
      <xdr:col>3</xdr:col>
      <xdr:colOff>1457325</xdr:colOff>
      <xdr:row>49</xdr:row>
      <xdr:rowOff>67735</xdr:rowOff>
    </xdr:to>
    <xdr:pic>
      <xdr:nvPicPr>
        <xdr:cNvPr id="3" name="Imagen 2">
          <a:extLst>
            <a:ext uri="{FF2B5EF4-FFF2-40B4-BE49-F238E27FC236}">
              <a16:creationId xmlns:a16="http://schemas.microsoft.com/office/drawing/2014/main" id="{5CC550AC-161D-4B4A-823D-60A625C3379A}"/>
            </a:ext>
          </a:extLst>
        </xdr:cNvPr>
        <xdr:cNvPicPr>
          <a:picLocks noChangeAspect="1"/>
        </xdr:cNvPicPr>
      </xdr:nvPicPr>
      <xdr:blipFill>
        <a:blip xmlns:r="http://schemas.openxmlformats.org/officeDocument/2006/relationships" r:embed="rId2"/>
        <a:stretch>
          <a:fillRect/>
        </a:stretch>
      </xdr:blipFill>
      <xdr:spPr>
        <a:xfrm>
          <a:off x="6276975" y="13206942"/>
          <a:ext cx="1076325" cy="81491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242156</xdr:colOff>
      <xdr:row>0</xdr:row>
      <xdr:rowOff>116417</xdr:rowOff>
    </xdr:from>
    <xdr:to>
      <xdr:col>1</xdr:col>
      <xdr:colOff>2672666</xdr:colOff>
      <xdr:row>3</xdr:row>
      <xdr:rowOff>136979</xdr:rowOff>
    </xdr:to>
    <xdr:pic>
      <xdr:nvPicPr>
        <xdr:cNvPr id="2" name="3 Imagen" descr="Logo de SDG.jpg">
          <a:extLst>
            <a:ext uri="{FF2B5EF4-FFF2-40B4-BE49-F238E27FC236}">
              <a16:creationId xmlns:a16="http://schemas.microsoft.com/office/drawing/2014/main" id="{425A5095-093E-4B26-8427-922440081537}"/>
            </a:ext>
          </a:extLst>
        </xdr:cNvPr>
        <xdr:cNvPicPr>
          <a:picLocks noChangeAspect="1"/>
        </xdr:cNvPicPr>
      </xdr:nvPicPr>
      <xdr:blipFill>
        <a:blip xmlns:r="http://schemas.openxmlformats.org/officeDocument/2006/relationships" r:embed="rId1" cstate="print"/>
        <a:srcRect/>
        <a:stretch>
          <a:fillRect/>
        </a:stretch>
      </xdr:blipFill>
      <xdr:spPr bwMode="auto">
        <a:xfrm>
          <a:off x="337406" y="116417"/>
          <a:ext cx="2430510" cy="706362"/>
        </a:xfrm>
        <a:prstGeom prst="rect">
          <a:avLst/>
        </a:prstGeom>
        <a:noFill/>
        <a:ln w="9525">
          <a:noFill/>
          <a:miter lim="800000"/>
          <a:headEnd/>
          <a:tailEnd/>
        </a:ln>
      </xdr:spPr>
    </xdr:pic>
    <xdr:clientData/>
  </xdr:twoCellAnchor>
  <xdr:twoCellAnchor editAs="oneCell">
    <xdr:from>
      <xdr:col>3</xdr:col>
      <xdr:colOff>381000</xdr:colOff>
      <xdr:row>45</xdr:row>
      <xdr:rowOff>52917</xdr:rowOff>
    </xdr:from>
    <xdr:to>
      <xdr:col>3</xdr:col>
      <xdr:colOff>1457325</xdr:colOff>
      <xdr:row>49</xdr:row>
      <xdr:rowOff>67734</xdr:rowOff>
    </xdr:to>
    <xdr:pic>
      <xdr:nvPicPr>
        <xdr:cNvPr id="3" name="Imagen 2">
          <a:extLst>
            <a:ext uri="{FF2B5EF4-FFF2-40B4-BE49-F238E27FC236}">
              <a16:creationId xmlns:a16="http://schemas.microsoft.com/office/drawing/2014/main" id="{240E0812-12D4-4E40-8B9D-5B1F3D41BA04}"/>
            </a:ext>
          </a:extLst>
        </xdr:cNvPr>
        <xdr:cNvPicPr>
          <a:picLocks noChangeAspect="1"/>
        </xdr:cNvPicPr>
      </xdr:nvPicPr>
      <xdr:blipFill>
        <a:blip xmlns:r="http://schemas.openxmlformats.org/officeDocument/2006/relationships" r:embed="rId2"/>
        <a:stretch>
          <a:fillRect/>
        </a:stretch>
      </xdr:blipFill>
      <xdr:spPr>
        <a:xfrm>
          <a:off x="6276975" y="13206942"/>
          <a:ext cx="1076325" cy="81491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242156</xdr:colOff>
      <xdr:row>0</xdr:row>
      <xdr:rowOff>116417</xdr:rowOff>
    </xdr:from>
    <xdr:to>
      <xdr:col>1</xdr:col>
      <xdr:colOff>2672666</xdr:colOff>
      <xdr:row>3</xdr:row>
      <xdr:rowOff>136979</xdr:rowOff>
    </xdr:to>
    <xdr:pic>
      <xdr:nvPicPr>
        <xdr:cNvPr id="2" name="3 Imagen" descr="Logo de SDG.jpg">
          <a:extLst>
            <a:ext uri="{FF2B5EF4-FFF2-40B4-BE49-F238E27FC236}">
              <a16:creationId xmlns:a16="http://schemas.microsoft.com/office/drawing/2014/main" id="{20942A4F-8DAE-4F7F-B26E-6F7D8965CE67}"/>
            </a:ext>
          </a:extLst>
        </xdr:cNvPr>
        <xdr:cNvPicPr>
          <a:picLocks noChangeAspect="1"/>
        </xdr:cNvPicPr>
      </xdr:nvPicPr>
      <xdr:blipFill>
        <a:blip xmlns:r="http://schemas.openxmlformats.org/officeDocument/2006/relationships" r:embed="rId1" cstate="print"/>
        <a:srcRect/>
        <a:stretch>
          <a:fillRect/>
        </a:stretch>
      </xdr:blipFill>
      <xdr:spPr bwMode="auto">
        <a:xfrm>
          <a:off x="337406" y="116417"/>
          <a:ext cx="2430510" cy="706362"/>
        </a:xfrm>
        <a:prstGeom prst="rect">
          <a:avLst/>
        </a:prstGeom>
        <a:noFill/>
        <a:ln w="9525">
          <a:noFill/>
          <a:miter lim="800000"/>
          <a:headEnd/>
          <a:tailEnd/>
        </a:ln>
      </xdr:spPr>
    </xdr:pic>
    <xdr:clientData/>
  </xdr:twoCellAnchor>
  <xdr:twoCellAnchor editAs="oneCell">
    <xdr:from>
      <xdr:col>3</xdr:col>
      <xdr:colOff>381000</xdr:colOff>
      <xdr:row>45</xdr:row>
      <xdr:rowOff>52917</xdr:rowOff>
    </xdr:from>
    <xdr:to>
      <xdr:col>3</xdr:col>
      <xdr:colOff>1457325</xdr:colOff>
      <xdr:row>49</xdr:row>
      <xdr:rowOff>67735</xdr:rowOff>
    </xdr:to>
    <xdr:pic>
      <xdr:nvPicPr>
        <xdr:cNvPr id="3" name="Imagen 2">
          <a:extLst>
            <a:ext uri="{FF2B5EF4-FFF2-40B4-BE49-F238E27FC236}">
              <a16:creationId xmlns:a16="http://schemas.microsoft.com/office/drawing/2014/main" id="{EED8B1A3-A78F-4704-A4D2-AEE951263056}"/>
            </a:ext>
          </a:extLst>
        </xdr:cNvPr>
        <xdr:cNvPicPr>
          <a:picLocks noChangeAspect="1"/>
        </xdr:cNvPicPr>
      </xdr:nvPicPr>
      <xdr:blipFill>
        <a:blip xmlns:r="http://schemas.openxmlformats.org/officeDocument/2006/relationships" r:embed="rId2"/>
        <a:stretch>
          <a:fillRect/>
        </a:stretch>
      </xdr:blipFill>
      <xdr:spPr>
        <a:xfrm>
          <a:off x="6276975" y="13206942"/>
          <a:ext cx="1076325" cy="81491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242156</xdr:colOff>
      <xdr:row>0</xdr:row>
      <xdr:rowOff>116417</xdr:rowOff>
    </xdr:from>
    <xdr:to>
      <xdr:col>1</xdr:col>
      <xdr:colOff>2672666</xdr:colOff>
      <xdr:row>3</xdr:row>
      <xdr:rowOff>136979</xdr:rowOff>
    </xdr:to>
    <xdr:pic>
      <xdr:nvPicPr>
        <xdr:cNvPr id="2" name="3 Imagen" descr="Logo de SDG.jpg">
          <a:extLst>
            <a:ext uri="{FF2B5EF4-FFF2-40B4-BE49-F238E27FC236}">
              <a16:creationId xmlns:a16="http://schemas.microsoft.com/office/drawing/2014/main" id="{635E265D-76C7-428D-8460-4C6935645725}"/>
            </a:ext>
          </a:extLst>
        </xdr:cNvPr>
        <xdr:cNvPicPr>
          <a:picLocks noChangeAspect="1"/>
        </xdr:cNvPicPr>
      </xdr:nvPicPr>
      <xdr:blipFill>
        <a:blip xmlns:r="http://schemas.openxmlformats.org/officeDocument/2006/relationships" r:embed="rId1" cstate="print"/>
        <a:srcRect/>
        <a:stretch>
          <a:fillRect/>
        </a:stretch>
      </xdr:blipFill>
      <xdr:spPr bwMode="auto">
        <a:xfrm>
          <a:off x="337406" y="116417"/>
          <a:ext cx="2430510" cy="706362"/>
        </a:xfrm>
        <a:prstGeom prst="rect">
          <a:avLst/>
        </a:prstGeom>
        <a:noFill/>
        <a:ln w="9525">
          <a:noFill/>
          <a:miter lim="800000"/>
          <a:headEnd/>
          <a:tailEnd/>
        </a:ln>
      </xdr:spPr>
    </xdr:pic>
    <xdr:clientData/>
  </xdr:twoCellAnchor>
  <xdr:twoCellAnchor editAs="oneCell">
    <xdr:from>
      <xdr:col>3</xdr:col>
      <xdr:colOff>381000</xdr:colOff>
      <xdr:row>45</xdr:row>
      <xdr:rowOff>52917</xdr:rowOff>
    </xdr:from>
    <xdr:to>
      <xdr:col>3</xdr:col>
      <xdr:colOff>1457325</xdr:colOff>
      <xdr:row>49</xdr:row>
      <xdr:rowOff>67734</xdr:rowOff>
    </xdr:to>
    <xdr:pic>
      <xdr:nvPicPr>
        <xdr:cNvPr id="3" name="Imagen 2">
          <a:extLst>
            <a:ext uri="{FF2B5EF4-FFF2-40B4-BE49-F238E27FC236}">
              <a16:creationId xmlns:a16="http://schemas.microsoft.com/office/drawing/2014/main" id="{F17669AA-882E-4467-BC9C-4AA879FC3D72}"/>
            </a:ext>
          </a:extLst>
        </xdr:cNvPr>
        <xdr:cNvPicPr>
          <a:picLocks noChangeAspect="1"/>
        </xdr:cNvPicPr>
      </xdr:nvPicPr>
      <xdr:blipFill>
        <a:blip xmlns:r="http://schemas.openxmlformats.org/officeDocument/2006/relationships" r:embed="rId2"/>
        <a:stretch>
          <a:fillRect/>
        </a:stretch>
      </xdr:blipFill>
      <xdr:spPr>
        <a:xfrm>
          <a:off x="6276975" y="13206942"/>
          <a:ext cx="1076325" cy="81491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381000</xdr:colOff>
      <xdr:row>61</xdr:row>
      <xdr:rowOff>52917</xdr:rowOff>
    </xdr:from>
    <xdr:to>
      <xdr:col>3</xdr:col>
      <xdr:colOff>1457325</xdr:colOff>
      <xdr:row>65</xdr:row>
      <xdr:rowOff>105834</xdr:rowOff>
    </xdr:to>
    <xdr:pic>
      <xdr:nvPicPr>
        <xdr:cNvPr id="7" name="Imagen 6">
          <a:extLst>
            <a:ext uri="{FF2B5EF4-FFF2-40B4-BE49-F238E27FC236}">
              <a16:creationId xmlns:a16="http://schemas.microsoft.com/office/drawing/2014/main" id="{B70C29AF-0BB4-4FA7-BD55-3E3A42EF6F02}"/>
            </a:ext>
          </a:extLst>
        </xdr:cNvPr>
        <xdr:cNvPicPr>
          <a:picLocks noChangeAspect="1"/>
        </xdr:cNvPicPr>
      </xdr:nvPicPr>
      <xdr:blipFill>
        <a:blip xmlns:r="http://schemas.openxmlformats.org/officeDocument/2006/relationships" r:embed="rId1"/>
        <a:stretch>
          <a:fillRect/>
        </a:stretch>
      </xdr:blipFill>
      <xdr:spPr>
        <a:xfrm>
          <a:off x="6276975" y="13206942"/>
          <a:ext cx="1076325" cy="814917"/>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D2AE8-72A9-4873-81FF-A4C3926DFCB9}">
  <sheetPr>
    <pageSetUpPr fitToPage="1"/>
  </sheetPr>
  <dimension ref="A1:R111"/>
  <sheetViews>
    <sheetView showGridLines="0" zoomScale="90" zoomScaleNormal="90" zoomScalePageLayoutView="90" workbookViewId="0"/>
  </sheetViews>
  <sheetFormatPr baseColWidth="10" defaultColWidth="18.7109375" defaultRowHeight="15" x14ac:dyDescent="0.25"/>
  <cols>
    <col min="1" max="1" width="1.42578125" style="1" customWidth="1"/>
    <col min="2" max="2" width="57.28515625" style="1" customWidth="1"/>
    <col min="3" max="14" width="29.7109375" style="1" customWidth="1"/>
    <col min="15" max="15" width="21.5703125" style="1" bestFit="1" customWidth="1"/>
    <col min="16" max="16" width="18.7109375" style="1"/>
    <col min="17" max="17" width="18.7109375" style="1" customWidth="1"/>
    <col min="18" max="16384" width="18.7109375" style="1"/>
  </cols>
  <sheetData>
    <row r="1" spans="1:17" ht="18" customHeight="1" x14ac:dyDescent="0.25">
      <c r="B1" s="222"/>
      <c r="C1" s="224" t="s">
        <v>60</v>
      </c>
      <c r="D1" s="225"/>
      <c r="E1" s="225"/>
      <c r="F1" s="225"/>
      <c r="G1" s="225"/>
      <c r="H1" s="225"/>
      <c r="I1" s="225"/>
      <c r="J1" s="225"/>
      <c r="K1" s="182"/>
      <c r="L1" s="182"/>
      <c r="M1" s="182"/>
      <c r="N1" s="230" t="s">
        <v>0</v>
      </c>
    </row>
    <row r="2" spans="1:17" ht="18" customHeight="1" x14ac:dyDescent="0.25">
      <c r="B2" s="223"/>
      <c r="C2" s="226"/>
      <c r="D2" s="227"/>
      <c r="E2" s="227"/>
      <c r="F2" s="227"/>
      <c r="G2" s="227"/>
      <c r="H2" s="227"/>
      <c r="I2" s="227"/>
      <c r="J2" s="227"/>
      <c r="K2" s="183"/>
      <c r="L2" s="183"/>
      <c r="M2" s="183"/>
      <c r="N2" s="231"/>
    </row>
    <row r="3" spans="1:17" ht="18" customHeight="1" x14ac:dyDescent="0.25">
      <c r="B3" s="223"/>
      <c r="C3" s="226"/>
      <c r="D3" s="227"/>
      <c r="E3" s="227"/>
      <c r="F3" s="227"/>
      <c r="G3" s="227"/>
      <c r="H3" s="227"/>
      <c r="I3" s="227"/>
      <c r="J3" s="227"/>
      <c r="K3" s="183"/>
      <c r="L3" s="183"/>
      <c r="M3" s="183"/>
      <c r="N3" s="231"/>
    </row>
    <row r="4" spans="1:17" ht="18" customHeight="1" x14ac:dyDescent="0.25">
      <c r="B4" s="223"/>
      <c r="C4" s="226"/>
      <c r="D4" s="227"/>
      <c r="E4" s="227"/>
      <c r="F4" s="227"/>
      <c r="G4" s="227"/>
      <c r="H4" s="227"/>
      <c r="I4" s="227"/>
      <c r="J4" s="227"/>
      <c r="K4" s="183"/>
      <c r="L4" s="183"/>
      <c r="M4" s="183"/>
      <c r="N4" s="231"/>
    </row>
    <row r="5" spans="1:17" ht="18" customHeight="1" x14ac:dyDescent="0.25">
      <c r="B5" s="223"/>
      <c r="C5" s="228"/>
      <c r="D5" s="229"/>
      <c r="E5" s="229"/>
      <c r="F5" s="229"/>
      <c r="G5" s="229"/>
      <c r="H5" s="229"/>
      <c r="I5" s="229"/>
      <c r="J5" s="229"/>
      <c r="K5" s="184"/>
      <c r="L5" s="184"/>
      <c r="M5" s="184"/>
      <c r="N5" s="232"/>
    </row>
    <row r="6" spans="1:17" ht="61.5" customHeight="1" x14ac:dyDescent="0.25">
      <c r="B6" s="25" t="s">
        <v>70</v>
      </c>
      <c r="C6" s="26"/>
      <c r="D6" s="26"/>
      <c r="E6" s="26"/>
      <c r="F6" s="26"/>
      <c r="G6" s="26"/>
      <c r="H6" s="26"/>
      <c r="I6" s="26"/>
      <c r="J6" s="26"/>
      <c r="K6" s="26"/>
      <c r="L6" s="26"/>
      <c r="M6" s="26"/>
      <c r="N6" s="27"/>
    </row>
    <row r="7" spans="1:17" ht="78.75" x14ac:dyDescent="0.25">
      <c r="B7" s="155" t="s">
        <v>1</v>
      </c>
      <c r="C7" s="63" t="s">
        <v>87</v>
      </c>
      <c r="D7" s="63" t="s">
        <v>88</v>
      </c>
      <c r="E7" s="63" t="s">
        <v>89</v>
      </c>
      <c r="F7" s="63" t="s">
        <v>90</v>
      </c>
      <c r="G7" s="63" t="s">
        <v>91</v>
      </c>
      <c r="H7" s="63" t="s">
        <v>92</v>
      </c>
      <c r="I7" s="63" t="s">
        <v>93</v>
      </c>
      <c r="J7" s="63" t="s">
        <v>94</v>
      </c>
      <c r="K7" s="63" t="s">
        <v>96</v>
      </c>
      <c r="L7" s="63" t="s">
        <v>97</v>
      </c>
      <c r="M7" s="63" t="s">
        <v>98</v>
      </c>
      <c r="N7" s="101" t="s">
        <v>99</v>
      </c>
      <c r="P7" s="43" t="s">
        <v>2</v>
      </c>
    </row>
    <row r="8" spans="1:17" s="3" customFormat="1" ht="15.75" x14ac:dyDescent="0.25">
      <c r="A8" s="2"/>
      <c r="B8" s="154" t="s">
        <v>3</v>
      </c>
      <c r="C8" s="8">
        <v>1</v>
      </c>
      <c r="D8" s="8">
        <f t="shared" ref="D8:E8" si="0">C8+1</f>
        <v>2</v>
      </c>
      <c r="E8" s="8">
        <f t="shared" si="0"/>
        <v>3</v>
      </c>
      <c r="F8" s="8">
        <f t="shared" ref="F8:G8" si="1">E8+1</f>
        <v>4</v>
      </c>
      <c r="G8" s="8">
        <f t="shared" si="1"/>
        <v>5</v>
      </c>
      <c r="H8" s="202" t="s">
        <v>68</v>
      </c>
      <c r="I8" s="202" t="s">
        <v>69</v>
      </c>
      <c r="J8" s="8">
        <f>G8+1</f>
        <v>6</v>
      </c>
      <c r="K8" s="202" t="s">
        <v>68</v>
      </c>
      <c r="L8" s="202" t="s">
        <v>69</v>
      </c>
      <c r="M8" s="8">
        <f>J8+1</f>
        <v>7</v>
      </c>
      <c r="N8" s="150">
        <f t="shared" ref="N8" si="2">M8+1</f>
        <v>8</v>
      </c>
      <c r="Q8" s="1"/>
    </row>
    <row r="9" spans="1:17" s="3" customFormat="1" ht="31.5" x14ac:dyDescent="0.25">
      <c r="B9" s="35" t="s">
        <v>4</v>
      </c>
      <c r="C9" s="39" t="s">
        <v>5</v>
      </c>
      <c r="D9" s="39" t="s">
        <v>5</v>
      </c>
      <c r="E9" s="39" t="s">
        <v>5</v>
      </c>
      <c r="F9" s="39" t="s">
        <v>5</v>
      </c>
      <c r="G9" s="39" t="s">
        <v>5</v>
      </c>
      <c r="H9" s="39" t="s">
        <v>5</v>
      </c>
      <c r="I9" s="39" t="s">
        <v>5</v>
      </c>
      <c r="J9" s="39" t="s">
        <v>5</v>
      </c>
      <c r="K9" s="39" t="s">
        <v>5</v>
      </c>
      <c r="L9" s="39" t="s">
        <v>5</v>
      </c>
      <c r="M9" s="39" t="s">
        <v>5</v>
      </c>
      <c r="N9" s="102" t="s">
        <v>5</v>
      </c>
      <c r="Q9" s="1"/>
    </row>
    <row r="10" spans="1:17" s="3" customFormat="1" ht="20.100000000000001" customHeight="1" x14ac:dyDescent="0.25">
      <c r="B10" s="35" t="s">
        <v>63</v>
      </c>
      <c r="C10" s="24" t="str">
        <f t="shared" ref="C10:E10" si="3">IF(C72&lt;=$B$73,"CUMPLE","NO CUMPLE")</f>
        <v>CUMPLE</v>
      </c>
      <c r="D10" s="24" t="str">
        <f t="shared" si="3"/>
        <v>CUMPLE</v>
      </c>
      <c r="E10" s="24" t="str">
        <f t="shared" si="3"/>
        <v>CUMPLE</v>
      </c>
      <c r="F10" s="24" t="str">
        <f t="shared" ref="F10:G10" si="4">IF(F72&lt;=$B$73,"CUMPLE","NO CUMPLE")</f>
        <v>CUMPLE</v>
      </c>
      <c r="G10" s="24" t="str">
        <f t="shared" si="4"/>
        <v>CUMPLE</v>
      </c>
      <c r="H10" s="24" t="str">
        <f t="shared" ref="H10:I10" si="5">IF(H72&lt;=$B$73,"CUMPLE","NO CUMPLE")</f>
        <v>CUMPLE</v>
      </c>
      <c r="I10" s="24" t="str">
        <f t="shared" si="5"/>
        <v>CUMPLE</v>
      </c>
      <c r="J10" s="24" t="str">
        <f>IF(COUNTIF(H10:I10,"NO CUMPLE")&gt;=1,"NO CUMPLE","CUMPLE")</f>
        <v>CUMPLE</v>
      </c>
      <c r="K10" s="24" t="str">
        <f t="shared" ref="K10:L10" si="6">IF(K72&lt;=$B$73,"CUMPLE","NO CUMPLE")</f>
        <v>CUMPLE</v>
      </c>
      <c r="L10" s="24" t="str">
        <f t="shared" si="6"/>
        <v>CUMPLE</v>
      </c>
      <c r="M10" s="24" t="str">
        <f>IF(COUNTIF(K10:L10,"NO CUMPLE")&gt;=1,"NO CUMPLE","CUMPLE")</f>
        <v>CUMPLE</v>
      </c>
      <c r="N10" s="103" t="str">
        <f t="shared" ref="N10" si="7">IF(N72&lt;=$B$73,"CUMPLE","NO CUMPLE")</f>
        <v>CUMPLE</v>
      </c>
      <c r="Q10" s="1"/>
    </row>
    <row r="11" spans="1:17" s="3" customFormat="1" ht="20.100000000000001" customHeight="1" x14ac:dyDescent="0.25">
      <c r="B11" s="22" t="s">
        <v>6</v>
      </c>
      <c r="C11" s="10">
        <v>1</v>
      </c>
      <c r="D11" s="10">
        <v>1</v>
      </c>
      <c r="E11" s="10">
        <v>1</v>
      </c>
      <c r="F11" s="10">
        <v>1</v>
      </c>
      <c r="G11" s="10">
        <v>1</v>
      </c>
      <c r="H11" s="190">
        <v>0.9</v>
      </c>
      <c r="I11" s="190">
        <v>0.1</v>
      </c>
      <c r="J11" s="10">
        <f>SUM(H11:I11)</f>
        <v>1</v>
      </c>
      <c r="K11" s="190">
        <v>0.9</v>
      </c>
      <c r="L11" s="190">
        <v>0.1</v>
      </c>
      <c r="M11" s="10">
        <f>SUM(K11:L11)</f>
        <v>1</v>
      </c>
      <c r="N11" s="99">
        <v>1</v>
      </c>
      <c r="Q11" s="1"/>
    </row>
    <row r="12" spans="1:17" s="3" customFormat="1" ht="20.100000000000001" customHeight="1" x14ac:dyDescent="0.25">
      <c r="B12" s="22" t="s">
        <v>7</v>
      </c>
      <c r="C12" s="161">
        <v>215852078</v>
      </c>
      <c r="D12" s="161">
        <v>1346584051</v>
      </c>
      <c r="E12" s="161">
        <v>96318000</v>
      </c>
      <c r="F12" s="161">
        <v>5893479654</v>
      </c>
      <c r="G12" s="161">
        <v>3680196195</v>
      </c>
      <c r="H12" s="191">
        <v>2454079265</v>
      </c>
      <c r="I12" s="191">
        <v>289747048</v>
      </c>
      <c r="J12" s="161">
        <f t="shared" ref="J12:J19" si="8">SUM(H12:I12)</f>
        <v>2743826313</v>
      </c>
      <c r="K12" s="191">
        <v>1090857894</v>
      </c>
      <c r="L12" s="191">
        <v>475930599</v>
      </c>
      <c r="M12" s="161">
        <f t="shared" ref="M12:M19" si="9">SUM(K12:L12)</f>
        <v>1566788493</v>
      </c>
      <c r="N12" s="162">
        <v>6544877034</v>
      </c>
      <c r="Q12" s="1"/>
    </row>
    <row r="13" spans="1:17" s="3" customFormat="1" ht="20.100000000000001" customHeight="1" x14ac:dyDescent="0.25">
      <c r="B13" s="22" t="s">
        <v>8</v>
      </c>
      <c r="C13" s="161">
        <v>34625482</v>
      </c>
      <c r="D13" s="161">
        <v>359816997</v>
      </c>
      <c r="E13" s="161">
        <v>0</v>
      </c>
      <c r="F13" s="161">
        <v>281774166</v>
      </c>
      <c r="G13" s="161">
        <v>2389173572</v>
      </c>
      <c r="H13" s="191">
        <v>724182963</v>
      </c>
      <c r="I13" s="191">
        <v>21225585</v>
      </c>
      <c r="J13" s="161">
        <f t="shared" si="8"/>
        <v>745408548</v>
      </c>
      <c r="K13" s="191">
        <v>189635270</v>
      </c>
      <c r="L13" s="191">
        <v>329870592</v>
      </c>
      <c r="M13" s="161">
        <f t="shared" si="9"/>
        <v>519505862</v>
      </c>
      <c r="N13" s="162">
        <v>802904736</v>
      </c>
      <c r="Q13" s="1"/>
    </row>
    <row r="14" spans="1:17" s="3" customFormat="1" ht="20.100000000000001" customHeight="1" x14ac:dyDescent="0.25">
      <c r="B14" s="22" t="s">
        <v>9</v>
      </c>
      <c r="C14" s="161">
        <v>286160992</v>
      </c>
      <c r="D14" s="161">
        <v>1440319685</v>
      </c>
      <c r="E14" s="161">
        <v>761518000</v>
      </c>
      <c r="F14" s="161">
        <v>5902352534</v>
      </c>
      <c r="G14" s="161">
        <v>5842367742</v>
      </c>
      <c r="H14" s="191">
        <v>2469890314</v>
      </c>
      <c r="I14" s="191">
        <v>289747048</v>
      </c>
      <c r="J14" s="161">
        <f t="shared" si="8"/>
        <v>2759637362</v>
      </c>
      <c r="K14" s="191">
        <v>1455684402</v>
      </c>
      <c r="L14" s="191">
        <v>903742751</v>
      </c>
      <c r="M14" s="161">
        <f t="shared" si="9"/>
        <v>2359427153</v>
      </c>
      <c r="N14" s="162">
        <v>8648308736</v>
      </c>
      <c r="Q14" s="1"/>
    </row>
    <row r="15" spans="1:17" s="3" customFormat="1" ht="20.100000000000001" customHeight="1" x14ac:dyDescent="0.25">
      <c r="B15" s="22" t="s">
        <v>10</v>
      </c>
      <c r="C15" s="161">
        <v>34625482</v>
      </c>
      <c r="D15" s="161">
        <v>359816997</v>
      </c>
      <c r="E15" s="161">
        <v>475408869</v>
      </c>
      <c r="F15" s="161">
        <v>281774166</v>
      </c>
      <c r="G15" s="161">
        <v>3227492998</v>
      </c>
      <c r="H15" s="191">
        <v>861175105</v>
      </c>
      <c r="I15" s="191">
        <v>21225585</v>
      </c>
      <c r="J15" s="161">
        <f t="shared" si="8"/>
        <v>882400690</v>
      </c>
      <c r="K15" s="191">
        <v>472055665</v>
      </c>
      <c r="L15" s="191">
        <v>329870592</v>
      </c>
      <c r="M15" s="161">
        <f t="shared" si="9"/>
        <v>801926257</v>
      </c>
      <c r="N15" s="162">
        <v>1992144845</v>
      </c>
      <c r="Q15" s="1"/>
    </row>
    <row r="16" spans="1:17" s="3" customFormat="1" ht="20.100000000000001" customHeight="1" x14ac:dyDescent="0.25">
      <c r="B16" s="22" t="s">
        <v>11</v>
      </c>
      <c r="C16" s="161">
        <v>251535510</v>
      </c>
      <c r="D16" s="161">
        <v>1080502688</v>
      </c>
      <c r="E16" s="161">
        <v>286109131</v>
      </c>
      <c r="F16" s="161">
        <v>5620578368</v>
      </c>
      <c r="G16" s="161">
        <v>2614874744</v>
      </c>
      <c r="H16" s="191">
        <v>1608715209</v>
      </c>
      <c r="I16" s="191">
        <v>268521463</v>
      </c>
      <c r="J16" s="161">
        <f t="shared" si="8"/>
        <v>1877236672</v>
      </c>
      <c r="K16" s="191">
        <v>983628737</v>
      </c>
      <c r="L16" s="191">
        <v>573872159</v>
      </c>
      <c r="M16" s="161">
        <f t="shared" si="9"/>
        <v>1557500896</v>
      </c>
      <c r="N16" s="162">
        <v>6656163891</v>
      </c>
      <c r="Q16" s="1"/>
    </row>
    <row r="17" spans="2:18" s="3" customFormat="1" ht="20.100000000000001" customHeight="1" x14ac:dyDescent="0.25">
      <c r="B17" s="22" t="s">
        <v>12</v>
      </c>
      <c r="C17" s="161">
        <f t="shared" ref="C17:G17" si="10">+C14-C15-C16</f>
        <v>0</v>
      </c>
      <c r="D17" s="161">
        <f t="shared" si="10"/>
        <v>0</v>
      </c>
      <c r="E17" s="161">
        <f t="shared" si="10"/>
        <v>0</v>
      </c>
      <c r="F17" s="161">
        <f t="shared" si="10"/>
        <v>0</v>
      </c>
      <c r="G17" s="161">
        <f t="shared" si="10"/>
        <v>0</v>
      </c>
      <c r="H17" s="161">
        <f t="shared" ref="H17:J17" si="11">+H14-H15-H16</f>
        <v>0</v>
      </c>
      <c r="I17" s="161">
        <f t="shared" si="11"/>
        <v>0</v>
      </c>
      <c r="J17" s="161">
        <f t="shared" si="11"/>
        <v>0</v>
      </c>
      <c r="K17" s="161">
        <f t="shared" ref="K17:N17" si="12">+K14-K15-K16</f>
        <v>0</v>
      </c>
      <c r="L17" s="161">
        <f t="shared" si="12"/>
        <v>0</v>
      </c>
      <c r="M17" s="161">
        <f t="shared" si="12"/>
        <v>0</v>
      </c>
      <c r="N17" s="162">
        <f t="shared" si="12"/>
        <v>0</v>
      </c>
      <c r="Q17" s="1"/>
    </row>
    <row r="18" spans="2:18" s="3" customFormat="1" ht="20.100000000000001" customHeight="1" x14ac:dyDescent="0.25">
      <c r="B18" s="22" t="s">
        <v>13</v>
      </c>
      <c r="C18" s="161">
        <v>54459875</v>
      </c>
      <c r="D18" s="161">
        <v>504516920</v>
      </c>
      <c r="E18" s="161">
        <v>59492896</v>
      </c>
      <c r="F18" s="161">
        <v>1590767501</v>
      </c>
      <c r="G18" s="161">
        <v>593156994</v>
      </c>
      <c r="H18" s="161">
        <v>28597103</v>
      </c>
      <c r="I18" s="161">
        <v>32748144</v>
      </c>
      <c r="J18" s="161">
        <f t="shared" si="8"/>
        <v>61345247</v>
      </c>
      <c r="K18" s="161">
        <v>275425073</v>
      </c>
      <c r="L18" s="161">
        <v>44306582</v>
      </c>
      <c r="M18" s="161">
        <f t="shared" si="9"/>
        <v>319731655</v>
      </c>
      <c r="N18" s="162">
        <v>1269585884</v>
      </c>
      <c r="Q18" s="1"/>
    </row>
    <row r="19" spans="2:18" s="3" customFormat="1" ht="20.100000000000001" customHeight="1" x14ac:dyDescent="0.25">
      <c r="B19" s="22" t="s">
        <v>14</v>
      </c>
      <c r="C19" s="161">
        <v>3332784</v>
      </c>
      <c r="D19" s="161">
        <v>0</v>
      </c>
      <c r="E19" s="161">
        <v>325000</v>
      </c>
      <c r="F19" s="161">
        <v>297101</v>
      </c>
      <c r="G19" s="161">
        <v>138898061</v>
      </c>
      <c r="H19" s="161">
        <v>2220720</v>
      </c>
      <c r="I19" s="161">
        <v>1361421</v>
      </c>
      <c r="J19" s="161">
        <f t="shared" si="8"/>
        <v>3582141</v>
      </c>
      <c r="K19" s="161">
        <v>53842893</v>
      </c>
      <c r="L19" s="161">
        <v>1395213</v>
      </c>
      <c r="M19" s="161">
        <f t="shared" si="9"/>
        <v>55238106</v>
      </c>
      <c r="N19" s="162">
        <v>12768145</v>
      </c>
      <c r="Q19" s="1"/>
    </row>
    <row r="20" spans="2:18" s="3" customFormat="1" ht="31.5" x14ac:dyDescent="0.25">
      <c r="B20" s="35" t="s">
        <v>15</v>
      </c>
      <c r="C20" s="28">
        <f t="shared" ref="C20:E20" si="13">IFERROR((C18/C16),"-")</f>
        <v>0.21650968883081359</v>
      </c>
      <c r="D20" s="28">
        <f t="shared" si="13"/>
        <v>0.4669279638108591</v>
      </c>
      <c r="E20" s="28">
        <f t="shared" si="13"/>
        <v>0.20793777462488605</v>
      </c>
      <c r="F20" s="28">
        <f t="shared" ref="F20:I20" si="14">IFERROR((F18/F16),"-")</f>
        <v>0.28302558862212807</v>
      </c>
      <c r="G20" s="28">
        <f t="shared" si="14"/>
        <v>0.22683954379116525</v>
      </c>
      <c r="H20" s="28">
        <f t="shared" si="14"/>
        <v>1.7776361434275467E-2</v>
      </c>
      <c r="I20" s="28">
        <f t="shared" si="14"/>
        <v>0.12195726790003375</v>
      </c>
      <c r="J20" s="28">
        <f t="shared" ref="J20:L20" si="15">IFERROR((J18/J16),"-")</f>
        <v>3.2678483174230256E-2</v>
      </c>
      <c r="K20" s="28">
        <f t="shared" si="15"/>
        <v>0.280009176877068</v>
      </c>
      <c r="L20" s="28">
        <f t="shared" si="15"/>
        <v>7.7206362610805795E-2</v>
      </c>
      <c r="M20" s="28">
        <f t="shared" ref="M20:N20" si="16">IFERROR((M18/M16),"-")</f>
        <v>0.20528505365302852</v>
      </c>
      <c r="N20" s="167">
        <f t="shared" si="16"/>
        <v>0.19073837495447571</v>
      </c>
      <c r="Q20" s="1"/>
    </row>
    <row r="21" spans="2:18" s="3" customFormat="1" ht="31.5" x14ac:dyDescent="0.2">
      <c r="B21" s="35" t="s">
        <v>16</v>
      </c>
      <c r="C21" s="28">
        <f t="shared" ref="C21:E21" si="17">IFERROR((C18/C14),"-")</f>
        <v>0.19031201499329439</v>
      </c>
      <c r="D21" s="28">
        <f t="shared" si="17"/>
        <v>0.35028120857766376</v>
      </c>
      <c r="E21" s="28">
        <f t="shared" si="17"/>
        <v>7.8124083738007499E-2</v>
      </c>
      <c r="F21" s="28">
        <f t="shared" ref="F21:I21" si="18">IFERROR((F18/F14),"-")</f>
        <v>0.2695141457302862</v>
      </c>
      <c r="G21" s="28">
        <f t="shared" si="18"/>
        <v>0.10152681587224881</v>
      </c>
      <c r="H21" s="28">
        <f t="shared" si="18"/>
        <v>1.157828865431957E-2</v>
      </c>
      <c r="I21" s="28">
        <f t="shared" si="18"/>
        <v>0.11302321879048099</v>
      </c>
      <c r="J21" s="28">
        <f t="shared" ref="J21:L21" si="19">IFERROR((J18/J14),"-")</f>
        <v>2.2229459509687563E-2</v>
      </c>
      <c r="K21" s="28">
        <f t="shared" si="19"/>
        <v>0.18920658394194981</v>
      </c>
      <c r="L21" s="28">
        <f t="shared" si="19"/>
        <v>4.9025656859736186E-2</v>
      </c>
      <c r="M21" s="28">
        <f t="shared" ref="M21:N21" si="20">IFERROR((M18/M14),"-")</f>
        <v>0.13551240799846809</v>
      </c>
      <c r="N21" s="167">
        <f t="shared" si="20"/>
        <v>0.14680163749417746</v>
      </c>
      <c r="P21" s="165" t="s">
        <v>77</v>
      </c>
      <c r="Q21" s="166" t="s">
        <v>78</v>
      </c>
      <c r="R21" s="91"/>
    </row>
    <row r="22" spans="2:18" s="3" customFormat="1" ht="15.75" x14ac:dyDescent="0.2">
      <c r="B22" s="11" t="s">
        <v>17</v>
      </c>
      <c r="C22" s="163">
        <f t="shared" ref="C22:N22" si="21">IF(C11=1,$P$22,"")</f>
        <v>344857484</v>
      </c>
      <c r="D22" s="163">
        <f t="shared" si="21"/>
        <v>344857484</v>
      </c>
      <c r="E22" s="163">
        <f t="shared" si="21"/>
        <v>344857484</v>
      </c>
      <c r="F22" s="163">
        <f t="shared" si="21"/>
        <v>344857484</v>
      </c>
      <c r="G22" s="163">
        <f t="shared" si="21"/>
        <v>344857484</v>
      </c>
      <c r="H22" s="163" t="str">
        <f t="shared" si="21"/>
        <v/>
      </c>
      <c r="I22" s="163" t="str">
        <f t="shared" si="21"/>
        <v/>
      </c>
      <c r="J22" s="163">
        <f t="shared" si="21"/>
        <v>344857484</v>
      </c>
      <c r="K22" s="163" t="str">
        <f t="shared" si="21"/>
        <v/>
      </c>
      <c r="L22" s="163" t="str">
        <f t="shared" si="21"/>
        <v/>
      </c>
      <c r="M22" s="163">
        <f t="shared" si="21"/>
        <v>344857484</v>
      </c>
      <c r="N22" s="164">
        <f t="shared" si="21"/>
        <v>344857484</v>
      </c>
      <c r="P22" s="42">
        <v>344857484</v>
      </c>
      <c r="Q22" s="42">
        <f>P22</f>
        <v>344857484</v>
      </c>
      <c r="R22" s="132"/>
    </row>
    <row r="23" spans="2:18" s="3" customFormat="1" ht="15.75" x14ac:dyDescent="0.2">
      <c r="B23" s="29" t="s">
        <v>18</v>
      </c>
      <c r="C23" s="30"/>
      <c r="D23" s="30"/>
      <c r="E23" s="30"/>
      <c r="F23" s="30"/>
      <c r="G23" s="30"/>
      <c r="H23" s="30"/>
      <c r="I23" s="30"/>
      <c r="J23" s="204"/>
      <c r="K23" s="30"/>
      <c r="L23" s="30"/>
      <c r="M23" s="204"/>
      <c r="N23" s="109"/>
      <c r="P23" s="173" t="s">
        <v>71</v>
      </c>
      <c r="Q23" s="90"/>
    </row>
    <row r="24" spans="2:18" s="3" customFormat="1" ht="15.75" x14ac:dyDescent="0.2">
      <c r="B24" s="12" t="s">
        <v>55</v>
      </c>
      <c r="C24" s="13"/>
      <c r="D24" s="13"/>
      <c r="E24" s="13"/>
      <c r="F24" s="13"/>
      <c r="G24" s="13"/>
      <c r="H24" s="192"/>
      <c r="I24" s="192"/>
      <c r="J24" s="13"/>
      <c r="K24" s="192"/>
      <c r="L24" s="192"/>
      <c r="M24" s="13"/>
      <c r="N24" s="168"/>
      <c r="P24" s="93">
        <v>1423500</v>
      </c>
      <c r="Q24" s="3" t="s">
        <v>58</v>
      </c>
    </row>
    <row r="25" spans="2:18" s="3" customFormat="1" ht="15.75" x14ac:dyDescent="0.2">
      <c r="B25" s="66" t="s">
        <v>62</v>
      </c>
      <c r="C25" s="60"/>
      <c r="D25" s="60"/>
      <c r="E25" s="60"/>
      <c r="F25" s="60"/>
      <c r="G25" s="60"/>
      <c r="H25" s="60"/>
      <c r="I25" s="60"/>
      <c r="J25" s="205"/>
      <c r="K25" s="60"/>
      <c r="L25" s="60"/>
      <c r="M25" s="205"/>
      <c r="N25" s="206"/>
      <c r="O25" s="203" t="s">
        <v>73</v>
      </c>
      <c r="P25" s="131">
        <f>Q22/P24</f>
        <v>242.26026273270108</v>
      </c>
      <c r="Q25" s="3" t="s">
        <v>74</v>
      </c>
      <c r="R25" s="3" t="s">
        <v>75</v>
      </c>
    </row>
    <row r="26" spans="2:18" s="3" customFormat="1" ht="15.75" x14ac:dyDescent="0.2">
      <c r="B26" s="29" t="s">
        <v>18</v>
      </c>
      <c r="C26" s="30"/>
      <c r="D26" s="30"/>
      <c r="E26" s="30"/>
      <c r="F26" s="30"/>
      <c r="G26" s="30"/>
      <c r="H26" s="30"/>
      <c r="I26" s="30"/>
      <c r="J26" s="204"/>
      <c r="K26" s="30"/>
      <c r="L26" s="30"/>
      <c r="M26" s="204"/>
      <c r="N26" s="109"/>
      <c r="P26" s="96" t="s">
        <v>59</v>
      </c>
      <c r="Q26" s="94" t="s">
        <v>72</v>
      </c>
    </row>
    <row r="27" spans="2:18" s="3" customFormat="1" ht="31.5" x14ac:dyDescent="0.2">
      <c r="B27" s="35" t="str">
        <f>CONCATENATE("Índice de Liquidez: ",CHAR(10),$P$21," ≥ ",P27," veces. ",IF($P$21=$Q$21,"",_xlfn.CONCAT($Q$21," ≥ ",Q27," veces.")))</f>
        <v>Índice de Liquidez: 
MiPyME ≥ 1,1 veces. Gran Empresa ≥ 1,2 veces.</v>
      </c>
      <c r="C27" s="14" t="str">
        <f>IFERROR(IF(C74=$P$21,IF(C28&gt;=$P$27,$B$24,$B$25),IF(C28&gt;=$Q$27,$B$24,$B$25)),"-")</f>
        <v>CUMPLE</v>
      </c>
      <c r="D27" s="14" t="str">
        <f>IFERROR(IF(D74=$P$21,IF(D28&gt;=$P$27,$B$24,$B$25),IF(D28&gt;=$Q$27,$B$24,$B$25)),"-")</f>
        <v>CUMPLE</v>
      </c>
      <c r="E27" s="14" t="str">
        <f>IFERROR(IF(E74=$P$21,IF(E28&gt;=$P$27,$B$24,$B$25),IF(E28&gt;=$Q$27,$B$24,$B$25)),"-")</f>
        <v>CUMPLE</v>
      </c>
      <c r="F27" s="14" t="str">
        <f>IFERROR(IF(F74=$P$21,IF(F28&gt;=$P$27,$B$24,$B$25),IF(F28&gt;=$Q$27,$B$24,$B$25)),"-")</f>
        <v>CUMPLE</v>
      </c>
      <c r="G27" s="14" t="str">
        <f>IFERROR(IF(G74=$P$21,IF(G28&gt;=$P$27,$B$24,$B$25),IF(G28&gt;=$Q$27,$B$24,$B$25)),"-")</f>
        <v>CUMPLE</v>
      </c>
      <c r="H27" s="216"/>
      <c r="I27" s="216"/>
      <c r="J27" s="14" t="str">
        <f>IFERROR(IF(J74=$P$21,IF(J28&gt;=$P$27,$B$24,$B$25),IF(J28&gt;=$Q$27,$B$24,$B$25)),"-")</f>
        <v>CUMPLE</v>
      </c>
      <c r="K27" s="216"/>
      <c r="L27" s="216"/>
      <c r="M27" s="14" t="str">
        <f>IFERROR(IF(M74=$P$21,IF(M28&gt;=$P$27,$B$24,$B$25),IF(M28&gt;=$Q$27,$B$24,$B$25)),"-")</f>
        <v>CUMPLE</v>
      </c>
      <c r="N27" s="104" t="str">
        <f>IFERROR(IF(N74=$P$21,IF(N28&gt;=$P$27,$B$24,$B$25),IF(N28&gt;=$Q$27,$B$24,$B$25)),"-")</f>
        <v>CUMPLE</v>
      </c>
      <c r="P27" s="40">
        <v>1.1000000000000001</v>
      </c>
      <c r="Q27" s="40">
        <v>1.2</v>
      </c>
    </row>
    <row r="28" spans="2:18" s="3" customFormat="1" ht="22.5" customHeight="1" x14ac:dyDescent="0.2">
      <c r="B28" s="156" t="s">
        <v>19</v>
      </c>
      <c r="C28" s="15">
        <f t="shared" ref="C28:E28" si="22">IFERROR(C12/C13,"-")</f>
        <v>6.2339082528872813</v>
      </c>
      <c r="D28" s="15">
        <f t="shared" si="22"/>
        <v>3.7424136775839969</v>
      </c>
      <c r="E28" s="15" t="str">
        <f t="shared" si="22"/>
        <v>-</v>
      </c>
      <c r="F28" s="15">
        <f t="shared" ref="F28:G28" si="23">IFERROR(F12/F13,"-")</f>
        <v>20.915613867880278</v>
      </c>
      <c r="G28" s="15">
        <f t="shared" si="23"/>
        <v>1.540363679780399</v>
      </c>
      <c r="H28" s="217"/>
      <c r="I28" s="217"/>
      <c r="J28" s="15">
        <f t="shared" ref="J28" si="24">IFERROR(J12/J13,"-")</f>
        <v>3.6809697451980385</v>
      </c>
      <c r="K28" s="217"/>
      <c r="L28" s="217"/>
      <c r="M28" s="15">
        <f t="shared" ref="M28:N28" si="25">IFERROR(M12/M13,"-")</f>
        <v>3.0159207192930579</v>
      </c>
      <c r="N28" s="105">
        <f t="shared" si="25"/>
        <v>8.1514988522872525</v>
      </c>
    </row>
    <row r="29" spans="2:18" s="3" customFormat="1" ht="31.5" x14ac:dyDescent="0.2">
      <c r="B29" s="35" t="str">
        <f>CONCATENATE("Endeudamiento total: ",CHAR(10),$P$21," ≤ ",TEXT(P29,"#0 %"),". ",IF($P$21=$Q$21,"",_xlfn.CONCAT($Q$21," ≤ ",TEXT(Q29,"#0 %."))))</f>
        <v>Endeudamiento total: 
MiPyME ≤ 65 %. Gran Empresa ≤ 65 %.</v>
      </c>
      <c r="C29" s="16" t="str">
        <f>IFERROR(IF(C74=$P$21,IF(C30&lt;=$P$29,$B$24,$B$25),IF(C30&lt;=$Q$29,$B$24,$B$25)),"-")</f>
        <v>CUMPLE</v>
      </c>
      <c r="D29" s="16" t="str">
        <f>IFERROR(IF(D74=$P$21,IF(D30&lt;=$P$29,$B$24,$B$25),IF(D30&lt;=$Q$29,$B$24,$B$25)),"-")</f>
        <v>CUMPLE</v>
      </c>
      <c r="E29" s="16" t="str">
        <f>IFERROR(IF(E74=$P$21,IF(E30&lt;=$P$29,$B$24,$B$25),IF(E30&lt;=$Q$29,$B$24,$B$25)),"-")</f>
        <v>CUMPLE</v>
      </c>
      <c r="F29" s="16" t="str">
        <f>IFERROR(IF(F74=$P$21,IF(F30&lt;=$P$29,$B$24,$B$25),IF(F30&lt;=$Q$29,$B$24,$B$25)),"-")</f>
        <v>CUMPLE</v>
      </c>
      <c r="G29" s="16" t="str">
        <f>IFERROR(IF(G74=$P$21,IF(G30&lt;=$P$29,$B$24,$B$25),IF(G30&lt;=$Q$29,$B$24,$B$25)),"-")</f>
        <v>CUMPLE</v>
      </c>
      <c r="H29" s="217"/>
      <c r="I29" s="217"/>
      <c r="J29" s="16" t="str">
        <f>IFERROR(IF(J74=$P$21,IF(J30&lt;=$P$29,$B$24,$B$25),IF(J30&lt;=$Q$29,$B$24,$B$25)),"-")</f>
        <v>CUMPLE</v>
      </c>
      <c r="K29" s="217"/>
      <c r="L29" s="217"/>
      <c r="M29" s="16" t="str">
        <f>IFERROR(IF(M74=$P$21,IF(M30&lt;=$P$29,$B$24,$B$25),IF(M30&lt;=$Q$29,$B$24,$B$25)),"-")</f>
        <v>CUMPLE</v>
      </c>
      <c r="N29" s="106" t="str">
        <f>IFERROR(IF(N74=$P$21,IF(N30&lt;=$P$29,$B$24,$B$25),IF(N30&lt;=$Q$29,$B$24,$B$25)),"-")</f>
        <v>CUMPLE</v>
      </c>
      <c r="P29" s="41">
        <v>0.65</v>
      </c>
      <c r="Q29" s="41">
        <v>0.65</v>
      </c>
    </row>
    <row r="30" spans="2:18" s="3" customFormat="1" ht="22.5" customHeight="1" x14ac:dyDescent="0.2">
      <c r="B30" s="157" t="s">
        <v>20</v>
      </c>
      <c r="C30" s="17">
        <f t="shared" ref="C30:E30" si="26">IFERROR(C15/C14,"-")</f>
        <v>0.12100000687724762</v>
      </c>
      <c r="D30" s="17">
        <f t="shared" si="26"/>
        <v>0.2498174542410701</v>
      </c>
      <c r="E30" s="17">
        <f t="shared" si="26"/>
        <v>0.62429104630488053</v>
      </c>
      <c r="F30" s="17">
        <f t="shared" ref="F30:G30" si="27">IFERROR(F15/F14,"-")</f>
        <v>4.7739297911614714E-2</v>
      </c>
      <c r="G30" s="17">
        <f t="shared" si="27"/>
        <v>0.55242893643924273</v>
      </c>
      <c r="H30" s="217"/>
      <c r="I30" s="217"/>
      <c r="J30" s="17">
        <f t="shared" ref="J30" si="28">IFERROR(J15/J14,"-")</f>
        <v>0.31975240738170585</v>
      </c>
      <c r="K30" s="217"/>
      <c r="L30" s="217"/>
      <c r="M30" s="17">
        <f t="shared" ref="M30:N30" si="29">IFERROR(M15/M14,"-")</f>
        <v>0.33988176154553223</v>
      </c>
      <c r="N30" s="107">
        <f t="shared" si="29"/>
        <v>0.2303508010424479</v>
      </c>
    </row>
    <row r="31" spans="2:18" s="3" customFormat="1" ht="47.25" x14ac:dyDescent="0.2">
      <c r="B31" s="35" t="str">
        <f>CONCATENATE("Razón de Cobertura de Intereses: ",CHAR(10),$P$21," ≥ ",P31," vez(ces) o Indet."," ",IF($P$21=$Q$21,"",_xlfn.CONCAT($Q$21," ≥ ",Q31," vez(ces) o Indet.")))</f>
        <v>Razón de Cobertura de Intereses: 
MiPyME ≥ 1,5 vez(ces) o Indet. Gran Empresa ≥ 1,5 vez(ces) o Indet.</v>
      </c>
      <c r="C31" s="16" t="str">
        <f>IFERROR(IF(C74=$P$21,IF(AND(C32="Indeterminado",C18&lt;=0),$B$25,IF(C32&gt;=$P$31,$B$24,$B$25)),IF(AND(C32="Indeterminado",C18&lt;=0),$B$25,IF(C32&gt;=$Q$31,$B$24,$B$25))),"-")</f>
        <v>CUMPLE</v>
      </c>
      <c r="D31" s="16" t="str">
        <f>IFERROR(IF(D74=$P$21,IF(AND(D32="Indeterminado",D18&lt;=0),$B$25,IF(D32&gt;=$P$31,$B$24,$B$25)),IF(AND(D32="Indeterminado",D18&lt;=0),$B$25,IF(D32&gt;=$Q$31,$B$24,$B$25))),"-")</f>
        <v>CUMPLE</v>
      </c>
      <c r="E31" s="16" t="str">
        <f>IFERROR(IF(E74=$P$21,IF(AND(E32="Indeterminado",E18&lt;=0),$B$25,IF(E32&gt;=$P$31,$B$24,$B$25)),IF(AND(E32="Indeterminado",E18&lt;=0),$B$25,IF(E32&gt;=$Q$31,$B$24,$B$25))),"-")</f>
        <v>CUMPLE</v>
      </c>
      <c r="F31" s="16" t="str">
        <f>IFERROR(IF(F74=$P$21,IF(AND(F32="Indeterminado",F18&lt;=0),$B$25,IF(F32&gt;=$P$31,$B$24,$B$25)),IF(AND(F32="Indeterminado",F18&lt;=0),$B$25,IF(F32&gt;=$Q$31,$B$24,$B$25))),"-")</f>
        <v>CUMPLE</v>
      </c>
      <c r="G31" s="16" t="str">
        <f>IFERROR(IF(G74=$P$21,IF(AND(G32="Indeterminado",G18&lt;=0),$B$25,IF(G32&gt;=$P$31,$B$24,$B$25)),IF(AND(G32="Indeterminado",G18&lt;=0),$B$25,IF(G32&gt;=$Q$31,$B$24,$B$25))),"-")</f>
        <v>CUMPLE</v>
      </c>
      <c r="H31" s="217"/>
      <c r="I31" s="217"/>
      <c r="J31" s="16" t="str">
        <f>IFERROR(IF(J74=$P$21,IF(AND(J32="Indeterminado",J18&lt;=0),$B$25,IF(J32&gt;=$P$31,$B$24,$B$25)),IF(AND(J32="Indeterminado",J18&lt;=0),$B$25,IF(J32&gt;=$Q$31,$B$24,$B$25))),"-")</f>
        <v>CUMPLE</v>
      </c>
      <c r="K31" s="217"/>
      <c r="L31" s="217"/>
      <c r="M31" s="16" t="str">
        <f>IFERROR(IF(M74=$P$21,IF(AND(M32="Indeterminado",M18&lt;=0),$B$25,IF(M32&gt;=$P$31,$B$24,$B$25)),IF(AND(M32="Indeterminado",M18&lt;=0),$B$25,IF(M32&gt;=$Q$31,$B$24,$B$25))),"-")</f>
        <v>CUMPLE</v>
      </c>
      <c r="N31" s="106" t="str">
        <f>IFERROR(IF(N74=$P$21,IF(AND(N32="Indeterminado",N18&lt;=0),$B$25,IF(N32&gt;=$P$31,$B$24,$B$25)),IF(AND(N32="Indeterminado",N18&lt;=0),$B$25,IF(N32&gt;=$Q$31,$B$24,$B$25))),"-")</f>
        <v>CUMPLE</v>
      </c>
      <c r="P31" s="40">
        <v>1.5</v>
      </c>
      <c r="Q31" s="40">
        <v>1.5</v>
      </c>
    </row>
    <row r="32" spans="2:18" s="3" customFormat="1" ht="22.5" customHeight="1" x14ac:dyDescent="0.2">
      <c r="B32" s="157" t="s">
        <v>21</v>
      </c>
      <c r="C32" s="37">
        <f t="shared" ref="C32:E32" si="30">IFERROR(C18/C19,"Indeterminado")</f>
        <v>16.340655440016516</v>
      </c>
      <c r="D32" s="37" t="str">
        <f t="shared" si="30"/>
        <v>Indeterminado</v>
      </c>
      <c r="E32" s="37">
        <f t="shared" si="30"/>
        <v>183.05506461538462</v>
      </c>
      <c r="F32" s="37">
        <f t="shared" ref="F32:G32" si="31">IFERROR(F18/F19,"Indeterminado")</f>
        <v>5354.2987098663416</v>
      </c>
      <c r="G32" s="37">
        <f t="shared" si="31"/>
        <v>4.2704483398079978</v>
      </c>
      <c r="H32" s="218"/>
      <c r="I32" s="218"/>
      <c r="J32" s="37">
        <f t="shared" ref="J32" si="32">IFERROR(J18/J19,"Indeterminado")</f>
        <v>17.12530215868108</v>
      </c>
      <c r="K32" s="218"/>
      <c r="L32" s="218"/>
      <c r="M32" s="37">
        <f t="shared" ref="M32:N32" si="33">IFERROR(M18/M19,"Indeterminado")</f>
        <v>5.7882443507386006</v>
      </c>
      <c r="N32" s="108">
        <f t="shared" si="33"/>
        <v>99.433855426923799</v>
      </c>
    </row>
    <row r="33" spans="2:18" s="3" customFormat="1" ht="31.5" x14ac:dyDescent="0.2">
      <c r="B33" s="22" t="str">
        <f>CONCATENATE("Capital de trabajo:",CHAR(10),$P$21," ≥ ",TEXT(P33,"0 %")," del PO. ",IF($P$21=$Q$21,"",_xlfn.CONCAT($Q$21," ≥ ",TEXT(Q33,"0 %")," del PO.")))</f>
        <v>Capital de trabajo:
MiPyME ≥ 25 % del PO. Gran Empresa ≥ 25 % del PO.</v>
      </c>
      <c r="C33" s="16" t="str">
        <f>IFERROR(IF(C74=$P$21,IF(C34&gt;(C22*$P$33),$B$24,$B$25),IF(C34&gt;(C22*$Q$33),$B$24,$B$25)),"-")</f>
        <v>CUMPLE</v>
      </c>
      <c r="D33" s="16" t="str">
        <f>IFERROR(IF(D74=$P$21,IF(D34&gt;(D22*$P$33),$B$24,$B$25),IF(D34&gt;(D22*$Q$33),$B$24,$B$25)),"-")</f>
        <v>CUMPLE</v>
      </c>
      <c r="E33" s="16" t="str">
        <f>IFERROR(IF(E74=$P$21,IF(E34&gt;(E22*$P$33),$B$24,$B$25),IF(E34&gt;(E22*$Q$33),$B$24,$B$25)),"-")</f>
        <v>CUMPLE</v>
      </c>
      <c r="F33" s="16" t="str">
        <f>IFERROR(IF(F74=$P$21,IF(F34&gt;(F22*$P$33),$B$24,$B$25),IF(F34&gt;(F22*$Q$33),$B$24,$B$25)),"-")</f>
        <v>CUMPLE</v>
      </c>
      <c r="G33" s="16" t="str">
        <f>IFERROR(IF(G74=$P$21,IF(G34&gt;(G22*$P$33),$B$24,$B$25),IF(G34&gt;(G22*$Q$33),$B$24,$B$25)),"-")</f>
        <v>CUMPLE</v>
      </c>
      <c r="H33" s="216"/>
      <c r="I33" s="216"/>
      <c r="J33" s="16" t="str">
        <f>IFERROR(IF(J74=$P$21,IF(J34&gt;(J22*$P$33),$B$24,$B$25),IF(J34&gt;(J22*$Q$33),$B$24,$B$25)),"-")</f>
        <v>CUMPLE</v>
      </c>
      <c r="K33" s="216"/>
      <c r="L33" s="216"/>
      <c r="M33" s="16" t="str">
        <f>IFERROR(IF(M74=$P$21,IF(M34&gt;(M22*$P$33),$B$24,$B$25),IF(M34&gt;(M22*$Q$33),$B$24,$B$25)),"-")</f>
        <v>CUMPLE</v>
      </c>
      <c r="N33" s="106" t="str">
        <f>IFERROR(IF(N74=$P$21,IF(N34&gt;(N22*$P$33),$B$24,$B$25),IF(N34&gt;(N22*$Q$33),$B$24,$B$25)),"-")</f>
        <v>CUMPLE</v>
      </c>
      <c r="P33" s="44">
        <v>0.25</v>
      </c>
      <c r="Q33" s="44">
        <v>0.25</v>
      </c>
    </row>
    <row r="34" spans="2:18" s="4" customFormat="1" ht="22.5" customHeight="1" x14ac:dyDescent="0.2">
      <c r="B34" s="158" t="str">
        <f>CONCATENATE("CT = Activo Corriente - Pasivo Corriente ≥ ",TEXT((P22*P33),"$###.###.###.##0"))</f>
        <v>CT = Activo Corriente - Pasivo Corriente ≥ $86.214.371</v>
      </c>
      <c r="C34" s="161">
        <f t="shared" ref="C34:E34" si="34">IFERROR(C12-C13,"-")</f>
        <v>181226596</v>
      </c>
      <c r="D34" s="161">
        <f t="shared" si="34"/>
        <v>986767054</v>
      </c>
      <c r="E34" s="161">
        <f t="shared" si="34"/>
        <v>96318000</v>
      </c>
      <c r="F34" s="161">
        <f t="shared" ref="F34:G34" si="35">IFERROR(F12-F13,"-")</f>
        <v>5611705488</v>
      </c>
      <c r="G34" s="161">
        <f t="shared" si="35"/>
        <v>1291022623</v>
      </c>
      <c r="H34" s="217"/>
      <c r="I34" s="217"/>
      <c r="J34" s="161">
        <f t="shared" ref="J34" si="36">IFERROR(J12-J13,"-")</f>
        <v>1998417765</v>
      </c>
      <c r="K34" s="217"/>
      <c r="L34" s="217"/>
      <c r="M34" s="161">
        <f t="shared" ref="M34:N34" si="37">IFERROR(M12-M13,"-")</f>
        <v>1047282631</v>
      </c>
      <c r="N34" s="162">
        <f t="shared" si="37"/>
        <v>5741972298</v>
      </c>
      <c r="O34" s="95"/>
      <c r="P34" s="92"/>
      <c r="Q34" s="92"/>
      <c r="R34" s="3"/>
    </row>
    <row r="35" spans="2:18" s="3" customFormat="1" ht="15.75" x14ac:dyDescent="0.2">
      <c r="B35" s="36" t="s">
        <v>22</v>
      </c>
      <c r="C35" s="38"/>
      <c r="D35" s="38"/>
      <c r="E35" s="38"/>
      <c r="F35" s="38"/>
      <c r="G35" s="38"/>
      <c r="H35" s="204"/>
      <c r="I35" s="204"/>
      <c r="J35" s="38"/>
      <c r="K35" s="204"/>
      <c r="L35" s="204"/>
      <c r="M35" s="38"/>
      <c r="N35" s="109"/>
      <c r="O35" s="96"/>
      <c r="P35" s="93"/>
      <c r="Q35" s="93"/>
      <c r="R35" s="94"/>
    </row>
    <row r="36" spans="2:18" s="3" customFormat="1" ht="15.75" x14ac:dyDescent="0.2">
      <c r="B36" s="18"/>
      <c r="C36" s="9"/>
      <c r="D36" s="9"/>
      <c r="E36" s="9"/>
      <c r="F36" s="9"/>
      <c r="G36" s="9"/>
      <c r="H36" s="216"/>
      <c r="I36" s="216"/>
      <c r="J36" s="9"/>
      <c r="K36" s="216"/>
      <c r="L36" s="216"/>
      <c r="M36" s="9"/>
      <c r="N36" s="110"/>
    </row>
    <row r="37" spans="2:18" s="3" customFormat="1" ht="31.5" x14ac:dyDescent="0.2">
      <c r="B37" s="35" t="str">
        <f>CONCATENATE("Indicador  Rentabilidad del Patrimonio",CHAR(10),$P$21," ≥ ",TEXT(P37,"#0 %. "),IF($P$21=$Q$21,"",_xlfn.CONCAT($Q$21," ≥ ",TEXT(Q37,"#0 %."))))</f>
        <v>Indicador  Rentabilidad del Patrimonio
MiPyME ≥ 2 %. Gran Empresa ≥ 4 %.</v>
      </c>
      <c r="C37" s="16" t="str">
        <f>IFERROR(IF((IF(C74=$P$21,IF(C38&gt;=$P$37,$B$24,$B$25),IF(C38&gt;=$Q$37,$B$24,$B$25)))="No hábil",IF(AND(C38&lt;0,C16&gt;0,C74="ESAL"),$B$24,$B$25),IF(C74=$P$21,IF(C38&gt;=$P$37,$B$24,$B$25),IF(C38&gt;=$Q$37,$B$24,$B$25))),"-")</f>
        <v>CUMPLE</v>
      </c>
      <c r="D37" s="16" t="str">
        <f>IFERROR(IF((IF(D74=$P$21,IF(D38&gt;=$P$37,$B$24,$B$25),IF(D38&gt;=$Q$37,$B$24,$B$25)))="No hábil",IF(AND(D38&lt;0,D16&gt;0,D74="ESAL"),$B$24,$B$25),IF(D74=$P$21,IF(D38&gt;=$P$37,$B$24,$B$25),IF(D38&gt;=$Q$37,$B$24,$B$25))),"-")</f>
        <v>CUMPLE</v>
      </c>
      <c r="E37" s="16" t="str">
        <f>IFERROR(IF((IF(E74=$P$21,IF(E38&gt;=$P$37,$B$24,$B$25),IF(E38&gt;=$Q$37,$B$24,$B$25)))="No hábil",IF(AND(E38&lt;0,E16&gt;0,E74="ESAL"),$B$24,$B$25),IF(E74=$P$21,IF(E38&gt;=$P$37,$B$24,$B$25),IF(E38&gt;=$Q$37,$B$24,$B$25))),"-")</f>
        <v>CUMPLE</v>
      </c>
      <c r="F37" s="16" t="str">
        <f>IFERROR(IF((IF(F74=$P$21,IF(F38&gt;=$P$37,$B$24,$B$25),IF(F38&gt;=$Q$37,$B$24,$B$25)))="No hábil",IF(AND(F38&lt;0,F16&gt;0,F74="ESAL"),$B$24,$B$25),IF(F74=$P$21,IF(F38&gt;=$P$37,$B$24,$B$25),IF(F38&gt;=$Q$37,$B$24,$B$25))),"-")</f>
        <v>CUMPLE</v>
      </c>
      <c r="G37" s="16" t="str">
        <f>IFERROR(IF((IF(G74=$P$21,IF(G38&gt;=$P$37,$B$24,$B$25),IF(G38&gt;=$Q$37,$B$24,$B$25)))="No hábil",IF(AND(G38&lt;0,G16&gt;0,G74="ESAL"),$B$24,$B$25),IF(G74=$P$21,IF(G38&gt;=$P$37,$B$24,$B$25),IF(G38&gt;=$Q$37,$B$24,$B$25))),"-")</f>
        <v>CUMPLE</v>
      </c>
      <c r="H37" s="217" t="s">
        <v>95</v>
      </c>
      <c r="I37" s="217" t="s">
        <v>95</v>
      </c>
      <c r="J37" s="16" t="str">
        <f>IFERROR(IF((IF(J74=$P$21,IF(J38&gt;=$P$37,$B$24,$B$25),IF(J38&gt;=$Q$37,$B$24,$B$25)))="No hábil",IF(AND(J38&lt;0,J16&gt;0,J74="ESAL"),$B$24,$B$25),IF(J74=$P$21,IF(J38&gt;=$P$37,$B$24,$B$25),IF(J38&gt;=$Q$37,$B$24,$B$25))),"-")</f>
        <v>CUMPLE</v>
      </c>
      <c r="K37" s="217" t="s">
        <v>95</v>
      </c>
      <c r="L37" s="217" t="s">
        <v>95</v>
      </c>
      <c r="M37" s="16" t="str">
        <f>IFERROR(IF((IF(M74=$P$21,IF(M38&gt;=$P$37,$B$24,$B$25),IF(M38&gt;=$Q$37,$B$24,$B$25)))="No hábil",IF(AND(M38&lt;0,M16&gt;0,M74="ESAL"),$B$24,$B$25),IF(M74=$P$21,IF(M38&gt;=$P$37,$B$24,$B$25),IF(M38&gt;=$Q$37,$B$24,$B$25))),"-")</f>
        <v>CUMPLE</v>
      </c>
      <c r="N37" s="106" t="str">
        <f>IFERROR(IF((IF(N74=$P$21,IF(N38&gt;=$P$37,$B$24,$B$25),IF(N38&gt;=$Q$37,$B$24,$B$25)))="No hábil",IF(AND(N38&lt;0,N16&gt;0,N74="ESAL"),$B$24,$B$25),IF(N74=$P$21,IF(N38&gt;=$P$37,$B$24,$B$25),IF(N38&gt;=$Q$37,$B$24,$B$25))),"-")</f>
        <v>CUMPLE</v>
      </c>
      <c r="P37" s="41">
        <v>0.02</v>
      </c>
      <c r="Q37" s="41">
        <v>0.04</v>
      </c>
    </row>
    <row r="38" spans="2:18" s="3" customFormat="1" ht="22.5" customHeight="1" x14ac:dyDescent="0.2">
      <c r="B38" s="157" t="s">
        <v>23</v>
      </c>
      <c r="C38" s="170">
        <f t="shared" ref="C38:E38" si="38">IFERROR(C18/C16,"-")</f>
        <v>0.21650968883081359</v>
      </c>
      <c r="D38" s="170">
        <f t="shared" si="38"/>
        <v>0.4669279638108591</v>
      </c>
      <c r="E38" s="170">
        <f t="shared" si="38"/>
        <v>0.20793777462488605</v>
      </c>
      <c r="F38" s="170">
        <f t="shared" ref="F38:G38" si="39">IFERROR(F18/F16,"-")</f>
        <v>0.28302558862212807</v>
      </c>
      <c r="G38" s="170">
        <f t="shared" si="39"/>
        <v>0.22683954379116525</v>
      </c>
      <c r="H38" s="217" t="s">
        <v>95</v>
      </c>
      <c r="I38" s="217" t="s">
        <v>95</v>
      </c>
      <c r="J38" s="170">
        <f t="shared" ref="J38" si="40">IFERROR(J18/J16,"-")</f>
        <v>3.2678483174230256E-2</v>
      </c>
      <c r="K38" s="217" t="s">
        <v>95</v>
      </c>
      <c r="L38" s="217" t="s">
        <v>95</v>
      </c>
      <c r="M38" s="170">
        <f t="shared" ref="M38:N38" si="41">IFERROR(M18/M16,"-")</f>
        <v>0.20528505365302852</v>
      </c>
      <c r="N38" s="171">
        <f t="shared" si="41"/>
        <v>0.19073837495447571</v>
      </c>
    </row>
    <row r="39" spans="2:18" s="3" customFormat="1" ht="31.5" x14ac:dyDescent="0.2">
      <c r="B39" s="35" t="str">
        <f>CONCATENATE("Indicador Rentabilidad del Activo",CHAR(10),$P$21," ≥ ",TEXT(P39,"#0 %. "),IF($P$21=$Q$21,"",_xlfn.CONCAT($Q$21," ≥ ",TEXT(Q39,"#0 %."))))</f>
        <v>Indicador Rentabilidad del Activo
MiPyME ≥ 1 %. Gran Empresa ≥ 3 %.</v>
      </c>
      <c r="C39" s="14" t="str">
        <f>IFERROR(IF((IF(C74=$P$21,IF(C40&gt;=$P$39,$B$24,$B$25),IF(C40&gt;=$Q$39,$B$24,$B$25)))="No hábil",IF(AND(C40&lt;0,C16&gt;0,C74="ESAL"),$B$24,$B$25),IF(C74=$P$21,IF(C40&gt;=$P$39,$B$24,$B$25),IF(C40&gt;=$Q$39,$B$24,$B$25))),"-")</f>
        <v>CUMPLE</v>
      </c>
      <c r="D39" s="14" t="str">
        <f>IFERROR(IF((IF(D74=$P$21,IF(D40&gt;=$P$39,$B$24,$B$25),IF(D40&gt;=$Q$39,$B$24,$B$25)))="No hábil",IF(AND(D40&lt;0,D16&gt;0,D74="ESAL"),$B$24,$B$25),IF(D74=$P$21,IF(D40&gt;=$P$39,$B$24,$B$25),IF(D40&gt;=$Q$39,$B$24,$B$25))),"-")</f>
        <v>CUMPLE</v>
      </c>
      <c r="E39" s="14" t="str">
        <f>IFERROR(IF((IF(E74=$P$21,IF(E40&gt;=$P$39,$B$24,$B$25),IF(E40&gt;=$Q$39,$B$24,$B$25)))="No hábil",IF(AND(E40&lt;0,E16&gt;0,E74="ESAL"),$B$24,$B$25),IF(E74=$P$21,IF(E40&gt;=$P$39,$B$24,$B$25),IF(E40&gt;=$Q$39,$B$24,$B$25))),"-")</f>
        <v>CUMPLE</v>
      </c>
      <c r="F39" s="14" t="str">
        <f>IFERROR(IF((IF(F74=$P$21,IF(F40&gt;=$P$39,$B$24,$B$25),IF(F40&gt;=$Q$39,$B$24,$B$25)))="No hábil",IF(AND(F40&lt;0,F16&gt;0,F74="ESAL"),$B$24,$B$25),IF(F74=$P$21,IF(F40&gt;=$P$39,$B$24,$B$25),IF(F40&gt;=$Q$39,$B$24,$B$25))),"-")</f>
        <v>CUMPLE</v>
      </c>
      <c r="G39" s="14" t="str">
        <f>IFERROR(IF((IF(G74=$P$21,IF(G40&gt;=$P$39,$B$24,$B$25),IF(G40&gt;=$Q$39,$B$24,$B$25)))="No hábil",IF(AND(G40&lt;0,G16&gt;0,G74="ESAL"),$B$24,$B$25),IF(G74=$P$21,IF(G40&gt;=$P$39,$B$24,$B$25),IF(G40&gt;=$Q$39,$B$24,$B$25))),"-")</f>
        <v>CUMPLE</v>
      </c>
      <c r="H39" s="217" t="s">
        <v>95</v>
      </c>
      <c r="I39" s="217" t="s">
        <v>95</v>
      </c>
      <c r="J39" s="14" t="str">
        <f>IFERROR(IF((IF(J74=$P$21,IF(J40&gt;=$P$39,$B$24,$B$25),IF(J40&gt;=$Q$39,$B$24,$B$25)))="No hábil",IF(AND(J40&lt;0,J16&gt;0,J74="ESAL"),$B$24,$B$25),IF(J74=$P$21,IF(J40&gt;=$P$39,$B$24,$B$25),IF(J40&gt;=$Q$39,$B$24,$B$25))),"-")</f>
        <v>CUMPLE</v>
      </c>
      <c r="K39" s="217" t="s">
        <v>95</v>
      </c>
      <c r="L39" s="217" t="s">
        <v>95</v>
      </c>
      <c r="M39" s="14" t="str">
        <f>IFERROR(IF((IF(M74=$P$21,IF(M40&gt;=$P$39,$B$24,$B$25),IF(M40&gt;=$Q$39,$B$24,$B$25)))="No hábil",IF(AND(M40&lt;0,M16&gt;0,M74="ESAL"),$B$24,$B$25),IF(M74=$P$21,IF(M40&gt;=$P$39,$B$24,$B$25),IF(M40&gt;=$Q$39,$B$24,$B$25))),"-")</f>
        <v>CUMPLE</v>
      </c>
      <c r="N39" s="104" t="str">
        <f>IFERROR(IF((IF(N74=$P$21,IF(N40&gt;=$P$39,$B$24,$B$25),IF(N40&gt;=$Q$39,$B$24,$B$25)))="No hábil",IF(AND(N40&lt;0,N16&gt;0,N74="ESAL"),$B$24,$B$25),IF(N74=$P$21,IF(N40&gt;=$P$39,$B$24,$B$25),IF(N40&gt;=$Q$39,$B$24,$B$25))),"-")</f>
        <v>CUMPLE</v>
      </c>
      <c r="P39" s="41">
        <v>0.01</v>
      </c>
      <c r="Q39" s="41">
        <v>0.03</v>
      </c>
    </row>
    <row r="40" spans="2:18" s="3" customFormat="1" ht="22.5" customHeight="1" x14ac:dyDescent="0.2">
      <c r="B40" s="157" t="s">
        <v>24</v>
      </c>
      <c r="C40" s="170">
        <f t="shared" ref="C40:E40" si="42">IFERROR(C18/C14,"-")</f>
        <v>0.19031201499329439</v>
      </c>
      <c r="D40" s="170">
        <f t="shared" si="42"/>
        <v>0.35028120857766376</v>
      </c>
      <c r="E40" s="170">
        <f t="shared" si="42"/>
        <v>7.8124083738007499E-2</v>
      </c>
      <c r="F40" s="170">
        <f t="shared" ref="F40:G40" si="43">IFERROR(F18/F14,"-")</f>
        <v>0.2695141457302862</v>
      </c>
      <c r="G40" s="170">
        <f t="shared" si="43"/>
        <v>0.10152681587224881</v>
      </c>
      <c r="H40" s="217" t="s">
        <v>95</v>
      </c>
      <c r="I40" s="217" t="s">
        <v>95</v>
      </c>
      <c r="J40" s="170">
        <f t="shared" ref="J40" si="44">IFERROR(J18/J14,"-")</f>
        <v>2.2229459509687563E-2</v>
      </c>
      <c r="K40" s="217" t="s">
        <v>95</v>
      </c>
      <c r="L40" s="217" t="s">
        <v>95</v>
      </c>
      <c r="M40" s="170">
        <f t="shared" ref="M40:N40" si="45">IFERROR(M18/M14,"-")</f>
        <v>0.13551240799846809</v>
      </c>
      <c r="N40" s="171">
        <f t="shared" si="45"/>
        <v>0.14680163749417746</v>
      </c>
    </row>
    <row r="41" spans="2:18" s="3" customFormat="1" ht="25.9" customHeight="1" x14ac:dyDescent="0.25">
      <c r="B41" s="23" t="s">
        <v>25</v>
      </c>
      <c r="C41" s="19" t="str">
        <f t="shared" ref="C41:G41" si="46">IF(C10="NO CUMPLE","DEBE SUBSANAR",IF(COUNTIF(C27:C40,"NO CUMPLE")&gt;=1,"NO HABILITADO","HABILITADO"))</f>
        <v>HABILITADO</v>
      </c>
      <c r="D41" s="19" t="str">
        <f t="shared" si="46"/>
        <v>HABILITADO</v>
      </c>
      <c r="E41" s="19" t="str">
        <f t="shared" si="46"/>
        <v>HABILITADO</v>
      </c>
      <c r="F41" s="19" t="str">
        <f t="shared" si="46"/>
        <v>HABILITADO</v>
      </c>
      <c r="G41" s="19" t="str">
        <f t="shared" si="46"/>
        <v>HABILITADO</v>
      </c>
      <c r="H41" s="218"/>
      <c r="I41" s="218"/>
      <c r="J41" s="19" t="str">
        <f t="shared" ref="J41" si="47">IF(J10="NO CUMPLE","DEBE SUBSANAR",IF(COUNTIF(J27:J40,"NO CUMPLE")&gt;=1,"NO HABILITADO","HABILITADO"))</f>
        <v>HABILITADO</v>
      </c>
      <c r="K41" s="218"/>
      <c r="L41" s="218"/>
      <c r="M41" s="19" t="str">
        <f t="shared" ref="M41:N41" si="48">IF(M10="NO CUMPLE","DEBE SUBSANAR",IF(COUNTIF(M27:M40,"NO CUMPLE")&gt;=1,"NO HABILITADO","HABILITADO"))</f>
        <v>HABILITADO</v>
      </c>
      <c r="N41" s="129" t="str">
        <f t="shared" si="48"/>
        <v>HABILITADO</v>
      </c>
      <c r="P41" s="94"/>
      <c r="Q41" s="1"/>
    </row>
    <row r="42" spans="2:18" s="3" customFormat="1" ht="15.75" x14ac:dyDescent="0.25">
      <c r="B42" s="32"/>
      <c r="C42" s="33"/>
      <c r="D42" s="33"/>
      <c r="E42" s="33"/>
      <c r="F42" s="33"/>
      <c r="G42" s="33"/>
      <c r="H42" s="33"/>
      <c r="I42" s="33"/>
      <c r="J42" s="33"/>
      <c r="K42" s="33"/>
      <c r="L42" s="33"/>
      <c r="M42" s="33"/>
      <c r="N42" s="98"/>
      <c r="P42" s="94" t="s">
        <v>79</v>
      </c>
      <c r="Q42" s="1"/>
    </row>
    <row r="43" spans="2:18" s="3" customFormat="1" ht="21" customHeight="1" x14ac:dyDescent="0.25">
      <c r="B43" s="159" t="s">
        <v>26</v>
      </c>
      <c r="C43" s="71"/>
      <c r="D43" s="71"/>
      <c r="E43" s="71"/>
      <c r="F43" s="71"/>
      <c r="G43" s="71"/>
      <c r="H43" s="71"/>
      <c r="I43" s="71"/>
      <c r="J43" s="71"/>
      <c r="K43" s="71"/>
      <c r="L43" s="71"/>
      <c r="M43" s="71"/>
      <c r="N43" s="72"/>
      <c r="P43" s="3" t="s">
        <v>76</v>
      </c>
      <c r="Q43" s="1"/>
    </row>
    <row r="44" spans="2:18" s="3" customFormat="1" ht="21" customHeight="1" x14ac:dyDescent="0.25">
      <c r="B44" s="160" t="s">
        <v>61</v>
      </c>
      <c r="C44" s="73"/>
      <c r="D44" s="73"/>
      <c r="E44" s="73"/>
      <c r="F44" s="73"/>
      <c r="G44" s="73"/>
      <c r="H44" s="73"/>
      <c r="I44" s="73"/>
      <c r="J44" s="73"/>
      <c r="K44" s="73"/>
      <c r="L44" s="73"/>
      <c r="M44" s="73"/>
      <c r="N44" s="74"/>
      <c r="Q44" s="1"/>
    </row>
    <row r="45" spans="2:18" s="3" customFormat="1" ht="15.75" x14ac:dyDescent="0.25">
      <c r="B45" s="20"/>
      <c r="C45" s="34"/>
      <c r="D45" s="34"/>
      <c r="E45" s="34"/>
      <c r="F45" s="34"/>
      <c r="G45" s="34"/>
      <c r="H45" s="34"/>
      <c r="I45" s="34"/>
      <c r="J45" s="34"/>
      <c r="K45" s="34"/>
      <c r="L45" s="34"/>
      <c r="M45" s="34"/>
      <c r="N45" s="21"/>
      <c r="Q45" s="1"/>
    </row>
    <row r="46" spans="2:18" s="3" customFormat="1" ht="15.75" x14ac:dyDescent="0.25">
      <c r="B46" s="45" t="str">
        <f>B71</f>
        <v>Fecha de cierre del proceso:</v>
      </c>
      <c r="C46" s="34"/>
      <c r="D46" s="34"/>
      <c r="E46" s="34"/>
      <c r="F46" s="34"/>
      <c r="G46" s="34"/>
      <c r="H46" s="34"/>
      <c r="I46" s="34"/>
      <c r="J46" s="34"/>
      <c r="K46" s="34"/>
      <c r="L46" s="34"/>
      <c r="M46" s="34"/>
      <c r="N46" s="21"/>
      <c r="Q46" s="1"/>
    </row>
    <row r="47" spans="2:18" s="3" customFormat="1" ht="15.75" x14ac:dyDescent="0.25">
      <c r="B47" s="59">
        <f>C71</f>
        <v>46006</v>
      </c>
      <c r="C47" s="34"/>
      <c r="D47" s="34"/>
      <c r="E47" s="34"/>
      <c r="F47" s="34"/>
      <c r="G47" s="34"/>
      <c r="H47" s="34"/>
      <c r="I47" s="34"/>
      <c r="J47" s="34"/>
      <c r="K47" s="34"/>
      <c r="L47" s="34"/>
      <c r="M47" s="34"/>
      <c r="N47" s="21"/>
      <c r="Q47" s="1"/>
    </row>
    <row r="48" spans="2:18" s="3" customFormat="1" ht="15.75" x14ac:dyDescent="0.25">
      <c r="B48" s="46"/>
      <c r="N48" s="111"/>
      <c r="Q48" s="1"/>
    </row>
    <row r="49" spans="1:17" s="3" customFormat="1" ht="15.75" x14ac:dyDescent="0.25">
      <c r="B49" s="79" t="s">
        <v>27</v>
      </c>
      <c r="C49" s="64"/>
      <c r="D49" s="64"/>
      <c r="E49" s="64"/>
      <c r="F49" s="64"/>
      <c r="G49" s="64"/>
      <c r="H49" s="64"/>
      <c r="I49" s="64"/>
      <c r="J49" s="64"/>
      <c r="K49" s="64"/>
      <c r="L49" s="64"/>
      <c r="M49" s="64"/>
      <c r="N49" s="112"/>
      <c r="Q49" s="1"/>
    </row>
    <row r="50" spans="1:17" s="3" customFormat="1" ht="15.75" x14ac:dyDescent="0.25">
      <c r="A50" s="5"/>
      <c r="B50" s="58">
        <f>C65</f>
        <v>46008</v>
      </c>
      <c r="C50" s="65"/>
      <c r="D50" s="65"/>
      <c r="E50" s="65"/>
      <c r="F50" s="65"/>
      <c r="G50" s="65"/>
      <c r="H50" s="65"/>
      <c r="I50" s="65"/>
      <c r="J50" s="65"/>
      <c r="K50" s="65"/>
      <c r="L50" s="65"/>
      <c r="M50" s="65"/>
      <c r="N50" s="113"/>
      <c r="Q50" s="1"/>
    </row>
    <row r="51" spans="1:17" s="3" customFormat="1" ht="15.75" x14ac:dyDescent="0.25">
      <c r="A51" s="5"/>
      <c r="B51" s="58"/>
      <c r="C51" s="120"/>
      <c r="D51" s="120" t="s">
        <v>28</v>
      </c>
      <c r="F51" s="120"/>
      <c r="G51" s="120"/>
      <c r="H51" s="120"/>
      <c r="J51" s="120"/>
      <c r="K51" s="120"/>
      <c r="L51" s="120"/>
      <c r="M51" s="120"/>
      <c r="N51" s="113"/>
      <c r="Q51" s="1"/>
    </row>
    <row r="52" spans="1:17" ht="15.75" x14ac:dyDescent="0.25">
      <c r="A52" s="6"/>
      <c r="B52" s="79" t="s">
        <v>29</v>
      </c>
      <c r="C52" s="130"/>
      <c r="D52" s="65" t="s">
        <v>66</v>
      </c>
      <c r="F52" s="65"/>
      <c r="G52" s="65"/>
      <c r="H52" s="65"/>
      <c r="J52" s="65"/>
      <c r="K52" s="65"/>
      <c r="L52" s="65"/>
      <c r="M52" s="65"/>
      <c r="N52" s="114"/>
    </row>
    <row r="53" spans="1:17" ht="15.75" x14ac:dyDescent="0.25">
      <c r="A53" s="6"/>
      <c r="B53" s="58">
        <v>46020</v>
      </c>
      <c r="C53" s="130"/>
      <c r="D53" s="65" t="s">
        <v>30</v>
      </c>
      <c r="F53" s="65"/>
      <c r="G53" s="65"/>
      <c r="H53" s="65"/>
      <c r="J53" s="65"/>
      <c r="K53" s="65"/>
      <c r="L53" s="65"/>
      <c r="M53" s="65"/>
      <c r="N53" s="114"/>
    </row>
    <row r="54" spans="1:17" ht="15.75" x14ac:dyDescent="0.25">
      <c r="A54" s="6"/>
      <c r="B54" s="58"/>
      <c r="C54" s="57"/>
      <c r="D54" s="57"/>
      <c r="E54" s="57"/>
      <c r="F54" s="57"/>
      <c r="G54" s="57"/>
      <c r="H54" s="57"/>
      <c r="I54" s="57"/>
      <c r="J54" s="57"/>
      <c r="K54" s="57"/>
      <c r="L54" s="57"/>
      <c r="M54" s="57"/>
      <c r="N54" s="114"/>
    </row>
    <row r="55" spans="1:17" ht="15.75" x14ac:dyDescent="0.25">
      <c r="A55" s="6"/>
      <c r="B55" s="119" t="str">
        <f>"NOTA: La fecha de corte de la información financiera registrada en el RUP debe ser 31/12/2024, de acuerdo a lo establecido en el pliego definitivo de condiciones del proceso "&amp;P23&amp;","</f>
        <v>NOTA: La fecha de corte de la información financiera registrada en el RUP debe ser 31/12/2024, de acuerdo a lo establecido en el pliego definitivo de condiciones del proceso FDLU-CMA-027-2025 (143212),</v>
      </c>
      <c r="C55" s="69"/>
      <c r="D55" s="69"/>
      <c r="E55" s="69"/>
      <c r="F55" s="69"/>
      <c r="G55" s="69"/>
      <c r="H55" s="69"/>
      <c r="I55" s="69"/>
      <c r="J55" s="69"/>
      <c r="K55" s="69"/>
      <c r="L55" s="69"/>
      <c r="M55" s="69"/>
      <c r="N55" s="115"/>
    </row>
    <row r="56" spans="1:17" ht="15.75" x14ac:dyDescent="0.25">
      <c r="A56" s="6"/>
      <c r="B56" s="75" t="str">
        <f ca="1">'Consolidado 1 a 9'!J58</f>
        <v>de las (46) empresas evaluadas, (45) empresas están habilitadas.</v>
      </c>
      <c r="C56" s="57"/>
      <c r="D56" s="57"/>
      <c r="E56" s="57"/>
      <c r="F56" s="57"/>
      <c r="G56" s="57"/>
      <c r="H56" s="57"/>
      <c r="I56" s="57"/>
      <c r="J56" s="57"/>
      <c r="K56" s="57"/>
      <c r="L56" s="57"/>
      <c r="M56" s="57"/>
      <c r="N56" s="114"/>
    </row>
    <row r="57" spans="1:17" ht="16.5" thickBot="1" x14ac:dyDescent="0.3">
      <c r="B57" s="89"/>
      <c r="C57" s="76"/>
      <c r="D57" s="76"/>
      <c r="E57" s="76"/>
      <c r="F57" s="76"/>
      <c r="G57" s="76"/>
      <c r="H57" s="76"/>
      <c r="I57" s="76"/>
      <c r="J57" s="76"/>
      <c r="K57" s="76"/>
      <c r="L57" s="76"/>
      <c r="M57" s="76"/>
      <c r="N57" s="77"/>
    </row>
    <row r="59" spans="1:17" x14ac:dyDescent="0.25">
      <c r="B59" s="7"/>
      <c r="C59" s="7"/>
      <c r="D59" s="7"/>
      <c r="E59" s="7"/>
      <c r="F59" s="7"/>
      <c r="G59" s="7"/>
      <c r="H59" s="7"/>
      <c r="I59" s="7"/>
      <c r="J59" s="7"/>
      <c r="K59" s="7"/>
      <c r="L59" s="7"/>
      <c r="M59" s="7"/>
      <c r="N59" s="7"/>
    </row>
    <row r="63" spans="1:17" x14ac:dyDescent="0.25">
      <c r="B63" s="47" t="s">
        <v>31</v>
      </c>
      <c r="C63" s="48"/>
      <c r="D63" s="48"/>
      <c r="E63" s="48"/>
      <c r="F63" s="48"/>
      <c r="G63" s="48"/>
      <c r="H63" s="48"/>
      <c r="I63" s="48"/>
      <c r="J63" s="48"/>
      <c r="K63" s="48"/>
      <c r="L63" s="48"/>
      <c r="M63" s="48"/>
      <c r="N63" s="49"/>
    </row>
    <row r="64" spans="1:17" x14ac:dyDescent="0.25">
      <c r="B64" s="50"/>
      <c r="N64" s="51"/>
    </row>
    <row r="65" spans="2:14" x14ac:dyDescent="0.25">
      <c r="B65" s="50" t="s">
        <v>32</v>
      </c>
      <c r="C65" s="151">
        <v>46008</v>
      </c>
      <c r="E65" s="68"/>
      <c r="F65" s="68"/>
      <c r="G65" s="68"/>
      <c r="H65" s="68"/>
      <c r="I65" s="68"/>
      <c r="J65" s="68"/>
      <c r="K65" s="68"/>
      <c r="L65" s="68"/>
      <c r="M65" s="68"/>
      <c r="N65" s="88"/>
    </row>
    <row r="66" spans="2:14" x14ac:dyDescent="0.25">
      <c r="B66" s="50"/>
      <c r="N66" s="51"/>
    </row>
    <row r="67" spans="2:14" x14ac:dyDescent="0.25">
      <c r="B67" s="52"/>
      <c r="C67" s="53">
        <f t="shared" ref="C67:N67" si="49">C8</f>
        <v>1</v>
      </c>
      <c r="D67" s="53">
        <f t="shared" si="49"/>
        <v>2</v>
      </c>
      <c r="E67" s="53">
        <f t="shared" si="49"/>
        <v>3</v>
      </c>
      <c r="F67" s="53">
        <f t="shared" si="49"/>
        <v>4</v>
      </c>
      <c r="G67" s="53">
        <f t="shared" si="49"/>
        <v>5</v>
      </c>
      <c r="H67" s="53" t="str">
        <f t="shared" si="49"/>
        <v>A</v>
      </c>
      <c r="I67" s="53" t="str">
        <f t="shared" si="49"/>
        <v>B</v>
      </c>
      <c r="J67" s="53">
        <f t="shared" si="49"/>
        <v>6</v>
      </c>
      <c r="K67" s="53" t="str">
        <f t="shared" ref="K67:M67" si="50">K8</f>
        <v>A</v>
      </c>
      <c r="L67" s="53" t="str">
        <f t="shared" ref="L67" si="51">L8</f>
        <v>B</v>
      </c>
      <c r="M67" s="53">
        <f t="shared" si="50"/>
        <v>7</v>
      </c>
      <c r="N67" s="61">
        <f t="shared" si="49"/>
        <v>8</v>
      </c>
    </row>
    <row r="68" spans="2:14" x14ac:dyDescent="0.25">
      <c r="B68" s="54" t="s">
        <v>33</v>
      </c>
      <c r="C68" s="55">
        <v>45988</v>
      </c>
      <c r="D68" s="55">
        <v>45992</v>
      </c>
      <c r="E68" s="55">
        <v>46000</v>
      </c>
      <c r="F68" s="55">
        <v>45986</v>
      </c>
      <c r="G68" s="55">
        <v>45992</v>
      </c>
      <c r="H68" s="55">
        <v>46002</v>
      </c>
      <c r="I68" s="55">
        <v>45979</v>
      </c>
      <c r="J68" s="55"/>
      <c r="K68" s="55">
        <v>45987</v>
      </c>
      <c r="L68" s="55">
        <v>45981</v>
      </c>
      <c r="M68" s="55"/>
      <c r="N68" s="62">
        <v>45987</v>
      </c>
    </row>
    <row r="69" spans="2:14" x14ac:dyDescent="0.25">
      <c r="B69" s="54" t="s">
        <v>34</v>
      </c>
      <c r="C69" s="55"/>
      <c r="D69" s="55"/>
      <c r="E69" s="55"/>
      <c r="F69" s="55"/>
      <c r="G69" s="55"/>
      <c r="H69" s="55"/>
      <c r="I69" s="55"/>
      <c r="J69" s="55"/>
      <c r="K69" s="55"/>
      <c r="L69" s="55"/>
      <c r="M69" s="55"/>
      <c r="N69" s="62"/>
    </row>
    <row r="70" spans="2:14" x14ac:dyDescent="0.25">
      <c r="B70" s="50"/>
      <c r="N70" s="51"/>
    </row>
    <row r="71" spans="2:14" x14ac:dyDescent="0.25">
      <c r="B71" s="50" t="s">
        <v>35</v>
      </c>
      <c r="C71" s="151">
        <v>46006</v>
      </c>
      <c r="D71" s="68">
        <f t="shared" ref="D71:I71" si="52">C71</f>
        <v>46006</v>
      </c>
      <c r="E71" s="68">
        <f t="shared" si="52"/>
        <v>46006</v>
      </c>
      <c r="F71" s="68">
        <f t="shared" si="52"/>
        <v>46006</v>
      </c>
      <c r="G71" s="68">
        <f t="shared" si="52"/>
        <v>46006</v>
      </c>
      <c r="H71" s="68">
        <f t="shared" si="52"/>
        <v>46006</v>
      </c>
      <c r="I71" s="68">
        <f t="shared" si="52"/>
        <v>46006</v>
      </c>
      <c r="J71" s="68"/>
      <c r="K71" s="68">
        <f>I71</f>
        <v>46006</v>
      </c>
      <c r="L71" s="68">
        <f>K71</f>
        <v>46006</v>
      </c>
      <c r="M71" s="68"/>
      <c r="N71" s="88">
        <f>L71</f>
        <v>46006</v>
      </c>
    </row>
    <row r="72" spans="2:14" x14ac:dyDescent="0.25">
      <c r="B72" s="54" t="s">
        <v>36</v>
      </c>
      <c r="C72" s="70">
        <f t="shared" ref="C72:H72" si="53">C71-C68</f>
        <v>18</v>
      </c>
      <c r="D72" s="70">
        <f t="shared" si="53"/>
        <v>14</v>
      </c>
      <c r="E72" s="70">
        <f t="shared" si="53"/>
        <v>6</v>
      </c>
      <c r="F72" s="70">
        <f t="shared" si="53"/>
        <v>20</v>
      </c>
      <c r="G72" s="70">
        <f t="shared" si="53"/>
        <v>14</v>
      </c>
      <c r="H72" s="70">
        <f t="shared" si="53"/>
        <v>4</v>
      </c>
      <c r="I72" s="70">
        <f t="shared" ref="I72" si="54">I71-I68</f>
        <v>27</v>
      </c>
      <c r="J72" s="70"/>
      <c r="K72" s="70">
        <f t="shared" ref="K72" si="55">K71-K68</f>
        <v>19</v>
      </c>
      <c r="L72" s="70">
        <f t="shared" ref="L72:N72" si="56">L71-L68</f>
        <v>25</v>
      </c>
      <c r="M72" s="70"/>
      <c r="N72" s="116">
        <f t="shared" si="56"/>
        <v>19</v>
      </c>
    </row>
    <row r="73" spans="2:14" x14ac:dyDescent="0.25">
      <c r="B73" s="78">
        <v>30</v>
      </c>
      <c r="C73" s="56"/>
      <c r="D73" s="56"/>
      <c r="E73" s="56"/>
      <c r="F73" s="56"/>
      <c r="G73" s="56"/>
      <c r="H73" s="56"/>
      <c r="I73" s="56"/>
      <c r="J73" s="56"/>
      <c r="K73" s="56"/>
      <c r="L73" s="56"/>
      <c r="M73" s="56"/>
      <c r="N73" s="67"/>
    </row>
    <row r="74" spans="2:14" x14ac:dyDescent="0.25">
      <c r="B74" s="153" t="s">
        <v>37</v>
      </c>
      <c r="C74" s="127" t="s">
        <v>77</v>
      </c>
      <c r="D74" s="127" t="s">
        <v>77</v>
      </c>
      <c r="E74" s="127" t="s">
        <v>77</v>
      </c>
      <c r="F74" s="127" t="s">
        <v>77</v>
      </c>
      <c r="G74" s="127" t="s">
        <v>77</v>
      </c>
      <c r="H74" s="127" t="s">
        <v>77</v>
      </c>
      <c r="I74" s="127" t="s">
        <v>77</v>
      </c>
      <c r="J74" s="127" t="s">
        <v>77</v>
      </c>
      <c r="K74" s="127" t="s">
        <v>77</v>
      </c>
      <c r="L74" s="127" t="s">
        <v>77</v>
      </c>
      <c r="M74" s="127" t="s">
        <v>77</v>
      </c>
      <c r="N74" s="128" t="s">
        <v>77</v>
      </c>
    </row>
    <row r="75" spans="2:14" ht="15.75" customHeight="1" x14ac:dyDescent="0.25">
      <c r="B75" s="152"/>
      <c r="C75" s="100"/>
      <c r="D75" s="100"/>
      <c r="E75" s="100"/>
      <c r="F75" s="100"/>
      <c r="G75" s="100"/>
      <c r="H75" s="100"/>
      <c r="I75" s="100"/>
      <c r="J75" s="100"/>
      <c r="K75" s="100"/>
      <c r="L75" s="100"/>
      <c r="M75" s="100"/>
      <c r="N75" s="97"/>
    </row>
    <row r="76" spans="2:14" x14ac:dyDescent="0.25">
      <c r="B76" s="173"/>
      <c r="C76" s="173"/>
      <c r="D76" s="173"/>
      <c r="E76" s="173"/>
      <c r="F76" s="173"/>
      <c r="G76" s="173"/>
      <c r="H76" s="173"/>
      <c r="I76" s="173"/>
      <c r="J76" s="173"/>
      <c r="K76" s="173"/>
      <c r="L76" s="173"/>
      <c r="M76" s="173"/>
      <c r="N76" s="173"/>
    </row>
    <row r="77" spans="2:14" x14ac:dyDescent="0.25">
      <c r="B77" s="173"/>
      <c r="C77" s="173"/>
      <c r="D77" s="173"/>
      <c r="E77" s="173"/>
      <c r="F77" s="173"/>
      <c r="G77" s="173"/>
      <c r="H77" s="173"/>
      <c r="I77" s="173"/>
      <c r="J77" s="173"/>
      <c r="K77" s="173"/>
      <c r="L77" s="173"/>
      <c r="M77" s="173"/>
      <c r="N77" s="174"/>
    </row>
    <row r="78" spans="2:14" x14ac:dyDescent="0.25">
      <c r="B78" s="173"/>
      <c r="C78" s="173"/>
      <c r="D78" s="173"/>
      <c r="E78" s="173"/>
      <c r="F78" s="173"/>
      <c r="G78" s="173"/>
      <c r="H78" s="173"/>
      <c r="I78" s="173"/>
      <c r="J78" s="173"/>
      <c r="K78" s="173"/>
      <c r="L78" s="173"/>
      <c r="M78" s="173"/>
      <c r="N78" s="173"/>
    </row>
    <row r="79" spans="2:14" x14ac:dyDescent="0.25">
      <c r="B79" s="173"/>
      <c r="C79" s="173"/>
      <c r="D79" s="173"/>
      <c r="E79" s="173"/>
      <c r="F79" s="173"/>
      <c r="G79" s="173"/>
      <c r="H79" s="173"/>
      <c r="I79" s="173"/>
      <c r="J79" s="173"/>
      <c r="K79" s="173"/>
      <c r="L79" s="173"/>
      <c r="M79" s="173"/>
      <c r="N79" s="173"/>
    </row>
    <row r="80" spans="2:14" x14ac:dyDescent="0.25">
      <c r="B80" s="173"/>
      <c r="C80" s="173"/>
      <c r="D80" s="173"/>
      <c r="E80" s="173"/>
      <c r="F80" s="173"/>
      <c r="G80" s="173"/>
      <c r="H80" s="173"/>
      <c r="I80" s="173"/>
      <c r="J80" s="173"/>
      <c r="K80" s="173"/>
      <c r="L80" s="173"/>
      <c r="M80" s="173"/>
      <c r="N80" s="173"/>
    </row>
    <row r="81" spans="2:14" x14ac:dyDescent="0.25">
      <c r="B81" s="173"/>
      <c r="C81" s="173"/>
      <c r="D81" s="173"/>
      <c r="E81" s="173"/>
      <c r="F81" s="173"/>
      <c r="G81" s="173"/>
      <c r="H81" s="173"/>
      <c r="I81" s="173"/>
      <c r="J81" s="173"/>
      <c r="K81" s="173"/>
      <c r="L81" s="173"/>
      <c r="M81" s="173"/>
      <c r="N81" s="173"/>
    </row>
    <row r="82" spans="2:14" x14ac:dyDescent="0.25">
      <c r="B82" s="173"/>
      <c r="C82" s="173"/>
      <c r="D82" s="173"/>
      <c r="E82" s="173"/>
      <c r="F82" s="173"/>
      <c r="G82" s="173"/>
      <c r="H82" s="173"/>
      <c r="I82" s="173"/>
      <c r="J82" s="173"/>
      <c r="K82" s="173"/>
      <c r="L82" s="173"/>
      <c r="M82" s="173"/>
      <c r="N82" s="173"/>
    </row>
    <row r="83" spans="2:14" x14ac:dyDescent="0.25">
      <c r="B83" s="173"/>
      <c r="C83" s="175"/>
      <c r="D83" s="175"/>
      <c r="E83" s="175"/>
      <c r="F83" s="175"/>
      <c r="G83" s="175"/>
      <c r="H83" s="175"/>
      <c r="I83" s="175"/>
      <c r="J83" s="175"/>
      <c r="K83" s="175"/>
      <c r="L83" s="175"/>
      <c r="M83" s="175"/>
      <c r="N83" s="173"/>
    </row>
    <row r="84" spans="2:14" x14ac:dyDescent="0.25">
      <c r="B84" s="173"/>
      <c r="C84" s="175"/>
      <c r="D84" s="175"/>
      <c r="E84" s="175"/>
      <c r="F84" s="175"/>
      <c r="G84" s="175"/>
      <c r="H84" s="175"/>
      <c r="I84" s="175"/>
      <c r="J84" s="175"/>
      <c r="K84" s="175"/>
      <c r="L84" s="175"/>
      <c r="M84" s="175"/>
      <c r="N84" s="173"/>
    </row>
    <row r="85" spans="2:14" x14ac:dyDescent="0.25">
      <c r="B85" s="173"/>
      <c r="C85" s="175"/>
      <c r="D85" s="175"/>
      <c r="E85" s="175"/>
      <c r="F85" s="175"/>
      <c r="G85" s="175"/>
      <c r="H85" s="175"/>
      <c r="I85" s="175"/>
      <c r="J85" s="175"/>
      <c r="K85" s="175"/>
      <c r="L85" s="175"/>
      <c r="M85" s="175"/>
      <c r="N85" s="173"/>
    </row>
    <row r="86" spans="2:14" x14ac:dyDescent="0.25">
      <c r="B86" s="173"/>
      <c r="C86" s="175"/>
      <c r="D86" s="175"/>
      <c r="E86" s="175"/>
      <c r="F86" s="175"/>
      <c r="G86" s="175"/>
      <c r="H86" s="175"/>
      <c r="I86" s="175"/>
      <c r="J86" s="175"/>
      <c r="K86" s="175"/>
      <c r="L86" s="175"/>
      <c r="M86" s="175"/>
      <c r="N86" s="173"/>
    </row>
    <row r="87" spans="2:14" x14ac:dyDescent="0.25">
      <c r="B87" s="173"/>
      <c r="C87" s="175"/>
      <c r="D87" s="175"/>
      <c r="E87" s="175"/>
      <c r="F87" s="175"/>
      <c r="G87" s="175"/>
      <c r="H87" s="175"/>
      <c r="I87" s="175"/>
      <c r="J87" s="175"/>
      <c r="K87" s="175"/>
      <c r="L87" s="175"/>
      <c r="M87" s="175"/>
      <c r="N87" s="173"/>
    </row>
    <row r="88" spans="2:14" x14ac:dyDescent="0.25">
      <c r="C88" s="80"/>
      <c r="D88" s="80"/>
      <c r="E88" s="80"/>
      <c r="F88" s="80"/>
      <c r="G88" s="80"/>
      <c r="H88" s="80"/>
      <c r="I88" s="80"/>
      <c r="J88" s="80"/>
      <c r="K88" s="80"/>
      <c r="L88" s="80"/>
      <c r="M88" s="80"/>
    </row>
    <row r="89" spans="2:14" x14ac:dyDescent="0.25">
      <c r="C89" s="80"/>
      <c r="D89" s="80"/>
      <c r="E89" s="80"/>
      <c r="F89" s="80"/>
      <c r="G89" s="80"/>
      <c r="H89" s="80"/>
      <c r="I89" s="80"/>
      <c r="J89" s="80"/>
      <c r="K89" s="80"/>
      <c r="L89" s="80"/>
      <c r="M89" s="80"/>
    </row>
    <row r="90" spans="2:14" x14ac:dyDescent="0.25">
      <c r="C90" s="80"/>
      <c r="D90" s="80"/>
      <c r="E90" s="80"/>
      <c r="F90" s="80"/>
      <c r="G90" s="80"/>
      <c r="H90" s="80"/>
      <c r="I90" s="80"/>
      <c r="J90" s="80"/>
      <c r="K90" s="80"/>
      <c r="L90" s="80"/>
      <c r="M90" s="80"/>
    </row>
    <row r="91" spans="2:14" x14ac:dyDescent="0.25">
      <c r="C91" s="80"/>
      <c r="D91" s="80"/>
      <c r="E91" s="80"/>
      <c r="F91" s="80"/>
      <c r="G91" s="80"/>
      <c r="H91" s="80"/>
      <c r="I91" s="80"/>
      <c r="J91" s="80"/>
      <c r="K91" s="80"/>
      <c r="L91" s="80"/>
      <c r="M91" s="80"/>
    </row>
    <row r="92" spans="2:14" x14ac:dyDescent="0.25">
      <c r="C92" s="80"/>
      <c r="D92" s="80"/>
      <c r="E92" s="80"/>
      <c r="F92" s="80"/>
      <c r="G92" s="80"/>
      <c r="H92" s="80"/>
      <c r="I92" s="80"/>
      <c r="J92" s="80"/>
      <c r="K92" s="80"/>
      <c r="L92" s="80"/>
      <c r="M92" s="80"/>
    </row>
    <row r="93" spans="2:14" x14ac:dyDescent="0.25">
      <c r="C93" s="80"/>
      <c r="D93" s="80"/>
      <c r="E93" s="80"/>
      <c r="F93" s="80"/>
      <c r="G93" s="80"/>
      <c r="H93" s="80"/>
      <c r="I93" s="80"/>
      <c r="J93" s="80"/>
      <c r="K93" s="80"/>
      <c r="L93" s="80"/>
      <c r="M93" s="80"/>
    </row>
    <row r="94" spans="2:14" x14ac:dyDescent="0.25">
      <c r="C94" s="80"/>
      <c r="D94" s="80"/>
      <c r="E94" s="80"/>
      <c r="F94" s="80"/>
      <c r="G94" s="80"/>
      <c r="H94" s="80"/>
      <c r="I94" s="80"/>
      <c r="J94" s="80"/>
      <c r="K94" s="80"/>
      <c r="L94" s="80"/>
      <c r="M94" s="80"/>
    </row>
    <row r="95" spans="2:14" x14ac:dyDescent="0.25">
      <c r="C95" s="80"/>
      <c r="D95" s="80"/>
      <c r="E95" s="80"/>
      <c r="F95" s="80"/>
      <c r="G95" s="80"/>
      <c r="H95" s="80"/>
      <c r="I95" s="80"/>
      <c r="J95" s="80"/>
      <c r="K95" s="80"/>
      <c r="L95" s="80"/>
      <c r="M95" s="80"/>
    </row>
    <row r="96" spans="2:14" x14ac:dyDescent="0.25">
      <c r="C96" s="80"/>
      <c r="D96" s="80"/>
      <c r="E96" s="80"/>
      <c r="F96" s="80"/>
      <c r="G96" s="80"/>
      <c r="H96" s="80"/>
      <c r="I96" s="80"/>
      <c r="J96" s="80"/>
      <c r="K96" s="80"/>
      <c r="L96" s="80"/>
      <c r="M96" s="80"/>
    </row>
    <row r="97" spans="3:13" x14ac:dyDescent="0.25">
      <c r="C97" s="80"/>
      <c r="D97" s="80"/>
      <c r="E97" s="80"/>
      <c r="F97" s="80"/>
      <c r="G97" s="80"/>
      <c r="H97" s="80"/>
      <c r="I97" s="80"/>
      <c r="J97" s="80"/>
      <c r="K97" s="80"/>
      <c r="L97" s="80"/>
      <c r="M97" s="80"/>
    </row>
    <row r="98" spans="3:13" x14ac:dyDescent="0.25">
      <c r="C98" s="80"/>
      <c r="D98" s="80"/>
      <c r="E98" s="80"/>
      <c r="F98" s="80"/>
      <c r="G98" s="80"/>
      <c r="H98" s="80"/>
      <c r="I98" s="80"/>
      <c r="J98" s="80"/>
      <c r="K98" s="80"/>
      <c r="L98" s="80"/>
      <c r="M98" s="80"/>
    </row>
    <row r="99" spans="3:13" x14ac:dyDescent="0.25">
      <c r="C99" s="80"/>
      <c r="D99" s="80"/>
      <c r="E99" s="80"/>
      <c r="F99" s="80"/>
      <c r="G99" s="80"/>
      <c r="H99" s="80"/>
      <c r="I99" s="80"/>
      <c r="J99" s="80"/>
      <c r="K99" s="80"/>
      <c r="L99" s="80"/>
      <c r="M99" s="80"/>
    </row>
    <row r="100" spans="3:13" x14ac:dyDescent="0.25">
      <c r="C100" s="80"/>
      <c r="D100" s="80"/>
      <c r="E100" s="80"/>
      <c r="F100" s="80"/>
      <c r="G100" s="80"/>
      <c r="H100" s="80"/>
      <c r="I100" s="80"/>
      <c r="J100" s="80"/>
      <c r="K100" s="80"/>
      <c r="L100" s="80"/>
      <c r="M100" s="80"/>
    </row>
    <row r="101" spans="3:13" x14ac:dyDescent="0.25">
      <c r="C101" s="80"/>
      <c r="D101" s="80"/>
      <c r="E101" s="80"/>
      <c r="F101" s="80"/>
      <c r="G101" s="80"/>
      <c r="H101" s="80"/>
      <c r="I101" s="80"/>
      <c r="J101" s="80"/>
      <c r="K101" s="80"/>
      <c r="L101" s="80"/>
      <c r="M101" s="80"/>
    </row>
    <row r="102" spans="3:13" x14ac:dyDescent="0.25">
      <c r="C102" s="80"/>
      <c r="D102" s="80"/>
      <c r="E102" s="80"/>
      <c r="F102" s="80"/>
      <c r="G102" s="80"/>
      <c r="H102" s="80"/>
      <c r="I102" s="80"/>
      <c r="J102" s="80"/>
      <c r="K102" s="80"/>
      <c r="L102" s="80"/>
      <c r="M102" s="80"/>
    </row>
    <row r="103" spans="3:13" x14ac:dyDescent="0.25">
      <c r="C103" s="80"/>
      <c r="D103" s="80"/>
      <c r="E103" s="80"/>
      <c r="F103" s="80"/>
      <c r="G103" s="80"/>
      <c r="H103" s="80"/>
      <c r="I103" s="80"/>
      <c r="J103" s="80"/>
      <c r="K103" s="80"/>
      <c r="L103" s="80"/>
      <c r="M103" s="80"/>
    </row>
    <row r="104" spans="3:13" x14ac:dyDescent="0.25">
      <c r="C104" s="80"/>
      <c r="D104" s="80"/>
      <c r="E104" s="80"/>
      <c r="F104" s="80"/>
      <c r="G104" s="80"/>
      <c r="H104" s="80"/>
      <c r="I104" s="80"/>
      <c r="J104" s="80"/>
      <c r="K104" s="80"/>
      <c r="L104" s="80"/>
      <c r="M104" s="80"/>
    </row>
    <row r="105" spans="3:13" x14ac:dyDescent="0.25">
      <c r="C105" s="80"/>
      <c r="D105" s="80"/>
      <c r="E105" s="80"/>
      <c r="F105" s="80"/>
      <c r="G105" s="80"/>
      <c r="H105" s="80"/>
      <c r="I105" s="80"/>
      <c r="J105" s="80"/>
      <c r="K105" s="80"/>
      <c r="L105" s="80"/>
      <c r="M105" s="80"/>
    </row>
    <row r="106" spans="3:13" x14ac:dyDescent="0.25">
      <c r="C106" s="80"/>
      <c r="D106" s="80"/>
      <c r="E106" s="80"/>
      <c r="F106" s="80"/>
      <c r="G106" s="80"/>
      <c r="H106" s="80"/>
      <c r="I106" s="80"/>
      <c r="J106" s="80"/>
      <c r="K106" s="80"/>
      <c r="L106" s="80"/>
      <c r="M106" s="80"/>
    </row>
    <row r="107" spans="3:13" x14ac:dyDescent="0.25">
      <c r="C107" s="80"/>
      <c r="D107" s="80"/>
      <c r="E107" s="80"/>
      <c r="F107" s="80"/>
      <c r="G107" s="80"/>
      <c r="H107" s="80"/>
      <c r="I107" s="80"/>
      <c r="J107" s="80"/>
      <c r="K107" s="80"/>
      <c r="L107" s="80"/>
      <c r="M107" s="80"/>
    </row>
    <row r="108" spans="3:13" x14ac:dyDescent="0.25">
      <c r="C108" s="80"/>
      <c r="D108" s="80"/>
      <c r="E108" s="80"/>
      <c r="F108" s="80"/>
      <c r="G108" s="80"/>
      <c r="H108" s="80"/>
      <c r="I108" s="80"/>
      <c r="J108" s="80"/>
      <c r="K108" s="80"/>
      <c r="L108" s="80"/>
      <c r="M108" s="80"/>
    </row>
    <row r="109" spans="3:13" x14ac:dyDescent="0.25">
      <c r="C109" s="80"/>
      <c r="D109" s="80"/>
      <c r="E109" s="80"/>
      <c r="F109" s="80"/>
      <c r="G109" s="80"/>
      <c r="H109" s="80"/>
      <c r="I109" s="80"/>
      <c r="J109" s="80"/>
      <c r="K109" s="80"/>
      <c r="L109" s="80"/>
      <c r="M109" s="80"/>
    </row>
    <row r="110" spans="3:13" x14ac:dyDescent="0.25">
      <c r="C110" s="80"/>
      <c r="D110" s="80"/>
      <c r="E110" s="80"/>
      <c r="F110" s="80"/>
      <c r="G110" s="80"/>
      <c r="H110" s="80"/>
      <c r="I110" s="80"/>
      <c r="J110" s="80"/>
      <c r="K110" s="80"/>
      <c r="L110" s="80"/>
      <c r="M110" s="80"/>
    </row>
    <row r="111" spans="3:13" x14ac:dyDescent="0.25">
      <c r="C111" s="80"/>
      <c r="D111" s="80"/>
      <c r="E111" s="80"/>
      <c r="F111" s="80"/>
      <c r="G111" s="80"/>
      <c r="H111" s="80"/>
      <c r="I111" s="80"/>
      <c r="J111" s="80"/>
      <c r="K111" s="80"/>
      <c r="L111" s="80"/>
      <c r="M111" s="80"/>
    </row>
  </sheetData>
  <mergeCells count="3">
    <mergeCell ref="B1:B5"/>
    <mergeCell ref="C1:J5"/>
    <mergeCell ref="N1:N5"/>
  </mergeCells>
  <conditionalFormatting sqref="B73">
    <cfRule type="cellIs" dxfId="63" priority="11" operator="greaterThan">
      <formula>60</formula>
    </cfRule>
  </conditionalFormatting>
  <conditionalFormatting sqref="C41:G41 J41 M41:N41">
    <cfRule type="cellIs" dxfId="62" priority="4" operator="equal">
      <formula>"DEBE SUBSANAR"</formula>
    </cfRule>
  </conditionalFormatting>
  <conditionalFormatting sqref="C41:G41">
    <cfRule type="cellIs" dxfId="61" priority="8" operator="equal">
      <formula>"NO HABILITADO"</formula>
    </cfRule>
  </conditionalFormatting>
  <conditionalFormatting sqref="C10:N10">
    <cfRule type="cellIs" dxfId="60" priority="7" operator="equal">
      <formula>"NO CUMPLE"</formula>
    </cfRule>
  </conditionalFormatting>
  <conditionalFormatting sqref="C69:N69">
    <cfRule type="expression" dxfId="59" priority="10">
      <formula>YEAR(C69)=2022</formula>
    </cfRule>
  </conditionalFormatting>
  <conditionalFormatting sqref="C72:N72">
    <cfRule type="cellIs" dxfId="58" priority="9" operator="greaterThan">
      <formula>$B$73</formula>
    </cfRule>
  </conditionalFormatting>
  <conditionalFormatting sqref="I41:J41">
    <cfRule type="cellIs" dxfId="57" priority="3" operator="equal">
      <formula>"NO HABILITADO"</formula>
    </cfRule>
  </conditionalFormatting>
  <conditionalFormatting sqref="L41:N41">
    <cfRule type="cellIs" dxfId="56" priority="1" operator="equal">
      <formula>"NO HABILITADO"</formula>
    </cfRule>
  </conditionalFormatting>
  <dataValidations count="1">
    <dataValidation type="list" allowBlank="1" showInputMessage="1" showErrorMessage="1" sqref="C74:N74" xr:uid="{CFDDD8D1-6701-4E18-B863-BAA0078F2BBF}">
      <formula1>$P$21:$Q$21</formula1>
    </dataValidation>
  </dataValidations>
  <printOptions horizontalCentered="1" verticalCentered="1"/>
  <pageMargins left="0.19685039370078741" right="0.19685039370078741" top="0.15748031496062992" bottom="0.15748031496062992" header="0.31496062992125984" footer="0.31496062992125984"/>
  <pageSetup paperSize="256" scale="46" orientation="landscape" r:id="rId1"/>
  <ignoredErrors>
    <ignoredError sqref="J10 M10:M18" formula="1"/>
    <ignoredError sqref="J11:J19" formula="1" formulaRange="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37C14-CAB6-473F-8B09-FAD539D78D66}">
  <sheetPr>
    <pageSetUpPr fitToPage="1"/>
  </sheetPr>
  <dimension ref="A1:U111"/>
  <sheetViews>
    <sheetView showGridLines="0" zoomScale="90" zoomScaleNormal="90" zoomScalePageLayoutView="90" workbookViewId="0"/>
  </sheetViews>
  <sheetFormatPr baseColWidth="10" defaultColWidth="18.7109375" defaultRowHeight="15" x14ac:dyDescent="0.25"/>
  <cols>
    <col min="1" max="1" width="1.42578125" style="1" customWidth="1"/>
    <col min="2" max="2" width="57.28515625" style="1" customWidth="1"/>
    <col min="3" max="17" width="29.7109375" style="1" customWidth="1"/>
    <col min="18" max="18" width="21.5703125" style="1" bestFit="1" customWidth="1"/>
    <col min="19" max="19" width="18.7109375" style="1"/>
    <col min="20" max="20" width="18.7109375" style="1" customWidth="1"/>
    <col min="21" max="16384" width="18.7109375" style="1"/>
  </cols>
  <sheetData>
    <row r="1" spans="1:20" ht="18" customHeight="1" x14ac:dyDescent="0.25">
      <c r="B1" s="222"/>
      <c r="C1" s="224" t="s">
        <v>60</v>
      </c>
      <c r="D1" s="225"/>
      <c r="E1" s="225"/>
      <c r="F1" s="225"/>
      <c r="G1" s="225"/>
      <c r="H1" s="225"/>
      <c r="I1" s="225"/>
      <c r="J1" s="225"/>
      <c r="K1" s="225"/>
      <c r="L1" s="225"/>
      <c r="M1" s="225"/>
      <c r="N1" s="182"/>
      <c r="O1" s="182"/>
      <c r="P1" s="182"/>
      <c r="Q1" s="230" t="s">
        <v>0</v>
      </c>
    </row>
    <row r="2" spans="1:20" ht="18" customHeight="1" x14ac:dyDescent="0.25">
      <c r="B2" s="223"/>
      <c r="C2" s="226"/>
      <c r="D2" s="227"/>
      <c r="E2" s="227"/>
      <c r="F2" s="227"/>
      <c r="G2" s="227"/>
      <c r="H2" s="227"/>
      <c r="I2" s="227"/>
      <c r="J2" s="227"/>
      <c r="K2" s="227"/>
      <c r="L2" s="227"/>
      <c r="M2" s="227"/>
      <c r="N2" s="183"/>
      <c r="O2" s="183"/>
      <c r="P2" s="183"/>
      <c r="Q2" s="231"/>
    </row>
    <row r="3" spans="1:20" ht="18" customHeight="1" x14ac:dyDescent="0.25">
      <c r="B3" s="223"/>
      <c r="C3" s="226"/>
      <c r="D3" s="227"/>
      <c r="E3" s="227"/>
      <c r="F3" s="227"/>
      <c r="G3" s="227"/>
      <c r="H3" s="227"/>
      <c r="I3" s="227"/>
      <c r="J3" s="227"/>
      <c r="K3" s="227"/>
      <c r="L3" s="227"/>
      <c r="M3" s="227"/>
      <c r="N3" s="183"/>
      <c r="O3" s="183"/>
      <c r="P3" s="183"/>
      <c r="Q3" s="231"/>
    </row>
    <row r="4" spans="1:20" ht="18" customHeight="1" x14ac:dyDescent="0.25">
      <c r="B4" s="223"/>
      <c r="C4" s="226"/>
      <c r="D4" s="227"/>
      <c r="E4" s="227"/>
      <c r="F4" s="227"/>
      <c r="G4" s="227"/>
      <c r="H4" s="227"/>
      <c r="I4" s="227"/>
      <c r="J4" s="227"/>
      <c r="K4" s="227"/>
      <c r="L4" s="227"/>
      <c r="M4" s="227"/>
      <c r="N4" s="183"/>
      <c r="O4" s="183"/>
      <c r="P4" s="183"/>
      <c r="Q4" s="231"/>
    </row>
    <row r="5" spans="1:20" ht="18" customHeight="1" x14ac:dyDescent="0.25">
      <c r="B5" s="223"/>
      <c r="C5" s="228"/>
      <c r="D5" s="229"/>
      <c r="E5" s="229"/>
      <c r="F5" s="229"/>
      <c r="G5" s="229"/>
      <c r="H5" s="229"/>
      <c r="I5" s="229"/>
      <c r="J5" s="229"/>
      <c r="K5" s="229"/>
      <c r="L5" s="229"/>
      <c r="M5" s="229"/>
      <c r="N5" s="184"/>
      <c r="O5" s="184"/>
      <c r="P5" s="184"/>
      <c r="Q5" s="232"/>
    </row>
    <row r="6" spans="1:20" ht="61.5" customHeight="1" x14ac:dyDescent="0.25">
      <c r="B6" s="25" t="s">
        <v>70</v>
      </c>
      <c r="C6" s="26"/>
      <c r="D6" s="26"/>
      <c r="E6" s="26"/>
      <c r="F6" s="26"/>
      <c r="G6" s="26"/>
      <c r="H6" s="26"/>
      <c r="I6" s="26"/>
      <c r="J6" s="26"/>
      <c r="K6" s="26"/>
      <c r="L6" s="26"/>
      <c r="M6" s="26"/>
      <c r="N6" s="26"/>
      <c r="O6" s="26"/>
      <c r="P6" s="26"/>
      <c r="Q6" s="27"/>
    </row>
    <row r="7" spans="1:20" ht="78.75" x14ac:dyDescent="0.25">
      <c r="B7" s="155" t="s">
        <v>1</v>
      </c>
      <c r="C7" s="63" t="s">
        <v>100</v>
      </c>
      <c r="D7" s="63" t="s">
        <v>101</v>
      </c>
      <c r="E7" s="63" t="s">
        <v>102</v>
      </c>
      <c r="F7" s="63" t="s">
        <v>104</v>
      </c>
      <c r="G7" s="63" t="s">
        <v>105</v>
      </c>
      <c r="H7" s="63" t="s">
        <v>106</v>
      </c>
      <c r="I7" s="63" t="s">
        <v>107</v>
      </c>
      <c r="J7" s="63" t="s">
        <v>108</v>
      </c>
      <c r="K7" s="63" t="s">
        <v>109</v>
      </c>
      <c r="L7" s="63" t="s">
        <v>110</v>
      </c>
      <c r="M7" s="63" t="s">
        <v>111</v>
      </c>
      <c r="N7" s="208" t="s">
        <v>112</v>
      </c>
      <c r="O7" s="63" t="s">
        <v>113</v>
      </c>
      <c r="P7" s="63" t="s">
        <v>114</v>
      </c>
      <c r="Q7" s="101" t="s">
        <v>115</v>
      </c>
      <c r="S7" s="43" t="s">
        <v>2</v>
      </c>
    </row>
    <row r="8" spans="1:20" s="3" customFormat="1" ht="15.75" x14ac:dyDescent="0.25">
      <c r="A8" s="2"/>
      <c r="B8" s="154" t="s">
        <v>3</v>
      </c>
      <c r="C8" s="202" t="s">
        <v>68</v>
      </c>
      <c r="D8" s="202" t="s">
        <v>69</v>
      </c>
      <c r="E8" s="8">
        <f>'1. Oferentes 1 a 8'!N8+1</f>
        <v>9</v>
      </c>
      <c r="F8" s="202" t="s">
        <v>68</v>
      </c>
      <c r="G8" s="202" t="s">
        <v>69</v>
      </c>
      <c r="H8" s="202" t="s">
        <v>103</v>
      </c>
      <c r="I8" s="8">
        <f>E8+1</f>
        <v>10</v>
      </c>
      <c r="J8" s="202" t="s">
        <v>68</v>
      </c>
      <c r="K8" s="202" t="s">
        <v>69</v>
      </c>
      <c r="L8" s="202" t="s">
        <v>103</v>
      </c>
      <c r="M8" s="8">
        <f>I8+1</f>
        <v>11</v>
      </c>
      <c r="N8" s="209">
        <f t="shared" ref="N8" si="0">M8+1</f>
        <v>12</v>
      </c>
      <c r="O8" s="215" t="s">
        <v>68</v>
      </c>
      <c r="P8" s="202" t="s">
        <v>69</v>
      </c>
      <c r="Q8" s="150">
        <f>N8+1</f>
        <v>13</v>
      </c>
      <c r="T8" s="1"/>
    </row>
    <row r="9" spans="1:20" s="3" customFormat="1" ht="31.5" x14ac:dyDescent="0.25">
      <c r="B9" s="35" t="s">
        <v>4</v>
      </c>
      <c r="C9" s="39" t="s">
        <v>5</v>
      </c>
      <c r="D9" s="39" t="s">
        <v>5</v>
      </c>
      <c r="E9" s="39" t="s">
        <v>5</v>
      </c>
      <c r="F9" s="39" t="s">
        <v>5</v>
      </c>
      <c r="G9" s="39" t="s">
        <v>5</v>
      </c>
      <c r="H9" s="39" t="s">
        <v>5</v>
      </c>
      <c r="I9" s="39" t="s">
        <v>5</v>
      </c>
      <c r="J9" s="39" t="s">
        <v>5</v>
      </c>
      <c r="K9" s="39" t="s">
        <v>5</v>
      </c>
      <c r="L9" s="39" t="s">
        <v>5</v>
      </c>
      <c r="M9" s="39" t="s">
        <v>5</v>
      </c>
      <c r="N9" s="210" t="s">
        <v>5</v>
      </c>
      <c r="O9" s="39" t="s">
        <v>5</v>
      </c>
      <c r="P9" s="39" t="s">
        <v>5</v>
      </c>
      <c r="Q9" s="102" t="s">
        <v>5</v>
      </c>
      <c r="T9" s="1"/>
    </row>
    <row r="10" spans="1:20" s="3" customFormat="1" ht="20.100000000000001" customHeight="1" x14ac:dyDescent="0.25">
      <c r="B10" s="35" t="s">
        <v>63</v>
      </c>
      <c r="C10" s="24" t="str">
        <f t="shared" ref="C10:D10" si="1">IF(C72&lt;=$B$73,"CUMPLE","NO CUMPLE")</f>
        <v>CUMPLE</v>
      </c>
      <c r="D10" s="24" t="str">
        <f t="shared" si="1"/>
        <v>CUMPLE</v>
      </c>
      <c r="E10" s="24" t="str">
        <f>IF(COUNTIF(C10:D10,"NO CUMPLE")&gt;=1,"NO CUMPLE","CUMPLE")</f>
        <v>CUMPLE</v>
      </c>
      <c r="F10" s="24" t="str">
        <f t="shared" ref="F10:H10" si="2">IF(F72&lt;=$B$73,"CUMPLE","NO CUMPLE")</f>
        <v>CUMPLE</v>
      </c>
      <c r="G10" s="24" t="str">
        <f t="shared" ref="G10" si="3">IF(G72&lt;=$B$73,"CUMPLE","NO CUMPLE")</f>
        <v>CUMPLE</v>
      </c>
      <c r="H10" s="24" t="str">
        <f t="shared" si="2"/>
        <v>CUMPLE</v>
      </c>
      <c r="I10" s="24" t="str">
        <f>IF(COUNTIF(F10:H10,"NO CUMPLE")&gt;=1,"NO CUMPLE","CUMPLE")</f>
        <v>CUMPLE</v>
      </c>
      <c r="J10" s="24" t="str">
        <f t="shared" ref="J10:L10" si="4">IF(J72&lt;=$B$73,"CUMPLE","NO CUMPLE")</f>
        <v>CUMPLE</v>
      </c>
      <c r="K10" s="24" t="str">
        <f t="shared" ref="K10" si="5">IF(K72&lt;=$B$73,"CUMPLE","NO CUMPLE")</f>
        <v>CUMPLE</v>
      </c>
      <c r="L10" s="24" t="str">
        <f t="shared" si="4"/>
        <v>CUMPLE</v>
      </c>
      <c r="M10" s="24" t="str">
        <f>IF(COUNTIF(J10:L10,"NO CUMPLE")&gt;=1,"NO CUMPLE","CUMPLE")</f>
        <v>CUMPLE</v>
      </c>
      <c r="N10" s="211" t="str">
        <f t="shared" ref="N10:P10" si="6">IF(N72&lt;=$B$73,"CUMPLE","NO CUMPLE")</f>
        <v>CUMPLE</v>
      </c>
      <c r="O10" s="24" t="str">
        <f t="shared" si="6"/>
        <v>CUMPLE</v>
      </c>
      <c r="P10" s="24" t="str">
        <f t="shared" si="6"/>
        <v>CUMPLE</v>
      </c>
      <c r="Q10" s="103" t="str">
        <f>IF(COUNTIF(O10:P10,"NO CUMPLE")&gt;=1,"NO CUMPLE","CUMPLE")</f>
        <v>CUMPLE</v>
      </c>
      <c r="T10" s="1"/>
    </row>
    <row r="11" spans="1:20" s="3" customFormat="1" ht="20.100000000000001" customHeight="1" x14ac:dyDescent="0.25">
      <c r="B11" s="22" t="s">
        <v>6</v>
      </c>
      <c r="C11" s="190">
        <v>0.99</v>
      </c>
      <c r="D11" s="190">
        <v>0.01</v>
      </c>
      <c r="E11" s="10">
        <f>SUM(C11:D11)</f>
        <v>1</v>
      </c>
      <c r="F11" s="190">
        <v>0.4</v>
      </c>
      <c r="G11" s="190">
        <v>0.4</v>
      </c>
      <c r="H11" s="190">
        <v>0.2</v>
      </c>
      <c r="I11" s="10">
        <f>SUM(F11:H11)</f>
        <v>1</v>
      </c>
      <c r="J11" s="190">
        <v>0.45</v>
      </c>
      <c r="K11" s="190">
        <v>0.45</v>
      </c>
      <c r="L11" s="190">
        <v>0.1</v>
      </c>
      <c r="M11" s="10">
        <f>SUM(J11:L11)</f>
        <v>1</v>
      </c>
      <c r="N11" s="190">
        <v>1</v>
      </c>
      <c r="O11" s="190">
        <v>0.5</v>
      </c>
      <c r="P11" s="190">
        <v>0.5</v>
      </c>
      <c r="Q11" s="99">
        <f>SUM(O11:P11)</f>
        <v>1</v>
      </c>
      <c r="T11" s="1"/>
    </row>
    <row r="12" spans="1:20" s="3" customFormat="1" ht="20.100000000000001" customHeight="1" x14ac:dyDescent="0.25">
      <c r="B12" s="22" t="s">
        <v>7</v>
      </c>
      <c r="C12" s="191">
        <v>4322492340</v>
      </c>
      <c r="D12" s="191">
        <v>3774255097</v>
      </c>
      <c r="E12" s="161">
        <f t="shared" ref="E12:E19" si="7">SUM(C12:D12)</f>
        <v>8096747437</v>
      </c>
      <c r="F12" s="191">
        <v>6066351767</v>
      </c>
      <c r="G12" s="191">
        <v>1036289375</v>
      </c>
      <c r="H12" s="191">
        <v>781682291</v>
      </c>
      <c r="I12" s="161">
        <f t="shared" ref="I12:I19" si="8">SUM(F12:H12)</f>
        <v>7884323433</v>
      </c>
      <c r="J12" s="191">
        <v>879251948</v>
      </c>
      <c r="K12" s="191">
        <v>1160091309</v>
      </c>
      <c r="L12" s="191">
        <v>385635843</v>
      </c>
      <c r="M12" s="161">
        <f t="shared" ref="M12:M19" si="9">SUM(J12:L12)</f>
        <v>2424979100</v>
      </c>
      <c r="N12" s="191">
        <v>2024234243</v>
      </c>
      <c r="O12" s="191">
        <v>76621082</v>
      </c>
      <c r="P12" s="191">
        <v>11245465735.76</v>
      </c>
      <c r="Q12" s="162">
        <f t="shared" ref="Q12:Q19" si="10">SUM(O12:P12)</f>
        <v>11322086817.76</v>
      </c>
      <c r="T12" s="1"/>
    </row>
    <row r="13" spans="1:20" s="3" customFormat="1" ht="20.100000000000001" customHeight="1" x14ac:dyDescent="0.25">
      <c r="B13" s="22" t="s">
        <v>8</v>
      </c>
      <c r="C13" s="191">
        <v>1709972534</v>
      </c>
      <c r="D13" s="191">
        <v>1586842025</v>
      </c>
      <c r="E13" s="161">
        <f t="shared" si="7"/>
        <v>3296814559</v>
      </c>
      <c r="F13" s="191">
        <v>65655303</v>
      </c>
      <c r="G13" s="191">
        <v>134427869</v>
      </c>
      <c r="H13" s="191">
        <v>202062680</v>
      </c>
      <c r="I13" s="161">
        <f t="shared" si="8"/>
        <v>402145852</v>
      </c>
      <c r="J13" s="191">
        <v>24423133</v>
      </c>
      <c r="K13" s="191">
        <v>825145424</v>
      </c>
      <c r="L13" s="191">
        <v>11454391</v>
      </c>
      <c r="M13" s="161">
        <f t="shared" si="9"/>
        <v>861022948</v>
      </c>
      <c r="N13" s="191">
        <v>543167712</v>
      </c>
      <c r="O13" s="191">
        <v>16945934</v>
      </c>
      <c r="P13" s="191">
        <v>2787344546.21</v>
      </c>
      <c r="Q13" s="162">
        <f t="shared" si="10"/>
        <v>2804290480.21</v>
      </c>
      <c r="T13" s="1"/>
    </row>
    <row r="14" spans="1:20" s="3" customFormat="1" ht="20.100000000000001" customHeight="1" x14ac:dyDescent="0.25">
      <c r="B14" s="22" t="s">
        <v>9</v>
      </c>
      <c r="C14" s="191">
        <v>4322492340</v>
      </c>
      <c r="D14" s="191">
        <v>3784679390</v>
      </c>
      <c r="E14" s="161">
        <f t="shared" si="7"/>
        <v>8107171730</v>
      </c>
      <c r="F14" s="191">
        <v>6709005000</v>
      </c>
      <c r="G14" s="191">
        <v>1491420335</v>
      </c>
      <c r="H14" s="191">
        <v>1275877748</v>
      </c>
      <c r="I14" s="161">
        <f t="shared" si="8"/>
        <v>9476303083</v>
      </c>
      <c r="J14" s="191">
        <v>879251948</v>
      </c>
      <c r="K14" s="191">
        <v>1287046751</v>
      </c>
      <c r="L14" s="191">
        <v>494122470</v>
      </c>
      <c r="M14" s="161">
        <f t="shared" si="9"/>
        <v>2660421169</v>
      </c>
      <c r="N14" s="191">
        <v>2236559243</v>
      </c>
      <c r="O14" s="191">
        <v>79146936</v>
      </c>
      <c r="P14" s="191">
        <v>11727150236.209999</v>
      </c>
      <c r="Q14" s="162">
        <f t="shared" si="10"/>
        <v>11806297172.209999</v>
      </c>
      <c r="T14" s="1"/>
    </row>
    <row r="15" spans="1:20" s="3" customFormat="1" ht="20.100000000000001" customHeight="1" x14ac:dyDescent="0.25">
      <c r="B15" s="22" t="s">
        <v>10</v>
      </c>
      <c r="C15" s="191">
        <v>1709972534</v>
      </c>
      <c r="D15" s="191">
        <v>1586842025</v>
      </c>
      <c r="E15" s="161">
        <f t="shared" si="7"/>
        <v>3296814559</v>
      </c>
      <c r="F15" s="191">
        <v>1385804698</v>
      </c>
      <c r="G15" s="191">
        <v>949575110</v>
      </c>
      <c r="H15" s="191">
        <v>243714454</v>
      </c>
      <c r="I15" s="161">
        <f t="shared" si="8"/>
        <v>2579094262</v>
      </c>
      <c r="J15" s="191">
        <v>70367490</v>
      </c>
      <c r="K15" s="191">
        <v>825145424</v>
      </c>
      <c r="L15" s="191">
        <v>11454391</v>
      </c>
      <c r="M15" s="161">
        <f t="shared" si="9"/>
        <v>906967305</v>
      </c>
      <c r="N15" s="191">
        <v>1014720545</v>
      </c>
      <c r="O15" s="191">
        <v>16945934</v>
      </c>
      <c r="P15" s="191">
        <v>3586087219.0999999</v>
      </c>
      <c r="Q15" s="162">
        <f t="shared" si="10"/>
        <v>3603033153.0999999</v>
      </c>
      <c r="T15" s="1"/>
    </row>
    <row r="16" spans="1:20" s="3" customFormat="1" ht="20.100000000000001" customHeight="1" x14ac:dyDescent="0.25">
      <c r="B16" s="22" t="s">
        <v>11</v>
      </c>
      <c r="C16" s="191">
        <v>2612519806</v>
      </c>
      <c r="D16" s="191">
        <v>2197837365</v>
      </c>
      <c r="E16" s="161">
        <f t="shared" si="7"/>
        <v>4810357171</v>
      </c>
      <c r="F16" s="191">
        <v>5323200302</v>
      </c>
      <c r="G16" s="191">
        <v>541845225</v>
      </c>
      <c r="H16" s="191">
        <v>1032163294</v>
      </c>
      <c r="I16" s="161">
        <f t="shared" si="8"/>
        <v>6897208821</v>
      </c>
      <c r="J16" s="191">
        <v>808884458</v>
      </c>
      <c r="K16" s="191">
        <v>461901327</v>
      </c>
      <c r="L16" s="191">
        <v>482668079</v>
      </c>
      <c r="M16" s="161">
        <f t="shared" si="9"/>
        <v>1753453864</v>
      </c>
      <c r="N16" s="191">
        <v>1221838698</v>
      </c>
      <c r="O16" s="191">
        <v>62201002</v>
      </c>
      <c r="P16" s="191">
        <v>8141063017.1000004</v>
      </c>
      <c r="Q16" s="162">
        <f t="shared" si="10"/>
        <v>8203264019.1000004</v>
      </c>
      <c r="T16" s="1"/>
    </row>
    <row r="17" spans="2:21" s="3" customFormat="1" ht="20.100000000000001" customHeight="1" x14ac:dyDescent="0.25">
      <c r="B17" s="22" t="s">
        <v>12</v>
      </c>
      <c r="C17" s="161">
        <f t="shared" ref="C17:E17" si="11">+C14-C15-C16</f>
        <v>0</v>
      </c>
      <c r="D17" s="161">
        <f t="shared" si="11"/>
        <v>0</v>
      </c>
      <c r="E17" s="161">
        <f t="shared" si="11"/>
        <v>0</v>
      </c>
      <c r="F17" s="161">
        <f t="shared" ref="F17:I17" si="12">+F14-F15-F16</f>
        <v>0</v>
      </c>
      <c r="G17" s="161">
        <f t="shared" ref="G17" si="13">+G14-G15-G16</f>
        <v>0</v>
      </c>
      <c r="H17" s="161">
        <f t="shared" si="12"/>
        <v>0</v>
      </c>
      <c r="I17" s="161">
        <f t="shared" si="12"/>
        <v>0</v>
      </c>
      <c r="J17" s="161">
        <f t="shared" ref="J17:M17" si="14">+J14-J15-J16</f>
        <v>0</v>
      </c>
      <c r="K17" s="161">
        <f t="shared" ref="K17" si="15">+K14-K15-K16</f>
        <v>0</v>
      </c>
      <c r="L17" s="161">
        <f t="shared" si="14"/>
        <v>0</v>
      </c>
      <c r="M17" s="161">
        <f t="shared" si="14"/>
        <v>0</v>
      </c>
      <c r="N17" s="191">
        <f t="shared" ref="N17:Q17" si="16">+N14-N15-N16</f>
        <v>0</v>
      </c>
      <c r="O17" s="161">
        <f t="shared" si="16"/>
        <v>0</v>
      </c>
      <c r="P17" s="161">
        <f t="shared" si="16"/>
        <v>9.998321533203125E-3</v>
      </c>
      <c r="Q17" s="162">
        <f t="shared" si="16"/>
        <v>9.998321533203125E-3</v>
      </c>
      <c r="T17" s="1"/>
    </row>
    <row r="18" spans="2:21" s="3" customFormat="1" ht="20.100000000000001" customHeight="1" x14ac:dyDescent="0.25">
      <c r="B18" s="22" t="s">
        <v>13</v>
      </c>
      <c r="C18" s="161">
        <v>1657036887</v>
      </c>
      <c r="D18" s="161">
        <v>419661429</v>
      </c>
      <c r="E18" s="161">
        <f t="shared" si="7"/>
        <v>2076698316</v>
      </c>
      <c r="F18" s="161">
        <v>262951234</v>
      </c>
      <c r="G18" s="161">
        <v>102283682</v>
      </c>
      <c r="H18" s="161">
        <v>122009869</v>
      </c>
      <c r="I18" s="161">
        <f t="shared" si="8"/>
        <v>487244785</v>
      </c>
      <c r="J18" s="161">
        <v>20068177</v>
      </c>
      <c r="K18" s="161">
        <v>314946218</v>
      </c>
      <c r="L18" s="161">
        <v>27110112</v>
      </c>
      <c r="M18" s="161">
        <f t="shared" si="9"/>
        <v>362124507</v>
      </c>
      <c r="N18" s="191">
        <v>364425271</v>
      </c>
      <c r="O18" s="161">
        <v>9214117</v>
      </c>
      <c r="P18" s="161">
        <v>1388880382.6800001</v>
      </c>
      <c r="Q18" s="162">
        <f t="shared" si="10"/>
        <v>1398094499.6800001</v>
      </c>
      <c r="T18" s="1"/>
    </row>
    <row r="19" spans="2:21" s="3" customFormat="1" ht="20.100000000000001" customHeight="1" x14ac:dyDescent="0.25">
      <c r="B19" s="22" t="s">
        <v>14</v>
      </c>
      <c r="C19" s="161">
        <v>0</v>
      </c>
      <c r="D19" s="161">
        <v>4801596</v>
      </c>
      <c r="E19" s="161">
        <f t="shared" si="7"/>
        <v>4801596</v>
      </c>
      <c r="F19" s="161">
        <v>58963000</v>
      </c>
      <c r="G19" s="161">
        <v>234000</v>
      </c>
      <c r="H19" s="161">
        <v>0</v>
      </c>
      <c r="I19" s="161">
        <f t="shared" si="8"/>
        <v>59197000</v>
      </c>
      <c r="J19" s="161">
        <v>0</v>
      </c>
      <c r="K19" s="161">
        <v>468800</v>
      </c>
      <c r="L19" s="161">
        <v>0</v>
      </c>
      <c r="M19" s="161">
        <f t="shared" si="9"/>
        <v>468800</v>
      </c>
      <c r="N19" s="191">
        <v>43628874</v>
      </c>
      <c r="O19" s="161">
        <v>46000</v>
      </c>
      <c r="P19" s="161">
        <v>63300725.240000002</v>
      </c>
      <c r="Q19" s="162">
        <f t="shared" si="10"/>
        <v>63346725.240000002</v>
      </c>
      <c r="T19" s="1"/>
    </row>
    <row r="20" spans="2:21" s="3" customFormat="1" ht="31.5" x14ac:dyDescent="0.25">
      <c r="B20" s="35" t="s">
        <v>15</v>
      </c>
      <c r="C20" s="28">
        <f t="shared" ref="C20:E20" si="17">IFERROR((C18/C16),"-")</f>
        <v>0.63426768409349243</v>
      </c>
      <c r="D20" s="28">
        <f t="shared" si="17"/>
        <v>0.19094289490341793</v>
      </c>
      <c r="E20" s="28">
        <f t="shared" si="17"/>
        <v>0.43171395432333065</v>
      </c>
      <c r="F20" s="28">
        <f t="shared" ref="F20:I20" si="18">IFERROR((F18/F16),"-")</f>
        <v>4.939720827360293E-2</v>
      </c>
      <c r="G20" s="28">
        <f t="shared" ref="G20" si="19">IFERROR((G18/G16),"-")</f>
        <v>0.1887691858869846</v>
      </c>
      <c r="H20" s="28">
        <f t="shared" si="18"/>
        <v>0.11820791313665917</v>
      </c>
      <c r="I20" s="28">
        <f t="shared" si="18"/>
        <v>7.064376295473046E-2</v>
      </c>
      <c r="J20" s="28">
        <f t="shared" ref="J20:M20" si="20">IFERROR((J18/J16),"-")</f>
        <v>2.4809695379262683E-2</v>
      </c>
      <c r="K20" s="28">
        <f t="shared" ref="K20" si="21">IFERROR((K18/K16),"-")</f>
        <v>0.6818473981132338</v>
      </c>
      <c r="L20" s="28">
        <f t="shared" si="20"/>
        <v>5.6167194764914212E-2</v>
      </c>
      <c r="M20" s="28">
        <f t="shared" si="20"/>
        <v>0.20652069292197814</v>
      </c>
      <c r="N20" s="212">
        <f t="shared" ref="N20:Q20" si="22">IFERROR((N18/N16),"-")</f>
        <v>0.29825972249571031</v>
      </c>
      <c r="O20" s="28">
        <f t="shared" si="22"/>
        <v>0.14813454291299039</v>
      </c>
      <c r="P20" s="28">
        <f t="shared" si="22"/>
        <v>0.17060184643733975</v>
      </c>
      <c r="Q20" s="167">
        <f t="shared" si="22"/>
        <v>0.17043148878601963</v>
      </c>
      <c r="T20" s="1"/>
    </row>
    <row r="21" spans="2:21" s="3" customFormat="1" ht="31.5" x14ac:dyDescent="0.2">
      <c r="B21" s="35" t="s">
        <v>16</v>
      </c>
      <c r="C21" s="28">
        <f t="shared" ref="C21:E21" si="23">IFERROR((C18/C14),"-")</f>
        <v>0.38335218588264752</v>
      </c>
      <c r="D21" s="28">
        <f t="shared" si="23"/>
        <v>0.11088427466507275</v>
      </c>
      <c r="E21" s="28">
        <f t="shared" si="23"/>
        <v>0.25615570820034916</v>
      </c>
      <c r="F21" s="28">
        <f t="shared" ref="F21:I21" si="24">IFERROR((F18/F14),"-")</f>
        <v>3.919377523194572E-2</v>
      </c>
      <c r="G21" s="28">
        <f t="shared" ref="G21" si="25">IFERROR((G18/G14),"-")</f>
        <v>6.8581391576640935E-2</v>
      </c>
      <c r="H21" s="28">
        <f t="shared" si="24"/>
        <v>9.5628181611644505E-2</v>
      </c>
      <c r="I21" s="28">
        <f t="shared" si="24"/>
        <v>5.1417180384837211E-2</v>
      </c>
      <c r="J21" s="28">
        <f t="shared" ref="J21:M21" si="26">IFERROR((J18/J14),"-")</f>
        <v>2.2824148465804706E-2</v>
      </c>
      <c r="K21" s="28">
        <f t="shared" ref="K21" si="27">IFERROR((K18/K14),"-")</f>
        <v>0.24470456706820901</v>
      </c>
      <c r="L21" s="28">
        <f t="shared" si="26"/>
        <v>5.4865167333920273E-2</v>
      </c>
      <c r="M21" s="28">
        <f t="shared" si="26"/>
        <v>0.1361154809695472</v>
      </c>
      <c r="N21" s="212">
        <f t="shared" ref="N21:Q21" si="28">IFERROR((N18/N14),"-")</f>
        <v>0.16294013768720009</v>
      </c>
      <c r="O21" s="28">
        <f t="shared" si="28"/>
        <v>0.1164178610780334</v>
      </c>
      <c r="P21" s="28">
        <f t="shared" si="28"/>
        <v>0.11843289756718089</v>
      </c>
      <c r="Q21" s="167">
        <f t="shared" si="28"/>
        <v>0.11841938918587235</v>
      </c>
      <c r="S21" s="165" t="s">
        <v>77</v>
      </c>
      <c r="T21" s="166" t="s">
        <v>78</v>
      </c>
      <c r="U21" s="91"/>
    </row>
    <row r="22" spans="2:21" s="3" customFormat="1" ht="15.75" x14ac:dyDescent="0.2">
      <c r="B22" s="11" t="s">
        <v>17</v>
      </c>
      <c r="C22" s="163" t="str">
        <f t="shared" ref="C22:Q22" si="29">IF(C11=1,$S$22,"")</f>
        <v/>
      </c>
      <c r="D22" s="163" t="str">
        <f t="shared" si="29"/>
        <v/>
      </c>
      <c r="E22" s="163">
        <f t="shared" si="29"/>
        <v>344857484</v>
      </c>
      <c r="F22" s="163" t="str">
        <f t="shared" si="29"/>
        <v/>
      </c>
      <c r="G22" s="163" t="str">
        <f t="shared" si="29"/>
        <v/>
      </c>
      <c r="H22" s="163" t="str">
        <f t="shared" si="29"/>
        <v/>
      </c>
      <c r="I22" s="163">
        <f t="shared" si="29"/>
        <v>344857484</v>
      </c>
      <c r="J22" s="163" t="str">
        <f t="shared" si="29"/>
        <v/>
      </c>
      <c r="K22" s="163" t="str">
        <f t="shared" si="29"/>
        <v/>
      </c>
      <c r="L22" s="163" t="str">
        <f t="shared" si="29"/>
        <v/>
      </c>
      <c r="M22" s="163">
        <f t="shared" si="29"/>
        <v>344857484</v>
      </c>
      <c r="N22" s="213">
        <f t="shared" si="29"/>
        <v>344857484</v>
      </c>
      <c r="O22" s="163" t="str">
        <f t="shared" si="29"/>
        <v/>
      </c>
      <c r="P22" s="163" t="str">
        <f t="shared" si="29"/>
        <v/>
      </c>
      <c r="Q22" s="164">
        <f t="shared" si="29"/>
        <v>344857484</v>
      </c>
      <c r="S22" s="42">
        <v>344857484</v>
      </c>
      <c r="T22" s="42">
        <f>S22</f>
        <v>344857484</v>
      </c>
      <c r="U22" s="132"/>
    </row>
    <row r="23" spans="2:21" s="3" customFormat="1" ht="15.75" x14ac:dyDescent="0.2">
      <c r="B23" s="29" t="s">
        <v>18</v>
      </c>
      <c r="C23" s="30"/>
      <c r="D23" s="30"/>
      <c r="E23" s="204"/>
      <c r="F23" s="30"/>
      <c r="G23" s="30"/>
      <c r="H23" s="30"/>
      <c r="I23" s="204"/>
      <c r="J23" s="30"/>
      <c r="K23" s="30"/>
      <c r="L23" s="30"/>
      <c r="M23" s="204"/>
      <c r="N23" s="198"/>
      <c r="O23" s="198"/>
      <c r="P23" s="30"/>
      <c r="Q23" s="31"/>
      <c r="S23" s="173" t="s">
        <v>71</v>
      </c>
      <c r="T23" s="90"/>
    </row>
    <row r="24" spans="2:21" s="3" customFormat="1" ht="15.75" x14ac:dyDescent="0.2">
      <c r="B24" s="12" t="s">
        <v>55</v>
      </c>
      <c r="C24" s="192"/>
      <c r="D24" s="192"/>
      <c r="E24" s="13"/>
      <c r="F24" s="192"/>
      <c r="G24" s="192"/>
      <c r="H24" s="192"/>
      <c r="I24" s="13"/>
      <c r="J24" s="192"/>
      <c r="K24" s="192"/>
      <c r="L24" s="192"/>
      <c r="M24" s="13"/>
      <c r="N24" s="192"/>
      <c r="O24" s="192"/>
      <c r="P24" s="192"/>
      <c r="Q24" s="168"/>
      <c r="S24" s="93">
        <v>1423500</v>
      </c>
      <c r="T24" s="3" t="s">
        <v>58</v>
      </c>
    </row>
    <row r="25" spans="2:21" s="3" customFormat="1" ht="15.75" x14ac:dyDescent="0.2">
      <c r="B25" s="66" t="s">
        <v>62</v>
      </c>
      <c r="C25" s="60"/>
      <c r="D25" s="60"/>
      <c r="E25" s="205"/>
      <c r="F25" s="60"/>
      <c r="G25" s="60"/>
      <c r="H25" s="60"/>
      <c r="I25" s="205"/>
      <c r="J25" s="60"/>
      <c r="K25" s="60"/>
      <c r="L25" s="60"/>
      <c r="M25" s="205"/>
      <c r="N25" s="214"/>
      <c r="O25" s="214"/>
      <c r="P25" s="60"/>
      <c r="Q25" s="169"/>
      <c r="R25" s="203" t="s">
        <v>73</v>
      </c>
      <c r="S25" s="131">
        <f>T22/S24</f>
        <v>242.26026273270108</v>
      </c>
      <c r="T25" s="3" t="s">
        <v>74</v>
      </c>
      <c r="U25" s="3" t="s">
        <v>75</v>
      </c>
    </row>
    <row r="26" spans="2:21" s="3" customFormat="1" ht="15.75" x14ac:dyDescent="0.2">
      <c r="B26" s="29" t="s">
        <v>18</v>
      </c>
      <c r="C26" s="30"/>
      <c r="D26" s="30"/>
      <c r="E26" s="204"/>
      <c r="F26" s="30"/>
      <c r="G26" s="30"/>
      <c r="H26" s="30"/>
      <c r="I26" s="204"/>
      <c r="J26" s="30"/>
      <c r="K26" s="30"/>
      <c r="L26" s="30"/>
      <c r="M26" s="204"/>
      <c r="N26" s="198"/>
      <c r="O26" s="198"/>
      <c r="P26" s="30"/>
      <c r="Q26" s="31"/>
      <c r="S26" s="96" t="s">
        <v>59</v>
      </c>
      <c r="T26" s="94" t="s">
        <v>72</v>
      </c>
    </row>
    <row r="27" spans="2:21" s="3" customFormat="1" ht="31.5" x14ac:dyDescent="0.2">
      <c r="B27" s="35" t="str">
        <f>CONCATENATE("Índice de Liquidez: ",CHAR(10),$S$21," ≥ ",S27," veces. ",IF($S$21=$T$21,"",_xlfn.CONCAT($T$21," ≥ ",T27," veces.")))</f>
        <v>Índice de Liquidez: 
MiPyME ≥ 1,1 veces. Gran Empresa ≥ 1,2 veces.</v>
      </c>
      <c r="C27" s="216"/>
      <c r="D27" s="216"/>
      <c r="E27" s="14" t="str">
        <f>IFERROR(IF(E74=$S$21,IF(E28&gt;=$S$27,$B$24,$B$25),IF(E28&gt;=$T$27,$B$24,$B$25)),"-")</f>
        <v>CUMPLE</v>
      </c>
      <c r="F27" s="216"/>
      <c r="G27" s="216"/>
      <c r="H27" s="216"/>
      <c r="I27" s="14" t="str">
        <f>IFERROR(IF(I74=$S$21,IF(I28&gt;=$S$27,$B$24,$B$25),IF(I28&gt;=$T$27,$B$24,$B$25)),"-")</f>
        <v>CUMPLE</v>
      </c>
      <c r="J27" s="216"/>
      <c r="K27" s="216"/>
      <c r="L27" s="216"/>
      <c r="M27" s="14" t="str">
        <f>IFERROR(IF(M74=$S$21,IF(M28&gt;=$S$27,$B$24,$B$25),IF(M28&gt;=$T$27,$B$24,$B$25)),"-")</f>
        <v>CUMPLE</v>
      </c>
      <c r="N27" s="193" t="str">
        <f>IFERROR(IF(N74=$S$21,IF(N28&gt;=$S$27,$B$24,$B$25),IF(N28&gt;=$T$27,$B$24,$B$25)),"-")</f>
        <v>CUMPLE</v>
      </c>
      <c r="O27" s="216"/>
      <c r="P27" s="216"/>
      <c r="Q27" s="104" t="str">
        <f>IFERROR(IF(Q74=$S$21,IF(Q28&gt;=$S$27,$B$24,$B$25),IF(Q28&gt;=$T$27,$B$24,$B$25)),"-")</f>
        <v>CUMPLE</v>
      </c>
      <c r="S27" s="40">
        <v>1.1000000000000001</v>
      </c>
      <c r="T27" s="40">
        <v>1.2</v>
      </c>
    </row>
    <row r="28" spans="2:21" s="3" customFormat="1" ht="22.5" customHeight="1" x14ac:dyDescent="0.2">
      <c r="B28" s="156" t="s">
        <v>19</v>
      </c>
      <c r="C28" s="217"/>
      <c r="D28" s="217"/>
      <c r="E28" s="15">
        <f t="shared" ref="E28" si="30">IFERROR(E12/E13,"-")</f>
        <v>2.4559305026412921</v>
      </c>
      <c r="F28" s="217"/>
      <c r="G28" s="217"/>
      <c r="H28" s="217"/>
      <c r="I28" s="15">
        <f t="shared" ref="I28" si="31">IFERROR(I12/I13,"-")</f>
        <v>19.605631622926698</v>
      </c>
      <c r="J28" s="217"/>
      <c r="K28" s="217"/>
      <c r="L28" s="217"/>
      <c r="M28" s="15">
        <f t="shared" ref="M28:N28" si="32">IFERROR(M12/M13,"-")</f>
        <v>2.8163931119754544</v>
      </c>
      <c r="N28" s="194">
        <f t="shared" si="32"/>
        <v>3.7267204921782979</v>
      </c>
      <c r="O28" s="217"/>
      <c r="P28" s="217"/>
      <c r="Q28" s="105">
        <f t="shared" ref="Q28" si="33">IFERROR(Q12/Q13,"-")</f>
        <v>4.0374158446353752</v>
      </c>
    </row>
    <row r="29" spans="2:21" s="3" customFormat="1" ht="31.5" x14ac:dyDescent="0.2">
      <c r="B29" s="35" t="str">
        <f>CONCATENATE("Endeudamiento total: ",CHAR(10),$S$21," ≤ ",TEXT(S29,"#0 %"),". ",IF($S$21=$T$21,"",_xlfn.CONCAT($T$21," ≤ ",TEXT(T29,"#0 %."))))</f>
        <v>Endeudamiento total: 
MiPyME ≤ 65 %. Gran Empresa ≤ 65 %.</v>
      </c>
      <c r="C29" s="217"/>
      <c r="D29" s="217"/>
      <c r="E29" s="16" t="str">
        <f>IFERROR(IF(E74=$S$21,IF(E30&lt;=$S$29,$B$24,$B$25),IF(E30&lt;=$T$29,$B$24,$B$25)),"-")</f>
        <v>CUMPLE</v>
      </c>
      <c r="F29" s="217"/>
      <c r="G29" s="217"/>
      <c r="H29" s="217"/>
      <c r="I29" s="16" t="str">
        <f>IFERROR(IF(I74=$S$21,IF(I30&lt;=$S$29,$B$24,$B$25),IF(I30&lt;=$T$29,$B$24,$B$25)),"-")</f>
        <v>CUMPLE</v>
      </c>
      <c r="J29" s="217"/>
      <c r="K29" s="217"/>
      <c r="L29" s="217"/>
      <c r="M29" s="16" t="str">
        <f>IFERROR(IF(M74=$S$21,IF(M30&lt;=$S$29,$B$24,$B$25),IF(M30&lt;=$T$29,$B$24,$B$25)),"-")</f>
        <v>CUMPLE</v>
      </c>
      <c r="N29" s="195" t="str">
        <f>IFERROR(IF(N74=$S$21,IF(N30&lt;=$S$29,$B$24,$B$25),IF(N30&lt;=$T$29,$B$24,$B$25)),"-")</f>
        <v>CUMPLE</v>
      </c>
      <c r="O29" s="217"/>
      <c r="P29" s="217"/>
      <c r="Q29" s="106" t="str">
        <f>IFERROR(IF(Q74=$S$21,IF(Q30&lt;=$S$29,$B$24,$B$25),IF(Q30&lt;=$T$29,$B$24,$B$25)),"-")</f>
        <v>CUMPLE</v>
      </c>
      <c r="S29" s="41">
        <v>0.65</v>
      </c>
      <c r="T29" s="41">
        <v>0.65</v>
      </c>
    </row>
    <row r="30" spans="2:21" s="3" customFormat="1" ht="22.5" customHeight="1" x14ac:dyDescent="0.2">
      <c r="B30" s="157" t="s">
        <v>20</v>
      </c>
      <c r="C30" s="217"/>
      <c r="D30" s="217"/>
      <c r="E30" s="17">
        <f t="shared" ref="E30" si="34">IFERROR(E15/E14,"-")</f>
        <v>0.40665409205535602</v>
      </c>
      <c r="F30" s="217"/>
      <c r="G30" s="217"/>
      <c r="H30" s="217"/>
      <c r="I30" s="17">
        <f t="shared" ref="I30" si="35">IFERROR(I15/I14,"-")</f>
        <v>0.27216249199825221</v>
      </c>
      <c r="J30" s="217"/>
      <c r="K30" s="217"/>
      <c r="L30" s="217"/>
      <c r="M30" s="17">
        <f t="shared" ref="M30:N30" si="36">IFERROR(M15/M14,"-")</f>
        <v>0.34091117435398816</v>
      </c>
      <c r="N30" s="196">
        <f t="shared" si="36"/>
        <v>0.45369714581712067</v>
      </c>
      <c r="O30" s="217"/>
      <c r="P30" s="217"/>
      <c r="Q30" s="107">
        <f t="shared" ref="Q30" si="37">IFERROR(Q15/Q14,"-")</f>
        <v>0.30517893125551021</v>
      </c>
    </row>
    <row r="31" spans="2:21" s="3" customFormat="1" ht="47.25" x14ac:dyDescent="0.2">
      <c r="B31" s="35" t="str">
        <f>CONCATENATE("Razón de Cobertura de Intereses: ",CHAR(10),$S$21," ≥ ",S31," vez(ces) o Indet."," ",IF($S$21=$T$21,"",_xlfn.CONCAT($T$21," ≥ ",T31," vez(ces) o Indet.")))</f>
        <v>Razón de Cobertura de Intereses: 
MiPyME ≥ 1,5 vez(ces) o Indet. Gran Empresa ≥ 1,5 vez(ces) o Indet.</v>
      </c>
      <c r="C31" s="217"/>
      <c r="D31" s="217"/>
      <c r="E31" s="16" t="str">
        <f>IFERROR(IF(E74=$S$21,IF(AND(E32="Indeterminado",E18&lt;=0),$B$25,IF(E32&gt;=$S$31,$B$24,$B$25)),IF(AND(E32="Indeterminado",E18&lt;=0),$B$25,IF(E32&gt;=$T$31,$B$24,$B$25))),"-")</f>
        <v>CUMPLE</v>
      </c>
      <c r="F31" s="217"/>
      <c r="G31" s="217"/>
      <c r="H31" s="217"/>
      <c r="I31" s="16" t="str">
        <f>IFERROR(IF(I74=$S$21,IF(AND(I32="Indeterminado",I18&lt;=0),$B$25,IF(I32&gt;=$S$31,$B$24,$B$25)),IF(AND(I32="Indeterminado",I18&lt;=0),$B$25,IF(I32&gt;=$T$31,$B$24,$B$25))),"-")</f>
        <v>CUMPLE</v>
      </c>
      <c r="J31" s="217"/>
      <c r="K31" s="217"/>
      <c r="L31" s="217"/>
      <c r="M31" s="16" t="str">
        <f>IFERROR(IF(M74=$S$21,IF(AND(M32="Indeterminado",M18&lt;=0),$B$25,IF(M32&gt;=$S$31,$B$24,$B$25)),IF(AND(M32="Indeterminado",M18&lt;=0),$B$25,IF(M32&gt;=$T$31,$B$24,$B$25))),"-")</f>
        <v>CUMPLE</v>
      </c>
      <c r="N31" s="195" t="str">
        <f>IFERROR(IF(N74=$S$21,IF(AND(N32="Indeterminado",N18&lt;=0),$B$25,IF(N32&gt;=$S$31,$B$24,$B$25)),IF(AND(N32="Indeterminado",N18&lt;=0),$B$25,IF(N32&gt;=$T$31,$B$24,$B$25))),"-")</f>
        <v>CUMPLE</v>
      </c>
      <c r="O31" s="217"/>
      <c r="P31" s="217"/>
      <c r="Q31" s="106" t="str">
        <f>IFERROR(IF(Q74=$S$21,IF(AND(Q32="Indeterminado",Q18&lt;=0),$B$25,IF(Q32&gt;=$S$31,$B$24,$B$25)),IF(AND(Q32="Indeterminado",Q18&lt;=0),$B$25,IF(Q32&gt;=$T$31,$B$24,$B$25))),"-")</f>
        <v>CUMPLE</v>
      </c>
      <c r="S31" s="40">
        <v>1.5</v>
      </c>
      <c r="T31" s="40">
        <v>1.5</v>
      </c>
    </row>
    <row r="32" spans="2:21" s="3" customFormat="1" ht="22.5" customHeight="1" x14ac:dyDescent="0.2">
      <c r="B32" s="157" t="s">
        <v>21</v>
      </c>
      <c r="C32" s="218"/>
      <c r="D32" s="218"/>
      <c r="E32" s="37">
        <f t="shared" ref="E32" si="38">IFERROR(E18/E19,"Indeterminado")</f>
        <v>432.50167569283212</v>
      </c>
      <c r="F32" s="218"/>
      <c r="G32" s="218"/>
      <c r="H32" s="218"/>
      <c r="I32" s="37">
        <f t="shared" ref="I32" si="39">IFERROR(I18/I19,"Indeterminado")</f>
        <v>8.230903339696269</v>
      </c>
      <c r="J32" s="218"/>
      <c r="K32" s="218"/>
      <c r="L32" s="218"/>
      <c r="M32" s="37">
        <f t="shared" ref="M32:N32" si="40">IFERROR(M18/M19,"Indeterminado")</f>
        <v>772.44988694539245</v>
      </c>
      <c r="N32" s="197">
        <f t="shared" si="40"/>
        <v>8.3528461220429389</v>
      </c>
      <c r="O32" s="218"/>
      <c r="P32" s="218"/>
      <c r="Q32" s="108">
        <f t="shared" ref="Q32" si="41">IFERROR(Q18/Q19,"Indeterminado")</f>
        <v>22.070509475952825</v>
      </c>
    </row>
    <row r="33" spans="2:21" s="3" customFormat="1" ht="31.5" x14ac:dyDescent="0.2">
      <c r="B33" s="22" t="str">
        <f>CONCATENATE("Capital de trabajo:",CHAR(10),$S$21," ≥ ",TEXT(S33,"0 %")," del PO. ",IF($S$21=$T$21,"",_xlfn.CONCAT($T$21," ≥ ",TEXT(T33,"0 %")," del PO.")))</f>
        <v>Capital de trabajo:
MiPyME ≥ 25 % del PO. Gran Empresa ≥ 25 % del PO.</v>
      </c>
      <c r="C33" s="216"/>
      <c r="D33" s="216"/>
      <c r="E33" s="16" t="str">
        <f>IFERROR(IF(E74=$S$21,IF(E34&gt;(E22*$S$33),$B$24,$B$25),IF(E34&gt;(E22*$T$33),$B$24,$B$25)),"-")</f>
        <v>CUMPLE</v>
      </c>
      <c r="F33" s="216"/>
      <c r="G33" s="216"/>
      <c r="H33" s="216"/>
      <c r="I33" s="16" t="str">
        <f>IFERROR(IF(I74=$S$21,IF(I34&gt;(I22*$S$33),$B$24,$B$25),IF(I34&gt;(I22*$T$33),$B$24,$B$25)),"-")</f>
        <v>CUMPLE</v>
      </c>
      <c r="J33" s="216"/>
      <c r="K33" s="216"/>
      <c r="L33" s="216"/>
      <c r="M33" s="16" t="str">
        <f>IFERROR(IF(M74=$S$21,IF(M34&gt;(M22*$S$33),$B$24,$B$25),IF(M34&gt;(M22*$T$33),$B$24,$B$25)),"-")</f>
        <v>CUMPLE</v>
      </c>
      <c r="N33" s="195" t="str">
        <f>IFERROR(IF(N74=$S$21,IF(N34&gt;(N22*$S$33),$B$24,$B$25),IF(N34&gt;(N22*$T$33),$B$24,$B$25)),"-")</f>
        <v>CUMPLE</v>
      </c>
      <c r="O33" s="216"/>
      <c r="P33" s="216"/>
      <c r="Q33" s="106" t="str">
        <f>IFERROR(IF(Q74=$S$21,IF(Q34&gt;(Q22*$S$33),$B$24,$B$25),IF(Q34&gt;(Q22*$T$33),$B$24,$B$25)),"-")</f>
        <v>CUMPLE</v>
      </c>
      <c r="S33" s="44">
        <v>0.25</v>
      </c>
      <c r="T33" s="44">
        <v>0.25</v>
      </c>
    </row>
    <row r="34" spans="2:21" s="4" customFormat="1" ht="22.5" customHeight="1" x14ac:dyDescent="0.2">
      <c r="B34" s="158" t="str">
        <f>CONCATENATE("CT = Activo Corriente - Pasivo Corriente ≥ ",TEXT((S22*S33),"$###.###.###.##0"))</f>
        <v>CT = Activo Corriente - Pasivo Corriente ≥ $86.214.371</v>
      </c>
      <c r="C34" s="217"/>
      <c r="D34" s="217"/>
      <c r="E34" s="161">
        <f t="shared" ref="E34" si="42">IFERROR(E12-E13,"-")</f>
        <v>4799932878</v>
      </c>
      <c r="F34" s="217"/>
      <c r="G34" s="217"/>
      <c r="H34" s="217"/>
      <c r="I34" s="161">
        <f t="shared" ref="I34" si="43">IFERROR(I12-I13,"-")</f>
        <v>7482177581</v>
      </c>
      <c r="J34" s="217"/>
      <c r="K34" s="217"/>
      <c r="L34" s="217"/>
      <c r="M34" s="161">
        <f t="shared" ref="M34:N34" si="44">IFERROR(M12-M13,"-")</f>
        <v>1563956152</v>
      </c>
      <c r="N34" s="191">
        <f t="shared" si="44"/>
        <v>1481066531</v>
      </c>
      <c r="O34" s="217"/>
      <c r="P34" s="217"/>
      <c r="Q34" s="162">
        <f t="shared" ref="Q34" si="45">IFERROR(Q12-Q13,"-")</f>
        <v>8517796337.5500002</v>
      </c>
      <c r="R34" s="95"/>
      <c r="S34" s="92"/>
      <c r="T34" s="92"/>
      <c r="U34" s="3"/>
    </row>
    <row r="35" spans="2:21" s="3" customFormat="1" ht="15.75" x14ac:dyDescent="0.2">
      <c r="B35" s="36" t="s">
        <v>22</v>
      </c>
      <c r="C35" s="204"/>
      <c r="D35" s="204"/>
      <c r="E35" s="38"/>
      <c r="F35" s="204"/>
      <c r="G35" s="204"/>
      <c r="H35" s="204"/>
      <c r="I35" s="38"/>
      <c r="J35" s="204"/>
      <c r="K35" s="204"/>
      <c r="L35" s="204"/>
      <c r="M35" s="38"/>
      <c r="N35" s="198"/>
      <c r="O35" s="204"/>
      <c r="P35" s="204"/>
      <c r="Q35" s="109"/>
      <c r="R35" s="96"/>
      <c r="S35" s="93"/>
      <c r="T35" s="93"/>
      <c r="U35" s="94"/>
    </row>
    <row r="36" spans="2:21" s="3" customFormat="1" ht="15.75" x14ac:dyDescent="0.2">
      <c r="B36" s="18"/>
      <c r="C36" s="216"/>
      <c r="D36" s="216"/>
      <c r="E36" s="9"/>
      <c r="F36" s="216"/>
      <c r="G36" s="216"/>
      <c r="H36" s="216"/>
      <c r="I36" s="9"/>
      <c r="J36" s="216"/>
      <c r="K36" s="216"/>
      <c r="L36" s="216"/>
      <c r="M36" s="9"/>
      <c r="N36" s="199"/>
      <c r="O36" s="216"/>
      <c r="P36" s="216"/>
      <c r="Q36" s="110"/>
    </row>
    <row r="37" spans="2:21" s="3" customFormat="1" ht="31.5" x14ac:dyDescent="0.2">
      <c r="B37" s="35" t="str">
        <f>CONCATENATE("Indicador  Rentabilidad del Patrimonio",CHAR(10),$S$21," ≥ ",TEXT(S37,"#0 %. "),IF($S$21=$T$21,"",_xlfn.CONCAT($T$21," ≥ ",TEXT(T37,"#0 %."))))</f>
        <v>Indicador  Rentabilidad del Patrimonio
MiPyME ≥ 2 %. Gran Empresa ≥ 4 %.</v>
      </c>
      <c r="C37" s="217" t="s">
        <v>95</v>
      </c>
      <c r="D37" s="217" t="s">
        <v>95</v>
      </c>
      <c r="E37" s="16" t="str">
        <f>IFERROR(IF((IF(E74=$S$21,IF(E38&gt;=$S$37,$B$24,$B$25),IF(E38&gt;=$T$37,$B$24,$B$25)))="No hábil",IF(AND(E38&lt;0,E16&gt;0,E74="ESAL"),$B$24,$B$25),IF(E74=$S$21,IF(E38&gt;=$S$37,$B$24,$B$25),IF(E38&gt;=$T$37,$B$24,$B$25))),"-")</f>
        <v>CUMPLE</v>
      </c>
      <c r="F37" s="217" t="s">
        <v>95</v>
      </c>
      <c r="G37" s="217" t="s">
        <v>95</v>
      </c>
      <c r="H37" s="217" t="s">
        <v>95</v>
      </c>
      <c r="I37" s="16" t="str">
        <f>IFERROR(IF((IF(I74=$S$21,IF(I38&gt;=$S$37,$B$24,$B$25),IF(I38&gt;=$T$37,$B$24,$B$25)))="No hábil",IF(AND(I38&lt;0,I16&gt;0,I74="ESAL"),$B$24,$B$25),IF(I74=$S$21,IF(I38&gt;=$S$37,$B$24,$B$25),IF(I38&gt;=$T$37,$B$24,$B$25))),"-")</f>
        <v>CUMPLE</v>
      </c>
      <c r="J37" s="217" t="s">
        <v>95</v>
      </c>
      <c r="K37" s="217" t="s">
        <v>95</v>
      </c>
      <c r="L37" s="217" t="s">
        <v>95</v>
      </c>
      <c r="M37" s="16" t="str">
        <f>IFERROR(IF((IF(M74=$S$21,IF(M38&gt;=$S$37,$B$24,$B$25),IF(M38&gt;=$T$37,$B$24,$B$25)))="No hábil",IF(AND(M38&lt;0,M16&gt;0,M74="ESAL"),$B$24,$B$25),IF(M74=$S$21,IF(M38&gt;=$S$37,$B$24,$B$25),IF(M38&gt;=$T$37,$B$24,$B$25))),"-")</f>
        <v>CUMPLE</v>
      </c>
      <c r="N37" s="195" t="str">
        <f>IFERROR(IF((IF(N74=$S$21,IF(N38&gt;=$S$37,$B$24,$B$25),IF(N38&gt;=$T$37,$B$24,$B$25)))="No hábil",IF(AND(N38&lt;0,N16&gt;0,N74="ESAL"),$B$24,$B$25),IF(N74=$S$21,IF(N38&gt;=$S$37,$B$24,$B$25),IF(N38&gt;=$T$37,$B$24,$B$25))),"-")</f>
        <v>CUMPLE</v>
      </c>
      <c r="O37" s="217" t="s">
        <v>95</v>
      </c>
      <c r="P37" s="217" t="s">
        <v>95</v>
      </c>
      <c r="Q37" s="106" t="str">
        <f>IFERROR(IF((IF(Q74=$S$21,IF(Q38&gt;=$S$37,$B$24,$B$25),IF(Q38&gt;=$T$37,$B$24,$B$25)))="No hábil",IF(AND(Q38&lt;0,Q16&gt;0,Q74="ESAL"),$B$24,$B$25),IF(Q74=$S$21,IF(Q38&gt;=$S$37,$B$24,$B$25),IF(Q38&gt;=$T$37,$B$24,$B$25))),"-")</f>
        <v>CUMPLE</v>
      </c>
      <c r="S37" s="41">
        <v>0.02</v>
      </c>
      <c r="T37" s="41">
        <v>0.04</v>
      </c>
    </row>
    <row r="38" spans="2:21" s="3" customFormat="1" ht="22.5" customHeight="1" x14ac:dyDescent="0.2">
      <c r="B38" s="157" t="s">
        <v>23</v>
      </c>
      <c r="C38" s="217" t="s">
        <v>95</v>
      </c>
      <c r="D38" s="217" t="s">
        <v>95</v>
      </c>
      <c r="E38" s="170">
        <f t="shared" ref="E38" si="46">IFERROR(E18/E16,"-")</f>
        <v>0.43171395432333065</v>
      </c>
      <c r="F38" s="217" t="s">
        <v>95</v>
      </c>
      <c r="G38" s="217" t="s">
        <v>95</v>
      </c>
      <c r="H38" s="217" t="s">
        <v>95</v>
      </c>
      <c r="I38" s="170">
        <f t="shared" ref="I38" si="47">IFERROR(I18/I16,"-")</f>
        <v>7.064376295473046E-2</v>
      </c>
      <c r="J38" s="217" t="s">
        <v>95</v>
      </c>
      <c r="K38" s="217" t="s">
        <v>95</v>
      </c>
      <c r="L38" s="217" t="s">
        <v>95</v>
      </c>
      <c r="M38" s="170">
        <f t="shared" ref="M38:N38" si="48">IFERROR(M18/M16,"-")</f>
        <v>0.20652069292197814</v>
      </c>
      <c r="N38" s="200">
        <f t="shared" si="48"/>
        <v>0.29825972249571031</v>
      </c>
      <c r="O38" s="217" t="s">
        <v>95</v>
      </c>
      <c r="P38" s="217" t="s">
        <v>95</v>
      </c>
      <c r="Q38" s="171">
        <f t="shared" ref="Q38" si="49">IFERROR(Q18/Q16,"-")</f>
        <v>0.17043148878601963</v>
      </c>
    </row>
    <row r="39" spans="2:21" s="3" customFormat="1" ht="31.5" x14ac:dyDescent="0.2">
      <c r="B39" s="35" t="str">
        <f>CONCATENATE("Indicador Rentabilidad del Activo",CHAR(10),$S$21," ≥ ",TEXT(S39,"#0 %. "),IF($S$21=$T$21,"",_xlfn.CONCAT($T$21," ≥ ",TEXT(T39,"#0 %."))))</f>
        <v>Indicador Rentabilidad del Activo
MiPyME ≥ 1 %. Gran Empresa ≥ 3 %.</v>
      </c>
      <c r="C39" s="217" t="s">
        <v>95</v>
      </c>
      <c r="D39" s="217" t="s">
        <v>95</v>
      </c>
      <c r="E39" s="14" t="str">
        <f>IFERROR(IF((IF(E74=$S$21,IF(E40&gt;=$S$39,$B$24,$B$25),IF(E40&gt;=$T$39,$B$24,$B$25)))="No hábil",IF(AND(E40&lt;0,E16&gt;0,E74="ESAL"),$B$24,$B$25),IF(E74=$S$21,IF(E40&gt;=$S$39,$B$24,$B$25),IF(E40&gt;=$T$39,$B$24,$B$25))),"-")</f>
        <v>CUMPLE</v>
      </c>
      <c r="F39" s="217" t="s">
        <v>95</v>
      </c>
      <c r="G39" s="217" t="s">
        <v>95</v>
      </c>
      <c r="H39" s="217" t="s">
        <v>95</v>
      </c>
      <c r="I39" s="14" t="str">
        <f>IFERROR(IF((IF(I74=$S$21,IF(I40&gt;=$S$39,$B$24,$B$25),IF(I40&gt;=$T$39,$B$24,$B$25)))="No hábil",IF(AND(I40&lt;0,I16&gt;0,I74="ESAL"),$B$24,$B$25),IF(I74=$S$21,IF(I40&gt;=$S$39,$B$24,$B$25),IF(I40&gt;=$T$39,$B$24,$B$25))),"-")</f>
        <v>CUMPLE</v>
      </c>
      <c r="J39" s="217" t="s">
        <v>95</v>
      </c>
      <c r="K39" s="217" t="s">
        <v>95</v>
      </c>
      <c r="L39" s="217" t="s">
        <v>95</v>
      </c>
      <c r="M39" s="14" t="str">
        <f>IFERROR(IF((IF(M74=$S$21,IF(M40&gt;=$S$39,$B$24,$B$25),IF(M40&gt;=$T$39,$B$24,$B$25)))="No hábil",IF(AND(M40&lt;0,M16&gt;0,M74="ESAL"),$B$24,$B$25),IF(M74=$S$21,IF(M40&gt;=$S$39,$B$24,$B$25),IF(M40&gt;=$T$39,$B$24,$B$25))),"-")</f>
        <v>CUMPLE</v>
      </c>
      <c r="N39" s="193" t="str">
        <f>IFERROR(IF((IF(N74=$S$21,IF(N40&gt;=$S$39,$B$24,$B$25),IF(N40&gt;=$T$39,$B$24,$B$25)))="No hábil",IF(AND(N40&lt;0,N16&gt;0,N74="ESAL"),$B$24,$B$25),IF(N74=$S$21,IF(N40&gt;=$S$39,$B$24,$B$25),IF(N40&gt;=$T$39,$B$24,$B$25))),"-")</f>
        <v>CUMPLE</v>
      </c>
      <c r="O39" s="217" t="s">
        <v>95</v>
      </c>
      <c r="P39" s="217" t="s">
        <v>95</v>
      </c>
      <c r="Q39" s="104" t="str">
        <f>IFERROR(IF((IF(Q74=$S$21,IF(Q40&gt;=$S$39,$B$24,$B$25),IF(Q40&gt;=$T$39,$B$24,$B$25)))="No hábil",IF(AND(Q40&lt;0,Q16&gt;0,Q74="ESAL"),$B$24,$B$25),IF(Q74=$S$21,IF(Q40&gt;=$S$39,$B$24,$B$25),IF(Q40&gt;=$T$39,$B$24,$B$25))),"-")</f>
        <v>CUMPLE</v>
      </c>
      <c r="S39" s="41">
        <v>0.01</v>
      </c>
      <c r="T39" s="41">
        <v>0.03</v>
      </c>
    </row>
    <row r="40" spans="2:21" s="3" customFormat="1" ht="22.5" customHeight="1" x14ac:dyDescent="0.2">
      <c r="B40" s="157" t="s">
        <v>24</v>
      </c>
      <c r="C40" s="217" t="s">
        <v>95</v>
      </c>
      <c r="D40" s="217" t="s">
        <v>95</v>
      </c>
      <c r="E40" s="170">
        <f t="shared" ref="E40" si="50">IFERROR(E18/E14,"-")</f>
        <v>0.25615570820034916</v>
      </c>
      <c r="F40" s="217" t="s">
        <v>95</v>
      </c>
      <c r="G40" s="217" t="s">
        <v>95</v>
      </c>
      <c r="H40" s="217" t="s">
        <v>95</v>
      </c>
      <c r="I40" s="170">
        <f t="shared" ref="I40" si="51">IFERROR(I18/I14,"-")</f>
        <v>5.1417180384837211E-2</v>
      </c>
      <c r="J40" s="217" t="s">
        <v>95</v>
      </c>
      <c r="K40" s="217" t="s">
        <v>95</v>
      </c>
      <c r="L40" s="217" t="s">
        <v>95</v>
      </c>
      <c r="M40" s="170">
        <f t="shared" ref="M40:N40" si="52">IFERROR(M18/M14,"-")</f>
        <v>0.1361154809695472</v>
      </c>
      <c r="N40" s="200">
        <f t="shared" si="52"/>
        <v>0.16294013768720009</v>
      </c>
      <c r="O40" s="217" t="s">
        <v>95</v>
      </c>
      <c r="P40" s="217" t="s">
        <v>95</v>
      </c>
      <c r="Q40" s="171">
        <f t="shared" ref="Q40" si="53">IFERROR(Q18/Q14,"-")</f>
        <v>0.11841938918587235</v>
      </c>
    </row>
    <row r="41" spans="2:21" s="3" customFormat="1" ht="25.9" customHeight="1" x14ac:dyDescent="0.25">
      <c r="B41" s="23" t="s">
        <v>25</v>
      </c>
      <c r="C41" s="218"/>
      <c r="D41" s="218"/>
      <c r="E41" s="19" t="str">
        <f t="shared" ref="E41" si="54">IF(E10="NO CUMPLE","DEBE SUBSANAR",IF(COUNTIF(E27:E40,"NO CUMPLE")&gt;=1,"NO HABILITADO","HABILITADO"))</f>
        <v>HABILITADO</v>
      </c>
      <c r="F41" s="218"/>
      <c r="G41" s="218"/>
      <c r="H41" s="218"/>
      <c r="I41" s="19" t="str">
        <f t="shared" ref="I41" si="55">IF(I10="NO CUMPLE","DEBE SUBSANAR",IF(COUNTIF(I27:I40,"NO CUMPLE")&gt;=1,"NO HABILITADO","HABILITADO"))</f>
        <v>HABILITADO</v>
      </c>
      <c r="J41" s="218"/>
      <c r="K41" s="218"/>
      <c r="L41" s="218"/>
      <c r="M41" s="19" t="str">
        <f t="shared" ref="M41:N41" si="56">IF(M10="NO CUMPLE","DEBE SUBSANAR",IF(COUNTIF(M27:M40,"NO CUMPLE")&gt;=1,"NO HABILITADO","HABILITADO"))</f>
        <v>HABILITADO</v>
      </c>
      <c r="N41" s="201" t="str">
        <f t="shared" si="56"/>
        <v>HABILITADO</v>
      </c>
      <c r="O41" s="218"/>
      <c r="P41" s="218"/>
      <c r="Q41" s="129" t="str">
        <f t="shared" ref="Q41" si="57">IF(Q10="NO CUMPLE","DEBE SUBSANAR",IF(COUNTIF(Q27:Q40,"NO CUMPLE")&gt;=1,"NO HABILITADO","HABILITADO"))</f>
        <v>HABILITADO</v>
      </c>
      <c r="S41" s="94"/>
      <c r="T41" s="1"/>
    </row>
    <row r="42" spans="2:21" s="3" customFormat="1" ht="15.75" x14ac:dyDescent="0.25">
      <c r="B42" s="32"/>
      <c r="C42" s="33"/>
      <c r="D42" s="33"/>
      <c r="E42" s="33"/>
      <c r="F42" s="33"/>
      <c r="G42" s="33"/>
      <c r="H42" s="33"/>
      <c r="I42" s="33"/>
      <c r="J42" s="33"/>
      <c r="K42" s="33"/>
      <c r="L42" s="33"/>
      <c r="M42" s="33"/>
      <c r="N42" s="33"/>
      <c r="O42" s="199"/>
      <c r="P42" s="33"/>
      <c r="Q42" s="98"/>
      <c r="S42" s="94" t="s">
        <v>79</v>
      </c>
      <c r="T42" s="1"/>
    </row>
    <row r="43" spans="2:21" s="3" customFormat="1" ht="21" customHeight="1" x14ac:dyDescent="0.25">
      <c r="B43" s="159" t="s">
        <v>26</v>
      </c>
      <c r="C43" s="71"/>
      <c r="D43" s="71"/>
      <c r="E43" s="71"/>
      <c r="F43" s="71"/>
      <c r="G43" s="71"/>
      <c r="H43" s="71"/>
      <c r="I43" s="71"/>
      <c r="J43" s="71"/>
      <c r="K43" s="71"/>
      <c r="L43" s="71"/>
      <c r="M43" s="71"/>
      <c r="N43" s="71"/>
      <c r="O43" s="71"/>
      <c r="P43" s="71"/>
      <c r="Q43" s="72"/>
      <c r="S43" s="3" t="s">
        <v>76</v>
      </c>
      <c r="T43" s="1"/>
    </row>
    <row r="44" spans="2:21" s="3" customFormat="1" ht="21" customHeight="1" x14ac:dyDescent="0.25">
      <c r="B44" s="160" t="s">
        <v>61</v>
      </c>
      <c r="C44" s="73"/>
      <c r="D44" s="73"/>
      <c r="E44" s="73"/>
      <c r="F44" s="73"/>
      <c r="G44" s="73"/>
      <c r="H44" s="73"/>
      <c r="I44" s="73"/>
      <c r="J44" s="73"/>
      <c r="K44" s="73"/>
      <c r="L44" s="73"/>
      <c r="M44" s="73"/>
      <c r="N44" s="73"/>
      <c r="O44" s="73"/>
      <c r="P44" s="73"/>
      <c r="Q44" s="74"/>
      <c r="T44" s="1"/>
    </row>
    <row r="45" spans="2:21" s="3" customFormat="1" ht="15.75" x14ac:dyDescent="0.25">
      <c r="B45" s="20"/>
      <c r="C45" s="34"/>
      <c r="D45" s="34"/>
      <c r="E45" s="34"/>
      <c r="F45" s="34"/>
      <c r="G45" s="34"/>
      <c r="H45" s="34"/>
      <c r="I45" s="34"/>
      <c r="J45" s="34"/>
      <c r="K45" s="34"/>
      <c r="L45" s="34"/>
      <c r="M45" s="34"/>
      <c r="N45" s="34"/>
      <c r="O45" s="34"/>
      <c r="P45" s="34"/>
      <c r="Q45" s="21"/>
      <c r="T45" s="1"/>
    </row>
    <row r="46" spans="2:21" s="3" customFormat="1" ht="15.75" x14ac:dyDescent="0.25">
      <c r="B46" s="45" t="str">
        <f>B71</f>
        <v>Fecha de cierre del proceso:</v>
      </c>
      <c r="C46" s="34"/>
      <c r="D46" s="34"/>
      <c r="E46" s="34"/>
      <c r="F46" s="34"/>
      <c r="G46" s="34"/>
      <c r="H46" s="34"/>
      <c r="I46" s="34"/>
      <c r="J46" s="34"/>
      <c r="K46" s="34"/>
      <c r="L46" s="34"/>
      <c r="M46" s="34"/>
      <c r="N46" s="34"/>
      <c r="O46" s="34"/>
      <c r="P46" s="34"/>
      <c r="Q46" s="21"/>
      <c r="T46" s="1"/>
    </row>
    <row r="47" spans="2:21" s="3" customFormat="1" ht="15.75" x14ac:dyDescent="0.25">
      <c r="B47" s="59">
        <f>C71</f>
        <v>46006</v>
      </c>
      <c r="C47" s="34"/>
      <c r="D47" s="34"/>
      <c r="E47" s="34"/>
      <c r="F47" s="34"/>
      <c r="G47" s="34"/>
      <c r="H47" s="34"/>
      <c r="I47" s="34"/>
      <c r="J47" s="34"/>
      <c r="K47" s="34"/>
      <c r="L47" s="34"/>
      <c r="M47" s="34"/>
      <c r="N47" s="34"/>
      <c r="O47" s="34"/>
      <c r="P47" s="34"/>
      <c r="Q47" s="21"/>
      <c r="T47" s="1"/>
    </row>
    <row r="48" spans="2:21" s="3" customFormat="1" ht="15.75" x14ac:dyDescent="0.25">
      <c r="B48" s="46"/>
      <c r="Q48" s="111"/>
      <c r="T48" s="1"/>
    </row>
    <row r="49" spans="1:20" s="3" customFormat="1" ht="15.75" x14ac:dyDescent="0.25">
      <c r="B49" s="79" t="s">
        <v>27</v>
      </c>
      <c r="C49" s="64"/>
      <c r="D49" s="64"/>
      <c r="E49" s="64"/>
      <c r="F49" s="64"/>
      <c r="G49" s="64"/>
      <c r="H49" s="64"/>
      <c r="I49" s="64"/>
      <c r="J49" s="64"/>
      <c r="K49" s="64"/>
      <c r="L49" s="64"/>
      <c r="M49" s="64"/>
      <c r="N49" s="64"/>
      <c r="O49" s="64"/>
      <c r="P49" s="64"/>
      <c r="Q49" s="112"/>
      <c r="T49" s="1"/>
    </row>
    <row r="50" spans="1:20" s="3" customFormat="1" ht="15.75" x14ac:dyDescent="0.25">
      <c r="A50" s="5"/>
      <c r="B50" s="58">
        <f>C65</f>
        <v>46008</v>
      </c>
      <c r="C50" s="65"/>
      <c r="D50" s="65"/>
      <c r="E50" s="65"/>
      <c r="F50" s="65"/>
      <c r="G50" s="65"/>
      <c r="H50" s="65"/>
      <c r="I50" s="65"/>
      <c r="J50" s="65"/>
      <c r="K50" s="65"/>
      <c r="L50" s="65"/>
      <c r="M50" s="65"/>
      <c r="N50" s="65"/>
      <c r="O50" s="65"/>
      <c r="P50" s="65"/>
      <c r="Q50" s="113"/>
      <c r="T50" s="1"/>
    </row>
    <row r="51" spans="1:20" s="3" customFormat="1" ht="15.75" x14ac:dyDescent="0.25">
      <c r="A51" s="5"/>
      <c r="B51" s="58"/>
      <c r="C51" s="120"/>
      <c r="D51" s="120" t="s">
        <v>28</v>
      </c>
      <c r="F51" s="120"/>
      <c r="G51" s="120"/>
      <c r="H51" s="120"/>
      <c r="I51" s="120"/>
      <c r="J51" s="120"/>
      <c r="M51" s="120"/>
      <c r="N51" s="120"/>
      <c r="O51" s="120"/>
      <c r="P51" s="120"/>
      <c r="Q51" s="113"/>
      <c r="T51" s="1"/>
    </row>
    <row r="52" spans="1:20" ht="15.75" x14ac:dyDescent="0.25">
      <c r="A52" s="6"/>
      <c r="B52" s="79" t="s">
        <v>29</v>
      </c>
      <c r="C52" s="130"/>
      <c r="D52" s="65" t="s">
        <v>66</v>
      </c>
      <c r="F52" s="65"/>
      <c r="G52" s="65"/>
      <c r="H52" s="65"/>
      <c r="I52" s="65"/>
      <c r="J52" s="65"/>
      <c r="M52" s="65"/>
      <c r="N52" s="65"/>
      <c r="O52" s="65"/>
      <c r="P52" s="65"/>
      <c r="Q52" s="114"/>
    </row>
    <row r="53" spans="1:20" ht="15.75" x14ac:dyDescent="0.25">
      <c r="A53" s="6"/>
      <c r="B53" s="58">
        <f>'1. Oferentes 1 a 8'!B53</f>
        <v>46020</v>
      </c>
      <c r="C53" s="130"/>
      <c r="D53" s="65" t="s">
        <v>30</v>
      </c>
      <c r="F53" s="65"/>
      <c r="G53" s="65"/>
      <c r="H53" s="65"/>
      <c r="I53" s="65"/>
      <c r="J53" s="65"/>
      <c r="M53" s="65"/>
      <c r="N53" s="65"/>
      <c r="O53" s="65"/>
      <c r="P53" s="65"/>
      <c r="Q53" s="114"/>
    </row>
    <row r="54" spans="1:20" ht="15.75" x14ac:dyDescent="0.25">
      <c r="A54" s="6"/>
      <c r="B54" s="58"/>
      <c r="C54" s="57"/>
      <c r="D54" s="57"/>
      <c r="E54" s="57"/>
      <c r="F54" s="57"/>
      <c r="G54" s="57"/>
      <c r="H54" s="57"/>
      <c r="I54" s="57"/>
      <c r="J54" s="57"/>
      <c r="K54" s="57"/>
      <c r="L54" s="57"/>
      <c r="M54" s="57"/>
      <c r="N54" s="57"/>
      <c r="O54" s="57"/>
      <c r="P54" s="57"/>
      <c r="Q54" s="114"/>
    </row>
    <row r="55" spans="1:20" ht="15.75" x14ac:dyDescent="0.25">
      <c r="A55" s="6"/>
      <c r="B55" s="119" t="str">
        <f>"NOTA: La fecha de corte de la información financiera registrada en el RUP debe ser 31/12/2024, de acuerdo a lo establecido en el pliego definitivo de condiciones del proceso "&amp;S23&amp;","</f>
        <v>NOTA: La fecha de corte de la información financiera registrada en el RUP debe ser 31/12/2024, de acuerdo a lo establecido en el pliego definitivo de condiciones del proceso FDLU-CMA-027-2025 (143212),</v>
      </c>
      <c r="C55" s="69"/>
      <c r="D55" s="69"/>
      <c r="E55" s="69"/>
      <c r="F55" s="69"/>
      <c r="G55" s="69"/>
      <c r="H55" s="69"/>
      <c r="I55" s="69"/>
      <c r="J55" s="69"/>
      <c r="K55" s="69"/>
      <c r="L55" s="69"/>
      <c r="M55" s="69"/>
      <c r="N55" s="69"/>
      <c r="O55" s="69"/>
      <c r="P55" s="69"/>
      <c r="Q55" s="115"/>
    </row>
    <row r="56" spans="1:20" ht="15.75" x14ac:dyDescent="0.25">
      <c r="A56" s="6"/>
      <c r="B56" s="75" t="str">
        <f ca="1">'Consolidado 1 a 9'!J58</f>
        <v>de las (46) empresas evaluadas, (45) empresas están habilitadas.</v>
      </c>
      <c r="C56" s="57"/>
      <c r="D56" s="57"/>
      <c r="E56" s="57"/>
      <c r="F56" s="57"/>
      <c r="G56" s="57"/>
      <c r="H56" s="57"/>
      <c r="I56" s="57"/>
      <c r="J56" s="57"/>
      <c r="K56" s="57"/>
      <c r="L56" s="57"/>
      <c r="M56" s="57"/>
      <c r="N56" s="57"/>
      <c r="O56" s="57"/>
      <c r="P56" s="57"/>
      <c r="Q56" s="114"/>
    </row>
    <row r="57" spans="1:20" ht="16.5" thickBot="1" x14ac:dyDescent="0.3">
      <c r="B57" s="89"/>
      <c r="C57" s="76"/>
      <c r="D57" s="76"/>
      <c r="E57" s="76"/>
      <c r="F57" s="76"/>
      <c r="G57" s="76"/>
      <c r="H57" s="76"/>
      <c r="I57" s="76"/>
      <c r="J57" s="76"/>
      <c r="K57" s="76"/>
      <c r="L57" s="76"/>
      <c r="M57" s="76"/>
      <c r="N57" s="76"/>
      <c r="O57" s="76"/>
      <c r="P57" s="76"/>
      <c r="Q57" s="77"/>
    </row>
    <row r="59" spans="1:20" x14ac:dyDescent="0.25">
      <c r="B59" s="7"/>
      <c r="C59" s="7"/>
      <c r="D59" s="7"/>
      <c r="E59" s="7"/>
      <c r="F59" s="7"/>
      <c r="G59" s="7"/>
      <c r="H59" s="7"/>
      <c r="I59" s="7"/>
      <c r="J59" s="7"/>
      <c r="K59" s="7"/>
      <c r="L59" s="7"/>
      <c r="M59" s="7"/>
      <c r="N59" s="7"/>
      <c r="O59" s="7"/>
      <c r="P59" s="7"/>
      <c r="Q59" s="7"/>
    </row>
    <row r="63" spans="1:20" x14ac:dyDescent="0.25">
      <c r="B63" s="47" t="s">
        <v>31</v>
      </c>
      <c r="C63" s="48"/>
      <c r="D63" s="48"/>
      <c r="E63" s="48"/>
      <c r="F63" s="48"/>
      <c r="G63" s="48"/>
      <c r="H63" s="48"/>
      <c r="I63" s="48"/>
      <c r="J63" s="48"/>
      <c r="K63" s="48"/>
      <c r="L63" s="48"/>
      <c r="M63" s="48"/>
      <c r="N63" s="48"/>
      <c r="O63" s="48"/>
      <c r="P63" s="48"/>
      <c r="Q63" s="49"/>
    </row>
    <row r="64" spans="1:20" x14ac:dyDescent="0.25">
      <c r="B64" s="50"/>
      <c r="Q64" s="51"/>
    </row>
    <row r="65" spans="2:17" x14ac:dyDescent="0.25">
      <c r="B65" s="50" t="s">
        <v>32</v>
      </c>
      <c r="C65" s="151">
        <v>46008</v>
      </c>
      <c r="E65" s="68"/>
      <c r="F65" s="68"/>
      <c r="G65" s="68"/>
      <c r="H65" s="68"/>
      <c r="I65" s="68"/>
      <c r="J65" s="68"/>
      <c r="K65" s="68"/>
      <c r="L65" s="68"/>
      <c r="M65" s="68"/>
      <c r="N65" s="68"/>
      <c r="O65" s="68"/>
      <c r="P65" s="68"/>
      <c r="Q65" s="88"/>
    </row>
    <row r="66" spans="2:17" x14ac:dyDescent="0.25">
      <c r="B66" s="50"/>
      <c r="Q66" s="51"/>
    </row>
    <row r="67" spans="2:17" x14ac:dyDescent="0.25">
      <c r="B67" s="52"/>
      <c r="C67" s="53" t="str">
        <f t="shared" ref="C67:Q67" si="58">C8</f>
        <v>A</v>
      </c>
      <c r="D67" s="53" t="str">
        <f t="shared" si="58"/>
        <v>B</v>
      </c>
      <c r="E67" s="53">
        <f t="shared" si="58"/>
        <v>9</v>
      </c>
      <c r="F67" s="53" t="str">
        <f t="shared" si="58"/>
        <v>A</v>
      </c>
      <c r="G67" s="53" t="str">
        <f t="shared" ref="G67" si="59">G8</f>
        <v>B</v>
      </c>
      <c r="H67" s="53" t="str">
        <f t="shared" si="58"/>
        <v>C</v>
      </c>
      <c r="I67" s="53">
        <f t="shared" ref="I67" si="60">I8</f>
        <v>10</v>
      </c>
      <c r="J67" s="53" t="str">
        <f t="shared" si="58"/>
        <v>A</v>
      </c>
      <c r="K67" s="53" t="str">
        <f t="shared" ref="K67" si="61">K8</f>
        <v>B</v>
      </c>
      <c r="L67" s="53" t="str">
        <f t="shared" si="58"/>
        <v>C</v>
      </c>
      <c r="M67" s="53">
        <f t="shared" si="58"/>
        <v>11</v>
      </c>
      <c r="N67" s="53">
        <f t="shared" si="58"/>
        <v>12</v>
      </c>
      <c r="O67" s="53" t="str">
        <f t="shared" si="58"/>
        <v>A</v>
      </c>
      <c r="P67" s="53" t="str">
        <f t="shared" si="58"/>
        <v>B</v>
      </c>
      <c r="Q67" s="61">
        <f t="shared" si="58"/>
        <v>13</v>
      </c>
    </row>
    <row r="68" spans="2:17" x14ac:dyDescent="0.25">
      <c r="B68" s="54" t="s">
        <v>33</v>
      </c>
      <c r="C68" s="55">
        <v>45993</v>
      </c>
      <c r="D68" s="55">
        <v>45986</v>
      </c>
      <c r="E68" s="55"/>
      <c r="F68" s="55">
        <v>45986</v>
      </c>
      <c r="G68" s="55">
        <v>45979</v>
      </c>
      <c r="H68" s="55">
        <v>46000</v>
      </c>
      <c r="I68" s="55"/>
      <c r="J68" s="55">
        <v>45986</v>
      </c>
      <c r="K68" s="55">
        <v>46000</v>
      </c>
      <c r="L68" s="55">
        <v>45979</v>
      </c>
      <c r="M68" s="55"/>
      <c r="N68" s="55">
        <v>46000</v>
      </c>
      <c r="O68" s="55">
        <v>45987</v>
      </c>
      <c r="P68" s="55">
        <v>45999</v>
      </c>
      <c r="Q68" s="62"/>
    </row>
    <row r="69" spans="2:17" x14ac:dyDescent="0.25">
      <c r="B69" s="54" t="s">
        <v>34</v>
      </c>
      <c r="C69" s="55"/>
      <c r="D69" s="55"/>
      <c r="E69" s="55"/>
      <c r="F69" s="55"/>
      <c r="G69" s="55"/>
      <c r="H69" s="55"/>
      <c r="I69" s="55"/>
      <c r="J69" s="55"/>
      <c r="K69" s="55"/>
      <c r="L69" s="55"/>
      <c r="M69" s="55"/>
      <c r="N69" s="55"/>
      <c r="O69" s="55"/>
      <c r="P69" s="55"/>
      <c r="Q69" s="62"/>
    </row>
    <row r="70" spans="2:17" x14ac:dyDescent="0.25">
      <c r="B70" s="50"/>
      <c r="Q70" s="51"/>
    </row>
    <row r="71" spans="2:17" x14ac:dyDescent="0.25">
      <c r="B71" s="50" t="s">
        <v>35</v>
      </c>
      <c r="C71" s="151">
        <v>46006</v>
      </c>
      <c r="D71" s="68">
        <f t="shared" ref="D71" si="62">C71</f>
        <v>46006</v>
      </c>
      <c r="E71" s="68"/>
      <c r="F71" s="68">
        <f>D71</f>
        <v>46006</v>
      </c>
      <c r="G71" s="68">
        <f>F71</f>
        <v>46006</v>
      </c>
      <c r="H71" s="68">
        <f>G71</f>
        <v>46006</v>
      </c>
      <c r="I71" s="68"/>
      <c r="J71" s="68">
        <f>H71</f>
        <v>46006</v>
      </c>
      <c r="K71" s="68">
        <f t="shared" ref="K71:L71" si="63">J71</f>
        <v>46006</v>
      </c>
      <c r="L71" s="68">
        <f t="shared" si="63"/>
        <v>46006</v>
      </c>
      <c r="M71" s="68"/>
      <c r="N71" s="68">
        <f>L71</f>
        <v>46006</v>
      </c>
      <c r="O71" s="68">
        <f>N71</f>
        <v>46006</v>
      </c>
      <c r="P71" s="68">
        <f>O71</f>
        <v>46006</v>
      </c>
      <c r="Q71" s="88"/>
    </row>
    <row r="72" spans="2:17" x14ac:dyDescent="0.25">
      <c r="B72" s="54" t="s">
        <v>36</v>
      </c>
      <c r="C72" s="70">
        <f t="shared" ref="C72:L72" si="64">C71-C68</f>
        <v>13</v>
      </c>
      <c r="D72" s="70">
        <f t="shared" si="64"/>
        <v>20</v>
      </c>
      <c r="E72" s="70"/>
      <c r="F72" s="70">
        <f t="shared" si="64"/>
        <v>20</v>
      </c>
      <c r="G72" s="70">
        <f t="shared" ref="G72" si="65">G71-G68</f>
        <v>27</v>
      </c>
      <c r="H72" s="70">
        <f t="shared" si="64"/>
        <v>6</v>
      </c>
      <c r="I72" s="70"/>
      <c r="J72" s="70">
        <f t="shared" si="64"/>
        <v>20</v>
      </c>
      <c r="K72" s="70">
        <f t="shared" ref="K72" si="66">K71-K68</f>
        <v>6</v>
      </c>
      <c r="L72" s="70">
        <f t="shared" si="64"/>
        <v>27</v>
      </c>
      <c r="M72" s="70"/>
      <c r="N72" s="70">
        <f t="shared" ref="N72:O72" si="67">N71-N68</f>
        <v>6</v>
      </c>
      <c r="O72" s="70">
        <f t="shared" si="67"/>
        <v>19</v>
      </c>
      <c r="P72" s="70">
        <f t="shared" ref="P72" si="68">P71-P68</f>
        <v>7</v>
      </c>
      <c r="Q72" s="116"/>
    </row>
    <row r="73" spans="2:17" x14ac:dyDescent="0.25">
      <c r="B73" s="78">
        <v>30</v>
      </c>
      <c r="C73" s="56"/>
      <c r="D73" s="56"/>
      <c r="E73" s="56"/>
      <c r="F73" s="56"/>
      <c r="G73" s="56"/>
      <c r="H73" s="56"/>
      <c r="I73" s="56"/>
      <c r="J73" s="56"/>
      <c r="K73" s="56"/>
      <c r="L73" s="56"/>
      <c r="M73" s="56"/>
      <c r="N73" s="56"/>
      <c r="O73" s="56"/>
      <c r="P73" s="56"/>
      <c r="Q73" s="67"/>
    </row>
    <row r="74" spans="2:17" x14ac:dyDescent="0.25">
      <c r="B74" s="153" t="s">
        <v>37</v>
      </c>
      <c r="C74" s="127" t="s">
        <v>77</v>
      </c>
      <c r="D74" s="127" t="s">
        <v>77</v>
      </c>
      <c r="E74" s="127" t="s">
        <v>77</v>
      </c>
      <c r="F74" s="127" t="s">
        <v>77</v>
      </c>
      <c r="G74" s="127" t="s">
        <v>77</v>
      </c>
      <c r="H74" s="127" t="s">
        <v>77</v>
      </c>
      <c r="I74" s="127" t="s">
        <v>77</v>
      </c>
      <c r="J74" s="127" t="s">
        <v>77</v>
      </c>
      <c r="K74" s="127" t="s">
        <v>77</v>
      </c>
      <c r="L74" s="127" t="s">
        <v>77</v>
      </c>
      <c r="M74" s="127" t="s">
        <v>77</v>
      </c>
      <c r="N74" s="127" t="s">
        <v>77</v>
      </c>
      <c r="O74" s="127" t="s">
        <v>77</v>
      </c>
      <c r="P74" s="127" t="s">
        <v>78</v>
      </c>
      <c r="Q74" s="128" t="s">
        <v>77</v>
      </c>
    </row>
    <row r="75" spans="2:17" ht="15.75" customHeight="1" x14ac:dyDescent="0.25">
      <c r="B75" s="152"/>
      <c r="C75" s="100"/>
      <c r="D75" s="100"/>
      <c r="E75" s="100"/>
      <c r="F75" s="100"/>
      <c r="G75" s="100"/>
      <c r="H75" s="100"/>
      <c r="I75" s="100"/>
      <c r="J75" s="100"/>
      <c r="K75" s="100"/>
      <c r="L75" s="100"/>
      <c r="M75" s="100"/>
      <c r="N75" s="100"/>
      <c r="O75" s="100"/>
      <c r="P75" s="100"/>
      <c r="Q75" s="97"/>
    </row>
    <row r="76" spans="2:17" x14ac:dyDescent="0.25">
      <c r="B76" s="173"/>
      <c r="C76" s="173"/>
      <c r="D76" s="173"/>
      <c r="E76" s="173"/>
      <c r="F76" s="173"/>
      <c r="G76" s="173"/>
      <c r="H76" s="173"/>
      <c r="I76" s="173"/>
      <c r="J76" s="173"/>
      <c r="K76" s="173"/>
      <c r="L76" s="173"/>
      <c r="M76" s="173"/>
      <c r="N76" s="173"/>
      <c r="O76" s="173"/>
      <c r="P76" s="173"/>
      <c r="Q76" s="173"/>
    </row>
    <row r="77" spans="2:17" x14ac:dyDescent="0.25">
      <c r="B77" s="173"/>
      <c r="C77" s="173"/>
      <c r="D77" s="173"/>
      <c r="E77" s="173"/>
      <c r="F77" s="173"/>
      <c r="G77" s="173"/>
      <c r="H77" s="173"/>
      <c r="I77" s="173"/>
      <c r="J77" s="173"/>
      <c r="K77" s="173"/>
      <c r="L77" s="173"/>
      <c r="M77" s="173"/>
      <c r="N77" s="173"/>
      <c r="O77" s="173"/>
      <c r="P77" s="173"/>
      <c r="Q77" s="174"/>
    </row>
    <row r="78" spans="2:17" x14ac:dyDescent="0.25">
      <c r="B78" s="173"/>
      <c r="C78" s="173"/>
      <c r="D78" s="173"/>
      <c r="E78" s="173"/>
      <c r="F78" s="173"/>
      <c r="G78" s="173"/>
      <c r="H78" s="173"/>
      <c r="I78" s="173"/>
      <c r="J78" s="173"/>
      <c r="K78" s="173"/>
      <c r="L78" s="173"/>
      <c r="M78" s="173"/>
      <c r="N78" s="173"/>
      <c r="O78" s="173"/>
      <c r="P78" s="173"/>
      <c r="Q78" s="173"/>
    </row>
    <row r="79" spans="2:17" x14ac:dyDescent="0.25">
      <c r="B79" s="173"/>
      <c r="C79" s="173"/>
      <c r="D79" s="173"/>
      <c r="E79" s="173"/>
      <c r="F79" s="173"/>
      <c r="G79" s="173"/>
      <c r="H79" s="173"/>
      <c r="I79" s="173"/>
      <c r="J79" s="173"/>
      <c r="K79" s="173"/>
      <c r="L79" s="173"/>
      <c r="M79" s="173"/>
      <c r="N79" s="173"/>
      <c r="O79" s="173"/>
      <c r="P79" s="173"/>
      <c r="Q79" s="173"/>
    </row>
    <row r="80" spans="2:17" x14ac:dyDescent="0.25">
      <c r="B80" s="173"/>
      <c r="C80" s="173"/>
      <c r="D80" s="173"/>
      <c r="E80" s="173"/>
      <c r="F80" s="173"/>
      <c r="G80" s="173"/>
      <c r="H80" s="173"/>
      <c r="I80" s="173"/>
      <c r="J80" s="173"/>
      <c r="K80" s="173"/>
      <c r="L80" s="173"/>
      <c r="M80" s="173"/>
      <c r="N80" s="173"/>
      <c r="O80" s="173"/>
      <c r="P80" s="173"/>
      <c r="Q80" s="173"/>
    </row>
    <row r="81" spans="2:17" x14ac:dyDescent="0.25">
      <c r="B81" s="173"/>
      <c r="C81" s="173"/>
      <c r="D81" s="173"/>
      <c r="E81" s="173"/>
      <c r="F81" s="173"/>
      <c r="G81" s="173"/>
      <c r="H81" s="173"/>
      <c r="I81" s="173"/>
      <c r="J81" s="173"/>
      <c r="K81" s="173"/>
      <c r="L81" s="173"/>
      <c r="M81" s="173"/>
      <c r="N81" s="173"/>
      <c r="O81" s="173"/>
      <c r="P81" s="173"/>
      <c r="Q81" s="173"/>
    </row>
    <row r="82" spans="2:17" x14ac:dyDescent="0.25">
      <c r="B82" s="173"/>
      <c r="C82" s="173"/>
      <c r="D82" s="173"/>
      <c r="E82" s="173"/>
      <c r="F82" s="173"/>
      <c r="G82" s="173"/>
      <c r="H82" s="173"/>
      <c r="I82" s="173"/>
      <c r="J82" s="173"/>
      <c r="K82" s="173"/>
      <c r="L82" s="173"/>
      <c r="M82" s="173"/>
      <c r="N82" s="173"/>
      <c r="O82" s="173"/>
      <c r="P82" s="173"/>
      <c r="Q82" s="173"/>
    </row>
    <row r="83" spans="2:17" x14ac:dyDescent="0.25">
      <c r="B83" s="173"/>
      <c r="C83" s="175"/>
      <c r="D83" s="175"/>
      <c r="E83" s="175"/>
      <c r="F83" s="175"/>
      <c r="G83" s="175"/>
      <c r="H83" s="175"/>
      <c r="I83" s="175"/>
      <c r="J83" s="175"/>
      <c r="K83" s="175"/>
      <c r="L83" s="175"/>
      <c r="M83" s="175"/>
      <c r="N83" s="175"/>
      <c r="O83" s="175"/>
      <c r="P83" s="175"/>
      <c r="Q83" s="173"/>
    </row>
    <row r="84" spans="2:17" x14ac:dyDescent="0.25">
      <c r="B84" s="173"/>
      <c r="C84" s="175"/>
      <c r="D84" s="175"/>
      <c r="E84" s="175"/>
      <c r="F84" s="175"/>
      <c r="G84" s="175"/>
      <c r="H84" s="175"/>
      <c r="I84" s="175"/>
      <c r="J84" s="175"/>
      <c r="K84" s="175"/>
      <c r="L84" s="175"/>
      <c r="M84" s="175"/>
      <c r="N84" s="175"/>
      <c r="O84" s="175"/>
      <c r="P84" s="175"/>
      <c r="Q84" s="173"/>
    </row>
    <row r="85" spans="2:17" x14ac:dyDescent="0.25">
      <c r="B85" s="173"/>
      <c r="C85" s="175"/>
      <c r="D85" s="175"/>
      <c r="E85" s="175"/>
      <c r="F85" s="175"/>
      <c r="G85" s="175"/>
      <c r="H85" s="175"/>
      <c r="I85" s="175"/>
      <c r="J85" s="175"/>
      <c r="K85" s="175"/>
      <c r="L85" s="175"/>
      <c r="M85" s="175"/>
      <c r="N85" s="175"/>
      <c r="O85" s="175"/>
      <c r="P85" s="175"/>
      <c r="Q85" s="173"/>
    </row>
    <row r="86" spans="2:17" x14ac:dyDescent="0.25">
      <c r="B86" s="173"/>
      <c r="C86" s="175"/>
      <c r="D86" s="175"/>
      <c r="E86" s="175"/>
      <c r="F86" s="175"/>
      <c r="G86" s="175"/>
      <c r="H86" s="175"/>
      <c r="I86" s="175"/>
      <c r="J86" s="175"/>
      <c r="K86" s="175"/>
      <c r="L86" s="175"/>
      <c r="M86" s="175"/>
      <c r="N86" s="175"/>
      <c r="O86" s="175"/>
      <c r="P86" s="175"/>
      <c r="Q86" s="173"/>
    </row>
    <row r="87" spans="2:17" x14ac:dyDescent="0.25">
      <c r="B87" s="173"/>
      <c r="C87" s="175"/>
      <c r="D87" s="175"/>
      <c r="E87" s="175"/>
      <c r="F87" s="175"/>
      <c r="G87" s="175"/>
      <c r="H87" s="175"/>
      <c r="I87" s="175"/>
      <c r="J87" s="175"/>
      <c r="K87" s="175"/>
      <c r="L87" s="175"/>
      <c r="M87" s="175"/>
      <c r="N87" s="175"/>
      <c r="O87" s="175"/>
      <c r="P87" s="175"/>
      <c r="Q87" s="173"/>
    </row>
    <row r="88" spans="2:17" x14ac:dyDescent="0.25">
      <c r="C88" s="80"/>
      <c r="D88" s="80"/>
      <c r="E88" s="80"/>
      <c r="F88" s="80"/>
      <c r="G88" s="80"/>
      <c r="H88" s="80"/>
      <c r="I88" s="80"/>
      <c r="J88" s="80"/>
      <c r="K88" s="80"/>
      <c r="L88" s="80"/>
      <c r="M88" s="80"/>
      <c r="N88" s="80"/>
      <c r="O88" s="80"/>
      <c r="P88" s="80"/>
    </row>
    <row r="89" spans="2:17" x14ac:dyDescent="0.25">
      <c r="C89" s="80"/>
      <c r="D89" s="80"/>
      <c r="E89" s="80"/>
      <c r="F89" s="80"/>
      <c r="G89" s="80"/>
      <c r="H89" s="80"/>
      <c r="I89" s="80"/>
      <c r="J89" s="80"/>
      <c r="K89" s="80"/>
      <c r="L89" s="80"/>
      <c r="M89" s="80"/>
      <c r="N89" s="80"/>
      <c r="O89" s="80"/>
      <c r="P89" s="80"/>
    </row>
    <row r="90" spans="2:17" x14ac:dyDescent="0.25">
      <c r="C90" s="80"/>
      <c r="D90" s="80"/>
      <c r="E90" s="80"/>
      <c r="F90" s="80"/>
      <c r="G90" s="80"/>
      <c r="H90" s="80"/>
      <c r="I90" s="80"/>
      <c r="J90" s="80"/>
      <c r="K90" s="80"/>
      <c r="L90" s="80"/>
      <c r="M90" s="80"/>
      <c r="N90" s="80"/>
      <c r="O90" s="80"/>
      <c r="P90" s="80"/>
    </row>
    <row r="91" spans="2:17" x14ac:dyDescent="0.25">
      <c r="C91" s="80"/>
      <c r="D91" s="80"/>
      <c r="E91" s="80"/>
      <c r="F91" s="80"/>
      <c r="G91" s="80"/>
      <c r="H91" s="80"/>
      <c r="I91" s="80"/>
      <c r="J91" s="80"/>
      <c r="K91" s="80"/>
      <c r="L91" s="80"/>
      <c r="M91" s="80"/>
      <c r="N91" s="80"/>
      <c r="O91" s="80"/>
      <c r="P91" s="80"/>
    </row>
    <row r="92" spans="2:17" x14ac:dyDescent="0.25">
      <c r="C92" s="80"/>
      <c r="D92" s="80"/>
      <c r="E92" s="80"/>
      <c r="F92" s="80"/>
      <c r="G92" s="80"/>
      <c r="H92" s="80"/>
      <c r="I92" s="80"/>
      <c r="J92" s="80"/>
      <c r="K92" s="80"/>
      <c r="L92" s="80"/>
      <c r="M92" s="80"/>
      <c r="N92" s="80"/>
      <c r="O92" s="80"/>
      <c r="P92" s="80"/>
    </row>
    <row r="93" spans="2:17" x14ac:dyDescent="0.25">
      <c r="C93" s="80"/>
      <c r="D93" s="80"/>
      <c r="E93" s="80"/>
      <c r="F93" s="80"/>
      <c r="G93" s="80"/>
      <c r="H93" s="80"/>
      <c r="I93" s="80"/>
      <c r="J93" s="80"/>
      <c r="K93" s="80"/>
      <c r="L93" s="80"/>
      <c r="M93" s="80"/>
      <c r="N93" s="80"/>
      <c r="O93" s="80"/>
      <c r="P93" s="80"/>
    </row>
    <row r="94" spans="2:17" x14ac:dyDescent="0.25">
      <c r="C94" s="80"/>
      <c r="D94" s="80"/>
      <c r="E94" s="80"/>
      <c r="F94" s="80"/>
      <c r="G94" s="80"/>
      <c r="H94" s="80"/>
      <c r="I94" s="80"/>
      <c r="J94" s="80"/>
      <c r="K94" s="80"/>
      <c r="L94" s="80"/>
      <c r="M94" s="80"/>
      <c r="N94" s="80"/>
      <c r="O94" s="80"/>
      <c r="P94" s="80"/>
    </row>
    <row r="95" spans="2:17" x14ac:dyDescent="0.25">
      <c r="C95" s="80"/>
      <c r="D95" s="80"/>
      <c r="E95" s="80"/>
      <c r="F95" s="80"/>
      <c r="G95" s="80"/>
      <c r="H95" s="80"/>
      <c r="I95" s="80"/>
      <c r="J95" s="80"/>
      <c r="K95" s="80"/>
      <c r="L95" s="80"/>
      <c r="M95" s="80"/>
      <c r="N95" s="80"/>
      <c r="O95" s="80"/>
      <c r="P95" s="80"/>
    </row>
    <row r="96" spans="2:17" x14ac:dyDescent="0.25">
      <c r="C96" s="80"/>
      <c r="D96" s="80"/>
      <c r="E96" s="80"/>
      <c r="F96" s="80"/>
      <c r="G96" s="80"/>
      <c r="H96" s="80"/>
      <c r="I96" s="80"/>
      <c r="J96" s="80"/>
      <c r="K96" s="80"/>
      <c r="L96" s="80"/>
      <c r="M96" s="80"/>
      <c r="N96" s="80"/>
      <c r="O96" s="80"/>
      <c r="P96" s="80"/>
    </row>
    <row r="97" spans="3:16" x14ac:dyDescent="0.25">
      <c r="C97" s="80"/>
      <c r="D97" s="80"/>
      <c r="E97" s="80"/>
      <c r="F97" s="80"/>
      <c r="G97" s="80"/>
      <c r="H97" s="80"/>
      <c r="I97" s="80"/>
      <c r="J97" s="80"/>
      <c r="K97" s="80"/>
      <c r="L97" s="80"/>
      <c r="M97" s="80"/>
      <c r="N97" s="80"/>
      <c r="O97" s="80"/>
      <c r="P97" s="80"/>
    </row>
    <row r="98" spans="3:16" x14ac:dyDescent="0.25">
      <c r="C98" s="80"/>
      <c r="D98" s="80"/>
      <c r="E98" s="80"/>
      <c r="F98" s="80"/>
      <c r="G98" s="80"/>
      <c r="H98" s="80"/>
      <c r="I98" s="80"/>
      <c r="J98" s="80"/>
      <c r="K98" s="80"/>
      <c r="L98" s="80"/>
      <c r="M98" s="80"/>
      <c r="N98" s="80"/>
      <c r="O98" s="80"/>
      <c r="P98" s="80"/>
    </row>
    <row r="99" spans="3:16" x14ac:dyDescent="0.25">
      <c r="C99" s="80"/>
      <c r="D99" s="80"/>
      <c r="E99" s="80"/>
      <c r="F99" s="80"/>
      <c r="G99" s="80"/>
      <c r="H99" s="80"/>
      <c r="I99" s="80"/>
      <c r="J99" s="80"/>
      <c r="K99" s="80"/>
      <c r="L99" s="80"/>
      <c r="M99" s="80"/>
      <c r="N99" s="80"/>
      <c r="O99" s="80"/>
      <c r="P99" s="80"/>
    </row>
    <row r="100" spans="3:16" x14ac:dyDescent="0.25">
      <c r="C100" s="80"/>
      <c r="D100" s="80"/>
      <c r="E100" s="80"/>
      <c r="F100" s="80"/>
      <c r="G100" s="80"/>
      <c r="H100" s="80"/>
      <c r="I100" s="80"/>
      <c r="J100" s="80"/>
      <c r="K100" s="80"/>
      <c r="L100" s="80"/>
      <c r="M100" s="80"/>
      <c r="N100" s="80"/>
      <c r="O100" s="80"/>
      <c r="P100" s="80"/>
    </row>
    <row r="101" spans="3:16" x14ac:dyDescent="0.25">
      <c r="C101" s="80"/>
      <c r="D101" s="80"/>
      <c r="E101" s="80"/>
      <c r="F101" s="80"/>
      <c r="G101" s="80"/>
      <c r="H101" s="80"/>
      <c r="I101" s="80"/>
      <c r="J101" s="80"/>
      <c r="K101" s="80"/>
      <c r="L101" s="80"/>
      <c r="M101" s="80"/>
      <c r="N101" s="80"/>
      <c r="O101" s="80"/>
      <c r="P101" s="80"/>
    </row>
    <row r="102" spans="3:16" x14ac:dyDescent="0.25">
      <c r="C102" s="80"/>
      <c r="D102" s="80"/>
      <c r="E102" s="80"/>
      <c r="F102" s="80"/>
      <c r="G102" s="80"/>
      <c r="H102" s="80"/>
      <c r="I102" s="80"/>
      <c r="J102" s="80"/>
      <c r="K102" s="80"/>
      <c r="L102" s="80"/>
      <c r="M102" s="80"/>
      <c r="N102" s="80"/>
      <c r="O102" s="80"/>
      <c r="P102" s="80"/>
    </row>
    <row r="103" spans="3:16" x14ac:dyDescent="0.25">
      <c r="C103" s="80"/>
      <c r="D103" s="80"/>
      <c r="E103" s="80"/>
      <c r="F103" s="80"/>
      <c r="G103" s="80"/>
      <c r="H103" s="80"/>
      <c r="I103" s="80"/>
      <c r="J103" s="80"/>
      <c r="K103" s="80"/>
      <c r="L103" s="80"/>
      <c r="M103" s="80"/>
      <c r="N103" s="80"/>
      <c r="O103" s="80"/>
      <c r="P103" s="80"/>
    </row>
    <row r="104" spans="3:16" x14ac:dyDescent="0.25">
      <c r="C104" s="80"/>
      <c r="D104" s="80"/>
      <c r="E104" s="80"/>
      <c r="F104" s="80"/>
      <c r="G104" s="80"/>
      <c r="H104" s="80"/>
      <c r="I104" s="80"/>
      <c r="J104" s="80"/>
      <c r="K104" s="80"/>
      <c r="L104" s="80"/>
      <c r="M104" s="80"/>
      <c r="N104" s="80"/>
      <c r="O104" s="80"/>
      <c r="P104" s="80"/>
    </row>
    <row r="105" spans="3:16" x14ac:dyDescent="0.25">
      <c r="C105" s="80"/>
      <c r="D105" s="80"/>
      <c r="E105" s="80"/>
      <c r="F105" s="80"/>
      <c r="G105" s="80"/>
      <c r="H105" s="80"/>
      <c r="I105" s="80"/>
      <c r="J105" s="80"/>
      <c r="K105" s="80"/>
      <c r="L105" s="80"/>
      <c r="M105" s="80"/>
      <c r="N105" s="80"/>
      <c r="O105" s="80"/>
      <c r="P105" s="80"/>
    </row>
    <row r="106" spans="3:16" x14ac:dyDescent="0.25">
      <c r="C106" s="80"/>
      <c r="D106" s="80"/>
      <c r="E106" s="80"/>
      <c r="F106" s="80"/>
      <c r="G106" s="80"/>
      <c r="H106" s="80"/>
      <c r="I106" s="80"/>
      <c r="J106" s="80"/>
      <c r="K106" s="80"/>
      <c r="L106" s="80"/>
      <c r="M106" s="80"/>
      <c r="N106" s="80"/>
      <c r="O106" s="80"/>
      <c r="P106" s="80"/>
    </row>
    <row r="107" spans="3:16" x14ac:dyDescent="0.25">
      <c r="C107" s="80"/>
      <c r="D107" s="80"/>
      <c r="E107" s="80"/>
      <c r="F107" s="80"/>
      <c r="G107" s="80"/>
      <c r="H107" s="80"/>
      <c r="I107" s="80"/>
      <c r="J107" s="80"/>
      <c r="K107" s="80"/>
      <c r="L107" s="80"/>
      <c r="M107" s="80"/>
      <c r="N107" s="80"/>
      <c r="O107" s="80"/>
      <c r="P107" s="80"/>
    </row>
    <row r="108" spans="3:16" x14ac:dyDescent="0.25">
      <c r="C108" s="80"/>
      <c r="D108" s="80"/>
      <c r="E108" s="80"/>
      <c r="F108" s="80"/>
      <c r="G108" s="80"/>
      <c r="H108" s="80"/>
      <c r="I108" s="80"/>
      <c r="J108" s="80"/>
      <c r="K108" s="80"/>
      <c r="L108" s="80"/>
      <c r="M108" s="80"/>
      <c r="N108" s="80"/>
      <c r="O108" s="80"/>
      <c r="P108" s="80"/>
    </row>
    <row r="109" spans="3:16" x14ac:dyDescent="0.25">
      <c r="C109" s="80"/>
      <c r="D109" s="80"/>
      <c r="E109" s="80"/>
      <c r="F109" s="80"/>
      <c r="G109" s="80"/>
      <c r="H109" s="80"/>
      <c r="I109" s="80"/>
      <c r="J109" s="80"/>
      <c r="K109" s="80"/>
      <c r="L109" s="80"/>
      <c r="M109" s="80"/>
      <c r="N109" s="80"/>
      <c r="O109" s="80"/>
      <c r="P109" s="80"/>
    </row>
    <row r="110" spans="3:16" x14ac:dyDescent="0.25">
      <c r="C110" s="80"/>
      <c r="D110" s="80"/>
      <c r="E110" s="80"/>
      <c r="F110" s="80"/>
      <c r="G110" s="80"/>
      <c r="H110" s="80"/>
      <c r="I110" s="80"/>
      <c r="J110" s="80"/>
      <c r="K110" s="80"/>
      <c r="L110" s="80"/>
      <c r="M110" s="80"/>
      <c r="N110" s="80"/>
      <c r="O110" s="80"/>
      <c r="P110" s="80"/>
    </row>
    <row r="111" spans="3:16" x14ac:dyDescent="0.25">
      <c r="C111" s="80"/>
      <c r="D111" s="80"/>
      <c r="E111" s="80"/>
      <c r="F111" s="80"/>
      <c r="G111" s="80"/>
      <c r="H111" s="80"/>
      <c r="I111" s="80"/>
      <c r="J111" s="80"/>
      <c r="K111" s="80"/>
      <c r="L111" s="80"/>
      <c r="M111" s="80"/>
      <c r="N111" s="80"/>
      <c r="O111" s="80"/>
      <c r="P111" s="80"/>
    </row>
  </sheetData>
  <mergeCells count="3">
    <mergeCell ref="B1:B5"/>
    <mergeCell ref="C1:M5"/>
    <mergeCell ref="Q1:Q5"/>
  </mergeCells>
  <conditionalFormatting sqref="B73">
    <cfRule type="cellIs" dxfId="55" priority="10" operator="greaterThan">
      <formula>60</formula>
    </cfRule>
  </conditionalFormatting>
  <conditionalFormatting sqref="C10:Q10">
    <cfRule type="cellIs" dxfId="54" priority="6" operator="equal">
      <formula>"NO CUMPLE"</formula>
    </cfRule>
  </conditionalFormatting>
  <conditionalFormatting sqref="C69:Q69">
    <cfRule type="expression" dxfId="53" priority="9">
      <formula>YEAR(C69)=2022</formula>
    </cfRule>
  </conditionalFormatting>
  <conditionalFormatting sqref="C72:Q72">
    <cfRule type="cellIs" dxfId="52" priority="8" operator="greaterThan">
      <formula>$B$73</formula>
    </cfRule>
  </conditionalFormatting>
  <conditionalFormatting sqref="D41:E41">
    <cfRule type="cellIs" dxfId="51" priority="4" operator="equal">
      <formula>"NO HABILITADO"</formula>
    </cfRule>
  </conditionalFormatting>
  <conditionalFormatting sqref="E41 I41 M41:N41 Q41">
    <cfRule type="cellIs" dxfId="50" priority="5" operator="equal">
      <formula>"DEBE SUBSANAR"</formula>
    </cfRule>
  </conditionalFormatting>
  <conditionalFormatting sqref="G41:I41">
    <cfRule type="cellIs" dxfId="49" priority="3" operator="equal">
      <formula>"NO HABILITADO"</formula>
    </cfRule>
  </conditionalFormatting>
  <conditionalFormatting sqref="K41:N41">
    <cfRule type="cellIs" dxfId="48" priority="2" operator="equal">
      <formula>"NO HABILITADO"</formula>
    </cfRule>
  </conditionalFormatting>
  <conditionalFormatting sqref="P41:Q41">
    <cfRule type="cellIs" dxfId="47" priority="1" operator="equal">
      <formula>"NO HABILITADO"</formula>
    </cfRule>
  </conditionalFormatting>
  <dataValidations count="1">
    <dataValidation type="list" allowBlank="1" showInputMessage="1" showErrorMessage="1" sqref="C74:Q74" xr:uid="{E8D35EC3-3FB4-4E5B-96A2-25D767A92A42}">
      <formula1>$S$21:$T$21</formula1>
    </dataValidation>
  </dataValidations>
  <printOptions horizontalCentered="1" verticalCentered="1"/>
  <pageMargins left="0.19685039370078741" right="0.19685039370078741" top="0.15748031496062992" bottom="0.15748031496062992" header="0.31496062992125984" footer="0.31496062992125984"/>
  <pageSetup paperSize="256" scale="46" orientation="landscape" r:id="rId1"/>
  <ignoredErrors>
    <ignoredError sqref="Q11:Q16 Q18:Q19" formulaRange="1"/>
    <ignoredError sqref="M10:M17 I10:I17 E10:E17" formula="1"/>
    <ignoredError sqref="Q17" formula="1"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6B3C3-B70F-48F6-AB6F-F13A6677D5B5}">
  <sheetPr>
    <pageSetUpPr fitToPage="1"/>
  </sheetPr>
  <dimension ref="A1:U111"/>
  <sheetViews>
    <sheetView showGridLines="0" zoomScale="90" zoomScaleNormal="90" zoomScalePageLayoutView="90" workbookViewId="0"/>
  </sheetViews>
  <sheetFormatPr baseColWidth="10" defaultColWidth="18.7109375" defaultRowHeight="15" x14ac:dyDescent="0.25"/>
  <cols>
    <col min="1" max="1" width="1.42578125" style="1" customWidth="1"/>
    <col min="2" max="2" width="57.28515625" style="1" customWidth="1"/>
    <col min="3" max="17" width="29.7109375" style="1" customWidth="1"/>
    <col min="18" max="18" width="21.5703125" style="1" bestFit="1" customWidth="1"/>
    <col min="19" max="19" width="18.7109375" style="1"/>
    <col min="20" max="20" width="18.7109375" style="1" customWidth="1"/>
    <col min="21" max="16384" width="18.7109375" style="1"/>
  </cols>
  <sheetData>
    <row r="1" spans="1:20" ht="18" customHeight="1" x14ac:dyDescent="0.25">
      <c r="B1" s="222"/>
      <c r="C1" s="224" t="s">
        <v>60</v>
      </c>
      <c r="D1" s="225"/>
      <c r="E1" s="225"/>
      <c r="F1" s="225"/>
      <c r="G1" s="225"/>
      <c r="H1" s="225"/>
      <c r="I1" s="225"/>
      <c r="J1" s="225"/>
      <c r="K1" s="225"/>
      <c r="L1" s="225"/>
      <c r="M1" s="182"/>
      <c r="N1" s="182"/>
      <c r="O1" s="182"/>
      <c r="P1" s="182"/>
      <c r="Q1" s="230" t="s">
        <v>0</v>
      </c>
    </row>
    <row r="2" spans="1:20" ht="18" customHeight="1" x14ac:dyDescent="0.25">
      <c r="B2" s="223"/>
      <c r="C2" s="226"/>
      <c r="D2" s="227"/>
      <c r="E2" s="227"/>
      <c r="F2" s="227"/>
      <c r="G2" s="227"/>
      <c r="H2" s="227"/>
      <c r="I2" s="227"/>
      <c r="J2" s="227"/>
      <c r="K2" s="227"/>
      <c r="L2" s="227"/>
      <c r="M2" s="183"/>
      <c r="N2" s="183"/>
      <c r="O2" s="183"/>
      <c r="P2" s="183"/>
      <c r="Q2" s="231"/>
    </row>
    <row r="3" spans="1:20" ht="18" customHeight="1" x14ac:dyDescent="0.25">
      <c r="B3" s="223"/>
      <c r="C3" s="226"/>
      <c r="D3" s="227"/>
      <c r="E3" s="227"/>
      <c r="F3" s="227"/>
      <c r="G3" s="227"/>
      <c r="H3" s="227"/>
      <c r="I3" s="227"/>
      <c r="J3" s="227"/>
      <c r="K3" s="227"/>
      <c r="L3" s="227"/>
      <c r="M3" s="183"/>
      <c r="N3" s="183"/>
      <c r="O3" s="183"/>
      <c r="P3" s="183"/>
      <c r="Q3" s="231"/>
    </row>
    <row r="4" spans="1:20" ht="18" customHeight="1" x14ac:dyDescent="0.25">
      <c r="B4" s="223"/>
      <c r="C4" s="226"/>
      <c r="D4" s="227"/>
      <c r="E4" s="227"/>
      <c r="F4" s="227"/>
      <c r="G4" s="227"/>
      <c r="H4" s="227"/>
      <c r="I4" s="227"/>
      <c r="J4" s="227"/>
      <c r="K4" s="227"/>
      <c r="L4" s="227"/>
      <c r="M4" s="183"/>
      <c r="N4" s="183"/>
      <c r="O4" s="183"/>
      <c r="P4" s="183"/>
      <c r="Q4" s="231"/>
    </row>
    <row r="5" spans="1:20" ht="18" customHeight="1" x14ac:dyDescent="0.25">
      <c r="B5" s="223"/>
      <c r="C5" s="228"/>
      <c r="D5" s="229"/>
      <c r="E5" s="229"/>
      <c r="F5" s="229"/>
      <c r="G5" s="229"/>
      <c r="H5" s="229"/>
      <c r="I5" s="229"/>
      <c r="J5" s="229"/>
      <c r="K5" s="229"/>
      <c r="L5" s="229"/>
      <c r="M5" s="184"/>
      <c r="N5" s="184"/>
      <c r="O5" s="184"/>
      <c r="P5" s="184"/>
      <c r="Q5" s="232"/>
    </row>
    <row r="6" spans="1:20" ht="61.5" customHeight="1" x14ac:dyDescent="0.25">
      <c r="B6" s="25" t="s">
        <v>70</v>
      </c>
      <c r="C6" s="26"/>
      <c r="D6" s="26"/>
      <c r="E6" s="26"/>
      <c r="F6" s="26"/>
      <c r="G6" s="26"/>
      <c r="H6" s="26"/>
      <c r="I6" s="26"/>
      <c r="J6" s="26"/>
      <c r="K6" s="26"/>
      <c r="L6" s="26"/>
      <c r="M6" s="26"/>
      <c r="N6" s="26"/>
      <c r="O6" s="26"/>
      <c r="P6" s="26"/>
      <c r="Q6" s="27"/>
    </row>
    <row r="7" spans="1:20" ht="63" x14ac:dyDescent="0.25">
      <c r="B7" s="155" t="s">
        <v>1</v>
      </c>
      <c r="C7" s="208" t="s">
        <v>116</v>
      </c>
      <c r="D7" s="63" t="s">
        <v>117</v>
      </c>
      <c r="E7" s="63" t="s">
        <v>118</v>
      </c>
      <c r="F7" s="63" t="s">
        <v>119</v>
      </c>
      <c r="G7" s="63" t="s">
        <v>120</v>
      </c>
      <c r="H7" s="63" t="s">
        <v>121</v>
      </c>
      <c r="I7" s="63" t="s">
        <v>122</v>
      </c>
      <c r="J7" s="63" t="s">
        <v>124</v>
      </c>
      <c r="K7" s="63" t="s">
        <v>125</v>
      </c>
      <c r="L7" s="63" t="s">
        <v>126</v>
      </c>
      <c r="M7" s="63" t="s">
        <v>127</v>
      </c>
      <c r="N7" s="208" t="s">
        <v>128</v>
      </c>
      <c r="O7" s="63" t="s">
        <v>129</v>
      </c>
      <c r="P7" s="63" t="s">
        <v>131</v>
      </c>
      <c r="Q7" s="101" t="s">
        <v>132</v>
      </c>
      <c r="S7" s="43" t="s">
        <v>2</v>
      </c>
    </row>
    <row r="8" spans="1:20" s="3" customFormat="1" ht="15.75" x14ac:dyDescent="0.25">
      <c r="A8" s="2"/>
      <c r="B8" s="154" t="s">
        <v>3</v>
      </c>
      <c r="C8" s="209">
        <f>'2. Oferentes 9 a 13'!Q8+1</f>
        <v>14</v>
      </c>
      <c r="D8" s="215" t="s">
        <v>68</v>
      </c>
      <c r="E8" s="202" t="s">
        <v>69</v>
      </c>
      <c r="F8" s="8">
        <f>C8+1</f>
        <v>15</v>
      </c>
      <c r="G8" s="202" t="s">
        <v>68</v>
      </c>
      <c r="H8" s="202" t="s">
        <v>69</v>
      </c>
      <c r="I8" s="202" t="s">
        <v>103</v>
      </c>
      <c r="J8" s="8">
        <f>F8+1</f>
        <v>16</v>
      </c>
      <c r="K8" s="202" t="s">
        <v>68</v>
      </c>
      <c r="L8" s="202" t="s">
        <v>69</v>
      </c>
      <c r="M8" s="8">
        <f>J8+1</f>
        <v>17</v>
      </c>
      <c r="N8" s="209">
        <f t="shared" ref="N8" si="0">M8+1</f>
        <v>18</v>
      </c>
      <c r="O8" s="215" t="s">
        <v>68</v>
      </c>
      <c r="P8" s="202" t="s">
        <v>69</v>
      </c>
      <c r="Q8" s="150">
        <f>N8+1</f>
        <v>19</v>
      </c>
      <c r="T8" s="1"/>
    </row>
    <row r="9" spans="1:20" s="3" customFormat="1" ht="31.5" x14ac:dyDescent="0.25">
      <c r="B9" s="35" t="s">
        <v>4</v>
      </c>
      <c r="C9" s="210" t="s">
        <v>5</v>
      </c>
      <c r="D9" s="39" t="s">
        <v>5</v>
      </c>
      <c r="E9" s="39" t="s">
        <v>5</v>
      </c>
      <c r="F9" s="39" t="s">
        <v>5</v>
      </c>
      <c r="G9" s="39" t="s">
        <v>5</v>
      </c>
      <c r="H9" s="39" t="s">
        <v>5</v>
      </c>
      <c r="I9" s="39" t="s">
        <v>123</v>
      </c>
      <c r="J9" s="39" t="s">
        <v>5</v>
      </c>
      <c r="K9" s="39" t="s">
        <v>5</v>
      </c>
      <c r="L9" s="39" t="s">
        <v>5</v>
      </c>
      <c r="M9" s="39" t="s">
        <v>5</v>
      </c>
      <c r="N9" s="210" t="s">
        <v>5</v>
      </c>
      <c r="O9" s="39" t="s">
        <v>130</v>
      </c>
      <c r="P9" s="39" t="s">
        <v>5</v>
      </c>
      <c r="Q9" s="102" t="s">
        <v>5</v>
      </c>
      <c r="T9" s="1"/>
    </row>
    <row r="10" spans="1:20" s="3" customFormat="1" ht="20.100000000000001" customHeight="1" x14ac:dyDescent="0.25">
      <c r="B10" s="35" t="s">
        <v>63</v>
      </c>
      <c r="C10" s="211" t="str">
        <f t="shared" ref="C10:E10" si="1">IF(C72&lt;=$B$73,"CUMPLE","NO CUMPLE")</f>
        <v>CUMPLE</v>
      </c>
      <c r="D10" s="24" t="str">
        <f t="shared" si="1"/>
        <v>CUMPLE</v>
      </c>
      <c r="E10" s="24" t="str">
        <f t="shared" si="1"/>
        <v>CUMPLE</v>
      </c>
      <c r="F10" s="24" t="str">
        <f>IF(COUNTIF(D10:E10,"NO CUMPLE")&gt;=1,"NO CUMPLE","CUMPLE")</f>
        <v>CUMPLE</v>
      </c>
      <c r="G10" s="24" t="str">
        <f t="shared" ref="G10:I10" si="2">IF(G72&lt;=$B$73,"CUMPLE","NO CUMPLE")</f>
        <v>CUMPLE</v>
      </c>
      <c r="H10" s="24" t="str">
        <f t="shared" ref="H10" si="3">IF(H72&lt;=$B$73,"CUMPLE","NO CUMPLE")</f>
        <v>CUMPLE</v>
      </c>
      <c r="I10" s="24" t="str">
        <f t="shared" si="2"/>
        <v>CUMPLE</v>
      </c>
      <c r="J10" s="24" t="str">
        <f>IF(COUNTIF(G10:I10,"NO CUMPLE")&gt;=1,"NO CUMPLE","CUMPLE")</f>
        <v>CUMPLE</v>
      </c>
      <c r="K10" s="24" t="str">
        <f t="shared" ref="K10:L10" si="4">IF(K72&lt;=$B$73,"CUMPLE","NO CUMPLE")</f>
        <v>CUMPLE</v>
      </c>
      <c r="L10" s="24" t="str">
        <f t="shared" si="4"/>
        <v>CUMPLE</v>
      </c>
      <c r="M10" s="24" t="str">
        <f>IF(COUNTIF(K10:L10,"NO CUMPLE")&gt;=1,"NO CUMPLE","CUMPLE")</f>
        <v>CUMPLE</v>
      </c>
      <c r="N10" s="211" t="str">
        <f t="shared" ref="N10" si="5">IF(N72&lt;=$B$73,"CUMPLE","NO CUMPLE")</f>
        <v>CUMPLE</v>
      </c>
      <c r="O10" s="24" t="str">
        <f t="shared" ref="O10:P10" si="6">IF(O72&lt;=$B$73,"CUMPLE","NO CUMPLE")</f>
        <v>CUMPLE</v>
      </c>
      <c r="P10" s="24" t="str">
        <f t="shared" si="6"/>
        <v>CUMPLE</v>
      </c>
      <c r="Q10" s="103" t="str">
        <f>IF(COUNTIF(O10:P10,"NO CUMPLE")&gt;=1,"NO CUMPLE","CUMPLE")</f>
        <v>CUMPLE</v>
      </c>
      <c r="T10" s="1"/>
    </row>
    <row r="11" spans="1:20" s="3" customFormat="1" ht="20.100000000000001" customHeight="1" x14ac:dyDescent="0.25">
      <c r="B11" s="22" t="s">
        <v>6</v>
      </c>
      <c r="C11" s="190">
        <v>1</v>
      </c>
      <c r="D11" s="190">
        <v>0.9</v>
      </c>
      <c r="E11" s="190">
        <v>0.1</v>
      </c>
      <c r="F11" s="10">
        <f>SUM(D11:E11)</f>
        <v>1</v>
      </c>
      <c r="G11" s="190">
        <v>0.35</v>
      </c>
      <c r="H11" s="190">
        <v>0.1</v>
      </c>
      <c r="I11" s="190">
        <v>0.55000000000000004</v>
      </c>
      <c r="J11" s="10">
        <f>SUM(G11:I11)</f>
        <v>1</v>
      </c>
      <c r="K11" s="190">
        <v>0.6</v>
      </c>
      <c r="L11" s="190">
        <v>0.4</v>
      </c>
      <c r="M11" s="10">
        <f>SUM(K11:L11)</f>
        <v>1</v>
      </c>
      <c r="N11" s="190">
        <v>1</v>
      </c>
      <c r="O11" s="190">
        <v>0.9</v>
      </c>
      <c r="P11" s="190">
        <v>0.1</v>
      </c>
      <c r="Q11" s="99">
        <f>SUM(O11:P11)</f>
        <v>1</v>
      </c>
      <c r="T11" s="1"/>
    </row>
    <row r="12" spans="1:20" s="3" customFormat="1" ht="20.100000000000001" customHeight="1" x14ac:dyDescent="0.25">
      <c r="B12" s="22" t="s">
        <v>7</v>
      </c>
      <c r="C12" s="191">
        <v>1457879835</v>
      </c>
      <c r="D12" s="191">
        <v>757194290</v>
      </c>
      <c r="E12" s="191">
        <v>1934273583</v>
      </c>
      <c r="F12" s="161">
        <f t="shared" ref="F12:F19" si="7">SUM(D12:E12)</f>
        <v>2691467873</v>
      </c>
      <c r="G12" s="191">
        <v>859768153</v>
      </c>
      <c r="H12" s="191">
        <v>1503994085</v>
      </c>
      <c r="I12" s="191">
        <v>300000000</v>
      </c>
      <c r="J12" s="161">
        <f t="shared" ref="J12:J19" si="8">SUM(G12:I12)</f>
        <v>2663762238</v>
      </c>
      <c r="K12" s="191">
        <v>3510776903</v>
      </c>
      <c r="L12" s="191">
        <v>567154000</v>
      </c>
      <c r="M12" s="161">
        <f t="shared" ref="M12:M19" si="9">SUM(K12:L12)</f>
        <v>4077930903</v>
      </c>
      <c r="N12" s="191">
        <v>414064000</v>
      </c>
      <c r="O12" s="191">
        <v>100000000</v>
      </c>
      <c r="P12" s="191">
        <v>339225745</v>
      </c>
      <c r="Q12" s="162">
        <f t="shared" ref="Q12:Q19" si="10">SUM(O12:P12)</f>
        <v>439225745</v>
      </c>
      <c r="T12" s="1"/>
    </row>
    <row r="13" spans="1:20" s="3" customFormat="1" ht="20.100000000000001" customHeight="1" x14ac:dyDescent="0.25">
      <c r="B13" s="22" t="s">
        <v>8</v>
      </c>
      <c r="C13" s="191">
        <v>120364445</v>
      </c>
      <c r="D13" s="191">
        <v>6314795</v>
      </c>
      <c r="E13" s="191">
        <v>201221385</v>
      </c>
      <c r="F13" s="161">
        <f t="shared" si="7"/>
        <v>207536180</v>
      </c>
      <c r="G13" s="191">
        <v>40819931</v>
      </c>
      <c r="H13" s="191">
        <v>9065000</v>
      </c>
      <c r="I13" s="191">
        <v>0</v>
      </c>
      <c r="J13" s="161">
        <f t="shared" si="8"/>
        <v>49884931</v>
      </c>
      <c r="K13" s="191">
        <v>664142147</v>
      </c>
      <c r="L13" s="191">
        <v>19586000</v>
      </c>
      <c r="M13" s="161">
        <f t="shared" si="9"/>
        <v>683728147</v>
      </c>
      <c r="N13" s="191">
        <v>5632000</v>
      </c>
      <c r="O13" s="191">
        <v>0</v>
      </c>
      <c r="P13" s="191">
        <v>55321057</v>
      </c>
      <c r="Q13" s="162">
        <f t="shared" si="10"/>
        <v>55321057</v>
      </c>
      <c r="T13" s="1"/>
    </row>
    <row r="14" spans="1:20" s="3" customFormat="1" ht="20.100000000000001" customHeight="1" x14ac:dyDescent="0.25">
      <c r="B14" s="22" t="s">
        <v>9</v>
      </c>
      <c r="C14" s="191">
        <v>1479838865</v>
      </c>
      <c r="D14" s="191">
        <v>757194290</v>
      </c>
      <c r="E14" s="191">
        <v>3608532785</v>
      </c>
      <c r="F14" s="161">
        <f t="shared" si="7"/>
        <v>4365727075</v>
      </c>
      <c r="G14" s="191">
        <v>2077968554</v>
      </c>
      <c r="H14" s="191">
        <v>3532144085</v>
      </c>
      <c r="I14" s="191">
        <v>300000000</v>
      </c>
      <c r="J14" s="161">
        <f t="shared" si="8"/>
        <v>5910112639</v>
      </c>
      <c r="K14" s="191">
        <v>3510776903</v>
      </c>
      <c r="L14" s="191">
        <v>664340000</v>
      </c>
      <c r="M14" s="161">
        <f t="shared" si="9"/>
        <v>4175116903</v>
      </c>
      <c r="N14" s="191">
        <v>419990000</v>
      </c>
      <c r="O14" s="191">
        <v>100000000</v>
      </c>
      <c r="P14" s="191">
        <v>340485745</v>
      </c>
      <c r="Q14" s="162">
        <f t="shared" si="10"/>
        <v>440485745</v>
      </c>
      <c r="T14" s="1"/>
    </row>
    <row r="15" spans="1:20" s="3" customFormat="1" ht="20.100000000000001" customHeight="1" x14ac:dyDescent="0.25">
      <c r="B15" s="22" t="s">
        <v>10</v>
      </c>
      <c r="C15" s="191">
        <v>350921791</v>
      </c>
      <c r="D15" s="191">
        <v>6314795</v>
      </c>
      <c r="E15" s="191">
        <v>709283926</v>
      </c>
      <c r="F15" s="161">
        <f t="shared" si="7"/>
        <v>715598721</v>
      </c>
      <c r="G15" s="191">
        <v>40819931</v>
      </c>
      <c r="H15" s="191">
        <v>74565000</v>
      </c>
      <c r="I15" s="191">
        <v>0</v>
      </c>
      <c r="J15" s="161">
        <f t="shared" si="8"/>
        <v>115384931</v>
      </c>
      <c r="K15" s="191">
        <v>664142147</v>
      </c>
      <c r="L15" s="191">
        <v>166581000</v>
      </c>
      <c r="M15" s="161">
        <f t="shared" si="9"/>
        <v>830723147</v>
      </c>
      <c r="N15" s="191">
        <v>5632000</v>
      </c>
      <c r="O15" s="191">
        <v>0</v>
      </c>
      <c r="P15" s="191">
        <v>209535859</v>
      </c>
      <c r="Q15" s="162">
        <f t="shared" si="10"/>
        <v>209535859</v>
      </c>
      <c r="T15" s="1"/>
    </row>
    <row r="16" spans="1:20" s="3" customFormat="1" ht="20.100000000000001" customHeight="1" x14ac:dyDescent="0.25">
      <c r="B16" s="22" t="s">
        <v>11</v>
      </c>
      <c r="C16" s="191">
        <v>1128917074</v>
      </c>
      <c r="D16" s="191">
        <v>750879495</v>
      </c>
      <c r="E16" s="191">
        <v>2899248859</v>
      </c>
      <c r="F16" s="161">
        <f t="shared" si="7"/>
        <v>3650128354</v>
      </c>
      <c r="G16" s="191">
        <v>2037148623</v>
      </c>
      <c r="H16" s="191">
        <v>3457579085</v>
      </c>
      <c r="I16" s="191">
        <v>300000000</v>
      </c>
      <c r="J16" s="161">
        <f t="shared" si="8"/>
        <v>5794727708</v>
      </c>
      <c r="K16" s="191">
        <v>2846634756</v>
      </c>
      <c r="L16" s="191">
        <v>497759000</v>
      </c>
      <c r="M16" s="161">
        <f t="shared" si="9"/>
        <v>3344393756</v>
      </c>
      <c r="N16" s="191">
        <v>414358000</v>
      </c>
      <c r="O16" s="191">
        <v>100000000</v>
      </c>
      <c r="P16" s="191">
        <v>130949886</v>
      </c>
      <c r="Q16" s="162">
        <f t="shared" si="10"/>
        <v>230949886</v>
      </c>
      <c r="T16" s="1"/>
    </row>
    <row r="17" spans="2:21" s="3" customFormat="1" ht="20.100000000000001" customHeight="1" x14ac:dyDescent="0.25">
      <c r="B17" s="22" t="s">
        <v>12</v>
      </c>
      <c r="C17" s="191">
        <f t="shared" ref="C17:F17" si="11">+C14-C15-C16</f>
        <v>0</v>
      </c>
      <c r="D17" s="161">
        <f t="shared" si="11"/>
        <v>0</v>
      </c>
      <c r="E17" s="161">
        <f t="shared" si="11"/>
        <v>0</v>
      </c>
      <c r="F17" s="161">
        <f t="shared" si="11"/>
        <v>0</v>
      </c>
      <c r="G17" s="161">
        <f t="shared" ref="G17:N17" si="12">+G14-G15-G16</f>
        <v>0</v>
      </c>
      <c r="H17" s="161">
        <f t="shared" ref="H17" si="13">+H14-H15-H16</f>
        <v>0</v>
      </c>
      <c r="I17" s="161">
        <f t="shared" si="12"/>
        <v>0</v>
      </c>
      <c r="J17" s="161">
        <f t="shared" si="12"/>
        <v>0</v>
      </c>
      <c r="K17" s="161">
        <f t="shared" si="12"/>
        <v>0</v>
      </c>
      <c r="L17" s="161">
        <f t="shared" si="12"/>
        <v>0</v>
      </c>
      <c r="M17" s="161">
        <f t="shared" si="12"/>
        <v>0</v>
      </c>
      <c r="N17" s="191">
        <f t="shared" si="12"/>
        <v>0</v>
      </c>
      <c r="O17" s="161">
        <f t="shared" ref="O17:Q17" si="14">+O14-O15-O16</f>
        <v>0</v>
      </c>
      <c r="P17" s="161">
        <f t="shared" si="14"/>
        <v>0</v>
      </c>
      <c r="Q17" s="162">
        <f t="shared" si="14"/>
        <v>0</v>
      </c>
      <c r="T17" s="1"/>
    </row>
    <row r="18" spans="2:21" s="3" customFormat="1" ht="20.100000000000001" customHeight="1" x14ac:dyDescent="0.25">
      <c r="B18" s="22" t="s">
        <v>13</v>
      </c>
      <c r="C18" s="191">
        <v>51389885</v>
      </c>
      <c r="D18" s="161">
        <v>35438630</v>
      </c>
      <c r="E18" s="161">
        <v>694366025</v>
      </c>
      <c r="F18" s="161">
        <f t="shared" si="7"/>
        <v>729804655</v>
      </c>
      <c r="G18" s="161">
        <v>2707933</v>
      </c>
      <c r="H18" s="161">
        <v>206605432</v>
      </c>
      <c r="I18" s="161">
        <v>0</v>
      </c>
      <c r="J18" s="161">
        <f t="shared" si="8"/>
        <v>209313365</v>
      </c>
      <c r="K18" s="161">
        <v>244232754</v>
      </c>
      <c r="L18" s="161">
        <v>7757000</v>
      </c>
      <c r="M18" s="161">
        <f t="shared" si="9"/>
        <v>251989754</v>
      </c>
      <c r="N18" s="191">
        <v>131295000</v>
      </c>
      <c r="O18" s="161">
        <v>0</v>
      </c>
      <c r="P18" s="161">
        <v>10797473</v>
      </c>
      <c r="Q18" s="162">
        <f t="shared" si="10"/>
        <v>10797473</v>
      </c>
      <c r="T18" s="1"/>
    </row>
    <row r="19" spans="2:21" s="3" customFormat="1" ht="20.100000000000001" customHeight="1" x14ac:dyDescent="0.25">
      <c r="B19" s="22" t="s">
        <v>14</v>
      </c>
      <c r="C19" s="191">
        <v>1871224</v>
      </c>
      <c r="D19" s="161">
        <v>0</v>
      </c>
      <c r="E19" s="161">
        <v>64072586</v>
      </c>
      <c r="F19" s="161">
        <f t="shared" si="7"/>
        <v>64072586</v>
      </c>
      <c r="G19" s="161">
        <v>12051710</v>
      </c>
      <c r="H19" s="161">
        <v>76945000</v>
      </c>
      <c r="I19" s="161">
        <v>0</v>
      </c>
      <c r="J19" s="161">
        <f t="shared" si="8"/>
        <v>88996710</v>
      </c>
      <c r="K19" s="161">
        <v>9948026</v>
      </c>
      <c r="L19" s="161">
        <v>0</v>
      </c>
      <c r="M19" s="161">
        <f t="shared" si="9"/>
        <v>9948026</v>
      </c>
      <c r="N19" s="191">
        <v>46000</v>
      </c>
      <c r="O19" s="161">
        <v>0</v>
      </c>
      <c r="P19" s="161">
        <v>994484</v>
      </c>
      <c r="Q19" s="162">
        <f t="shared" si="10"/>
        <v>994484</v>
      </c>
      <c r="T19" s="1"/>
    </row>
    <row r="20" spans="2:21" s="3" customFormat="1" ht="31.5" x14ac:dyDescent="0.25">
      <c r="B20" s="35" t="s">
        <v>15</v>
      </c>
      <c r="C20" s="212">
        <f t="shared" ref="C20:F20" si="15">IFERROR((C18/C16),"-")</f>
        <v>4.5521399386683384E-2</v>
      </c>
      <c r="D20" s="28">
        <f t="shared" si="15"/>
        <v>4.7196161615786297E-2</v>
      </c>
      <c r="E20" s="28">
        <f t="shared" si="15"/>
        <v>0.23949859386665365</v>
      </c>
      <c r="F20" s="28">
        <f t="shared" si="15"/>
        <v>0.19993944985530226</v>
      </c>
      <c r="G20" s="28">
        <f t="shared" ref="G20:N20" si="16">IFERROR((G18/G16),"-")</f>
        <v>1.3292761114366666E-3</v>
      </c>
      <c r="H20" s="28">
        <f t="shared" ref="H20" si="17">IFERROR((H18/H16),"-")</f>
        <v>5.9754361916496843E-2</v>
      </c>
      <c r="I20" s="28">
        <f t="shared" si="16"/>
        <v>0</v>
      </c>
      <c r="J20" s="28">
        <f t="shared" si="16"/>
        <v>3.6121346083445686E-2</v>
      </c>
      <c r="K20" s="28">
        <f t="shared" si="16"/>
        <v>8.57970111849502E-2</v>
      </c>
      <c r="L20" s="28">
        <f t="shared" si="16"/>
        <v>1.5583846801363712E-2</v>
      </c>
      <c r="M20" s="28">
        <f t="shared" si="16"/>
        <v>7.5346915580116275E-2</v>
      </c>
      <c r="N20" s="212">
        <f t="shared" si="16"/>
        <v>0.31686367826855039</v>
      </c>
      <c r="O20" s="28">
        <f t="shared" ref="O20:Q20" si="18">IFERROR((O18/O16),"-")</f>
        <v>0</v>
      </c>
      <c r="P20" s="28">
        <f t="shared" si="18"/>
        <v>8.245500114448362E-2</v>
      </c>
      <c r="Q20" s="167">
        <f t="shared" si="18"/>
        <v>4.6752450009869238E-2</v>
      </c>
      <c r="T20" s="1"/>
    </row>
    <row r="21" spans="2:21" s="3" customFormat="1" ht="31.5" x14ac:dyDescent="0.2">
      <c r="B21" s="35" t="s">
        <v>16</v>
      </c>
      <c r="C21" s="212">
        <f t="shared" ref="C21:F21" si="19">IFERROR((C18/C14),"-")</f>
        <v>3.4726676137134697E-2</v>
      </c>
      <c r="D21" s="28">
        <f t="shared" si="19"/>
        <v>4.6802558429224289E-2</v>
      </c>
      <c r="E21" s="28">
        <f t="shared" si="19"/>
        <v>0.19242336605236079</v>
      </c>
      <c r="F21" s="28">
        <f t="shared" si="19"/>
        <v>0.16716680691726474</v>
      </c>
      <c r="G21" s="28">
        <f t="shared" ref="G21:N21" si="20">IFERROR((G18/G14),"-")</f>
        <v>1.3031636088945357E-3</v>
      </c>
      <c r="H21" s="28">
        <f t="shared" ref="H21" si="21">IFERROR((H18/H14),"-")</f>
        <v>5.849292300316792E-2</v>
      </c>
      <c r="I21" s="28">
        <f t="shared" si="20"/>
        <v>0</v>
      </c>
      <c r="J21" s="28">
        <f t="shared" si="20"/>
        <v>3.5416138030732382E-2</v>
      </c>
      <c r="K21" s="28">
        <f t="shared" si="20"/>
        <v>6.9566583336953217E-2</v>
      </c>
      <c r="L21" s="28">
        <f t="shared" si="20"/>
        <v>1.1676250112894001E-2</v>
      </c>
      <c r="M21" s="28">
        <f t="shared" si="20"/>
        <v>6.035513731817535E-2</v>
      </c>
      <c r="N21" s="212">
        <f t="shared" si="20"/>
        <v>0.31261458606157289</v>
      </c>
      <c r="O21" s="28">
        <f t="shared" ref="O21:Q21" si="22">IFERROR((O18/O14),"-")</f>
        <v>0</v>
      </c>
      <c r="P21" s="28">
        <f t="shared" si="22"/>
        <v>3.1711967853455952E-2</v>
      </c>
      <c r="Q21" s="167">
        <f t="shared" si="22"/>
        <v>2.451265023343718E-2</v>
      </c>
      <c r="S21" s="165" t="s">
        <v>77</v>
      </c>
      <c r="T21" s="166" t="s">
        <v>78</v>
      </c>
      <c r="U21" s="91"/>
    </row>
    <row r="22" spans="2:21" s="3" customFormat="1" ht="15.75" x14ac:dyDescent="0.2">
      <c r="B22" s="11" t="s">
        <v>17</v>
      </c>
      <c r="C22" s="213">
        <f t="shared" ref="C22:Q22" si="23">IF(C11=1,$S$22,"")</f>
        <v>344857484</v>
      </c>
      <c r="D22" s="163" t="str">
        <f t="shared" si="23"/>
        <v/>
      </c>
      <c r="E22" s="163" t="str">
        <f t="shared" si="23"/>
        <v/>
      </c>
      <c r="F22" s="163">
        <f t="shared" si="23"/>
        <v>344857484</v>
      </c>
      <c r="G22" s="163" t="str">
        <f t="shared" si="23"/>
        <v/>
      </c>
      <c r="H22" s="163" t="str">
        <f t="shared" si="23"/>
        <v/>
      </c>
      <c r="I22" s="163" t="str">
        <f t="shared" si="23"/>
        <v/>
      </c>
      <c r="J22" s="163">
        <f t="shared" si="23"/>
        <v>344857484</v>
      </c>
      <c r="K22" s="163" t="str">
        <f t="shared" si="23"/>
        <v/>
      </c>
      <c r="L22" s="163" t="str">
        <f t="shared" si="23"/>
        <v/>
      </c>
      <c r="M22" s="163">
        <f t="shared" si="23"/>
        <v>344857484</v>
      </c>
      <c r="N22" s="213">
        <f t="shared" si="23"/>
        <v>344857484</v>
      </c>
      <c r="O22" s="163" t="str">
        <f t="shared" si="23"/>
        <v/>
      </c>
      <c r="P22" s="163" t="str">
        <f t="shared" si="23"/>
        <v/>
      </c>
      <c r="Q22" s="164">
        <f t="shared" si="23"/>
        <v>344857484</v>
      </c>
      <c r="S22" s="42">
        <v>344857484</v>
      </c>
      <c r="T22" s="42">
        <f>S22</f>
        <v>344857484</v>
      </c>
      <c r="U22" s="132"/>
    </row>
    <row r="23" spans="2:21" s="3" customFormat="1" ht="15.75" x14ac:dyDescent="0.2">
      <c r="B23" s="29" t="s">
        <v>18</v>
      </c>
      <c r="C23" s="198"/>
      <c r="D23" s="30"/>
      <c r="E23" s="30"/>
      <c r="F23" s="204"/>
      <c r="G23" s="30"/>
      <c r="H23" s="30"/>
      <c r="I23" s="30"/>
      <c r="J23" s="204"/>
      <c r="K23" s="30"/>
      <c r="L23" s="30"/>
      <c r="M23" s="204"/>
      <c r="N23" s="198"/>
      <c r="O23" s="198"/>
      <c r="P23" s="30"/>
      <c r="Q23" s="31"/>
      <c r="S23" s="173" t="s">
        <v>71</v>
      </c>
      <c r="T23" s="90"/>
    </row>
    <row r="24" spans="2:21" s="3" customFormat="1" ht="15.75" x14ac:dyDescent="0.2">
      <c r="B24" s="12" t="s">
        <v>55</v>
      </c>
      <c r="C24" s="192"/>
      <c r="D24" s="192"/>
      <c r="E24" s="192"/>
      <c r="F24" s="13"/>
      <c r="G24" s="192"/>
      <c r="H24" s="192"/>
      <c r="I24" s="192"/>
      <c r="J24" s="13"/>
      <c r="K24" s="192"/>
      <c r="L24" s="192"/>
      <c r="M24" s="13"/>
      <c r="N24" s="192"/>
      <c r="O24" s="192"/>
      <c r="P24" s="192"/>
      <c r="Q24" s="168"/>
      <c r="S24" s="93">
        <v>1423500</v>
      </c>
      <c r="T24" s="3" t="s">
        <v>58</v>
      </c>
    </row>
    <row r="25" spans="2:21" s="3" customFormat="1" ht="15.75" x14ac:dyDescent="0.2">
      <c r="B25" s="66" t="s">
        <v>62</v>
      </c>
      <c r="C25" s="214"/>
      <c r="D25" s="60"/>
      <c r="E25" s="60"/>
      <c r="F25" s="205"/>
      <c r="G25" s="60"/>
      <c r="H25" s="60"/>
      <c r="I25" s="60"/>
      <c r="J25" s="205"/>
      <c r="K25" s="60"/>
      <c r="L25" s="60"/>
      <c r="M25" s="205"/>
      <c r="N25" s="214"/>
      <c r="O25" s="214"/>
      <c r="P25" s="60"/>
      <c r="Q25" s="169"/>
      <c r="R25" s="203" t="s">
        <v>73</v>
      </c>
      <c r="S25" s="131">
        <f>T22/S24</f>
        <v>242.26026273270108</v>
      </c>
      <c r="T25" s="3" t="s">
        <v>74</v>
      </c>
      <c r="U25" s="3" t="s">
        <v>75</v>
      </c>
    </row>
    <row r="26" spans="2:21" s="3" customFormat="1" ht="15.75" x14ac:dyDescent="0.2">
      <c r="B26" s="29" t="s">
        <v>18</v>
      </c>
      <c r="C26" s="198"/>
      <c r="D26" s="30"/>
      <c r="E26" s="30"/>
      <c r="F26" s="204"/>
      <c r="G26" s="30"/>
      <c r="H26" s="30"/>
      <c r="I26" s="30"/>
      <c r="J26" s="204"/>
      <c r="K26" s="30"/>
      <c r="L26" s="30"/>
      <c r="M26" s="204"/>
      <c r="N26" s="198"/>
      <c r="O26" s="198"/>
      <c r="P26" s="30"/>
      <c r="Q26" s="31"/>
      <c r="S26" s="96" t="s">
        <v>59</v>
      </c>
      <c r="T26" s="94" t="s">
        <v>72</v>
      </c>
    </row>
    <row r="27" spans="2:21" s="3" customFormat="1" ht="31.5" x14ac:dyDescent="0.2">
      <c r="B27" s="35" t="str">
        <f>CONCATENATE("Índice de Liquidez: ",CHAR(10),$S$21," ≥ ",S27," veces. ",IF($S$21=$T$21,"",_xlfn.CONCAT($T$21," ≥ ",T27," veces.")))</f>
        <v>Índice de Liquidez: 
MiPyME ≥ 1,1 veces. Gran Empresa ≥ 1,2 veces.</v>
      </c>
      <c r="C27" s="193" t="str">
        <f>IFERROR(IF(C74=$S$21,IF(C28&gt;=$S$27,$B$24,$B$25),IF(C28&gt;=$T$27,$B$24,$B$25)),"-")</f>
        <v>CUMPLE</v>
      </c>
      <c r="D27" s="219"/>
      <c r="E27" s="216"/>
      <c r="F27" s="14" t="str">
        <f>IFERROR(IF(F74=$S$21,IF(F28&gt;=$S$27,$B$24,$B$25),IF(F28&gt;=$T$27,$B$24,$B$25)),"-")</f>
        <v>CUMPLE</v>
      </c>
      <c r="G27" s="216"/>
      <c r="H27" s="216"/>
      <c r="I27" s="216"/>
      <c r="J27" s="14" t="str">
        <f>IFERROR(IF(J74=$S$21,IF(J28&gt;=$S$27,$B$24,$B$25),IF(J28&gt;=$T$27,$B$24,$B$25)),"-")</f>
        <v>CUMPLE</v>
      </c>
      <c r="K27" s="216"/>
      <c r="L27" s="216"/>
      <c r="M27" s="14" t="str">
        <f>IFERROR(IF(M74=$S$21,IF(M28&gt;=$S$27,$B$24,$B$25),IF(M28&gt;=$T$27,$B$24,$B$25)),"-")</f>
        <v>CUMPLE</v>
      </c>
      <c r="N27" s="193" t="str">
        <f>IFERROR(IF(N74=$S$21,IF(N28&gt;=$S$27,$B$24,$B$25),IF(N28&gt;=$T$27,$B$24,$B$25)),"-")</f>
        <v>CUMPLE</v>
      </c>
      <c r="O27" s="216"/>
      <c r="P27" s="216"/>
      <c r="Q27" s="104" t="str">
        <f>IFERROR(IF(Q74=$S$21,IF(Q28&gt;=$S$27,$B$24,$B$25),IF(Q28&gt;=$T$27,$B$24,$B$25)),"-")</f>
        <v>CUMPLE</v>
      </c>
      <c r="S27" s="40">
        <v>1.1000000000000001</v>
      </c>
      <c r="T27" s="40">
        <v>1.2</v>
      </c>
    </row>
    <row r="28" spans="2:21" s="3" customFormat="1" ht="22.5" customHeight="1" x14ac:dyDescent="0.2">
      <c r="B28" s="156" t="s">
        <v>19</v>
      </c>
      <c r="C28" s="194">
        <f t="shared" ref="C28" si="24">IFERROR(C12/C13,"-")</f>
        <v>12.112213328445954</v>
      </c>
      <c r="D28" s="217"/>
      <c r="E28" s="217"/>
      <c r="F28" s="15">
        <f t="shared" ref="F28" si="25">IFERROR(F12/F13,"-")</f>
        <v>12.968668272683828</v>
      </c>
      <c r="G28" s="217"/>
      <c r="H28" s="217"/>
      <c r="I28" s="217"/>
      <c r="J28" s="15">
        <f t="shared" ref="J28" si="26">IFERROR(J12/J13,"-")</f>
        <v>53.398134157988508</v>
      </c>
      <c r="K28" s="217"/>
      <c r="L28" s="217"/>
      <c r="M28" s="15">
        <f t="shared" ref="M28:N28" si="27">IFERROR(M12/M13,"-")</f>
        <v>5.9642577549173206</v>
      </c>
      <c r="N28" s="194">
        <f t="shared" si="27"/>
        <v>73.51988636363636</v>
      </c>
      <c r="O28" s="217"/>
      <c r="P28" s="217"/>
      <c r="Q28" s="105">
        <f t="shared" ref="Q28" si="28">IFERROR(Q12/Q13,"-")</f>
        <v>7.939576154519246</v>
      </c>
    </row>
    <row r="29" spans="2:21" s="3" customFormat="1" ht="31.5" x14ac:dyDescent="0.2">
      <c r="B29" s="35" t="str">
        <f>CONCATENATE("Endeudamiento total: ",CHAR(10),$S$21," ≤ ",TEXT(S29,"#0 %"),". ",IF($S$21=$T$21,"",_xlfn.CONCAT($T$21," ≤ ",TEXT(T29,"#0 %."))))</f>
        <v>Endeudamiento total: 
MiPyME ≤ 65 %. Gran Empresa ≤ 65 %.</v>
      </c>
      <c r="C29" s="195" t="str">
        <f>IFERROR(IF(C74=$S$21,IF(C30&lt;=$S$29,$B$24,$B$25),IF(C30&lt;=$T$29,$B$24,$B$25)),"-")</f>
        <v>CUMPLE</v>
      </c>
      <c r="D29" s="217"/>
      <c r="E29" s="217"/>
      <c r="F29" s="16" t="str">
        <f>IFERROR(IF(F74=$S$21,IF(F30&lt;=$S$29,$B$24,$B$25),IF(F30&lt;=$T$29,$B$24,$B$25)),"-")</f>
        <v>CUMPLE</v>
      </c>
      <c r="G29" s="217"/>
      <c r="H29" s="217"/>
      <c r="I29" s="217"/>
      <c r="J29" s="16" t="str">
        <f>IFERROR(IF(J74=$S$21,IF(J30&lt;=$S$29,$B$24,$B$25),IF(J30&lt;=$T$29,$B$24,$B$25)),"-")</f>
        <v>CUMPLE</v>
      </c>
      <c r="K29" s="217"/>
      <c r="L29" s="217"/>
      <c r="M29" s="16" t="str">
        <f>IFERROR(IF(M74=$S$21,IF(M30&lt;=$S$29,$B$24,$B$25),IF(M30&lt;=$T$29,$B$24,$B$25)),"-")</f>
        <v>CUMPLE</v>
      </c>
      <c r="N29" s="195" t="str">
        <f>IFERROR(IF(N74=$S$21,IF(N30&lt;=$S$29,$B$24,$B$25),IF(N30&lt;=$T$29,$B$24,$B$25)),"-")</f>
        <v>CUMPLE</v>
      </c>
      <c r="O29" s="217"/>
      <c r="P29" s="217"/>
      <c r="Q29" s="106" t="str">
        <f>IFERROR(IF(Q74=$S$21,IF(Q30&lt;=$S$29,$B$24,$B$25),IF(Q30&lt;=$T$29,$B$24,$B$25)),"-")</f>
        <v>CUMPLE</v>
      </c>
      <c r="S29" s="41">
        <v>0.65</v>
      </c>
      <c r="T29" s="41">
        <v>0.65</v>
      </c>
    </row>
    <row r="30" spans="2:21" s="3" customFormat="1" ht="22.5" customHeight="1" x14ac:dyDescent="0.2">
      <c r="B30" s="157" t="s">
        <v>20</v>
      </c>
      <c r="C30" s="196">
        <f t="shared" ref="C30" si="29">IFERROR(C15/C14,"-")</f>
        <v>0.2371351363312113</v>
      </c>
      <c r="D30" s="217"/>
      <c r="E30" s="217"/>
      <c r="F30" s="17">
        <f t="shared" ref="F30" si="30">IFERROR(F15/F14,"-")</f>
        <v>0.16391283942091134</v>
      </c>
      <c r="G30" s="217"/>
      <c r="H30" s="217"/>
      <c r="I30" s="217"/>
      <c r="J30" s="17">
        <f t="shared" ref="J30" si="31">IFERROR(J15/J14,"-")</f>
        <v>1.9523304892463657E-2</v>
      </c>
      <c r="K30" s="217"/>
      <c r="L30" s="217"/>
      <c r="M30" s="17">
        <f t="shared" ref="M30:N30" si="32">IFERROR(M15/M14,"-")</f>
        <v>0.19897003276796629</v>
      </c>
      <c r="N30" s="196">
        <f t="shared" si="32"/>
        <v>1.3409843091502179E-2</v>
      </c>
      <c r="O30" s="217"/>
      <c r="P30" s="217"/>
      <c r="Q30" s="107">
        <f t="shared" ref="Q30" si="33">IFERROR(Q15/Q14,"-")</f>
        <v>0.4756927128254741</v>
      </c>
    </row>
    <row r="31" spans="2:21" s="3" customFormat="1" ht="47.25" x14ac:dyDescent="0.2">
      <c r="B31" s="35" t="str">
        <f>CONCATENATE("Razón de Cobertura de Intereses: ",CHAR(10),$S$21," ≥ ",S31," vez(ces) o Indet."," ",IF($S$21=$T$21,"",_xlfn.CONCAT($T$21," ≥ ",T31," vez(ces) o Indet.")))</f>
        <v>Razón de Cobertura de Intereses: 
MiPyME ≥ 1,5 vez(ces) o Indet. Gran Empresa ≥ 1,5 vez(ces) o Indet.</v>
      </c>
      <c r="C31" s="195" t="str">
        <f>IFERROR(IF(C74=$S$21,IF(AND(C32="Indeterminado",C18&lt;=0),$B$25,IF(C32&gt;=$S$31,$B$24,$B$25)),IF(AND(C32="Indeterminado",C18&lt;=0),$B$25,IF(C32&gt;=$T$31,$B$24,$B$25))),"-")</f>
        <v>CUMPLE</v>
      </c>
      <c r="D31" s="217"/>
      <c r="E31" s="217"/>
      <c r="F31" s="16" t="str">
        <f>IFERROR(IF(F74=$S$21,IF(AND(F32="Indeterminado",F18&lt;=0),$B$25,IF(F32&gt;=$S$31,$B$24,$B$25)),IF(AND(F32="Indeterminado",F18&lt;=0),$B$25,IF(F32&gt;=$T$31,$B$24,$B$25))),"-")</f>
        <v>CUMPLE</v>
      </c>
      <c r="G31" s="217"/>
      <c r="H31" s="217"/>
      <c r="I31" s="217"/>
      <c r="J31" s="16" t="str">
        <f>IFERROR(IF(J74=$S$21,IF(AND(J32="Indeterminado",J18&lt;=0),$B$25,IF(J32&gt;=$S$31,$B$24,$B$25)),IF(AND(J32="Indeterminado",J18&lt;=0),$B$25,IF(J32&gt;=$T$31,$B$24,$B$25))),"-")</f>
        <v>CUMPLE</v>
      </c>
      <c r="K31" s="217"/>
      <c r="L31" s="217"/>
      <c r="M31" s="16" t="str">
        <f>IFERROR(IF(M74=$S$21,IF(AND(M32="Indeterminado",M18&lt;=0),$B$25,IF(M32&gt;=$S$31,$B$24,$B$25)),IF(AND(M32="Indeterminado",M18&lt;=0),$B$25,IF(M32&gt;=$T$31,$B$24,$B$25))),"-")</f>
        <v>CUMPLE</v>
      </c>
      <c r="N31" s="195" t="str">
        <f>IFERROR(IF(N74=$S$21,IF(AND(N32="Indeterminado",N18&lt;=0),$B$25,IF(N32&gt;=$S$31,$B$24,$B$25)),IF(AND(N32="Indeterminado",N18&lt;=0),$B$25,IF(N32&gt;=$T$31,$B$24,$B$25))),"-")</f>
        <v>CUMPLE</v>
      </c>
      <c r="O31" s="217"/>
      <c r="P31" s="217"/>
      <c r="Q31" s="106" t="str">
        <f>IFERROR(IF(Q74=$S$21,IF(AND(Q32="Indeterminado",Q18&lt;=0),$B$25,IF(Q32&gt;=$S$31,$B$24,$B$25)),IF(AND(Q32="Indeterminado",Q18&lt;=0),$B$25,IF(Q32&gt;=$T$31,$B$24,$B$25))),"-")</f>
        <v>CUMPLE</v>
      </c>
      <c r="S31" s="40">
        <v>1.5</v>
      </c>
      <c r="T31" s="40">
        <v>1.5</v>
      </c>
    </row>
    <row r="32" spans="2:21" s="3" customFormat="1" ht="22.5" customHeight="1" x14ac:dyDescent="0.2">
      <c r="B32" s="157" t="s">
        <v>21</v>
      </c>
      <c r="C32" s="197">
        <f t="shared" ref="C32" si="34">IFERROR(C18/C19,"Indeterminado")</f>
        <v>27.463245982308905</v>
      </c>
      <c r="D32" s="220"/>
      <c r="E32" s="218"/>
      <c r="F32" s="37">
        <f t="shared" ref="F32" si="35">IFERROR(F18/F19,"Indeterminado")</f>
        <v>11.390279377829389</v>
      </c>
      <c r="G32" s="218"/>
      <c r="H32" s="218"/>
      <c r="I32" s="218"/>
      <c r="J32" s="37">
        <f t="shared" ref="J32" si="36">IFERROR(J18/J19,"Indeterminado")</f>
        <v>2.3519225036521014</v>
      </c>
      <c r="K32" s="218"/>
      <c r="L32" s="218"/>
      <c r="M32" s="37">
        <f t="shared" ref="M32:N32" si="37">IFERROR(M18/M19,"Indeterminado")</f>
        <v>25.33062881017802</v>
      </c>
      <c r="N32" s="197">
        <f t="shared" si="37"/>
        <v>2854.2391304347825</v>
      </c>
      <c r="O32" s="218"/>
      <c r="P32" s="218"/>
      <c r="Q32" s="108">
        <f t="shared" ref="Q32" si="38">IFERROR(Q18/Q19,"Indeterminado")</f>
        <v>10.857362209950084</v>
      </c>
    </row>
    <row r="33" spans="2:21" s="3" customFormat="1" ht="31.5" x14ac:dyDescent="0.2">
      <c r="B33" s="22" t="str">
        <f>CONCATENATE("Capital de trabajo:",CHAR(10),$S$21," ≥ ",TEXT(S33,"0 %")," del PO. ",IF($S$21=$T$21,"",_xlfn.CONCAT($T$21," ≥ ",TEXT(T33,"0 %")," del PO.")))</f>
        <v>Capital de trabajo:
MiPyME ≥ 25 % del PO. Gran Empresa ≥ 25 % del PO.</v>
      </c>
      <c r="C33" s="195" t="str">
        <f>IFERROR(IF(C74=$S$21,IF(C34&gt;(C22*$S$33),$B$24,$B$25),IF(C34&gt;(C22*$T$33),$B$24,$B$25)),"-")</f>
        <v>CUMPLE</v>
      </c>
      <c r="D33" s="219"/>
      <c r="E33" s="216"/>
      <c r="F33" s="16" t="str">
        <f>IFERROR(IF(F74=$S$21,IF(F34&gt;(F22*$S$33),$B$24,$B$25),IF(F34&gt;(F22*$T$33),$B$24,$B$25)),"-")</f>
        <v>CUMPLE</v>
      </c>
      <c r="G33" s="216"/>
      <c r="H33" s="216"/>
      <c r="I33" s="216"/>
      <c r="J33" s="16" t="str">
        <f>IFERROR(IF(J74=$S$21,IF(J34&gt;(J22*$S$33),$B$24,$B$25),IF(J34&gt;(J22*$T$33),$B$24,$B$25)),"-")</f>
        <v>CUMPLE</v>
      </c>
      <c r="K33" s="216"/>
      <c r="L33" s="216"/>
      <c r="M33" s="16" t="str">
        <f>IFERROR(IF(M74=$S$21,IF(M34&gt;(M22*$S$33),$B$24,$B$25),IF(M34&gt;(M22*$T$33),$B$24,$B$25)),"-")</f>
        <v>CUMPLE</v>
      </c>
      <c r="N33" s="195" t="str">
        <f>IFERROR(IF(N74=$S$21,IF(N34&gt;(N22*$S$33),$B$24,$B$25),IF(N34&gt;(N22*$T$33),$B$24,$B$25)),"-")</f>
        <v>CUMPLE</v>
      </c>
      <c r="O33" s="216"/>
      <c r="P33" s="216"/>
      <c r="Q33" s="106" t="str">
        <f>IFERROR(IF(Q74=$S$21,IF(Q34&gt;(Q22*$S$33),$B$24,$B$25),IF(Q34&gt;(Q22*$T$33),$B$24,$B$25)),"-")</f>
        <v>CUMPLE</v>
      </c>
      <c r="S33" s="44">
        <v>0.25</v>
      </c>
      <c r="T33" s="44">
        <v>0.25</v>
      </c>
    </row>
    <row r="34" spans="2:21" s="4" customFormat="1" ht="22.5" customHeight="1" x14ac:dyDescent="0.2">
      <c r="B34" s="158" t="str">
        <f>CONCATENATE("CT = Activo Corriente - Pasivo Corriente ≥ ",TEXT((S22*S33),"$###.###.###.##0"))</f>
        <v>CT = Activo Corriente - Pasivo Corriente ≥ $86.214.371</v>
      </c>
      <c r="C34" s="191">
        <f t="shared" ref="C34" si="39">IFERROR(C12-C13,"-")</f>
        <v>1337515390</v>
      </c>
      <c r="D34" s="217"/>
      <c r="E34" s="217"/>
      <c r="F34" s="161">
        <f t="shared" ref="F34" si="40">IFERROR(F12-F13,"-")</f>
        <v>2483931693</v>
      </c>
      <c r="G34" s="217"/>
      <c r="H34" s="217"/>
      <c r="I34" s="217"/>
      <c r="J34" s="161">
        <f t="shared" ref="J34" si="41">IFERROR(J12-J13,"-")</f>
        <v>2613877307</v>
      </c>
      <c r="K34" s="217"/>
      <c r="L34" s="217"/>
      <c r="M34" s="161">
        <f t="shared" ref="M34:N34" si="42">IFERROR(M12-M13,"-")</f>
        <v>3394202756</v>
      </c>
      <c r="N34" s="191">
        <f t="shared" si="42"/>
        <v>408432000</v>
      </c>
      <c r="O34" s="217"/>
      <c r="P34" s="217"/>
      <c r="Q34" s="162">
        <f t="shared" ref="Q34" si="43">IFERROR(Q12-Q13,"-")</f>
        <v>383904688</v>
      </c>
      <c r="R34" s="95"/>
      <c r="S34" s="92"/>
      <c r="T34" s="92"/>
      <c r="U34" s="3"/>
    </row>
    <row r="35" spans="2:21" s="3" customFormat="1" ht="15.75" x14ac:dyDescent="0.2">
      <c r="B35" s="36" t="s">
        <v>22</v>
      </c>
      <c r="C35" s="198"/>
      <c r="D35" s="204"/>
      <c r="E35" s="204"/>
      <c r="F35" s="38"/>
      <c r="G35" s="204"/>
      <c r="H35" s="204"/>
      <c r="I35" s="204"/>
      <c r="J35" s="38"/>
      <c r="K35" s="204"/>
      <c r="L35" s="204"/>
      <c r="M35" s="38"/>
      <c r="N35" s="198"/>
      <c r="O35" s="204"/>
      <c r="P35" s="204"/>
      <c r="Q35" s="109"/>
      <c r="R35" s="96"/>
      <c r="S35" s="93"/>
      <c r="T35" s="93"/>
      <c r="U35" s="94"/>
    </row>
    <row r="36" spans="2:21" s="3" customFormat="1" ht="15.75" x14ac:dyDescent="0.2">
      <c r="B36" s="18"/>
      <c r="C36" s="199"/>
      <c r="D36" s="219"/>
      <c r="E36" s="216"/>
      <c r="F36" s="9"/>
      <c r="G36" s="216"/>
      <c r="H36" s="216"/>
      <c r="I36" s="216"/>
      <c r="J36" s="9"/>
      <c r="K36" s="216"/>
      <c r="L36" s="216"/>
      <c r="M36" s="9"/>
      <c r="N36" s="199"/>
      <c r="O36" s="216"/>
      <c r="P36" s="216"/>
      <c r="Q36" s="110"/>
    </row>
    <row r="37" spans="2:21" s="3" customFormat="1" ht="31.5" x14ac:dyDescent="0.2">
      <c r="B37" s="35" t="str">
        <f>CONCATENATE("Indicador  Rentabilidad del Patrimonio",CHAR(10),$S$21," ≥ ",TEXT(S37,"#0 %. "),IF($S$21=$T$21,"",_xlfn.CONCAT($T$21," ≥ ",TEXT(T37,"#0 %."))))</f>
        <v>Indicador  Rentabilidad del Patrimonio
MiPyME ≥ 2 %. Gran Empresa ≥ 4 %.</v>
      </c>
      <c r="C37" s="195" t="str">
        <f>IFERROR(IF((IF(C74=$S$21,IF(C38&gt;=$S$37,$B$24,$B$25),IF(C38&gt;=$T$37,$B$24,$B$25)))="No hábil",IF(AND(C38&lt;0,C16&gt;0,C74="ESAL"),$B$24,$B$25),IF(C74=$S$21,IF(C38&gt;=$S$37,$B$24,$B$25),IF(C38&gt;=$T$37,$B$24,$B$25))),"-")</f>
        <v>CUMPLE</v>
      </c>
      <c r="D37" s="217" t="s">
        <v>95</v>
      </c>
      <c r="E37" s="217" t="s">
        <v>95</v>
      </c>
      <c r="F37" s="16" t="str">
        <f>IFERROR(IF((IF(F74=$S$21,IF(F38&gt;=$S$37,$B$24,$B$25),IF(F38&gt;=$T$37,$B$24,$B$25)))="No hábil",IF(AND(F38&lt;0,F16&gt;0,F74="ESAL"),$B$24,$B$25),IF(F74=$S$21,IF(F38&gt;=$S$37,$B$24,$B$25),IF(F38&gt;=$T$37,$B$24,$B$25))),"-")</f>
        <v>CUMPLE</v>
      </c>
      <c r="G37" s="217" t="s">
        <v>95</v>
      </c>
      <c r="H37" s="217" t="s">
        <v>95</v>
      </c>
      <c r="I37" s="217" t="s">
        <v>95</v>
      </c>
      <c r="J37" s="16" t="str">
        <f>IFERROR(IF((IF(J74=$S$21,IF(J38&gt;=$S$37,$B$24,$B$25),IF(J38&gt;=$T$37,$B$24,$B$25)))="No hábil",IF(AND(J38&lt;0,J16&gt;0,J74="ESAL"),$B$24,$B$25),IF(J74=$S$21,IF(J38&gt;=$S$37,$B$24,$B$25),IF(J38&gt;=$T$37,$B$24,$B$25))),"-")</f>
        <v>CUMPLE</v>
      </c>
      <c r="K37" s="217" t="s">
        <v>95</v>
      </c>
      <c r="L37" s="217" t="s">
        <v>95</v>
      </c>
      <c r="M37" s="16" t="str">
        <f>IFERROR(IF((IF(M74=$S$21,IF(M38&gt;=$S$37,$B$24,$B$25),IF(M38&gt;=$T$37,$B$24,$B$25)))="No hábil",IF(AND(M38&lt;0,M16&gt;0,M74="ESAL"),$B$24,$B$25),IF(M74=$S$21,IF(M38&gt;=$S$37,$B$24,$B$25),IF(M38&gt;=$T$37,$B$24,$B$25))),"-")</f>
        <v>CUMPLE</v>
      </c>
      <c r="N37" s="195" t="str">
        <f>IFERROR(IF((IF(N74=$S$21,IF(N38&gt;=$S$37,$B$24,$B$25),IF(N38&gt;=$T$37,$B$24,$B$25)))="No hábil",IF(AND(N38&lt;0,N16&gt;0,N74="ESAL"),$B$24,$B$25),IF(N74=$S$21,IF(N38&gt;=$S$37,$B$24,$B$25),IF(N38&gt;=$T$37,$B$24,$B$25))),"-")</f>
        <v>CUMPLE</v>
      </c>
      <c r="O37" s="217" t="s">
        <v>95</v>
      </c>
      <c r="P37" s="217" t="s">
        <v>95</v>
      </c>
      <c r="Q37" s="106" t="str">
        <f>IFERROR(IF((IF(Q74=$S$21,IF(Q38&gt;=$S$37,$B$24,$B$25),IF(Q38&gt;=$T$37,$B$24,$B$25)))="No hábil",IF(AND(Q38&lt;0,Q16&gt;0,Q74="ESAL"),$B$24,$B$25),IF(Q74=$S$21,IF(Q38&gt;=$S$37,$B$24,$B$25),IF(Q38&gt;=$T$37,$B$24,$B$25))),"-")</f>
        <v>CUMPLE</v>
      </c>
      <c r="S37" s="41">
        <v>0.02</v>
      </c>
      <c r="T37" s="41">
        <v>0.04</v>
      </c>
    </row>
    <row r="38" spans="2:21" s="3" customFormat="1" ht="22.5" customHeight="1" x14ac:dyDescent="0.2">
      <c r="B38" s="157" t="s">
        <v>23</v>
      </c>
      <c r="C38" s="200">
        <f t="shared" ref="C38" si="44">IFERROR(C18/C16,"-")</f>
        <v>4.5521399386683384E-2</v>
      </c>
      <c r="D38" s="217" t="s">
        <v>95</v>
      </c>
      <c r="E38" s="217" t="s">
        <v>95</v>
      </c>
      <c r="F38" s="170">
        <f t="shared" ref="F38" si="45">IFERROR(F18/F16,"-")</f>
        <v>0.19993944985530226</v>
      </c>
      <c r="G38" s="217" t="s">
        <v>95</v>
      </c>
      <c r="H38" s="217" t="s">
        <v>95</v>
      </c>
      <c r="I38" s="217" t="s">
        <v>95</v>
      </c>
      <c r="J38" s="170">
        <f t="shared" ref="J38" si="46">IFERROR(J18/J16,"-")</f>
        <v>3.6121346083445686E-2</v>
      </c>
      <c r="K38" s="217" t="s">
        <v>95</v>
      </c>
      <c r="L38" s="217" t="s">
        <v>95</v>
      </c>
      <c r="M38" s="170">
        <f t="shared" ref="M38:N38" si="47">IFERROR(M18/M16,"-")</f>
        <v>7.5346915580116275E-2</v>
      </c>
      <c r="N38" s="200">
        <f t="shared" si="47"/>
        <v>0.31686367826855039</v>
      </c>
      <c r="O38" s="217" t="s">
        <v>95</v>
      </c>
      <c r="P38" s="217" t="s">
        <v>95</v>
      </c>
      <c r="Q38" s="171">
        <f t="shared" ref="Q38" si="48">IFERROR(Q18/Q16,"-")</f>
        <v>4.6752450009869238E-2</v>
      </c>
    </row>
    <row r="39" spans="2:21" s="3" customFormat="1" ht="31.5" x14ac:dyDescent="0.2">
      <c r="B39" s="35" t="str">
        <f>CONCATENATE("Indicador Rentabilidad del Activo",CHAR(10),$S$21," ≥ ",TEXT(S39,"#0 %. "),IF($S$21=$T$21,"",_xlfn.CONCAT($T$21," ≥ ",TEXT(T39,"#0 %."))))</f>
        <v>Indicador Rentabilidad del Activo
MiPyME ≥ 1 %. Gran Empresa ≥ 3 %.</v>
      </c>
      <c r="C39" s="193" t="str">
        <f>IFERROR(IF((IF(C74=$S$21,IF(C40&gt;=$S$39,$B$24,$B$25),IF(C40&gt;=$T$39,$B$24,$B$25)))="No hábil",IF(AND(C40&lt;0,C16&gt;0,C74="ESAL"),$B$24,$B$25),IF(C74=$S$21,IF(C40&gt;=$S$39,$B$24,$B$25),IF(C40&gt;=$T$39,$B$24,$B$25))),"-")</f>
        <v>CUMPLE</v>
      </c>
      <c r="D39" s="217" t="s">
        <v>95</v>
      </c>
      <c r="E39" s="217" t="s">
        <v>95</v>
      </c>
      <c r="F39" s="14" t="str">
        <f>IFERROR(IF((IF(F74=$S$21,IF(F40&gt;=$S$39,$B$24,$B$25),IF(F40&gt;=$T$39,$B$24,$B$25)))="No hábil",IF(AND(F40&lt;0,F16&gt;0,F74="ESAL"),$B$24,$B$25),IF(F74=$S$21,IF(F40&gt;=$S$39,$B$24,$B$25),IF(F40&gt;=$T$39,$B$24,$B$25))),"-")</f>
        <v>CUMPLE</v>
      </c>
      <c r="G39" s="217" t="s">
        <v>95</v>
      </c>
      <c r="H39" s="217" t="s">
        <v>95</v>
      </c>
      <c r="I39" s="217" t="s">
        <v>95</v>
      </c>
      <c r="J39" s="14" t="str">
        <f>IFERROR(IF((IF(J74=$S$21,IF(J40&gt;=$S$39,$B$24,$B$25),IF(J40&gt;=$T$39,$B$24,$B$25)))="No hábil",IF(AND(J40&lt;0,J16&gt;0,J74="ESAL"),$B$24,$B$25),IF(J74=$S$21,IF(J40&gt;=$S$39,$B$24,$B$25),IF(J40&gt;=$T$39,$B$24,$B$25))),"-")</f>
        <v>CUMPLE</v>
      </c>
      <c r="K39" s="217" t="s">
        <v>95</v>
      </c>
      <c r="L39" s="217" t="s">
        <v>95</v>
      </c>
      <c r="M39" s="14" t="str">
        <f>IFERROR(IF((IF(M74=$S$21,IF(M40&gt;=$S$39,$B$24,$B$25),IF(M40&gt;=$T$39,$B$24,$B$25)))="No hábil",IF(AND(M40&lt;0,M16&gt;0,M74="ESAL"),$B$24,$B$25),IF(M74=$S$21,IF(M40&gt;=$S$39,$B$24,$B$25),IF(M40&gt;=$T$39,$B$24,$B$25))),"-")</f>
        <v>CUMPLE</v>
      </c>
      <c r="N39" s="193" t="str">
        <f>IFERROR(IF((IF(N74=$S$21,IF(N40&gt;=$S$39,$B$24,$B$25),IF(N40&gt;=$T$39,$B$24,$B$25)))="No hábil",IF(AND(N40&lt;0,N16&gt;0,N74="ESAL"),$B$24,$B$25),IF(N74=$S$21,IF(N40&gt;=$S$39,$B$24,$B$25),IF(N40&gt;=$T$39,$B$24,$B$25))),"-")</f>
        <v>CUMPLE</v>
      </c>
      <c r="O39" s="217" t="s">
        <v>95</v>
      </c>
      <c r="P39" s="217" t="s">
        <v>95</v>
      </c>
      <c r="Q39" s="104" t="str">
        <f>IFERROR(IF((IF(Q74=$S$21,IF(Q40&gt;=$S$39,$B$24,$B$25),IF(Q40&gt;=$T$39,$B$24,$B$25)))="No hábil",IF(AND(Q40&lt;0,Q16&gt;0,Q74="ESAL"),$B$24,$B$25),IF(Q74=$S$21,IF(Q40&gt;=$S$39,$B$24,$B$25),IF(Q40&gt;=$T$39,$B$24,$B$25))),"-")</f>
        <v>CUMPLE</v>
      </c>
      <c r="S39" s="41">
        <v>0.01</v>
      </c>
      <c r="T39" s="41">
        <v>0.03</v>
      </c>
    </row>
    <row r="40" spans="2:21" s="3" customFormat="1" ht="22.5" customHeight="1" x14ac:dyDescent="0.2">
      <c r="B40" s="157" t="s">
        <v>24</v>
      </c>
      <c r="C40" s="200">
        <f t="shared" ref="C40" si="49">IFERROR(C18/C14,"-")</f>
        <v>3.4726676137134697E-2</v>
      </c>
      <c r="D40" s="217" t="s">
        <v>95</v>
      </c>
      <c r="E40" s="217" t="s">
        <v>95</v>
      </c>
      <c r="F40" s="170">
        <f t="shared" ref="F40" si="50">IFERROR(F18/F14,"-")</f>
        <v>0.16716680691726474</v>
      </c>
      <c r="G40" s="217" t="s">
        <v>95</v>
      </c>
      <c r="H40" s="217" t="s">
        <v>95</v>
      </c>
      <c r="I40" s="217" t="s">
        <v>95</v>
      </c>
      <c r="J40" s="170">
        <f t="shared" ref="J40" si="51">IFERROR(J18/J14,"-")</f>
        <v>3.5416138030732382E-2</v>
      </c>
      <c r="K40" s="217" t="s">
        <v>95</v>
      </c>
      <c r="L40" s="217" t="s">
        <v>95</v>
      </c>
      <c r="M40" s="170">
        <f t="shared" ref="M40:N40" si="52">IFERROR(M18/M14,"-")</f>
        <v>6.035513731817535E-2</v>
      </c>
      <c r="N40" s="200">
        <f t="shared" si="52"/>
        <v>0.31261458606157289</v>
      </c>
      <c r="O40" s="217" t="s">
        <v>95</v>
      </c>
      <c r="P40" s="217" t="s">
        <v>95</v>
      </c>
      <c r="Q40" s="171">
        <f t="shared" ref="Q40" si="53">IFERROR(Q18/Q14,"-")</f>
        <v>2.451265023343718E-2</v>
      </c>
    </row>
    <row r="41" spans="2:21" s="3" customFormat="1" ht="25.9" customHeight="1" x14ac:dyDescent="0.25">
      <c r="B41" s="23" t="s">
        <v>25</v>
      </c>
      <c r="C41" s="201" t="str">
        <f t="shared" ref="C41" si="54">IF(C10="NO CUMPLE","DEBE SUBSANAR",IF(COUNTIF(C27:C40,"NO CUMPLE")&gt;=1,"NO HABILITADO","HABILITADO"))</f>
        <v>HABILITADO</v>
      </c>
      <c r="D41" s="220"/>
      <c r="E41" s="218"/>
      <c r="F41" s="19" t="str">
        <f t="shared" ref="F41" si="55">IF(F10="NO CUMPLE","DEBE SUBSANAR",IF(COUNTIF(F27:F40,"NO CUMPLE")&gt;=1,"NO HABILITADO","HABILITADO"))</f>
        <v>HABILITADO</v>
      </c>
      <c r="G41" s="218"/>
      <c r="H41" s="218"/>
      <c r="I41" s="218"/>
      <c r="J41" s="19" t="str">
        <f t="shared" ref="J41" si="56">IF(J10="NO CUMPLE","DEBE SUBSANAR",IF(COUNTIF(J27:J40,"NO CUMPLE")&gt;=1,"NO HABILITADO","HABILITADO"))</f>
        <v>HABILITADO</v>
      </c>
      <c r="K41" s="218"/>
      <c r="L41" s="218"/>
      <c r="M41" s="19" t="str">
        <f t="shared" ref="M41:N41" si="57">IF(M10="NO CUMPLE","DEBE SUBSANAR",IF(COUNTIF(M27:M40,"NO CUMPLE")&gt;=1,"NO HABILITADO","HABILITADO"))</f>
        <v>HABILITADO</v>
      </c>
      <c r="N41" s="201" t="str">
        <f t="shared" si="57"/>
        <v>HABILITADO</v>
      </c>
      <c r="O41" s="218"/>
      <c r="P41" s="218"/>
      <c r="Q41" s="129" t="str">
        <f t="shared" ref="Q41" si="58">IF(Q10="NO CUMPLE","DEBE SUBSANAR",IF(COUNTIF(Q27:Q40,"NO CUMPLE")&gt;=1,"NO HABILITADO","HABILITADO"))</f>
        <v>HABILITADO</v>
      </c>
      <c r="S41" s="94"/>
      <c r="T41" s="1"/>
    </row>
    <row r="42" spans="2:21" s="3" customFormat="1" ht="15.75" x14ac:dyDescent="0.25">
      <c r="B42" s="32"/>
      <c r="C42" s="33"/>
      <c r="D42" s="33"/>
      <c r="E42" s="33"/>
      <c r="F42" s="33"/>
      <c r="G42" s="33"/>
      <c r="H42" s="33"/>
      <c r="I42" s="33"/>
      <c r="J42" s="33"/>
      <c r="K42" s="33"/>
      <c r="L42" s="33"/>
      <c r="M42" s="33"/>
      <c r="N42" s="33"/>
      <c r="O42" s="33"/>
      <c r="P42" s="33"/>
      <c r="Q42" s="98"/>
      <c r="S42" s="94" t="s">
        <v>79</v>
      </c>
      <c r="T42" s="1"/>
    </row>
    <row r="43" spans="2:21" s="3" customFormat="1" ht="21" customHeight="1" x14ac:dyDescent="0.25">
      <c r="B43" s="159" t="s">
        <v>26</v>
      </c>
      <c r="C43" s="71"/>
      <c r="D43" s="71"/>
      <c r="E43" s="71"/>
      <c r="F43" s="71"/>
      <c r="G43" s="71"/>
      <c r="H43" s="71"/>
      <c r="I43" s="71"/>
      <c r="J43" s="71"/>
      <c r="K43" s="71"/>
      <c r="L43" s="71"/>
      <c r="M43" s="71"/>
      <c r="N43" s="71"/>
      <c r="O43" s="71"/>
      <c r="P43" s="71"/>
      <c r="Q43" s="72"/>
      <c r="S43" s="3" t="s">
        <v>76</v>
      </c>
      <c r="T43" s="1"/>
    </row>
    <row r="44" spans="2:21" s="3" customFormat="1" ht="21" customHeight="1" x14ac:dyDescent="0.25">
      <c r="B44" s="160" t="s">
        <v>61</v>
      </c>
      <c r="C44" s="73"/>
      <c r="D44" s="73"/>
      <c r="E44" s="73"/>
      <c r="F44" s="73"/>
      <c r="G44" s="73"/>
      <c r="H44" s="73"/>
      <c r="I44" s="73"/>
      <c r="J44" s="73"/>
      <c r="K44" s="73"/>
      <c r="L44" s="73"/>
      <c r="M44" s="73"/>
      <c r="N44" s="73"/>
      <c r="O44" s="73"/>
      <c r="P44" s="73"/>
      <c r="Q44" s="74"/>
      <c r="T44" s="1"/>
    </row>
    <row r="45" spans="2:21" s="3" customFormat="1" ht="15.75" x14ac:dyDescent="0.25">
      <c r="B45" s="20"/>
      <c r="C45" s="34"/>
      <c r="D45" s="34"/>
      <c r="E45" s="34"/>
      <c r="F45" s="34"/>
      <c r="G45" s="34"/>
      <c r="H45" s="34"/>
      <c r="I45" s="34"/>
      <c r="J45" s="34"/>
      <c r="K45" s="34"/>
      <c r="L45" s="34"/>
      <c r="M45" s="34"/>
      <c r="N45" s="34"/>
      <c r="O45" s="34"/>
      <c r="P45" s="34"/>
      <c r="Q45" s="21"/>
      <c r="T45" s="1"/>
    </row>
    <row r="46" spans="2:21" s="3" customFormat="1" ht="15.75" x14ac:dyDescent="0.25">
      <c r="B46" s="45" t="str">
        <f>B71</f>
        <v>Fecha de cierre del proceso:</v>
      </c>
      <c r="C46" s="34"/>
      <c r="D46" s="34"/>
      <c r="E46" s="34"/>
      <c r="F46" s="34"/>
      <c r="G46" s="34"/>
      <c r="H46" s="34"/>
      <c r="I46" s="34"/>
      <c r="J46" s="34"/>
      <c r="K46" s="34"/>
      <c r="L46" s="34"/>
      <c r="M46" s="34"/>
      <c r="N46" s="34"/>
      <c r="O46" s="34"/>
      <c r="P46" s="34"/>
      <c r="Q46" s="21"/>
      <c r="T46" s="1"/>
    </row>
    <row r="47" spans="2:21" s="3" customFormat="1" ht="15.75" x14ac:dyDescent="0.25">
      <c r="B47" s="59">
        <f>C71</f>
        <v>46006</v>
      </c>
      <c r="C47" s="34"/>
      <c r="D47" s="34"/>
      <c r="E47" s="34"/>
      <c r="F47" s="34"/>
      <c r="G47" s="34"/>
      <c r="H47" s="34"/>
      <c r="I47" s="34"/>
      <c r="J47" s="34"/>
      <c r="K47" s="34"/>
      <c r="L47" s="34"/>
      <c r="M47" s="34"/>
      <c r="N47" s="34"/>
      <c r="O47" s="34"/>
      <c r="P47" s="34"/>
      <c r="Q47" s="21"/>
      <c r="T47" s="1"/>
    </row>
    <row r="48" spans="2:21" s="3" customFormat="1" ht="15.75" x14ac:dyDescent="0.25">
      <c r="B48" s="46"/>
      <c r="Q48" s="111"/>
      <c r="T48" s="1"/>
    </row>
    <row r="49" spans="1:20" s="3" customFormat="1" ht="15.75" x14ac:dyDescent="0.25">
      <c r="B49" s="79" t="s">
        <v>27</v>
      </c>
      <c r="C49" s="64"/>
      <c r="D49" s="64"/>
      <c r="E49" s="64"/>
      <c r="F49" s="64"/>
      <c r="G49" s="64"/>
      <c r="H49" s="64"/>
      <c r="I49" s="64"/>
      <c r="J49" s="64"/>
      <c r="K49" s="64"/>
      <c r="L49" s="64"/>
      <c r="M49" s="64"/>
      <c r="N49" s="64"/>
      <c r="O49" s="64"/>
      <c r="P49" s="64"/>
      <c r="Q49" s="112"/>
      <c r="T49" s="1"/>
    </row>
    <row r="50" spans="1:20" s="3" customFormat="1" ht="15.75" x14ac:dyDescent="0.25">
      <c r="A50" s="5"/>
      <c r="B50" s="58">
        <f>C65</f>
        <v>46008</v>
      </c>
      <c r="C50" s="65"/>
      <c r="D50" s="65"/>
      <c r="E50" s="65"/>
      <c r="F50" s="65"/>
      <c r="G50" s="65"/>
      <c r="H50" s="65"/>
      <c r="I50" s="65"/>
      <c r="J50" s="65"/>
      <c r="K50" s="65"/>
      <c r="L50" s="65"/>
      <c r="M50" s="65"/>
      <c r="N50" s="65"/>
      <c r="O50" s="65"/>
      <c r="P50" s="65"/>
      <c r="Q50" s="113"/>
      <c r="T50" s="1"/>
    </row>
    <row r="51" spans="1:20" s="3" customFormat="1" ht="15.75" x14ac:dyDescent="0.25">
      <c r="A51" s="5"/>
      <c r="B51" s="58"/>
      <c r="C51" s="120"/>
      <c r="D51" s="120" t="s">
        <v>28</v>
      </c>
      <c r="F51" s="120"/>
      <c r="G51" s="120"/>
      <c r="H51" s="120"/>
      <c r="I51" s="120"/>
      <c r="J51" s="120"/>
      <c r="L51" s="120"/>
      <c r="M51" s="120"/>
      <c r="N51" s="120"/>
      <c r="O51" s="120"/>
      <c r="P51" s="120"/>
      <c r="Q51" s="113"/>
      <c r="T51" s="1"/>
    </row>
    <row r="52" spans="1:20" ht="15.75" x14ac:dyDescent="0.25">
      <c r="A52" s="6"/>
      <c r="B52" s="79" t="s">
        <v>29</v>
      </c>
      <c r="C52" s="130"/>
      <c r="D52" s="65" t="s">
        <v>66</v>
      </c>
      <c r="F52" s="65"/>
      <c r="G52" s="65"/>
      <c r="H52" s="65"/>
      <c r="I52" s="65"/>
      <c r="J52" s="65"/>
      <c r="L52" s="65"/>
      <c r="M52" s="65"/>
      <c r="N52" s="65"/>
      <c r="O52" s="65"/>
      <c r="P52" s="65"/>
      <c r="Q52" s="114"/>
    </row>
    <row r="53" spans="1:20" ht="15.75" x14ac:dyDescent="0.25">
      <c r="A53" s="6"/>
      <c r="B53" s="58">
        <f>'2. Oferentes 9 a 13'!B53</f>
        <v>46020</v>
      </c>
      <c r="C53" s="130"/>
      <c r="D53" s="65" t="s">
        <v>30</v>
      </c>
      <c r="F53" s="65"/>
      <c r="G53" s="65"/>
      <c r="H53" s="65"/>
      <c r="I53" s="65"/>
      <c r="J53" s="65"/>
      <c r="L53" s="65"/>
      <c r="M53" s="65"/>
      <c r="N53" s="65"/>
      <c r="O53" s="65"/>
      <c r="P53" s="65"/>
      <c r="Q53" s="114"/>
    </row>
    <row r="54" spans="1:20" ht="15.75" x14ac:dyDescent="0.25">
      <c r="A54" s="6"/>
      <c r="B54" s="58"/>
      <c r="C54" s="57"/>
      <c r="D54" s="57"/>
      <c r="E54" s="57"/>
      <c r="F54" s="57"/>
      <c r="G54" s="57"/>
      <c r="H54" s="57"/>
      <c r="I54" s="57"/>
      <c r="J54" s="57"/>
      <c r="K54" s="57"/>
      <c r="L54" s="57"/>
      <c r="M54" s="57"/>
      <c r="N54" s="57"/>
      <c r="O54" s="57"/>
      <c r="P54" s="57"/>
      <c r="Q54" s="114"/>
    </row>
    <row r="55" spans="1:20" ht="15.75" x14ac:dyDescent="0.25">
      <c r="A55" s="6"/>
      <c r="B55" s="119" t="str">
        <f>"NOTA: La fecha de corte de la información financiera registrada en el RUP debe ser 31/12/2024, de acuerdo a lo establecido en el pliego definitivo de condiciones del proceso "&amp;S23&amp;","</f>
        <v>NOTA: La fecha de corte de la información financiera registrada en el RUP debe ser 31/12/2024, de acuerdo a lo establecido en el pliego definitivo de condiciones del proceso FDLU-CMA-027-2025 (143212),</v>
      </c>
      <c r="C55" s="69"/>
      <c r="D55" s="69"/>
      <c r="E55" s="69"/>
      <c r="F55" s="69"/>
      <c r="G55" s="69"/>
      <c r="H55" s="69"/>
      <c r="I55" s="69"/>
      <c r="J55" s="69"/>
      <c r="K55" s="69"/>
      <c r="L55" s="69"/>
      <c r="M55" s="69"/>
      <c r="N55" s="69"/>
      <c r="O55" s="69"/>
      <c r="P55" s="69"/>
      <c r="Q55" s="115"/>
    </row>
    <row r="56" spans="1:20" ht="15.75" x14ac:dyDescent="0.25">
      <c r="A56" s="6"/>
      <c r="B56" s="75" t="str">
        <f ca="1">'Consolidado 1 a 9'!J58</f>
        <v>de las (46) empresas evaluadas, (45) empresas están habilitadas.</v>
      </c>
      <c r="C56" s="57"/>
      <c r="D56" s="57"/>
      <c r="E56" s="57"/>
      <c r="F56" s="57"/>
      <c r="G56" s="57"/>
      <c r="H56" s="57"/>
      <c r="I56" s="57"/>
      <c r="J56" s="57"/>
      <c r="K56" s="57"/>
      <c r="L56" s="57"/>
      <c r="M56" s="57"/>
      <c r="N56" s="57"/>
      <c r="O56" s="57"/>
      <c r="P56" s="57"/>
      <c r="Q56" s="114"/>
    </row>
    <row r="57" spans="1:20" ht="16.5" thickBot="1" x14ac:dyDescent="0.3">
      <c r="B57" s="89"/>
      <c r="C57" s="76"/>
      <c r="D57" s="76"/>
      <c r="E57" s="76"/>
      <c r="F57" s="76"/>
      <c r="G57" s="76"/>
      <c r="H57" s="76"/>
      <c r="I57" s="76"/>
      <c r="J57" s="76"/>
      <c r="K57" s="76"/>
      <c r="L57" s="76"/>
      <c r="M57" s="76"/>
      <c r="N57" s="76"/>
      <c r="O57" s="76"/>
      <c r="P57" s="76"/>
      <c r="Q57" s="77"/>
    </row>
    <row r="59" spans="1:20" x14ac:dyDescent="0.25">
      <c r="B59" s="7"/>
      <c r="C59" s="7"/>
      <c r="D59" s="7"/>
      <c r="E59" s="7"/>
      <c r="F59" s="7"/>
      <c r="G59" s="7"/>
      <c r="H59" s="7"/>
      <c r="I59" s="7"/>
      <c r="J59" s="7"/>
      <c r="K59" s="7"/>
      <c r="L59" s="7"/>
      <c r="M59" s="7"/>
      <c r="N59" s="7"/>
      <c r="O59" s="7"/>
      <c r="P59" s="7"/>
      <c r="Q59" s="7"/>
    </row>
    <row r="63" spans="1:20" x14ac:dyDescent="0.25">
      <c r="B63" s="47" t="s">
        <v>31</v>
      </c>
      <c r="C63" s="48"/>
      <c r="D63" s="48"/>
      <c r="E63" s="48"/>
      <c r="F63" s="48"/>
      <c r="G63" s="48"/>
      <c r="H63" s="48"/>
      <c r="I63" s="48"/>
      <c r="J63" s="48"/>
      <c r="K63" s="48"/>
      <c r="L63" s="48"/>
      <c r="M63" s="48"/>
      <c r="N63" s="48"/>
      <c r="O63" s="48"/>
      <c r="P63" s="48"/>
      <c r="Q63" s="49"/>
    </row>
    <row r="64" spans="1:20" x14ac:dyDescent="0.25">
      <c r="B64" s="50"/>
      <c r="Q64" s="51"/>
    </row>
    <row r="65" spans="2:17" x14ac:dyDescent="0.25">
      <c r="B65" s="50" t="s">
        <v>32</v>
      </c>
      <c r="C65" s="151">
        <v>46008</v>
      </c>
      <c r="E65" s="68"/>
      <c r="F65" s="68"/>
      <c r="G65" s="68"/>
      <c r="H65" s="68"/>
      <c r="I65" s="68"/>
      <c r="J65" s="68"/>
      <c r="K65" s="68"/>
      <c r="L65" s="68"/>
      <c r="M65" s="68"/>
      <c r="N65" s="68"/>
      <c r="O65" s="68"/>
      <c r="P65" s="68"/>
      <c r="Q65" s="88"/>
    </row>
    <row r="66" spans="2:17" x14ac:dyDescent="0.25">
      <c r="B66" s="50"/>
      <c r="Q66" s="51"/>
    </row>
    <row r="67" spans="2:17" x14ac:dyDescent="0.25">
      <c r="B67" s="52"/>
      <c r="C67" s="53">
        <f t="shared" ref="C67:Q67" si="59">C8</f>
        <v>14</v>
      </c>
      <c r="D67" s="53" t="str">
        <f t="shared" si="59"/>
        <v>A</v>
      </c>
      <c r="E67" s="53" t="str">
        <f t="shared" si="59"/>
        <v>B</v>
      </c>
      <c r="F67" s="53">
        <f t="shared" si="59"/>
        <v>15</v>
      </c>
      <c r="G67" s="53" t="str">
        <f t="shared" si="59"/>
        <v>A</v>
      </c>
      <c r="H67" s="53" t="str">
        <f t="shared" ref="H67" si="60">H8</f>
        <v>B</v>
      </c>
      <c r="I67" s="53" t="str">
        <f t="shared" si="59"/>
        <v>C</v>
      </c>
      <c r="J67" s="53">
        <f t="shared" si="59"/>
        <v>16</v>
      </c>
      <c r="K67" s="53" t="str">
        <f t="shared" si="59"/>
        <v>A</v>
      </c>
      <c r="L67" s="53" t="str">
        <f t="shared" si="59"/>
        <v>B</v>
      </c>
      <c r="M67" s="53">
        <f t="shared" si="59"/>
        <v>17</v>
      </c>
      <c r="N67" s="53">
        <f t="shared" ref="N67" si="61">N8</f>
        <v>18</v>
      </c>
      <c r="O67" s="53" t="str">
        <f t="shared" si="59"/>
        <v>A</v>
      </c>
      <c r="P67" s="53" t="str">
        <f t="shared" si="59"/>
        <v>B</v>
      </c>
      <c r="Q67" s="61">
        <f t="shared" si="59"/>
        <v>19</v>
      </c>
    </row>
    <row r="68" spans="2:17" x14ac:dyDescent="0.25">
      <c r="B68" s="54" t="s">
        <v>33</v>
      </c>
      <c r="C68" s="55">
        <v>45999</v>
      </c>
      <c r="D68" s="55">
        <v>45986</v>
      </c>
      <c r="E68" s="55">
        <v>45986</v>
      </c>
      <c r="F68" s="55"/>
      <c r="G68" s="55">
        <v>45987</v>
      </c>
      <c r="H68" s="55">
        <v>46002</v>
      </c>
      <c r="I68" s="55">
        <v>46002</v>
      </c>
      <c r="J68" s="55"/>
      <c r="K68" s="55">
        <v>45989</v>
      </c>
      <c r="L68" s="55">
        <v>45980</v>
      </c>
      <c r="M68" s="55"/>
      <c r="N68" s="55">
        <v>45994</v>
      </c>
      <c r="O68" s="55">
        <v>45992</v>
      </c>
      <c r="P68" s="55">
        <v>45979</v>
      </c>
      <c r="Q68" s="62"/>
    </row>
    <row r="69" spans="2:17" x14ac:dyDescent="0.25">
      <c r="B69" s="54" t="s">
        <v>34</v>
      </c>
      <c r="C69" s="55"/>
      <c r="D69" s="55"/>
      <c r="E69" s="55"/>
      <c r="F69" s="55"/>
      <c r="G69" s="55"/>
      <c r="H69" s="55"/>
      <c r="I69" s="55"/>
      <c r="J69" s="55"/>
      <c r="K69" s="55"/>
      <c r="L69" s="55"/>
      <c r="M69" s="55"/>
      <c r="N69" s="55"/>
      <c r="O69" s="55"/>
      <c r="P69" s="55"/>
      <c r="Q69" s="62"/>
    </row>
    <row r="70" spans="2:17" x14ac:dyDescent="0.25">
      <c r="B70" s="50"/>
      <c r="Q70" s="51"/>
    </row>
    <row r="71" spans="2:17" x14ac:dyDescent="0.25">
      <c r="B71" s="50" t="s">
        <v>35</v>
      </c>
      <c r="C71" s="151">
        <v>46006</v>
      </c>
      <c r="D71" s="68">
        <f t="shared" ref="D71" si="62">C71</f>
        <v>46006</v>
      </c>
      <c r="E71" s="68">
        <f>D71</f>
        <v>46006</v>
      </c>
      <c r="F71" s="68"/>
      <c r="G71" s="68">
        <f>E71</f>
        <v>46006</v>
      </c>
      <c r="H71" s="68">
        <f t="shared" ref="H71:I71" si="63">G71</f>
        <v>46006</v>
      </c>
      <c r="I71" s="68">
        <f t="shared" si="63"/>
        <v>46006</v>
      </c>
      <c r="J71" s="68"/>
      <c r="K71" s="68">
        <f>I71</f>
        <v>46006</v>
      </c>
      <c r="L71" s="68">
        <f>K71</f>
        <v>46006</v>
      </c>
      <c r="M71" s="68"/>
      <c r="N71" s="68">
        <f>L71</f>
        <v>46006</v>
      </c>
      <c r="O71" s="68">
        <f>N71</f>
        <v>46006</v>
      </c>
      <c r="P71" s="68">
        <f>O71</f>
        <v>46006</v>
      </c>
      <c r="Q71" s="88"/>
    </row>
    <row r="72" spans="2:17" x14ac:dyDescent="0.25">
      <c r="B72" s="54" t="s">
        <v>36</v>
      </c>
      <c r="C72" s="70">
        <f t="shared" ref="C72:K72" si="64">C71-C68</f>
        <v>7</v>
      </c>
      <c r="D72" s="70">
        <f t="shared" si="64"/>
        <v>20</v>
      </c>
      <c r="E72" s="70">
        <f t="shared" ref="E72" si="65">E71-E68</f>
        <v>20</v>
      </c>
      <c r="F72" s="70"/>
      <c r="G72" s="70">
        <f t="shared" si="64"/>
        <v>19</v>
      </c>
      <c r="H72" s="70">
        <f t="shared" ref="H72:I72" si="66">H71-H68</f>
        <v>4</v>
      </c>
      <c r="I72" s="70">
        <f t="shared" si="66"/>
        <v>4</v>
      </c>
      <c r="J72" s="70"/>
      <c r="K72" s="70">
        <f t="shared" si="64"/>
        <v>17</v>
      </c>
      <c r="L72" s="70">
        <f t="shared" ref="L72:N72" si="67">L71-L68</f>
        <v>26</v>
      </c>
      <c r="M72" s="70"/>
      <c r="N72" s="70">
        <f t="shared" si="67"/>
        <v>12</v>
      </c>
      <c r="O72" s="70">
        <f t="shared" ref="O72:P72" si="68">O71-O68</f>
        <v>14</v>
      </c>
      <c r="P72" s="70">
        <f t="shared" si="68"/>
        <v>27</v>
      </c>
      <c r="Q72" s="116"/>
    </row>
    <row r="73" spans="2:17" x14ac:dyDescent="0.25">
      <c r="B73" s="78">
        <v>30</v>
      </c>
      <c r="C73" s="56"/>
      <c r="D73" s="56"/>
      <c r="E73" s="56"/>
      <c r="F73" s="56"/>
      <c r="G73" s="56"/>
      <c r="H73" s="56"/>
      <c r="I73" s="56"/>
      <c r="J73" s="56"/>
      <c r="K73" s="56"/>
      <c r="L73" s="56"/>
      <c r="M73" s="56"/>
      <c r="N73" s="56"/>
      <c r="O73" s="56"/>
      <c r="P73" s="56"/>
      <c r="Q73" s="67"/>
    </row>
    <row r="74" spans="2:17" x14ac:dyDescent="0.25">
      <c r="B74" s="153" t="s">
        <v>37</v>
      </c>
      <c r="C74" s="127" t="s">
        <v>77</v>
      </c>
      <c r="D74" s="127" t="s">
        <v>77</v>
      </c>
      <c r="E74" s="127" t="s">
        <v>77</v>
      </c>
      <c r="F74" s="127" t="s">
        <v>77</v>
      </c>
      <c r="G74" s="127" t="s">
        <v>77</v>
      </c>
      <c r="H74" s="127" t="s">
        <v>77</v>
      </c>
      <c r="I74" s="127" t="s">
        <v>77</v>
      </c>
      <c r="J74" s="127" t="s">
        <v>77</v>
      </c>
      <c r="K74" s="127" t="s">
        <v>77</v>
      </c>
      <c r="L74" s="127" t="s">
        <v>77</v>
      </c>
      <c r="M74" s="127" t="s">
        <v>77</v>
      </c>
      <c r="N74" s="127" t="s">
        <v>77</v>
      </c>
      <c r="O74" s="127" t="s">
        <v>77</v>
      </c>
      <c r="P74" s="127" t="s">
        <v>77</v>
      </c>
      <c r="Q74" s="128" t="s">
        <v>77</v>
      </c>
    </row>
    <row r="75" spans="2:17" ht="15.75" customHeight="1" x14ac:dyDescent="0.25">
      <c r="B75" s="152"/>
      <c r="C75" s="100"/>
      <c r="D75" s="100"/>
      <c r="E75" s="100"/>
      <c r="F75" s="100"/>
      <c r="G75" s="100"/>
      <c r="H75" s="100"/>
      <c r="I75" s="100"/>
      <c r="J75" s="100"/>
      <c r="K75" s="100"/>
      <c r="L75" s="100"/>
      <c r="M75" s="100"/>
      <c r="N75" s="100"/>
      <c r="O75" s="100"/>
      <c r="P75" s="100"/>
      <c r="Q75" s="97"/>
    </row>
    <row r="76" spans="2:17" x14ac:dyDescent="0.25">
      <c r="B76" s="173"/>
      <c r="C76" s="173"/>
      <c r="D76" s="173"/>
      <c r="E76" s="173"/>
      <c r="F76" s="173"/>
      <c r="G76" s="173"/>
      <c r="H76" s="173"/>
      <c r="I76" s="173"/>
      <c r="J76" s="173"/>
      <c r="K76" s="173"/>
      <c r="L76" s="173"/>
      <c r="M76" s="173"/>
      <c r="N76" s="173"/>
      <c r="O76" s="173"/>
      <c r="P76" s="173"/>
      <c r="Q76" s="173"/>
    </row>
    <row r="77" spans="2:17" x14ac:dyDescent="0.25">
      <c r="B77" s="173"/>
      <c r="C77" s="173"/>
      <c r="D77" s="173"/>
      <c r="E77" s="173"/>
      <c r="F77" s="173"/>
      <c r="G77" s="173"/>
      <c r="H77" s="173"/>
      <c r="I77" s="173"/>
      <c r="J77" s="173"/>
      <c r="K77" s="173"/>
      <c r="L77" s="173"/>
      <c r="M77" s="173"/>
      <c r="N77" s="173"/>
      <c r="O77" s="173"/>
      <c r="P77" s="173"/>
      <c r="Q77" s="174"/>
    </row>
    <row r="78" spans="2:17" x14ac:dyDescent="0.25">
      <c r="B78" s="173"/>
      <c r="C78" s="173"/>
      <c r="D78" s="173"/>
      <c r="E78" s="173"/>
      <c r="F78" s="173"/>
      <c r="G78" s="173"/>
      <c r="H78" s="173"/>
      <c r="I78" s="173"/>
      <c r="J78" s="173"/>
      <c r="K78" s="173"/>
      <c r="L78" s="173"/>
      <c r="M78" s="173"/>
      <c r="N78" s="173"/>
      <c r="O78" s="173"/>
      <c r="P78" s="173"/>
      <c r="Q78" s="173"/>
    </row>
    <row r="79" spans="2:17" x14ac:dyDescent="0.25">
      <c r="B79" s="173"/>
      <c r="C79" s="173"/>
      <c r="D79" s="173"/>
      <c r="E79" s="173"/>
      <c r="F79" s="173"/>
      <c r="G79" s="173"/>
      <c r="H79" s="173"/>
      <c r="I79" s="173"/>
      <c r="J79" s="173"/>
      <c r="K79" s="173"/>
      <c r="L79" s="173"/>
      <c r="M79" s="173"/>
      <c r="N79" s="173"/>
      <c r="O79" s="173"/>
      <c r="P79" s="173"/>
      <c r="Q79" s="173"/>
    </row>
    <row r="80" spans="2:17" x14ac:dyDescent="0.25">
      <c r="B80" s="173"/>
      <c r="C80" s="173"/>
      <c r="D80" s="173"/>
      <c r="E80" s="173"/>
      <c r="F80" s="173"/>
      <c r="G80" s="173"/>
      <c r="H80" s="173"/>
      <c r="I80" s="173"/>
      <c r="J80" s="173"/>
      <c r="K80" s="173"/>
      <c r="L80" s="173"/>
      <c r="M80" s="173"/>
      <c r="N80" s="173"/>
      <c r="O80" s="173"/>
      <c r="P80" s="173"/>
      <c r="Q80" s="173"/>
    </row>
    <row r="81" spans="2:17" x14ac:dyDescent="0.25">
      <c r="B81" s="173"/>
      <c r="C81" s="173"/>
      <c r="D81" s="173"/>
      <c r="E81" s="173"/>
      <c r="F81" s="173"/>
      <c r="G81" s="173"/>
      <c r="H81" s="173"/>
      <c r="I81" s="173"/>
      <c r="J81" s="173"/>
      <c r="K81" s="173"/>
      <c r="L81" s="173"/>
      <c r="M81" s="173"/>
      <c r="N81" s="173"/>
      <c r="O81" s="173"/>
      <c r="P81" s="173"/>
      <c r="Q81" s="173"/>
    </row>
    <row r="82" spans="2:17" x14ac:dyDescent="0.25">
      <c r="B82" s="173"/>
      <c r="C82" s="173"/>
      <c r="D82" s="173"/>
      <c r="E82" s="173"/>
      <c r="F82" s="173"/>
      <c r="G82" s="173"/>
      <c r="H82" s="173"/>
      <c r="I82" s="173"/>
      <c r="J82" s="173"/>
      <c r="K82" s="173"/>
      <c r="L82" s="173"/>
      <c r="M82" s="173"/>
      <c r="N82" s="173"/>
      <c r="O82" s="173"/>
      <c r="P82" s="173"/>
      <c r="Q82" s="173"/>
    </row>
    <row r="83" spans="2:17" x14ac:dyDescent="0.25">
      <c r="B83" s="173"/>
      <c r="C83" s="175"/>
      <c r="D83" s="175"/>
      <c r="E83" s="175"/>
      <c r="F83" s="175"/>
      <c r="G83" s="175"/>
      <c r="H83" s="175"/>
      <c r="I83" s="175"/>
      <c r="J83" s="175"/>
      <c r="K83" s="175"/>
      <c r="L83" s="175"/>
      <c r="M83" s="175"/>
      <c r="N83" s="175"/>
      <c r="O83" s="175"/>
      <c r="P83" s="175"/>
      <c r="Q83" s="173"/>
    </row>
    <row r="84" spans="2:17" x14ac:dyDescent="0.25">
      <c r="B84" s="173"/>
      <c r="C84" s="175"/>
      <c r="D84" s="175"/>
      <c r="E84" s="175"/>
      <c r="F84" s="175"/>
      <c r="G84" s="175"/>
      <c r="H84" s="175"/>
      <c r="I84" s="175"/>
      <c r="J84" s="175"/>
      <c r="K84" s="175"/>
      <c r="L84" s="175"/>
      <c r="M84" s="175"/>
      <c r="N84" s="175"/>
      <c r="O84" s="175"/>
      <c r="P84" s="175"/>
      <c r="Q84" s="173"/>
    </row>
    <row r="85" spans="2:17" x14ac:dyDescent="0.25">
      <c r="B85" s="173"/>
      <c r="C85" s="175"/>
      <c r="D85" s="175"/>
      <c r="E85" s="175"/>
      <c r="F85" s="175"/>
      <c r="G85" s="175"/>
      <c r="H85" s="175"/>
      <c r="I85" s="175"/>
      <c r="J85" s="175"/>
      <c r="K85" s="175"/>
      <c r="L85" s="175"/>
      <c r="M85" s="175"/>
      <c r="N85" s="175"/>
      <c r="O85" s="175"/>
      <c r="P85" s="175"/>
      <c r="Q85" s="173"/>
    </row>
    <row r="86" spans="2:17" x14ac:dyDescent="0.25">
      <c r="B86" s="173"/>
      <c r="C86" s="175"/>
      <c r="D86" s="175"/>
      <c r="E86" s="175"/>
      <c r="F86" s="175"/>
      <c r="G86" s="175"/>
      <c r="H86" s="175"/>
      <c r="I86" s="175"/>
      <c r="J86" s="175"/>
      <c r="K86" s="175"/>
      <c r="L86" s="175"/>
      <c r="M86" s="175"/>
      <c r="N86" s="175"/>
      <c r="O86" s="175"/>
      <c r="P86" s="175"/>
      <c r="Q86" s="173"/>
    </row>
    <row r="87" spans="2:17" x14ac:dyDescent="0.25">
      <c r="B87" s="173"/>
      <c r="C87" s="175"/>
      <c r="D87" s="175"/>
      <c r="E87" s="175"/>
      <c r="F87" s="175"/>
      <c r="G87" s="175"/>
      <c r="H87" s="175"/>
      <c r="I87" s="175"/>
      <c r="J87" s="175"/>
      <c r="K87" s="175"/>
      <c r="L87" s="175"/>
      <c r="M87" s="175"/>
      <c r="N87" s="175"/>
      <c r="O87" s="175"/>
      <c r="P87" s="175"/>
      <c r="Q87" s="173"/>
    </row>
    <row r="88" spans="2:17" x14ac:dyDescent="0.25">
      <c r="C88" s="80"/>
      <c r="D88" s="80"/>
      <c r="E88" s="80"/>
      <c r="F88" s="80"/>
      <c r="G88" s="80"/>
      <c r="H88" s="80"/>
      <c r="I88" s="80"/>
      <c r="J88" s="80"/>
      <c r="K88" s="80"/>
      <c r="L88" s="80"/>
      <c r="M88" s="80"/>
      <c r="N88" s="80"/>
      <c r="O88" s="80"/>
      <c r="P88" s="80"/>
    </row>
    <row r="89" spans="2:17" x14ac:dyDescent="0.25">
      <c r="C89" s="80"/>
      <c r="D89" s="80"/>
      <c r="E89" s="80"/>
      <c r="F89" s="80"/>
      <c r="G89" s="80"/>
      <c r="H89" s="80"/>
      <c r="I89" s="80"/>
      <c r="J89" s="80"/>
      <c r="K89" s="80"/>
      <c r="L89" s="80"/>
      <c r="M89" s="80"/>
      <c r="N89" s="80"/>
      <c r="O89" s="80"/>
      <c r="P89" s="80"/>
    </row>
    <row r="90" spans="2:17" x14ac:dyDescent="0.25">
      <c r="C90" s="80"/>
      <c r="D90" s="80"/>
      <c r="E90" s="80"/>
      <c r="F90" s="80"/>
      <c r="G90" s="80"/>
      <c r="H90" s="80"/>
      <c r="I90" s="80"/>
      <c r="J90" s="80"/>
      <c r="K90" s="80"/>
      <c r="L90" s="80"/>
      <c r="M90" s="80"/>
      <c r="N90" s="80"/>
      <c r="O90" s="80"/>
      <c r="P90" s="80"/>
    </row>
    <row r="91" spans="2:17" x14ac:dyDescent="0.25">
      <c r="C91" s="80"/>
      <c r="D91" s="80"/>
      <c r="E91" s="80"/>
      <c r="F91" s="80"/>
      <c r="G91" s="80"/>
      <c r="H91" s="80"/>
      <c r="I91" s="80"/>
      <c r="J91" s="80"/>
      <c r="K91" s="80"/>
      <c r="L91" s="80"/>
      <c r="M91" s="80"/>
      <c r="N91" s="80"/>
      <c r="O91" s="80"/>
      <c r="P91" s="80"/>
    </row>
    <row r="92" spans="2:17" x14ac:dyDescent="0.25">
      <c r="C92" s="80"/>
      <c r="D92" s="80"/>
      <c r="E92" s="80"/>
      <c r="F92" s="80"/>
      <c r="G92" s="80"/>
      <c r="H92" s="80"/>
      <c r="I92" s="80"/>
      <c r="J92" s="80"/>
      <c r="K92" s="80"/>
      <c r="L92" s="80"/>
      <c r="M92" s="80"/>
      <c r="N92" s="80"/>
      <c r="O92" s="80"/>
      <c r="P92" s="80"/>
    </row>
    <row r="93" spans="2:17" x14ac:dyDescent="0.25">
      <c r="C93" s="80"/>
      <c r="D93" s="80"/>
      <c r="E93" s="80"/>
      <c r="F93" s="80"/>
      <c r="G93" s="80"/>
      <c r="H93" s="80"/>
      <c r="I93" s="80"/>
      <c r="J93" s="80"/>
      <c r="K93" s="80"/>
      <c r="L93" s="80"/>
      <c r="M93" s="80"/>
      <c r="N93" s="80"/>
      <c r="O93" s="80"/>
      <c r="P93" s="80"/>
    </row>
    <row r="94" spans="2:17" x14ac:dyDescent="0.25">
      <c r="C94" s="80"/>
      <c r="D94" s="80"/>
      <c r="E94" s="80"/>
      <c r="F94" s="80"/>
      <c r="G94" s="80"/>
      <c r="H94" s="80"/>
      <c r="I94" s="80"/>
      <c r="J94" s="80"/>
      <c r="K94" s="80"/>
      <c r="L94" s="80"/>
      <c r="M94" s="80"/>
      <c r="N94" s="80"/>
      <c r="O94" s="80"/>
      <c r="P94" s="80"/>
    </row>
    <row r="95" spans="2:17" x14ac:dyDescent="0.25">
      <c r="C95" s="80"/>
      <c r="D95" s="80"/>
      <c r="E95" s="80"/>
      <c r="F95" s="80"/>
      <c r="G95" s="80"/>
      <c r="H95" s="80"/>
      <c r="I95" s="80"/>
      <c r="J95" s="80"/>
      <c r="K95" s="80"/>
      <c r="L95" s="80"/>
      <c r="M95" s="80"/>
      <c r="N95" s="80"/>
      <c r="O95" s="80"/>
      <c r="P95" s="80"/>
    </row>
    <row r="96" spans="2:17" x14ac:dyDescent="0.25">
      <c r="C96" s="80"/>
      <c r="D96" s="80"/>
      <c r="E96" s="80"/>
      <c r="F96" s="80"/>
      <c r="G96" s="80"/>
      <c r="H96" s="80"/>
      <c r="I96" s="80"/>
      <c r="J96" s="80"/>
      <c r="K96" s="80"/>
      <c r="L96" s="80"/>
      <c r="M96" s="80"/>
      <c r="N96" s="80"/>
      <c r="O96" s="80"/>
      <c r="P96" s="80"/>
    </row>
    <row r="97" spans="3:16" x14ac:dyDescent="0.25">
      <c r="C97" s="80"/>
      <c r="D97" s="80"/>
      <c r="E97" s="80"/>
      <c r="F97" s="80"/>
      <c r="G97" s="80"/>
      <c r="H97" s="80"/>
      <c r="I97" s="80"/>
      <c r="J97" s="80"/>
      <c r="K97" s="80"/>
      <c r="L97" s="80"/>
      <c r="M97" s="80"/>
      <c r="N97" s="80"/>
      <c r="O97" s="80"/>
      <c r="P97" s="80"/>
    </row>
    <row r="98" spans="3:16" x14ac:dyDescent="0.25">
      <c r="C98" s="80"/>
      <c r="D98" s="80"/>
      <c r="E98" s="80"/>
      <c r="F98" s="80"/>
      <c r="G98" s="80"/>
      <c r="H98" s="80"/>
      <c r="I98" s="80"/>
      <c r="J98" s="80"/>
      <c r="K98" s="80"/>
      <c r="L98" s="80"/>
      <c r="M98" s="80"/>
      <c r="N98" s="80"/>
      <c r="O98" s="80"/>
      <c r="P98" s="80"/>
    </row>
    <row r="99" spans="3:16" x14ac:dyDescent="0.25">
      <c r="C99" s="80"/>
      <c r="D99" s="80"/>
      <c r="E99" s="80"/>
      <c r="F99" s="80"/>
      <c r="G99" s="80"/>
      <c r="H99" s="80"/>
      <c r="I99" s="80"/>
      <c r="J99" s="80"/>
      <c r="K99" s="80"/>
      <c r="L99" s="80"/>
      <c r="M99" s="80"/>
      <c r="N99" s="80"/>
      <c r="O99" s="80"/>
      <c r="P99" s="80"/>
    </row>
    <row r="100" spans="3:16" x14ac:dyDescent="0.25">
      <c r="C100" s="80"/>
      <c r="D100" s="80"/>
      <c r="E100" s="80"/>
      <c r="F100" s="80"/>
      <c r="G100" s="80"/>
      <c r="H100" s="80"/>
      <c r="I100" s="80"/>
      <c r="J100" s="80"/>
      <c r="K100" s="80"/>
      <c r="L100" s="80"/>
      <c r="M100" s="80"/>
      <c r="N100" s="80"/>
      <c r="O100" s="80"/>
      <c r="P100" s="80"/>
    </row>
    <row r="101" spans="3:16" x14ac:dyDescent="0.25">
      <c r="C101" s="80"/>
      <c r="D101" s="80"/>
      <c r="E101" s="80"/>
      <c r="F101" s="80"/>
      <c r="G101" s="80"/>
      <c r="H101" s="80"/>
      <c r="I101" s="80"/>
      <c r="J101" s="80"/>
      <c r="K101" s="80"/>
      <c r="L101" s="80"/>
      <c r="M101" s="80"/>
      <c r="N101" s="80"/>
      <c r="O101" s="80"/>
      <c r="P101" s="80"/>
    </row>
    <row r="102" spans="3:16" x14ac:dyDescent="0.25">
      <c r="C102" s="80"/>
      <c r="D102" s="80"/>
      <c r="E102" s="80"/>
      <c r="F102" s="80"/>
      <c r="G102" s="80"/>
      <c r="H102" s="80"/>
      <c r="I102" s="80"/>
      <c r="J102" s="80"/>
      <c r="K102" s="80"/>
      <c r="L102" s="80"/>
      <c r="M102" s="80"/>
      <c r="N102" s="80"/>
      <c r="O102" s="80"/>
      <c r="P102" s="80"/>
    </row>
    <row r="103" spans="3:16" x14ac:dyDescent="0.25">
      <c r="C103" s="80"/>
      <c r="D103" s="80"/>
      <c r="E103" s="80"/>
      <c r="F103" s="80"/>
      <c r="G103" s="80"/>
      <c r="H103" s="80"/>
      <c r="I103" s="80"/>
      <c r="J103" s="80"/>
      <c r="K103" s="80"/>
      <c r="L103" s="80"/>
      <c r="M103" s="80"/>
      <c r="N103" s="80"/>
      <c r="O103" s="80"/>
      <c r="P103" s="80"/>
    </row>
    <row r="104" spans="3:16" x14ac:dyDescent="0.25">
      <c r="C104" s="80"/>
      <c r="D104" s="80"/>
      <c r="E104" s="80"/>
      <c r="F104" s="80"/>
      <c r="G104" s="80"/>
      <c r="H104" s="80"/>
      <c r="I104" s="80"/>
      <c r="J104" s="80"/>
      <c r="K104" s="80"/>
      <c r="L104" s="80"/>
      <c r="M104" s="80"/>
      <c r="N104" s="80"/>
      <c r="O104" s="80"/>
      <c r="P104" s="80"/>
    </row>
    <row r="105" spans="3:16" x14ac:dyDescent="0.25">
      <c r="C105" s="80"/>
      <c r="D105" s="80"/>
      <c r="E105" s="80"/>
      <c r="F105" s="80"/>
      <c r="G105" s="80"/>
      <c r="H105" s="80"/>
      <c r="I105" s="80"/>
      <c r="J105" s="80"/>
      <c r="K105" s="80"/>
      <c r="L105" s="80"/>
      <c r="M105" s="80"/>
      <c r="N105" s="80"/>
      <c r="O105" s="80"/>
      <c r="P105" s="80"/>
    </row>
    <row r="106" spans="3:16" x14ac:dyDescent="0.25">
      <c r="C106" s="80"/>
      <c r="D106" s="80"/>
      <c r="E106" s="80"/>
      <c r="F106" s="80"/>
      <c r="G106" s="80"/>
      <c r="H106" s="80"/>
      <c r="I106" s="80"/>
      <c r="J106" s="80"/>
      <c r="K106" s="80"/>
      <c r="L106" s="80"/>
      <c r="M106" s="80"/>
      <c r="N106" s="80"/>
      <c r="O106" s="80"/>
      <c r="P106" s="80"/>
    </row>
    <row r="107" spans="3:16" x14ac:dyDescent="0.25">
      <c r="C107" s="80"/>
      <c r="D107" s="80"/>
      <c r="E107" s="80"/>
      <c r="F107" s="80"/>
      <c r="G107" s="80"/>
      <c r="H107" s="80"/>
      <c r="I107" s="80"/>
      <c r="J107" s="80"/>
      <c r="K107" s="80"/>
      <c r="L107" s="80"/>
      <c r="M107" s="80"/>
      <c r="N107" s="80"/>
      <c r="O107" s="80"/>
      <c r="P107" s="80"/>
    </row>
    <row r="108" spans="3:16" x14ac:dyDescent="0.25">
      <c r="C108" s="80"/>
      <c r="D108" s="80"/>
      <c r="E108" s="80"/>
      <c r="F108" s="80"/>
      <c r="G108" s="80"/>
      <c r="H108" s="80"/>
      <c r="I108" s="80"/>
      <c r="J108" s="80"/>
      <c r="K108" s="80"/>
      <c r="L108" s="80"/>
      <c r="M108" s="80"/>
      <c r="N108" s="80"/>
      <c r="O108" s="80"/>
      <c r="P108" s="80"/>
    </row>
    <row r="109" spans="3:16" x14ac:dyDescent="0.25">
      <c r="C109" s="80"/>
      <c r="D109" s="80"/>
      <c r="E109" s="80"/>
      <c r="F109" s="80"/>
      <c r="G109" s="80"/>
      <c r="H109" s="80"/>
      <c r="I109" s="80"/>
      <c r="J109" s="80"/>
      <c r="K109" s="80"/>
      <c r="L109" s="80"/>
      <c r="M109" s="80"/>
      <c r="N109" s="80"/>
      <c r="O109" s="80"/>
      <c r="P109" s="80"/>
    </row>
    <row r="110" spans="3:16" x14ac:dyDescent="0.25">
      <c r="C110" s="80"/>
      <c r="D110" s="80"/>
      <c r="E110" s="80"/>
      <c r="F110" s="80"/>
      <c r="G110" s="80"/>
      <c r="H110" s="80"/>
      <c r="I110" s="80"/>
      <c r="J110" s="80"/>
      <c r="K110" s="80"/>
      <c r="L110" s="80"/>
      <c r="M110" s="80"/>
      <c r="N110" s="80"/>
      <c r="O110" s="80"/>
      <c r="P110" s="80"/>
    </row>
    <row r="111" spans="3:16" x14ac:dyDescent="0.25">
      <c r="C111" s="80"/>
      <c r="D111" s="80"/>
      <c r="E111" s="80"/>
      <c r="F111" s="80"/>
      <c r="G111" s="80"/>
      <c r="H111" s="80"/>
      <c r="I111" s="80"/>
      <c r="J111" s="80"/>
      <c r="K111" s="80"/>
      <c r="L111" s="80"/>
      <c r="M111" s="80"/>
      <c r="N111" s="80"/>
      <c r="O111" s="80"/>
      <c r="P111" s="80"/>
    </row>
  </sheetData>
  <mergeCells count="3">
    <mergeCell ref="B1:B5"/>
    <mergeCell ref="C1:L5"/>
    <mergeCell ref="Q1:Q5"/>
  </mergeCells>
  <conditionalFormatting sqref="B73">
    <cfRule type="cellIs" dxfId="46" priority="10" operator="greaterThan">
      <formula>60</formula>
    </cfRule>
  </conditionalFormatting>
  <conditionalFormatting sqref="C41 F41 J41 M41:N41 Q41">
    <cfRule type="cellIs" dxfId="45" priority="5" operator="equal">
      <formula>"DEBE SUBSANAR"</formula>
    </cfRule>
  </conditionalFormatting>
  <conditionalFormatting sqref="C41">
    <cfRule type="cellIs" dxfId="44" priority="7" operator="equal">
      <formula>"NO HABILITADO"</formula>
    </cfRule>
  </conditionalFormatting>
  <conditionalFormatting sqref="C10:Q10">
    <cfRule type="cellIs" dxfId="43" priority="6" operator="equal">
      <formula>"NO CUMPLE"</formula>
    </cfRule>
  </conditionalFormatting>
  <conditionalFormatting sqref="C69:Q69">
    <cfRule type="expression" dxfId="42" priority="9">
      <formula>YEAR(C69)=2022</formula>
    </cfRule>
  </conditionalFormatting>
  <conditionalFormatting sqref="C72:Q72">
    <cfRule type="cellIs" dxfId="41" priority="8" operator="greaterThan">
      <formula>$B$73</formula>
    </cfRule>
  </conditionalFormatting>
  <conditionalFormatting sqref="E41:F41">
    <cfRule type="cellIs" dxfId="40" priority="4" operator="equal">
      <formula>"NO HABILITADO"</formula>
    </cfRule>
  </conditionalFormatting>
  <conditionalFormatting sqref="H41:J41">
    <cfRule type="cellIs" dxfId="39" priority="3" operator="equal">
      <formula>"NO HABILITADO"</formula>
    </cfRule>
  </conditionalFormatting>
  <conditionalFormatting sqref="L41:N41">
    <cfRule type="cellIs" dxfId="38" priority="2" operator="equal">
      <formula>"NO HABILITADO"</formula>
    </cfRule>
  </conditionalFormatting>
  <conditionalFormatting sqref="P41:Q41">
    <cfRule type="cellIs" dxfId="37" priority="1" operator="equal">
      <formula>"NO HABILITADO"</formula>
    </cfRule>
  </conditionalFormatting>
  <dataValidations count="1">
    <dataValidation type="list" allowBlank="1" showInputMessage="1" showErrorMessage="1" sqref="C74:Q74" xr:uid="{04DC2F72-BE48-4F7D-B2AA-AE5A66A74C69}">
      <formula1>$S$21:$T$21</formula1>
    </dataValidation>
  </dataValidations>
  <printOptions horizontalCentered="1" verticalCentered="1"/>
  <pageMargins left="0.19685039370078741" right="0.19685039370078741" top="0.15748031496062992" bottom="0.15748031496062992" header="0.31496062992125984" footer="0.31496062992125984"/>
  <pageSetup paperSize="256" scale="46" orientation="landscape" r:id="rId1"/>
  <ignoredErrors>
    <ignoredError sqref="F10 J10:J17 M10:M17" formula="1"/>
    <ignoredError sqref="F11:F19 Q17" formula="1" formulaRange="1"/>
    <ignoredError sqref="Q11:Q16 Q18:Q19" formulaRange="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8363A-CF10-4C54-BB18-EDCF9159A68F}">
  <sheetPr>
    <pageSetUpPr fitToPage="1"/>
  </sheetPr>
  <dimension ref="A1:R111"/>
  <sheetViews>
    <sheetView showGridLines="0" zoomScale="90" zoomScaleNormal="90" zoomScalePageLayoutView="90" workbookViewId="0"/>
  </sheetViews>
  <sheetFormatPr baseColWidth="10" defaultColWidth="18.7109375" defaultRowHeight="15" x14ac:dyDescent="0.25"/>
  <cols>
    <col min="1" max="1" width="1.42578125" style="1" customWidth="1"/>
    <col min="2" max="2" width="57.28515625" style="1" customWidth="1"/>
    <col min="3" max="14" width="29.7109375" style="1" customWidth="1"/>
    <col min="15" max="15" width="21.5703125" style="1" bestFit="1" customWidth="1"/>
    <col min="16" max="16" width="18.7109375" style="1"/>
    <col min="17" max="17" width="18.7109375" style="1" customWidth="1"/>
    <col min="18" max="16384" width="18.7109375" style="1"/>
  </cols>
  <sheetData>
    <row r="1" spans="1:17" ht="18" customHeight="1" x14ac:dyDescent="0.25">
      <c r="B1" s="222"/>
      <c r="C1" s="224" t="s">
        <v>60</v>
      </c>
      <c r="D1" s="225"/>
      <c r="E1" s="225"/>
      <c r="F1" s="225"/>
      <c r="G1" s="225"/>
      <c r="H1" s="225"/>
      <c r="I1" s="225"/>
      <c r="J1" s="182"/>
      <c r="K1" s="182"/>
      <c r="L1" s="182"/>
      <c r="M1" s="182"/>
      <c r="N1" s="230" t="s">
        <v>0</v>
      </c>
    </row>
    <row r="2" spans="1:17" ht="18" customHeight="1" x14ac:dyDescent="0.25">
      <c r="B2" s="223"/>
      <c r="C2" s="226"/>
      <c r="D2" s="227"/>
      <c r="E2" s="227"/>
      <c r="F2" s="227"/>
      <c r="G2" s="227"/>
      <c r="H2" s="227"/>
      <c r="I2" s="227"/>
      <c r="J2" s="183"/>
      <c r="K2" s="183"/>
      <c r="L2" s="183"/>
      <c r="M2" s="183"/>
      <c r="N2" s="231"/>
    </row>
    <row r="3" spans="1:17" ht="18" customHeight="1" x14ac:dyDescent="0.25">
      <c r="B3" s="223"/>
      <c r="C3" s="226"/>
      <c r="D3" s="227"/>
      <c r="E3" s="227"/>
      <c r="F3" s="227"/>
      <c r="G3" s="227"/>
      <c r="H3" s="227"/>
      <c r="I3" s="227"/>
      <c r="J3" s="183"/>
      <c r="K3" s="183"/>
      <c r="L3" s="183"/>
      <c r="M3" s="183"/>
      <c r="N3" s="231"/>
    </row>
    <row r="4" spans="1:17" ht="18" customHeight="1" x14ac:dyDescent="0.25">
      <c r="B4" s="223"/>
      <c r="C4" s="226"/>
      <c r="D4" s="227"/>
      <c r="E4" s="227"/>
      <c r="F4" s="227"/>
      <c r="G4" s="227"/>
      <c r="H4" s="227"/>
      <c r="I4" s="227"/>
      <c r="J4" s="183"/>
      <c r="K4" s="183"/>
      <c r="L4" s="183"/>
      <c r="M4" s="183"/>
      <c r="N4" s="231"/>
    </row>
    <row r="5" spans="1:17" ht="18" customHeight="1" x14ac:dyDescent="0.25">
      <c r="B5" s="223"/>
      <c r="C5" s="228"/>
      <c r="D5" s="229"/>
      <c r="E5" s="229"/>
      <c r="F5" s="229"/>
      <c r="G5" s="229"/>
      <c r="H5" s="229"/>
      <c r="I5" s="229"/>
      <c r="J5" s="184"/>
      <c r="K5" s="184"/>
      <c r="L5" s="184"/>
      <c r="M5" s="184"/>
      <c r="N5" s="232"/>
    </row>
    <row r="6" spans="1:17" ht="61.5" customHeight="1" x14ac:dyDescent="0.25">
      <c r="B6" s="25" t="s">
        <v>70</v>
      </c>
      <c r="C6" s="26"/>
      <c r="D6" s="26"/>
      <c r="E6" s="26"/>
      <c r="F6" s="26"/>
      <c r="G6" s="26"/>
      <c r="H6" s="26"/>
      <c r="I6" s="26"/>
      <c r="J6" s="26"/>
      <c r="K6" s="26"/>
      <c r="L6" s="26"/>
      <c r="M6" s="26"/>
      <c r="N6" s="27"/>
    </row>
    <row r="7" spans="1:17" ht="63" x14ac:dyDescent="0.25">
      <c r="B7" s="155" t="s">
        <v>1</v>
      </c>
      <c r="C7" s="208" t="s">
        <v>133</v>
      </c>
      <c r="D7" s="63" t="s">
        <v>134</v>
      </c>
      <c r="E7" s="63" t="s">
        <v>135</v>
      </c>
      <c r="F7" s="63" t="s">
        <v>136</v>
      </c>
      <c r="G7" s="208" t="s">
        <v>137</v>
      </c>
      <c r="H7" s="208" t="s">
        <v>138</v>
      </c>
      <c r="I7" s="208" t="s">
        <v>139</v>
      </c>
      <c r="J7" s="208" t="s">
        <v>140</v>
      </c>
      <c r="K7" s="208" t="s">
        <v>141</v>
      </c>
      <c r="L7" s="63" t="s">
        <v>142</v>
      </c>
      <c r="M7" s="63" t="s">
        <v>143</v>
      </c>
      <c r="N7" s="101" t="s">
        <v>144</v>
      </c>
      <c r="P7" s="43" t="s">
        <v>2</v>
      </c>
    </row>
    <row r="8" spans="1:17" s="3" customFormat="1" ht="15.75" x14ac:dyDescent="0.25">
      <c r="A8" s="2"/>
      <c r="B8" s="154" t="s">
        <v>3</v>
      </c>
      <c r="C8" s="209">
        <f>'3. Oferentes 14 a 19'!Q8+1</f>
        <v>20</v>
      </c>
      <c r="D8" s="215" t="s">
        <v>68</v>
      </c>
      <c r="E8" s="202" t="s">
        <v>69</v>
      </c>
      <c r="F8" s="8">
        <f>C8+1</f>
        <v>21</v>
      </c>
      <c r="G8" s="209">
        <f>F8+1</f>
        <v>22</v>
      </c>
      <c r="H8" s="209">
        <f t="shared" ref="H8" si="0">G8+1</f>
        <v>23</v>
      </c>
      <c r="I8" s="209">
        <f t="shared" ref="I8" si="1">H8+1</f>
        <v>24</v>
      </c>
      <c r="J8" s="209">
        <f t="shared" ref="J8" si="2">I8+1</f>
        <v>25</v>
      </c>
      <c r="K8" s="209">
        <f t="shared" ref="K8" si="3">J8+1</f>
        <v>26</v>
      </c>
      <c r="L8" s="215" t="s">
        <v>68</v>
      </c>
      <c r="M8" s="202" t="s">
        <v>69</v>
      </c>
      <c r="N8" s="150">
        <f>K8+1</f>
        <v>27</v>
      </c>
      <c r="Q8" s="1"/>
    </row>
    <row r="9" spans="1:17" s="3" customFormat="1" ht="31.5" x14ac:dyDescent="0.25">
      <c r="B9" s="35" t="s">
        <v>4</v>
      </c>
      <c r="C9" s="210" t="s">
        <v>5</v>
      </c>
      <c r="D9" s="39" t="s">
        <v>5</v>
      </c>
      <c r="E9" s="39" t="s">
        <v>5</v>
      </c>
      <c r="F9" s="39" t="s">
        <v>5</v>
      </c>
      <c r="G9" s="210" t="s">
        <v>5</v>
      </c>
      <c r="H9" s="210" t="s">
        <v>5</v>
      </c>
      <c r="I9" s="210" t="s">
        <v>5</v>
      </c>
      <c r="J9" s="210" t="s">
        <v>5</v>
      </c>
      <c r="K9" s="210" t="s">
        <v>5</v>
      </c>
      <c r="L9" s="39" t="s">
        <v>5</v>
      </c>
      <c r="M9" s="39" t="s">
        <v>5</v>
      </c>
      <c r="N9" s="102" t="s">
        <v>5</v>
      </c>
      <c r="Q9" s="1"/>
    </row>
    <row r="10" spans="1:17" s="3" customFormat="1" ht="20.100000000000001" customHeight="1" x14ac:dyDescent="0.25">
      <c r="B10" s="35" t="s">
        <v>63</v>
      </c>
      <c r="C10" s="211" t="str">
        <f t="shared" ref="C10:E10" si="4">IF(C72&lt;=$B$73,"CUMPLE","NO CUMPLE")</f>
        <v>CUMPLE</v>
      </c>
      <c r="D10" s="24" t="str">
        <f t="shared" si="4"/>
        <v>CUMPLE</v>
      </c>
      <c r="E10" s="24" t="str">
        <f t="shared" si="4"/>
        <v>CUMPLE</v>
      </c>
      <c r="F10" s="24" t="str">
        <f>IF(COUNTIF(D10:E10,"NO CUMPLE")&gt;=1,"NO CUMPLE","CUMPLE")</f>
        <v>CUMPLE</v>
      </c>
      <c r="G10" s="211" t="str">
        <f t="shared" ref="G10" si="5">IF(G72&lt;=$B$73,"CUMPLE","NO CUMPLE")</f>
        <v>CUMPLE</v>
      </c>
      <c r="H10" s="211" t="str">
        <f t="shared" ref="H10:J10" si="6">IF(H72&lt;=$B$73,"CUMPLE","NO CUMPLE")</f>
        <v>CUMPLE</v>
      </c>
      <c r="I10" s="211" t="str">
        <f t="shared" si="6"/>
        <v>CUMPLE</v>
      </c>
      <c r="J10" s="211" t="str">
        <f t="shared" si="6"/>
        <v>CUMPLE</v>
      </c>
      <c r="K10" s="211" t="str">
        <f t="shared" ref="K10:M10" si="7">IF(K72&lt;=$B$73,"CUMPLE","NO CUMPLE")</f>
        <v>CUMPLE</v>
      </c>
      <c r="L10" s="24" t="str">
        <f t="shared" si="7"/>
        <v>CUMPLE</v>
      </c>
      <c r="M10" s="24" t="str">
        <f t="shared" si="7"/>
        <v>CUMPLE</v>
      </c>
      <c r="N10" s="103" t="str">
        <f>IF(COUNTIF(L10:M10,"NO CUMPLE")&gt;=1,"NO CUMPLE","CUMPLE")</f>
        <v>CUMPLE</v>
      </c>
      <c r="Q10" s="1"/>
    </row>
    <row r="11" spans="1:17" s="3" customFormat="1" ht="20.100000000000001" customHeight="1" x14ac:dyDescent="0.25">
      <c r="B11" s="22" t="s">
        <v>6</v>
      </c>
      <c r="C11" s="190">
        <v>1</v>
      </c>
      <c r="D11" s="190">
        <v>0.91</v>
      </c>
      <c r="E11" s="190">
        <v>0.09</v>
      </c>
      <c r="F11" s="10">
        <f>SUM(D11:E11)</f>
        <v>1</v>
      </c>
      <c r="G11" s="190">
        <v>1</v>
      </c>
      <c r="H11" s="190">
        <v>1</v>
      </c>
      <c r="I11" s="190">
        <v>1</v>
      </c>
      <c r="J11" s="190">
        <v>1</v>
      </c>
      <c r="K11" s="190">
        <v>1</v>
      </c>
      <c r="L11" s="190">
        <v>0.9</v>
      </c>
      <c r="M11" s="190">
        <v>0.1</v>
      </c>
      <c r="N11" s="99">
        <f>SUM(L11:M11)</f>
        <v>1</v>
      </c>
      <c r="Q11" s="1"/>
    </row>
    <row r="12" spans="1:17" s="3" customFormat="1" ht="20.100000000000001" customHeight="1" x14ac:dyDescent="0.25">
      <c r="B12" s="22" t="s">
        <v>7</v>
      </c>
      <c r="C12" s="191">
        <v>673712000</v>
      </c>
      <c r="D12" s="191">
        <v>4405927512</v>
      </c>
      <c r="E12" s="191">
        <v>2468805755</v>
      </c>
      <c r="F12" s="161">
        <f t="shared" ref="F12:F19" si="8">SUM(D12:E12)</f>
        <v>6874733267</v>
      </c>
      <c r="G12" s="191">
        <v>2098030864</v>
      </c>
      <c r="H12" s="191">
        <v>641795229</v>
      </c>
      <c r="I12" s="191">
        <v>12037051207</v>
      </c>
      <c r="J12" s="191">
        <v>3705875802</v>
      </c>
      <c r="K12" s="191">
        <v>2002000000</v>
      </c>
      <c r="L12" s="191">
        <v>1703170880</v>
      </c>
      <c r="M12" s="191">
        <v>105500000</v>
      </c>
      <c r="N12" s="162">
        <f t="shared" ref="N12:N19" si="9">SUM(L12:M12)</f>
        <v>1808670880</v>
      </c>
      <c r="Q12" s="1"/>
    </row>
    <row r="13" spans="1:17" s="3" customFormat="1" ht="20.100000000000001" customHeight="1" x14ac:dyDescent="0.25">
      <c r="B13" s="22" t="s">
        <v>8</v>
      </c>
      <c r="C13" s="191">
        <v>39783900</v>
      </c>
      <c r="D13" s="191">
        <v>956671956</v>
      </c>
      <c r="E13" s="191">
        <v>233774736</v>
      </c>
      <c r="F13" s="161">
        <f t="shared" si="8"/>
        <v>1190446692</v>
      </c>
      <c r="G13" s="191">
        <v>508404352</v>
      </c>
      <c r="H13" s="191">
        <v>66839189</v>
      </c>
      <c r="I13" s="191">
        <v>382523581</v>
      </c>
      <c r="J13" s="191">
        <v>342227519</v>
      </c>
      <c r="K13" s="191">
        <v>51520000</v>
      </c>
      <c r="L13" s="191">
        <v>119872910</v>
      </c>
      <c r="M13" s="191">
        <v>1850000</v>
      </c>
      <c r="N13" s="162">
        <f t="shared" si="9"/>
        <v>121722910</v>
      </c>
      <c r="Q13" s="1"/>
    </row>
    <row r="14" spans="1:17" s="3" customFormat="1" ht="20.100000000000001" customHeight="1" x14ac:dyDescent="0.25">
      <c r="B14" s="22" t="s">
        <v>9</v>
      </c>
      <c r="C14" s="191">
        <v>1613114000</v>
      </c>
      <c r="D14" s="191">
        <v>6761210620</v>
      </c>
      <c r="E14" s="191">
        <v>3035024936</v>
      </c>
      <c r="F14" s="161">
        <f t="shared" si="8"/>
        <v>9796235556</v>
      </c>
      <c r="G14" s="191">
        <v>3964420864</v>
      </c>
      <c r="H14" s="191">
        <v>739886871</v>
      </c>
      <c r="I14" s="191">
        <v>12204499539</v>
      </c>
      <c r="J14" s="191">
        <v>6517780388</v>
      </c>
      <c r="K14" s="191">
        <v>2037021000</v>
      </c>
      <c r="L14" s="191">
        <v>4782035780</v>
      </c>
      <c r="M14" s="191">
        <v>125000000</v>
      </c>
      <c r="N14" s="162">
        <f t="shared" si="9"/>
        <v>4907035780</v>
      </c>
      <c r="Q14" s="1"/>
    </row>
    <row r="15" spans="1:17" s="3" customFormat="1" ht="20.100000000000001" customHeight="1" x14ac:dyDescent="0.25">
      <c r="B15" s="22" t="s">
        <v>10</v>
      </c>
      <c r="C15" s="191">
        <v>85095900</v>
      </c>
      <c r="D15" s="191">
        <v>2029967735</v>
      </c>
      <c r="E15" s="191">
        <v>1700066412</v>
      </c>
      <c r="F15" s="161">
        <f t="shared" si="8"/>
        <v>3730034147</v>
      </c>
      <c r="G15" s="191">
        <v>508404352</v>
      </c>
      <c r="H15" s="191">
        <v>66839189</v>
      </c>
      <c r="I15" s="191">
        <v>2733608510</v>
      </c>
      <c r="J15" s="191">
        <v>342227519</v>
      </c>
      <c r="K15" s="191">
        <v>51520000</v>
      </c>
      <c r="L15" s="191">
        <v>1866920689</v>
      </c>
      <c r="M15" s="191">
        <v>1850000</v>
      </c>
      <c r="N15" s="162">
        <f t="shared" si="9"/>
        <v>1868770689</v>
      </c>
      <c r="Q15" s="1"/>
    </row>
    <row r="16" spans="1:17" s="3" customFormat="1" ht="20.100000000000001" customHeight="1" x14ac:dyDescent="0.25">
      <c r="B16" s="22" t="s">
        <v>11</v>
      </c>
      <c r="C16" s="191">
        <v>1528018100</v>
      </c>
      <c r="D16" s="191">
        <v>4731242885</v>
      </c>
      <c r="E16" s="191">
        <v>1334958524</v>
      </c>
      <c r="F16" s="161">
        <f t="shared" si="8"/>
        <v>6066201409</v>
      </c>
      <c r="G16" s="191">
        <v>3456016512</v>
      </c>
      <c r="H16" s="191">
        <v>673047682</v>
      </c>
      <c r="I16" s="191">
        <v>9470891029</v>
      </c>
      <c r="J16" s="191">
        <v>6175552869</v>
      </c>
      <c r="K16" s="191">
        <v>1985501000</v>
      </c>
      <c r="L16" s="191">
        <v>2915115091</v>
      </c>
      <c r="M16" s="191">
        <v>123150000</v>
      </c>
      <c r="N16" s="162">
        <f t="shared" si="9"/>
        <v>3038265091</v>
      </c>
      <c r="Q16" s="1"/>
    </row>
    <row r="17" spans="2:18" s="3" customFormat="1" ht="20.100000000000001" customHeight="1" x14ac:dyDescent="0.25">
      <c r="B17" s="22" t="s">
        <v>12</v>
      </c>
      <c r="C17" s="191">
        <f t="shared" ref="C17:N17" si="10">+C14-C15-C16</f>
        <v>0</v>
      </c>
      <c r="D17" s="161">
        <f t="shared" si="10"/>
        <v>0</v>
      </c>
      <c r="E17" s="161">
        <f t="shared" si="10"/>
        <v>0</v>
      </c>
      <c r="F17" s="161">
        <f t="shared" si="10"/>
        <v>0</v>
      </c>
      <c r="G17" s="191">
        <f t="shared" ref="G17" si="11">+G14-G15-G16</f>
        <v>0</v>
      </c>
      <c r="H17" s="191">
        <f t="shared" ref="H17:J17" si="12">+H14-H15-H16</f>
        <v>0</v>
      </c>
      <c r="I17" s="191">
        <f t="shared" si="12"/>
        <v>0</v>
      </c>
      <c r="J17" s="191">
        <f t="shared" si="12"/>
        <v>0</v>
      </c>
      <c r="K17" s="191">
        <f t="shared" si="10"/>
        <v>0</v>
      </c>
      <c r="L17" s="161">
        <f t="shared" si="10"/>
        <v>0</v>
      </c>
      <c r="M17" s="161">
        <f t="shared" si="10"/>
        <v>0</v>
      </c>
      <c r="N17" s="162">
        <f t="shared" si="10"/>
        <v>0</v>
      </c>
      <c r="Q17" s="1"/>
    </row>
    <row r="18" spans="2:18" s="3" customFormat="1" ht="20.100000000000001" customHeight="1" x14ac:dyDescent="0.25">
      <c r="B18" s="22" t="s">
        <v>13</v>
      </c>
      <c r="C18" s="191">
        <v>86365844</v>
      </c>
      <c r="D18" s="161">
        <v>808453491</v>
      </c>
      <c r="E18" s="161">
        <v>267241161</v>
      </c>
      <c r="F18" s="161">
        <f t="shared" si="8"/>
        <v>1075694652</v>
      </c>
      <c r="G18" s="191">
        <v>447321720</v>
      </c>
      <c r="H18" s="191">
        <v>118694996</v>
      </c>
      <c r="I18" s="191">
        <v>644938020</v>
      </c>
      <c r="J18" s="191">
        <v>596021476</v>
      </c>
      <c r="K18" s="191">
        <v>1269083000</v>
      </c>
      <c r="L18" s="161">
        <v>497142673</v>
      </c>
      <c r="M18" s="161">
        <v>0</v>
      </c>
      <c r="N18" s="162">
        <f t="shared" si="9"/>
        <v>497142673</v>
      </c>
      <c r="Q18" s="1"/>
    </row>
    <row r="19" spans="2:18" s="3" customFormat="1" ht="20.100000000000001" customHeight="1" x14ac:dyDescent="0.25">
      <c r="B19" s="22" t="s">
        <v>14</v>
      </c>
      <c r="C19" s="191">
        <v>20564329</v>
      </c>
      <c r="D19" s="161">
        <v>191617338</v>
      </c>
      <c r="E19" s="161">
        <v>11633076.119999999</v>
      </c>
      <c r="F19" s="161">
        <f t="shared" si="8"/>
        <v>203250414.12</v>
      </c>
      <c r="G19" s="191">
        <v>0</v>
      </c>
      <c r="H19" s="191">
        <v>1871694</v>
      </c>
      <c r="I19" s="191">
        <v>2819432</v>
      </c>
      <c r="J19" s="191">
        <v>25119966</v>
      </c>
      <c r="K19" s="191">
        <v>1000000</v>
      </c>
      <c r="L19" s="161">
        <v>34000</v>
      </c>
      <c r="M19" s="161">
        <v>0</v>
      </c>
      <c r="N19" s="162">
        <f t="shared" si="9"/>
        <v>34000</v>
      </c>
      <c r="Q19" s="1"/>
    </row>
    <row r="20" spans="2:18" s="3" customFormat="1" ht="31.5" x14ac:dyDescent="0.25">
      <c r="B20" s="35" t="s">
        <v>15</v>
      </c>
      <c r="C20" s="212">
        <f t="shared" ref="C20:N20" si="13">IFERROR((C18/C16),"-")</f>
        <v>5.6521479686660776E-2</v>
      </c>
      <c r="D20" s="28">
        <f t="shared" si="13"/>
        <v>0.17087549945134553</v>
      </c>
      <c r="E20" s="28">
        <f t="shared" si="13"/>
        <v>0.20018686438231245</v>
      </c>
      <c r="F20" s="28">
        <f t="shared" si="13"/>
        <v>0.17732590454449251</v>
      </c>
      <c r="G20" s="212">
        <f t="shared" ref="G20" si="14">IFERROR((G18/G16),"-")</f>
        <v>0.12943274965464055</v>
      </c>
      <c r="H20" s="212">
        <f t="shared" ref="H20:J20" si="15">IFERROR((H18/H16),"-")</f>
        <v>0.17635451272529604</v>
      </c>
      <c r="I20" s="212">
        <f t="shared" si="15"/>
        <v>6.8096868396562774E-2</v>
      </c>
      <c r="J20" s="212">
        <f t="shared" si="15"/>
        <v>9.6513055372241197E-2</v>
      </c>
      <c r="K20" s="212">
        <f t="shared" si="13"/>
        <v>0.63917520061687205</v>
      </c>
      <c r="L20" s="28">
        <f t="shared" si="13"/>
        <v>0.17053963822384122</v>
      </c>
      <c r="M20" s="28">
        <f t="shared" si="13"/>
        <v>0</v>
      </c>
      <c r="N20" s="167">
        <f t="shared" si="13"/>
        <v>0.16362715500785116</v>
      </c>
      <c r="Q20" s="1"/>
    </row>
    <row r="21" spans="2:18" s="3" customFormat="1" ht="31.5" x14ac:dyDescent="0.2">
      <c r="B21" s="35" t="s">
        <v>16</v>
      </c>
      <c r="C21" s="212">
        <f t="shared" ref="C21:N21" si="16">IFERROR((C18/C14),"-")</f>
        <v>5.3539826695447441E-2</v>
      </c>
      <c r="D21" s="28">
        <f t="shared" si="16"/>
        <v>0.11957229798588939</v>
      </c>
      <c r="E21" s="28">
        <f t="shared" si="16"/>
        <v>8.8052377372625321E-2</v>
      </c>
      <c r="F21" s="28">
        <f t="shared" si="16"/>
        <v>0.10980694021196319</v>
      </c>
      <c r="G21" s="212">
        <f t="shared" ref="G21" si="17">IFERROR((G18/G14),"-")</f>
        <v>0.11283406463275035</v>
      </c>
      <c r="H21" s="212">
        <f t="shared" ref="H21:J21" si="18">IFERROR((H18/H14),"-")</f>
        <v>0.16042316826027314</v>
      </c>
      <c r="I21" s="212">
        <f t="shared" si="18"/>
        <v>5.284428238446591E-2</v>
      </c>
      <c r="J21" s="212">
        <f t="shared" si="18"/>
        <v>9.1445467708201028E-2</v>
      </c>
      <c r="K21" s="212">
        <f t="shared" si="16"/>
        <v>0.62300928660038357</v>
      </c>
      <c r="L21" s="28">
        <f t="shared" si="16"/>
        <v>0.10396046702101422</v>
      </c>
      <c r="M21" s="28">
        <f t="shared" si="16"/>
        <v>0</v>
      </c>
      <c r="N21" s="167">
        <f t="shared" si="16"/>
        <v>0.10131221684305713</v>
      </c>
      <c r="P21" s="165" t="s">
        <v>77</v>
      </c>
      <c r="Q21" s="166" t="s">
        <v>78</v>
      </c>
      <c r="R21" s="91"/>
    </row>
    <row r="22" spans="2:18" s="3" customFormat="1" ht="15.75" x14ac:dyDescent="0.2">
      <c r="B22" s="11" t="s">
        <v>17</v>
      </c>
      <c r="C22" s="213">
        <f t="shared" ref="C22:N22" si="19">IF(C11=1,$P$22,"")</f>
        <v>344857484</v>
      </c>
      <c r="D22" s="163" t="str">
        <f t="shared" si="19"/>
        <v/>
      </c>
      <c r="E22" s="163" t="str">
        <f t="shared" si="19"/>
        <v/>
      </c>
      <c r="F22" s="163">
        <f t="shared" si="19"/>
        <v>344857484</v>
      </c>
      <c r="G22" s="213">
        <f t="shared" si="19"/>
        <v>344857484</v>
      </c>
      <c r="H22" s="213">
        <f t="shared" si="19"/>
        <v>344857484</v>
      </c>
      <c r="I22" s="213">
        <f t="shared" si="19"/>
        <v>344857484</v>
      </c>
      <c r="J22" s="213">
        <f t="shared" si="19"/>
        <v>344857484</v>
      </c>
      <c r="K22" s="213">
        <f t="shared" si="19"/>
        <v>344857484</v>
      </c>
      <c r="L22" s="163" t="str">
        <f t="shared" si="19"/>
        <v/>
      </c>
      <c r="M22" s="163" t="str">
        <f t="shared" si="19"/>
        <v/>
      </c>
      <c r="N22" s="164">
        <f t="shared" si="19"/>
        <v>344857484</v>
      </c>
      <c r="P22" s="42">
        <v>344857484</v>
      </c>
      <c r="Q22" s="42">
        <f>P22</f>
        <v>344857484</v>
      </c>
      <c r="R22" s="132"/>
    </row>
    <row r="23" spans="2:18" s="3" customFormat="1" ht="15.75" x14ac:dyDescent="0.2">
      <c r="B23" s="29" t="s">
        <v>18</v>
      </c>
      <c r="C23" s="198"/>
      <c r="D23" s="30"/>
      <c r="E23" s="30"/>
      <c r="F23" s="204"/>
      <c r="G23" s="198"/>
      <c r="H23" s="198"/>
      <c r="I23" s="198"/>
      <c r="J23" s="198"/>
      <c r="K23" s="198"/>
      <c r="L23" s="198"/>
      <c r="M23" s="30"/>
      <c r="N23" s="31"/>
      <c r="P23" s="173" t="s">
        <v>71</v>
      </c>
      <c r="Q23" s="90"/>
    </row>
    <row r="24" spans="2:18" s="3" customFormat="1" ht="15.75" x14ac:dyDescent="0.2">
      <c r="B24" s="12" t="s">
        <v>55</v>
      </c>
      <c r="C24" s="192"/>
      <c r="D24" s="192"/>
      <c r="E24" s="192"/>
      <c r="F24" s="13"/>
      <c r="G24" s="192"/>
      <c r="H24" s="192"/>
      <c r="I24" s="192"/>
      <c r="J24" s="192"/>
      <c r="K24" s="192"/>
      <c r="L24" s="192"/>
      <c r="M24" s="192"/>
      <c r="N24" s="168"/>
      <c r="P24" s="93">
        <v>1423500</v>
      </c>
      <c r="Q24" s="3" t="s">
        <v>58</v>
      </c>
    </row>
    <row r="25" spans="2:18" s="3" customFormat="1" ht="15.75" x14ac:dyDescent="0.2">
      <c r="B25" s="66" t="s">
        <v>62</v>
      </c>
      <c r="C25" s="214"/>
      <c r="D25" s="60"/>
      <c r="E25" s="60"/>
      <c r="F25" s="205"/>
      <c r="G25" s="214"/>
      <c r="H25" s="214"/>
      <c r="I25" s="214"/>
      <c r="J25" s="214"/>
      <c r="K25" s="214"/>
      <c r="L25" s="214"/>
      <c r="M25" s="60"/>
      <c r="N25" s="169"/>
      <c r="O25" s="203" t="s">
        <v>73</v>
      </c>
      <c r="P25" s="131">
        <f>Q22/P24</f>
        <v>242.26026273270108</v>
      </c>
      <c r="Q25" s="3" t="s">
        <v>74</v>
      </c>
      <c r="R25" s="3" t="s">
        <v>75</v>
      </c>
    </row>
    <row r="26" spans="2:18" s="3" customFormat="1" ht="15.75" x14ac:dyDescent="0.2">
      <c r="B26" s="29" t="s">
        <v>18</v>
      </c>
      <c r="C26" s="198"/>
      <c r="D26" s="30"/>
      <c r="E26" s="30"/>
      <c r="F26" s="204"/>
      <c r="G26" s="198"/>
      <c r="H26" s="198"/>
      <c r="I26" s="198"/>
      <c r="J26" s="198"/>
      <c r="K26" s="198"/>
      <c r="L26" s="198"/>
      <c r="M26" s="30"/>
      <c r="N26" s="31"/>
      <c r="P26" s="96" t="s">
        <v>59</v>
      </c>
      <c r="Q26" s="94" t="s">
        <v>72</v>
      </c>
    </row>
    <row r="27" spans="2:18" s="3" customFormat="1" ht="31.5" x14ac:dyDescent="0.2">
      <c r="B27" s="35" t="str">
        <f>CONCATENATE("Índice de Liquidez: ",CHAR(10),$P$21," ≥ ",P27," veces. ",IF($P$21=$Q$21,"",_xlfn.CONCAT($Q$21," ≥ ",Q27," veces.")))</f>
        <v>Índice de Liquidez: 
MiPyME ≥ 1,1 veces. Gran Empresa ≥ 1,2 veces.</v>
      </c>
      <c r="C27" s="193" t="str">
        <f>IFERROR(IF(C74=$P$21,IF(C28&gt;=$P$27,$B$24,$B$25),IF(C28&gt;=$Q$27,$B$24,$B$25)),"-")</f>
        <v>CUMPLE</v>
      </c>
      <c r="D27" s="219"/>
      <c r="E27" s="216"/>
      <c r="F27" s="14" t="str">
        <f t="shared" ref="F27:K27" si="20">IFERROR(IF(F74=$P$21,IF(F28&gt;=$P$27,$B$24,$B$25),IF(F28&gt;=$Q$27,$B$24,$B$25)),"-")</f>
        <v>CUMPLE</v>
      </c>
      <c r="G27" s="193" t="str">
        <f t="shared" si="20"/>
        <v>CUMPLE</v>
      </c>
      <c r="H27" s="193" t="str">
        <f t="shared" si="20"/>
        <v>CUMPLE</v>
      </c>
      <c r="I27" s="193" t="str">
        <f t="shared" si="20"/>
        <v>CUMPLE</v>
      </c>
      <c r="J27" s="193" t="str">
        <f t="shared" si="20"/>
        <v>CUMPLE</v>
      </c>
      <c r="K27" s="193" t="str">
        <f t="shared" si="20"/>
        <v>CUMPLE</v>
      </c>
      <c r="L27" s="216"/>
      <c r="M27" s="216"/>
      <c r="N27" s="104" t="str">
        <f>IFERROR(IF(N74=$P$21,IF(N28&gt;=$P$27,$B$24,$B$25),IF(N28&gt;=$Q$27,$B$24,$B$25)),"-")</f>
        <v>CUMPLE</v>
      </c>
      <c r="P27" s="40">
        <v>1.1000000000000001</v>
      </c>
      <c r="Q27" s="40">
        <v>1.2</v>
      </c>
    </row>
    <row r="28" spans="2:18" s="3" customFormat="1" ht="22.5" customHeight="1" x14ac:dyDescent="0.2">
      <c r="B28" s="156" t="s">
        <v>19</v>
      </c>
      <c r="C28" s="194">
        <f t="shared" ref="C28" si="21">IFERROR(C12/C13,"-")</f>
        <v>16.934287488154755</v>
      </c>
      <c r="D28" s="217"/>
      <c r="E28" s="217"/>
      <c r="F28" s="15">
        <f t="shared" ref="F28:G28" si="22">IFERROR(F12/F13,"-")</f>
        <v>5.7749190393818992</v>
      </c>
      <c r="G28" s="194">
        <f t="shared" si="22"/>
        <v>4.1266972946761875</v>
      </c>
      <c r="H28" s="194">
        <f t="shared" ref="H28:J28" si="23">IFERROR(H12/H13,"-")</f>
        <v>9.6020798367257267</v>
      </c>
      <c r="I28" s="194">
        <f t="shared" si="23"/>
        <v>31.467474960713599</v>
      </c>
      <c r="J28" s="194">
        <f t="shared" si="23"/>
        <v>10.828690260878759</v>
      </c>
      <c r="K28" s="194">
        <f t="shared" ref="K28" si="24">IFERROR(K12/K13,"-")</f>
        <v>38.858695652173914</v>
      </c>
      <c r="L28" s="217"/>
      <c r="M28" s="217"/>
      <c r="N28" s="105">
        <f t="shared" ref="N28" si="25">IFERROR(N12/N13,"-")</f>
        <v>14.858919163204362</v>
      </c>
    </row>
    <row r="29" spans="2:18" s="3" customFormat="1" ht="31.5" x14ac:dyDescent="0.2">
      <c r="B29" s="35" t="str">
        <f>CONCATENATE("Endeudamiento total: ",CHAR(10),$P$21," ≤ ",TEXT(P29,"#0 %"),". ",IF($P$21=$Q$21,"",_xlfn.CONCAT($Q$21," ≤ ",TEXT(Q29,"#0 %."))))</f>
        <v>Endeudamiento total: 
MiPyME ≤ 65 %. Gran Empresa ≤ 65 %.</v>
      </c>
      <c r="C29" s="195" t="str">
        <f>IFERROR(IF(C74=$P$21,IF(C30&lt;=$P$29,$B$24,$B$25),IF(C30&lt;=$Q$29,$B$24,$B$25)),"-")</f>
        <v>CUMPLE</v>
      </c>
      <c r="D29" s="217"/>
      <c r="E29" s="217"/>
      <c r="F29" s="16" t="str">
        <f t="shared" ref="F29:K29" si="26">IFERROR(IF(F74=$P$21,IF(F30&lt;=$P$29,$B$24,$B$25),IF(F30&lt;=$Q$29,$B$24,$B$25)),"-")</f>
        <v>CUMPLE</v>
      </c>
      <c r="G29" s="195" t="str">
        <f t="shared" si="26"/>
        <v>CUMPLE</v>
      </c>
      <c r="H29" s="195" t="str">
        <f t="shared" si="26"/>
        <v>CUMPLE</v>
      </c>
      <c r="I29" s="195" t="str">
        <f t="shared" si="26"/>
        <v>CUMPLE</v>
      </c>
      <c r="J29" s="195" t="str">
        <f t="shared" si="26"/>
        <v>CUMPLE</v>
      </c>
      <c r="K29" s="195" t="str">
        <f t="shared" si="26"/>
        <v>CUMPLE</v>
      </c>
      <c r="L29" s="217"/>
      <c r="M29" s="217"/>
      <c r="N29" s="106" t="str">
        <f>IFERROR(IF(N74=$P$21,IF(N30&lt;=$P$29,$B$24,$B$25),IF(N30&lt;=$Q$29,$B$24,$B$25)),"-")</f>
        <v>CUMPLE</v>
      </c>
      <c r="P29" s="41">
        <v>0.65</v>
      </c>
      <c r="Q29" s="41">
        <v>0.65</v>
      </c>
    </row>
    <row r="30" spans="2:18" s="3" customFormat="1" ht="22.5" customHeight="1" x14ac:dyDescent="0.2">
      <c r="B30" s="157" t="s">
        <v>20</v>
      </c>
      <c r="C30" s="196">
        <f t="shared" ref="C30" si="27">IFERROR(C15/C14,"-")</f>
        <v>5.2752564294897941E-2</v>
      </c>
      <c r="D30" s="217"/>
      <c r="E30" s="217"/>
      <c r="F30" s="17">
        <f t="shared" ref="F30:G30" si="28">IFERROR(F15/F14,"-")</f>
        <v>0.38076199022342089</v>
      </c>
      <c r="G30" s="196">
        <f t="shared" si="28"/>
        <v>0.1282417708515016</v>
      </c>
      <c r="H30" s="196">
        <f t="shared" ref="H30:J30" si="29">IFERROR(H15/H14,"-")</f>
        <v>9.0337038836306102E-2</v>
      </c>
      <c r="I30" s="196">
        <f t="shared" si="29"/>
        <v>0.22398366285029855</v>
      </c>
      <c r="J30" s="196">
        <f t="shared" si="29"/>
        <v>5.2506758225558059E-2</v>
      </c>
      <c r="K30" s="196">
        <f t="shared" ref="K30" si="30">IFERROR(K15/K14,"-")</f>
        <v>2.5291835479359318E-2</v>
      </c>
      <c r="L30" s="217"/>
      <c r="M30" s="217"/>
      <c r="N30" s="107">
        <f t="shared" ref="N30" si="31">IFERROR(N15/N14,"-")</f>
        <v>0.38083494247519017</v>
      </c>
    </row>
    <row r="31" spans="2:18" s="3" customFormat="1" ht="47.25" x14ac:dyDescent="0.2">
      <c r="B31" s="35" t="str">
        <f>CONCATENATE("Razón de Cobertura de Intereses: ",CHAR(10),$P$21," ≥ ",P31," vez(ces) o Indet."," ",IF($P$21=$Q$21,"",_xlfn.CONCAT($Q$21," ≥ ",Q31," vez(ces) o Indet.")))</f>
        <v>Razón de Cobertura de Intereses: 
MiPyME ≥ 1,5 vez(ces) o Indet. Gran Empresa ≥ 1,5 vez(ces) o Indet.</v>
      </c>
      <c r="C31" s="195" t="str">
        <f>IFERROR(IF(C74=$P$21,IF(AND(C32="Indeterminado",C18&lt;=0),$B$25,IF(C32&gt;=$P$31,$B$24,$B$25)),IF(AND(C32="Indeterminado",C18&lt;=0),$B$25,IF(C32&gt;=$Q$31,$B$24,$B$25))),"-")</f>
        <v>CUMPLE</v>
      </c>
      <c r="D31" s="217"/>
      <c r="E31" s="217"/>
      <c r="F31" s="16" t="str">
        <f t="shared" ref="F31:K31" si="32">IFERROR(IF(F74=$P$21,IF(AND(F32="Indeterminado",F18&lt;=0),$B$25,IF(F32&gt;=$P$31,$B$24,$B$25)),IF(AND(F32="Indeterminado",F18&lt;=0),$B$25,IF(F32&gt;=$Q$31,$B$24,$B$25))),"-")</f>
        <v>CUMPLE</v>
      </c>
      <c r="G31" s="195" t="str">
        <f t="shared" si="32"/>
        <v>CUMPLE</v>
      </c>
      <c r="H31" s="195" t="str">
        <f t="shared" si="32"/>
        <v>CUMPLE</v>
      </c>
      <c r="I31" s="195" t="str">
        <f t="shared" si="32"/>
        <v>CUMPLE</v>
      </c>
      <c r="J31" s="195" t="str">
        <f t="shared" si="32"/>
        <v>CUMPLE</v>
      </c>
      <c r="K31" s="195" t="str">
        <f t="shared" si="32"/>
        <v>CUMPLE</v>
      </c>
      <c r="L31" s="217"/>
      <c r="M31" s="217"/>
      <c r="N31" s="106" t="str">
        <f>IFERROR(IF(N74=$P$21,IF(AND(N32="Indeterminado",N18&lt;=0),$B$25,IF(N32&gt;=$P$31,$B$24,$B$25)),IF(AND(N32="Indeterminado",N18&lt;=0),$B$25,IF(N32&gt;=$Q$31,$B$24,$B$25))),"-")</f>
        <v>CUMPLE</v>
      </c>
      <c r="P31" s="40">
        <v>1.5</v>
      </c>
      <c r="Q31" s="40">
        <v>1.5</v>
      </c>
    </row>
    <row r="32" spans="2:18" s="3" customFormat="1" ht="22.5" customHeight="1" x14ac:dyDescent="0.2">
      <c r="B32" s="157" t="s">
        <v>21</v>
      </c>
      <c r="C32" s="197">
        <f t="shared" ref="C32" si="33">IFERROR(C18/C19,"Indeterminado")</f>
        <v>4.1997890619236831</v>
      </c>
      <c r="D32" s="220"/>
      <c r="E32" s="218"/>
      <c r="F32" s="37">
        <f t="shared" ref="F32:G32" si="34">IFERROR(F18/F19,"Indeterminado")</f>
        <v>5.2924598292080471</v>
      </c>
      <c r="G32" s="197" t="str">
        <f t="shared" si="34"/>
        <v>Indeterminado</v>
      </c>
      <c r="H32" s="197">
        <f t="shared" ref="H32:J32" si="35">IFERROR(H18/H19,"Indeterminado")</f>
        <v>63.415812627491462</v>
      </c>
      <c r="I32" s="197">
        <f t="shared" si="35"/>
        <v>228.74749949635245</v>
      </c>
      <c r="J32" s="197">
        <f t="shared" si="35"/>
        <v>23.727001700559626</v>
      </c>
      <c r="K32" s="197">
        <f t="shared" ref="K32" si="36">IFERROR(K18/K19,"Indeterminado")</f>
        <v>1269.0830000000001</v>
      </c>
      <c r="L32" s="218"/>
      <c r="M32" s="218"/>
      <c r="N32" s="108">
        <f t="shared" ref="N32" si="37">IFERROR(N18/N19,"Indeterminado")</f>
        <v>14621.843323529412</v>
      </c>
    </row>
    <row r="33" spans="2:18" s="3" customFormat="1" ht="31.5" x14ac:dyDescent="0.2">
      <c r="B33" s="22" t="str">
        <f>CONCATENATE("Capital de trabajo:",CHAR(10),$P$21," ≥ ",TEXT(P33,"0 %")," del PO. ",IF($P$21=$Q$21,"",_xlfn.CONCAT($Q$21," ≥ ",TEXT(Q33,"0 %")," del PO.")))</f>
        <v>Capital de trabajo:
MiPyME ≥ 25 % del PO. Gran Empresa ≥ 25 % del PO.</v>
      </c>
      <c r="C33" s="195" t="str">
        <f>IFERROR(IF(C74=$P$21,IF(C34&gt;(C22*$P$33),$B$24,$B$25),IF(C34&gt;(C22*$Q$33),$B$24,$B$25)),"-")</f>
        <v>CUMPLE</v>
      </c>
      <c r="D33" s="219"/>
      <c r="E33" s="216"/>
      <c r="F33" s="16" t="str">
        <f t="shared" ref="F33:K33" si="38">IFERROR(IF(F74=$P$21,IF(F34&gt;(F22*$P$33),$B$24,$B$25),IF(F34&gt;(F22*$Q$33),$B$24,$B$25)),"-")</f>
        <v>CUMPLE</v>
      </c>
      <c r="G33" s="195" t="str">
        <f t="shared" si="38"/>
        <v>CUMPLE</v>
      </c>
      <c r="H33" s="195" t="str">
        <f t="shared" si="38"/>
        <v>CUMPLE</v>
      </c>
      <c r="I33" s="195" t="str">
        <f t="shared" si="38"/>
        <v>CUMPLE</v>
      </c>
      <c r="J33" s="195" t="str">
        <f t="shared" si="38"/>
        <v>CUMPLE</v>
      </c>
      <c r="K33" s="195" t="str">
        <f t="shared" si="38"/>
        <v>CUMPLE</v>
      </c>
      <c r="L33" s="216"/>
      <c r="M33" s="216"/>
      <c r="N33" s="106" t="str">
        <f>IFERROR(IF(N74=$P$21,IF(N34&gt;(N22*$P$33),$B$24,$B$25),IF(N34&gt;(N22*$Q$33),$B$24,$B$25)),"-")</f>
        <v>CUMPLE</v>
      </c>
      <c r="P33" s="44">
        <v>0.25</v>
      </c>
      <c r="Q33" s="44">
        <v>0.25</v>
      </c>
    </row>
    <row r="34" spans="2:18" s="4" customFormat="1" ht="22.5" customHeight="1" x14ac:dyDescent="0.2">
      <c r="B34" s="158" t="str">
        <f>CONCATENATE("CT = Activo Corriente - Pasivo Corriente ≥ ",TEXT((P22*P33),"$###.###.###.##0"))</f>
        <v>CT = Activo Corriente - Pasivo Corriente ≥ $86.214.371</v>
      </c>
      <c r="C34" s="191">
        <f t="shared" ref="C34" si="39">IFERROR(C12-C13,"-")</f>
        <v>633928100</v>
      </c>
      <c r="D34" s="217"/>
      <c r="E34" s="217"/>
      <c r="F34" s="161">
        <f t="shared" ref="F34:G34" si="40">IFERROR(F12-F13,"-")</f>
        <v>5684286575</v>
      </c>
      <c r="G34" s="191">
        <f t="shared" si="40"/>
        <v>1589626512</v>
      </c>
      <c r="H34" s="191">
        <f t="shared" ref="H34:J34" si="41">IFERROR(H12-H13,"-")</f>
        <v>574956040</v>
      </c>
      <c r="I34" s="191">
        <f t="shared" si="41"/>
        <v>11654527626</v>
      </c>
      <c r="J34" s="191">
        <f t="shared" si="41"/>
        <v>3363648283</v>
      </c>
      <c r="K34" s="191">
        <f t="shared" ref="K34" si="42">IFERROR(K12-K13,"-")</f>
        <v>1950480000</v>
      </c>
      <c r="L34" s="217"/>
      <c r="M34" s="217"/>
      <c r="N34" s="162">
        <f t="shared" ref="N34" si="43">IFERROR(N12-N13,"-")</f>
        <v>1686947970</v>
      </c>
      <c r="O34" s="95"/>
      <c r="P34" s="92"/>
      <c r="Q34" s="92"/>
      <c r="R34" s="3"/>
    </row>
    <row r="35" spans="2:18" s="3" customFormat="1" ht="15.75" x14ac:dyDescent="0.2">
      <c r="B35" s="36" t="s">
        <v>22</v>
      </c>
      <c r="C35" s="198"/>
      <c r="D35" s="204"/>
      <c r="E35" s="204"/>
      <c r="F35" s="38"/>
      <c r="G35" s="198"/>
      <c r="H35" s="198"/>
      <c r="I35" s="198"/>
      <c r="J35" s="198"/>
      <c r="K35" s="198"/>
      <c r="L35" s="204"/>
      <c r="M35" s="204"/>
      <c r="N35" s="109"/>
      <c r="O35" s="96"/>
      <c r="P35" s="93"/>
      <c r="Q35" s="93"/>
      <c r="R35" s="94"/>
    </row>
    <row r="36" spans="2:18" s="3" customFormat="1" ht="15.75" x14ac:dyDescent="0.2">
      <c r="B36" s="18"/>
      <c r="C36" s="199"/>
      <c r="D36" s="219"/>
      <c r="E36" s="216"/>
      <c r="F36" s="9"/>
      <c r="G36" s="199"/>
      <c r="H36" s="199"/>
      <c r="I36" s="199"/>
      <c r="J36" s="199"/>
      <c r="K36" s="199"/>
      <c r="L36" s="216"/>
      <c r="M36" s="216"/>
      <c r="N36" s="110"/>
    </row>
    <row r="37" spans="2:18" s="3" customFormat="1" ht="31.5" x14ac:dyDescent="0.2">
      <c r="B37" s="35" t="str">
        <f>CONCATENATE("Indicador  Rentabilidad del Patrimonio",CHAR(10),$P$21," ≥ ",TEXT(P37,"#0 %. "),IF($P$21=$Q$21,"",_xlfn.CONCAT($Q$21," ≥ ",TEXT(Q37,"#0 %."))))</f>
        <v>Indicador  Rentabilidad del Patrimonio
MiPyME ≥ 2 %. Gran Empresa ≥ 4 %.</v>
      </c>
      <c r="C37" s="195" t="str">
        <f>IFERROR(IF((IF(C74=$P$21,IF(C38&gt;=$P$37,$B$24,$B$25),IF(C38&gt;=$Q$37,$B$24,$B$25)))="No hábil",IF(AND(C38&lt;0,C16&gt;0,C74="ESAL"),$B$24,$B$25),IF(C74=$P$21,IF(C38&gt;=$P$37,$B$24,$B$25),IF(C38&gt;=$Q$37,$B$24,$B$25))),"-")</f>
        <v>CUMPLE</v>
      </c>
      <c r="D37" s="217" t="s">
        <v>95</v>
      </c>
      <c r="E37" s="217" t="s">
        <v>95</v>
      </c>
      <c r="F37" s="16" t="str">
        <f t="shared" ref="F37:K37" si="44">IFERROR(IF((IF(F74=$P$21,IF(F38&gt;=$P$37,$B$24,$B$25),IF(F38&gt;=$Q$37,$B$24,$B$25)))="No hábil",IF(AND(F38&lt;0,F16&gt;0,F74="ESAL"),$B$24,$B$25),IF(F74=$P$21,IF(F38&gt;=$P$37,$B$24,$B$25),IF(F38&gt;=$Q$37,$B$24,$B$25))),"-")</f>
        <v>CUMPLE</v>
      </c>
      <c r="G37" s="195" t="str">
        <f t="shared" si="44"/>
        <v>CUMPLE</v>
      </c>
      <c r="H37" s="195" t="str">
        <f t="shared" si="44"/>
        <v>CUMPLE</v>
      </c>
      <c r="I37" s="195" t="str">
        <f t="shared" si="44"/>
        <v>CUMPLE</v>
      </c>
      <c r="J37" s="195" t="str">
        <f t="shared" si="44"/>
        <v>CUMPLE</v>
      </c>
      <c r="K37" s="195" t="str">
        <f t="shared" si="44"/>
        <v>CUMPLE</v>
      </c>
      <c r="L37" s="217" t="s">
        <v>95</v>
      </c>
      <c r="M37" s="217" t="s">
        <v>95</v>
      </c>
      <c r="N37" s="106" t="str">
        <f>IFERROR(IF((IF(N74=$P$21,IF(N38&gt;=$P$37,$B$24,$B$25),IF(N38&gt;=$Q$37,$B$24,$B$25)))="No hábil",IF(AND(N38&lt;0,N16&gt;0,N74="ESAL"),$B$24,$B$25),IF(N74=$P$21,IF(N38&gt;=$P$37,$B$24,$B$25),IF(N38&gt;=$Q$37,$B$24,$B$25))),"-")</f>
        <v>CUMPLE</v>
      </c>
      <c r="P37" s="41">
        <v>0.02</v>
      </c>
      <c r="Q37" s="41">
        <v>0.04</v>
      </c>
    </row>
    <row r="38" spans="2:18" s="3" customFormat="1" ht="22.5" customHeight="1" x14ac:dyDescent="0.2">
      <c r="B38" s="157" t="s">
        <v>23</v>
      </c>
      <c r="C38" s="200">
        <f t="shared" ref="C38" si="45">IFERROR(C18/C16,"-")</f>
        <v>5.6521479686660776E-2</v>
      </c>
      <c r="D38" s="217" t="s">
        <v>95</v>
      </c>
      <c r="E38" s="217" t="s">
        <v>95</v>
      </c>
      <c r="F38" s="170">
        <f t="shared" ref="F38:G38" si="46">IFERROR(F18/F16,"-")</f>
        <v>0.17732590454449251</v>
      </c>
      <c r="G38" s="200">
        <f t="shared" si="46"/>
        <v>0.12943274965464055</v>
      </c>
      <c r="H38" s="200">
        <f t="shared" ref="H38:J38" si="47">IFERROR(H18/H16,"-")</f>
        <v>0.17635451272529604</v>
      </c>
      <c r="I38" s="200">
        <f t="shared" si="47"/>
        <v>6.8096868396562774E-2</v>
      </c>
      <c r="J38" s="200">
        <f t="shared" si="47"/>
        <v>9.6513055372241197E-2</v>
      </c>
      <c r="K38" s="200">
        <f t="shared" ref="K38" si="48">IFERROR(K18/K16,"-")</f>
        <v>0.63917520061687205</v>
      </c>
      <c r="L38" s="217" t="s">
        <v>95</v>
      </c>
      <c r="M38" s="217" t="s">
        <v>95</v>
      </c>
      <c r="N38" s="171">
        <f t="shared" ref="N38" si="49">IFERROR(N18/N16,"-")</f>
        <v>0.16362715500785116</v>
      </c>
    </row>
    <row r="39" spans="2:18" s="3" customFormat="1" ht="31.5" x14ac:dyDescent="0.2">
      <c r="B39" s="35" t="str">
        <f>CONCATENATE("Indicador Rentabilidad del Activo",CHAR(10),$P$21," ≥ ",TEXT(P39,"#0 %. "),IF($P$21=$Q$21,"",_xlfn.CONCAT($Q$21," ≥ ",TEXT(Q39,"#0 %."))))</f>
        <v>Indicador Rentabilidad del Activo
MiPyME ≥ 1 %. Gran Empresa ≥ 3 %.</v>
      </c>
      <c r="C39" s="193" t="str">
        <f>IFERROR(IF((IF(C74=$P$21,IF(C40&gt;=$P$39,$B$24,$B$25),IF(C40&gt;=$Q$39,$B$24,$B$25)))="No hábil",IF(AND(C40&lt;0,C16&gt;0,C74="ESAL"),$B$24,$B$25),IF(C74=$P$21,IF(C40&gt;=$P$39,$B$24,$B$25),IF(C40&gt;=$Q$39,$B$24,$B$25))),"-")</f>
        <v>CUMPLE</v>
      </c>
      <c r="D39" s="217" t="s">
        <v>95</v>
      </c>
      <c r="E39" s="217" t="s">
        <v>95</v>
      </c>
      <c r="F39" s="14" t="str">
        <f t="shared" ref="F39:K39" si="50">IFERROR(IF((IF(F74=$P$21,IF(F40&gt;=$P$39,$B$24,$B$25),IF(F40&gt;=$Q$39,$B$24,$B$25)))="No hábil",IF(AND(F40&lt;0,F16&gt;0,F74="ESAL"),$B$24,$B$25),IF(F74=$P$21,IF(F40&gt;=$P$39,$B$24,$B$25),IF(F40&gt;=$Q$39,$B$24,$B$25))),"-")</f>
        <v>CUMPLE</v>
      </c>
      <c r="G39" s="193" t="str">
        <f t="shared" si="50"/>
        <v>CUMPLE</v>
      </c>
      <c r="H39" s="193" t="str">
        <f t="shared" si="50"/>
        <v>CUMPLE</v>
      </c>
      <c r="I39" s="193" t="str">
        <f t="shared" si="50"/>
        <v>CUMPLE</v>
      </c>
      <c r="J39" s="193" t="str">
        <f t="shared" si="50"/>
        <v>CUMPLE</v>
      </c>
      <c r="K39" s="193" t="str">
        <f t="shared" si="50"/>
        <v>CUMPLE</v>
      </c>
      <c r="L39" s="217" t="s">
        <v>95</v>
      </c>
      <c r="M39" s="217" t="s">
        <v>95</v>
      </c>
      <c r="N39" s="104" t="str">
        <f>IFERROR(IF((IF(N74=$P$21,IF(N40&gt;=$P$39,$B$24,$B$25),IF(N40&gt;=$Q$39,$B$24,$B$25)))="No hábil",IF(AND(N40&lt;0,N16&gt;0,N74="ESAL"),$B$24,$B$25),IF(N74=$P$21,IF(N40&gt;=$P$39,$B$24,$B$25),IF(N40&gt;=$Q$39,$B$24,$B$25))),"-")</f>
        <v>CUMPLE</v>
      </c>
      <c r="P39" s="41">
        <v>0.01</v>
      </c>
      <c r="Q39" s="41">
        <v>0.03</v>
      </c>
    </row>
    <row r="40" spans="2:18" s="3" customFormat="1" ht="22.5" customHeight="1" x14ac:dyDescent="0.2">
      <c r="B40" s="157" t="s">
        <v>24</v>
      </c>
      <c r="C40" s="200">
        <f t="shared" ref="C40" si="51">IFERROR(C18/C14,"-")</f>
        <v>5.3539826695447441E-2</v>
      </c>
      <c r="D40" s="217" t="s">
        <v>95</v>
      </c>
      <c r="E40" s="217" t="s">
        <v>95</v>
      </c>
      <c r="F40" s="170">
        <f t="shared" ref="F40:G40" si="52">IFERROR(F18/F14,"-")</f>
        <v>0.10980694021196319</v>
      </c>
      <c r="G40" s="200">
        <f t="shared" si="52"/>
        <v>0.11283406463275035</v>
      </c>
      <c r="H40" s="200">
        <f t="shared" ref="H40:J40" si="53">IFERROR(H18/H14,"-")</f>
        <v>0.16042316826027314</v>
      </c>
      <c r="I40" s="200">
        <f t="shared" si="53"/>
        <v>5.284428238446591E-2</v>
      </c>
      <c r="J40" s="200">
        <f t="shared" si="53"/>
        <v>9.1445467708201028E-2</v>
      </c>
      <c r="K40" s="200">
        <f t="shared" ref="K40" si="54">IFERROR(K18/K14,"-")</f>
        <v>0.62300928660038357</v>
      </c>
      <c r="L40" s="217" t="s">
        <v>95</v>
      </c>
      <c r="M40" s="217" t="s">
        <v>95</v>
      </c>
      <c r="N40" s="171">
        <f t="shared" ref="N40" si="55">IFERROR(N18/N14,"-")</f>
        <v>0.10131221684305713</v>
      </c>
    </row>
    <row r="41" spans="2:18" s="3" customFormat="1" ht="25.9" customHeight="1" x14ac:dyDescent="0.25">
      <c r="B41" s="23" t="s">
        <v>25</v>
      </c>
      <c r="C41" s="201" t="str">
        <f t="shared" ref="C41" si="56">IF(C10="NO CUMPLE","DEBE SUBSANAR",IF(COUNTIF(C27:C40,"NO CUMPLE")&gt;=1,"NO HABILITADO","HABILITADO"))</f>
        <v>HABILITADO</v>
      </c>
      <c r="D41" s="220"/>
      <c r="E41" s="218"/>
      <c r="F41" s="19" t="str">
        <f t="shared" ref="F41:G41" si="57">IF(F10="NO CUMPLE","DEBE SUBSANAR",IF(COUNTIF(F27:F40,"NO CUMPLE")&gt;=1,"NO HABILITADO","HABILITADO"))</f>
        <v>HABILITADO</v>
      </c>
      <c r="G41" s="201" t="str">
        <f t="shared" si="57"/>
        <v>HABILITADO</v>
      </c>
      <c r="H41" s="201" t="str">
        <f t="shared" ref="H41:J41" si="58">IF(H10="NO CUMPLE","DEBE SUBSANAR",IF(COUNTIF(H27:H40,"NO CUMPLE")&gt;=1,"NO HABILITADO","HABILITADO"))</f>
        <v>HABILITADO</v>
      </c>
      <c r="I41" s="201" t="str">
        <f t="shared" si="58"/>
        <v>HABILITADO</v>
      </c>
      <c r="J41" s="201" t="str">
        <f t="shared" si="58"/>
        <v>HABILITADO</v>
      </c>
      <c r="K41" s="201" t="str">
        <f t="shared" ref="K41" si="59">IF(K10="NO CUMPLE","DEBE SUBSANAR",IF(COUNTIF(K27:K40,"NO CUMPLE")&gt;=1,"NO HABILITADO","HABILITADO"))</f>
        <v>HABILITADO</v>
      </c>
      <c r="L41" s="218"/>
      <c r="M41" s="218"/>
      <c r="N41" s="129" t="str">
        <f t="shared" ref="N41" si="60">IF(N10="NO CUMPLE","DEBE SUBSANAR",IF(COUNTIF(N27:N40,"NO CUMPLE")&gt;=1,"NO HABILITADO","HABILITADO"))</f>
        <v>HABILITADO</v>
      </c>
      <c r="P41" s="94"/>
      <c r="Q41" s="1"/>
    </row>
    <row r="42" spans="2:18" s="3" customFormat="1" ht="15.75" x14ac:dyDescent="0.25">
      <c r="B42" s="32"/>
      <c r="C42" s="33"/>
      <c r="D42" s="33"/>
      <c r="E42" s="33"/>
      <c r="F42" s="33"/>
      <c r="G42" s="33"/>
      <c r="H42" s="33"/>
      <c r="I42" s="33"/>
      <c r="J42" s="33"/>
      <c r="K42" s="33"/>
      <c r="L42" s="33"/>
      <c r="M42" s="33"/>
      <c r="N42" s="98"/>
      <c r="P42" s="94" t="s">
        <v>79</v>
      </c>
      <c r="Q42" s="1"/>
    </row>
    <row r="43" spans="2:18" s="3" customFormat="1" ht="21" customHeight="1" x14ac:dyDescent="0.25">
      <c r="B43" s="159" t="s">
        <v>26</v>
      </c>
      <c r="C43" s="71"/>
      <c r="D43" s="71"/>
      <c r="E43" s="71"/>
      <c r="F43" s="71"/>
      <c r="G43" s="71"/>
      <c r="H43" s="71"/>
      <c r="I43" s="71"/>
      <c r="J43" s="71"/>
      <c r="K43" s="71"/>
      <c r="L43" s="71"/>
      <c r="M43" s="71"/>
      <c r="N43" s="72"/>
      <c r="P43" s="3" t="s">
        <v>76</v>
      </c>
      <c r="Q43" s="1"/>
    </row>
    <row r="44" spans="2:18" s="3" customFormat="1" ht="21" customHeight="1" x14ac:dyDescent="0.25">
      <c r="B44" s="160" t="s">
        <v>61</v>
      </c>
      <c r="C44" s="73"/>
      <c r="D44" s="73"/>
      <c r="E44" s="73"/>
      <c r="F44" s="73"/>
      <c r="G44" s="73"/>
      <c r="H44" s="73"/>
      <c r="I44" s="73"/>
      <c r="J44" s="73"/>
      <c r="K44" s="73"/>
      <c r="L44" s="73"/>
      <c r="M44" s="73"/>
      <c r="N44" s="74"/>
      <c r="Q44" s="1"/>
    </row>
    <row r="45" spans="2:18" s="3" customFormat="1" ht="15.75" x14ac:dyDescent="0.25">
      <c r="B45" s="20"/>
      <c r="C45" s="34"/>
      <c r="D45" s="34"/>
      <c r="E45" s="34"/>
      <c r="F45" s="34"/>
      <c r="G45" s="34"/>
      <c r="H45" s="34"/>
      <c r="I45" s="34"/>
      <c r="J45" s="34"/>
      <c r="K45" s="34"/>
      <c r="L45" s="34"/>
      <c r="M45" s="34"/>
      <c r="N45" s="21"/>
      <c r="Q45" s="1"/>
    </row>
    <row r="46" spans="2:18" s="3" customFormat="1" ht="15.75" x14ac:dyDescent="0.25">
      <c r="B46" s="45" t="str">
        <f>B71</f>
        <v>Fecha de cierre del proceso:</v>
      </c>
      <c r="C46" s="34"/>
      <c r="D46" s="34"/>
      <c r="E46" s="34"/>
      <c r="F46" s="34"/>
      <c r="G46" s="34"/>
      <c r="H46" s="34"/>
      <c r="I46" s="34"/>
      <c r="J46" s="34"/>
      <c r="K46" s="34"/>
      <c r="L46" s="34"/>
      <c r="M46" s="34"/>
      <c r="N46" s="21"/>
      <c r="Q46" s="1"/>
    </row>
    <row r="47" spans="2:18" s="3" customFormat="1" ht="15.75" x14ac:dyDescent="0.25">
      <c r="B47" s="59">
        <f>C71</f>
        <v>46006</v>
      </c>
      <c r="C47" s="34"/>
      <c r="D47" s="34"/>
      <c r="E47" s="34"/>
      <c r="F47" s="34"/>
      <c r="G47" s="34"/>
      <c r="H47" s="34"/>
      <c r="I47" s="34"/>
      <c r="J47" s="34"/>
      <c r="K47" s="34"/>
      <c r="L47" s="34"/>
      <c r="M47" s="34"/>
      <c r="N47" s="21"/>
      <c r="Q47" s="1"/>
    </row>
    <row r="48" spans="2:18" s="3" customFormat="1" ht="15.75" x14ac:dyDescent="0.25">
      <c r="B48" s="46"/>
      <c r="N48" s="111"/>
      <c r="Q48" s="1"/>
    </row>
    <row r="49" spans="1:17" s="3" customFormat="1" ht="15.75" x14ac:dyDescent="0.25">
      <c r="B49" s="79" t="s">
        <v>27</v>
      </c>
      <c r="C49" s="64"/>
      <c r="D49" s="64"/>
      <c r="E49" s="64"/>
      <c r="F49" s="64"/>
      <c r="G49" s="64"/>
      <c r="H49" s="64"/>
      <c r="I49" s="64"/>
      <c r="J49" s="64"/>
      <c r="K49" s="64"/>
      <c r="L49" s="64"/>
      <c r="M49" s="64"/>
      <c r="N49" s="112"/>
      <c r="Q49" s="1"/>
    </row>
    <row r="50" spans="1:17" s="3" customFormat="1" ht="15.75" x14ac:dyDescent="0.25">
      <c r="A50" s="5"/>
      <c r="B50" s="58">
        <f>C65</f>
        <v>46008</v>
      </c>
      <c r="C50" s="65"/>
      <c r="D50" s="65"/>
      <c r="E50" s="65"/>
      <c r="F50" s="65"/>
      <c r="G50" s="65"/>
      <c r="H50" s="65"/>
      <c r="I50" s="65"/>
      <c r="J50" s="65"/>
      <c r="K50" s="65"/>
      <c r="L50" s="65"/>
      <c r="M50" s="65"/>
      <c r="N50" s="113"/>
      <c r="Q50" s="1"/>
    </row>
    <row r="51" spans="1:17" s="3" customFormat="1" ht="15.75" x14ac:dyDescent="0.25">
      <c r="A51" s="5"/>
      <c r="B51" s="58"/>
      <c r="C51" s="120"/>
      <c r="D51" s="120" t="s">
        <v>28</v>
      </c>
      <c r="F51" s="120"/>
      <c r="G51" s="120"/>
      <c r="I51" s="120"/>
      <c r="J51" s="120"/>
      <c r="K51" s="120"/>
      <c r="L51" s="120"/>
      <c r="M51" s="120"/>
      <c r="N51" s="113"/>
      <c r="Q51" s="1"/>
    </row>
    <row r="52" spans="1:17" ht="15.75" x14ac:dyDescent="0.25">
      <c r="A52" s="6"/>
      <c r="B52" s="79" t="s">
        <v>29</v>
      </c>
      <c r="C52" s="130"/>
      <c r="D52" s="65" t="s">
        <v>66</v>
      </c>
      <c r="F52" s="65"/>
      <c r="G52" s="65"/>
      <c r="I52" s="65"/>
      <c r="J52" s="65"/>
      <c r="K52" s="65"/>
      <c r="L52" s="65"/>
      <c r="M52" s="65"/>
      <c r="N52" s="114"/>
    </row>
    <row r="53" spans="1:17" ht="15.75" x14ac:dyDescent="0.25">
      <c r="A53" s="6"/>
      <c r="B53" s="58">
        <f>'1. Oferentes 1 a 8'!B53</f>
        <v>46020</v>
      </c>
      <c r="C53" s="130"/>
      <c r="D53" s="65" t="s">
        <v>30</v>
      </c>
      <c r="F53" s="65"/>
      <c r="G53" s="65"/>
      <c r="I53" s="65"/>
      <c r="J53" s="65"/>
      <c r="K53" s="65"/>
      <c r="L53" s="65"/>
      <c r="M53" s="65"/>
      <c r="N53" s="114"/>
    </row>
    <row r="54" spans="1:17" ht="15.75" x14ac:dyDescent="0.25">
      <c r="A54" s="6"/>
      <c r="B54" s="58"/>
      <c r="C54" s="57"/>
      <c r="D54" s="57"/>
      <c r="E54" s="57"/>
      <c r="F54" s="57"/>
      <c r="G54" s="57"/>
      <c r="H54" s="57"/>
      <c r="I54" s="57"/>
      <c r="J54" s="57"/>
      <c r="K54" s="57"/>
      <c r="L54" s="57"/>
      <c r="M54" s="57"/>
      <c r="N54" s="114"/>
    </row>
    <row r="55" spans="1:17" ht="15.75" x14ac:dyDescent="0.25">
      <c r="A55" s="6"/>
      <c r="B55" s="119" t="str">
        <f>"NOTA: La fecha de corte de la información financiera registrada en el RUP debe ser 31/12/2024, de acuerdo a lo establecido en el pliego definitivo de condiciones del proceso "&amp;P23&amp;","</f>
        <v>NOTA: La fecha de corte de la información financiera registrada en el RUP debe ser 31/12/2024, de acuerdo a lo establecido en el pliego definitivo de condiciones del proceso FDLU-CMA-027-2025 (143212),</v>
      </c>
      <c r="C55" s="69"/>
      <c r="D55" s="69"/>
      <c r="E55" s="69"/>
      <c r="F55" s="69"/>
      <c r="G55" s="69"/>
      <c r="H55" s="69"/>
      <c r="I55" s="69"/>
      <c r="J55" s="69"/>
      <c r="K55" s="69"/>
      <c r="L55" s="69"/>
      <c r="M55" s="69"/>
      <c r="N55" s="115"/>
    </row>
    <row r="56" spans="1:17" ht="15.75" x14ac:dyDescent="0.25">
      <c r="A56" s="6"/>
      <c r="B56" s="75" t="str">
        <f ca="1">'Consolidado 1 a 9'!J58</f>
        <v>de las (46) empresas evaluadas, (45) empresas están habilitadas.</v>
      </c>
      <c r="C56" s="57"/>
      <c r="D56" s="57"/>
      <c r="E56" s="57"/>
      <c r="F56" s="57"/>
      <c r="G56" s="57"/>
      <c r="H56" s="57"/>
      <c r="I56" s="57"/>
      <c r="J56" s="57"/>
      <c r="K56" s="57"/>
      <c r="L56" s="57"/>
      <c r="M56" s="57"/>
      <c r="N56" s="114"/>
    </row>
    <row r="57" spans="1:17" ht="16.5" thickBot="1" x14ac:dyDescent="0.3">
      <c r="B57" s="89"/>
      <c r="C57" s="76"/>
      <c r="D57" s="76"/>
      <c r="E57" s="76"/>
      <c r="F57" s="76"/>
      <c r="G57" s="76"/>
      <c r="H57" s="76"/>
      <c r="I57" s="76"/>
      <c r="J57" s="76"/>
      <c r="K57" s="76"/>
      <c r="L57" s="76"/>
      <c r="M57" s="76"/>
      <c r="N57" s="77"/>
    </row>
    <row r="59" spans="1:17" x14ac:dyDescent="0.25">
      <c r="B59" s="7"/>
      <c r="C59" s="7"/>
      <c r="D59" s="7"/>
      <c r="E59" s="7"/>
      <c r="F59" s="7"/>
      <c r="G59" s="7"/>
      <c r="H59" s="7"/>
      <c r="I59" s="7"/>
      <c r="J59" s="7"/>
      <c r="K59" s="7"/>
      <c r="L59" s="7"/>
      <c r="M59" s="7"/>
      <c r="N59" s="7"/>
    </row>
    <row r="63" spans="1:17" x14ac:dyDescent="0.25">
      <c r="B63" s="47" t="s">
        <v>31</v>
      </c>
      <c r="C63" s="48"/>
      <c r="D63" s="48"/>
      <c r="E63" s="48"/>
      <c r="F63" s="48"/>
      <c r="G63" s="48"/>
      <c r="H63" s="48"/>
      <c r="I63" s="48"/>
      <c r="J63" s="48"/>
      <c r="K63" s="48"/>
      <c r="L63" s="48"/>
      <c r="M63" s="48"/>
      <c r="N63" s="49"/>
    </row>
    <row r="64" spans="1:17" x14ac:dyDescent="0.25">
      <c r="B64" s="50"/>
      <c r="N64" s="51"/>
    </row>
    <row r="65" spans="2:14" x14ac:dyDescent="0.25">
      <c r="B65" s="50" t="s">
        <v>32</v>
      </c>
      <c r="C65" s="151">
        <v>46008</v>
      </c>
      <c r="E65" s="68"/>
      <c r="F65" s="68"/>
      <c r="G65" s="68"/>
      <c r="H65" s="68"/>
      <c r="I65" s="68"/>
      <c r="J65" s="68"/>
      <c r="K65" s="68"/>
      <c r="L65" s="68"/>
      <c r="M65" s="68"/>
      <c r="N65" s="88"/>
    </row>
    <row r="66" spans="2:14" x14ac:dyDescent="0.25">
      <c r="B66" s="50"/>
      <c r="N66" s="51"/>
    </row>
    <row r="67" spans="2:14" x14ac:dyDescent="0.25">
      <c r="B67" s="52"/>
      <c r="C67" s="53">
        <f t="shared" ref="C67:N67" si="61">C8</f>
        <v>20</v>
      </c>
      <c r="D67" s="53" t="str">
        <f t="shared" si="61"/>
        <v>A</v>
      </c>
      <c r="E67" s="53" t="str">
        <f t="shared" si="61"/>
        <v>B</v>
      </c>
      <c r="F67" s="53">
        <f t="shared" si="61"/>
        <v>21</v>
      </c>
      <c r="G67" s="53">
        <f t="shared" si="61"/>
        <v>22</v>
      </c>
      <c r="H67" s="53">
        <f t="shared" si="61"/>
        <v>23</v>
      </c>
      <c r="I67" s="53">
        <f t="shared" si="61"/>
        <v>24</v>
      </c>
      <c r="J67" s="53">
        <f t="shared" si="61"/>
        <v>25</v>
      </c>
      <c r="K67" s="53">
        <f t="shared" si="61"/>
        <v>26</v>
      </c>
      <c r="L67" s="53" t="str">
        <f t="shared" si="61"/>
        <v>A</v>
      </c>
      <c r="M67" s="53" t="str">
        <f t="shared" si="61"/>
        <v>B</v>
      </c>
      <c r="N67" s="61">
        <f t="shared" si="61"/>
        <v>27</v>
      </c>
    </row>
    <row r="68" spans="2:14" x14ac:dyDescent="0.25">
      <c r="B68" s="54" t="s">
        <v>33</v>
      </c>
      <c r="C68" s="55">
        <v>46002</v>
      </c>
      <c r="D68" s="55">
        <v>45988</v>
      </c>
      <c r="E68" s="55">
        <v>45988</v>
      </c>
      <c r="F68" s="55"/>
      <c r="G68" s="55">
        <v>45996</v>
      </c>
      <c r="H68" s="55">
        <v>45979</v>
      </c>
      <c r="I68" s="55">
        <v>45980</v>
      </c>
      <c r="J68" s="55">
        <v>46001</v>
      </c>
      <c r="K68" s="55">
        <v>46000</v>
      </c>
      <c r="L68" s="55">
        <v>46000</v>
      </c>
      <c r="M68" s="55">
        <v>45985</v>
      </c>
      <c r="N68" s="62"/>
    </row>
    <row r="69" spans="2:14" x14ac:dyDescent="0.25">
      <c r="B69" s="54" t="s">
        <v>34</v>
      </c>
      <c r="C69" s="55"/>
      <c r="D69" s="55"/>
      <c r="E69" s="55"/>
      <c r="F69" s="55"/>
      <c r="G69" s="55"/>
      <c r="H69" s="55"/>
      <c r="I69" s="55"/>
      <c r="J69" s="55"/>
      <c r="K69" s="55"/>
      <c r="L69" s="55"/>
      <c r="M69" s="55"/>
      <c r="N69" s="62"/>
    </row>
    <row r="70" spans="2:14" x14ac:dyDescent="0.25">
      <c r="B70" s="50"/>
      <c r="N70" s="51"/>
    </row>
    <row r="71" spans="2:14" x14ac:dyDescent="0.25">
      <c r="B71" s="50" t="s">
        <v>35</v>
      </c>
      <c r="C71" s="151">
        <v>46006</v>
      </c>
      <c r="D71" s="68">
        <f t="shared" ref="D71" si="62">C71</f>
        <v>46006</v>
      </c>
      <c r="E71" s="68">
        <f>D71</f>
        <v>46006</v>
      </c>
      <c r="F71" s="68"/>
      <c r="G71" s="68">
        <f>E71</f>
        <v>46006</v>
      </c>
      <c r="H71" s="68">
        <f>G71</f>
        <v>46006</v>
      </c>
      <c r="I71" s="68">
        <f t="shared" ref="I71:M71" si="63">H71</f>
        <v>46006</v>
      </c>
      <c r="J71" s="68">
        <f t="shared" si="63"/>
        <v>46006</v>
      </c>
      <c r="K71" s="68">
        <f t="shared" si="63"/>
        <v>46006</v>
      </c>
      <c r="L71" s="68">
        <f t="shared" si="63"/>
        <v>46006</v>
      </c>
      <c r="M71" s="68">
        <f t="shared" si="63"/>
        <v>46006</v>
      </c>
      <c r="N71" s="88"/>
    </row>
    <row r="72" spans="2:14" x14ac:dyDescent="0.25">
      <c r="B72" s="54" t="s">
        <v>36</v>
      </c>
      <c r="C72" s="70">
        <f t="shared" ref="C72:M72" si="64">C71-C68</f>
        <v>4</v>
      </c>
      <c r="D72" s="70">
        <f t="shared" si="64"/>
        <v>18</v>
      </c>
      <c r="E72" s="70">
        <f t="shared" si="64"/>
        <v>18</v>
      </c>
      <c r="F72" s="70"/>
      <c r="G72" s="70">
        <f t="shared" si="64"/>
        <v>10</v>
      </c>
      <c r="H72" s="70">
        <f t="shared" si="64"/>
        <v>27</v>
      </c>
      <c r="I72" s="70">
        <f t="shared" si="64"/>
        <v>26</v>
      </c>
      <c r="J72" s="70">
        <f t="shared" ref="J72" si="65">J71-J68</f>
        <v>5</v>
      </c>
      <c r="K72" s="70">
        <f t="shared" si="64"/>
        <v>6</v>
      </c>
      <c r="L72" s="70">
        <f t="shared" si="64"/>
        <v>6</v>
      </c>
      <c r="M72" s="70">
        <f t="shared" si="64"/>
        <v>21</v>
      </c>
      <c r="N72" s="116"/>
    </row>
    <row r="73" spans="2:14" x14ac:dyDescent="0.25">
      <c r="B73" s="78">
        <v>30</v>
      </c>
      <c r="C73" s="56"/>
      <c r="D73" s="56"/>
      <c r="E73" s="56"/>
      <c r="F73" s="56"/>
      <c r="G73" s="56"/>
      <c r="H73" s="56"/>
      <c r="I73" s="56"/>
      <c r="J73" s="56"/>
      <c r="K73" s="56"/>
      <c r="L73" s="56"/>
      <c r="M73" s="56"/>
      <c r="N73" s="67"/>
    </row>
    <row r="74" spans="2:14" x14ac:dyDescent="0.25">
      <c r="B74" s="153" t="s">
        <v>37</v>
      </c>
      <c r="C74" s="127" t="s">
        <v>77</v>
      </c>
      <c r="D74" s="127" t="s">
        <v>77</v>
      </c>
      <c r="E74" s="127" t="s">
        <v>77</v>
      </c>
      <c r="F74" s="127" t="s">
        <v>77</v>
      </c>
      <c r="G74" s="127" t="s">
        <v>77</v>
      </c>
      <c r="H74" s="127" t="s">
        <v>77</v>
      </c>
      <c r="I74" s="127" t="s">
        <v>77</v>
      </c>
      <c r="J74" s="127" t="s">
        <v>77</v>
      </c>
      <c r="K74" s="127" t="s">
        <v>77</v>
      </c>
      <c r="L74" s="127" t="s">
        <v>77</v>
      </c>
      <c r="M74" s="127" t="s">
        <v>77</v>
      </c>
      <c r="N74" s="128" t="s">
        <v>77</v>
      </c>
    </row>
    <row r="75" spans="2:14" ht="15.75" customHeight="1" x14ac:dyDescent="0.25">
      <c r="B75" s="152"/>
      <c r="C75" s="100"/>
      <c r="D75" s="100"/>
      <c r="E75" s="100"/>
      <c r="F75" s="100"/>
      <c r="G75" s="100"/>
      <c r="H75" s="100"/>
      <c r="I75" s="100"/>
      <c r="J75" s="100"/>
      <c r="K75" s="100"/>
      <c r="L75" s="100"/>
      <c r="M75" s="100"/>
      <c r="N75" s="97"/>
    </row>
    <row r="76" spans="2:14" x14ac:dyDescent="0.25">
      <c r="B76" s="173"/>
      <c r="C76" s="173"/>
      <c r="D76" s="173"/>
      <c r="E76" s="173"/>
      <c r="F76" s="173"/>
      <c r="G76" s="173"/>
      <c r="H76" s="173"/>
      <c r="I76" s="173"/>
      <c r="J76" s="173"/>
      <c r="K76" s="173"/>
      <c r="L76" s="173"/>
      <c r="M76" s="173"/>
      <c r="N76" s="173"/>
    </row>
    <row r="77" spans="2:14" x14ac:dyDescent="0.25">
      <c r="B77" s="173"/>
      <c r="C77" s="173"/>
      <c r="D77" s="173"/>
      <c r="E77" s="173"/>
      <c r="F77" s="173"/>
      <c r="G77" s="173"/>
      <c r="H77" s="173"/>
      <c r="I77" s="173"/>
      <c r="J77" s="173"/>
      <c r="K77" s="173"/>
      <c r="L77" s="173"/>
      <c r="M77" s="173"/>
      <c r="N77" s="174"/>
    </row>
    <row r="78" spans="2:14" x14ac:dyDescent="0.25">
      <c r="B78" s="173"/>
      <c r="C78" s="173"/>
      <c r="D78" s="173"/>
      <c r="E78" s="173"/>
      <c r="F78" s="173"/>
      <c r="G78" s="173"/>
      <c r="H78" s="173"/>
      <c r="I78" s="173"/>
      <c r="J78" s="173"/>
      <c r="K78" s="173"/>
      <c r="L78" s="173"/>
      <c r="M78" s="173"/>
      <c r="N78" s="173"/>
    </row>
    <row r="79" spans="2:14" x14ac:dyDescent="0.25">
      <c r="B79" s="173"/>
      <c r="C79" s="173"/>
      <c r="D79" s="173"/>
      <c r="E79" s="173"/>
      <c r="F79" s="173"/>
      <c r="G79" s="173"/>
      <c r="H79" s="173"/>
      <c r="I79" s="173"/>
      <c r="J79" s="173"/>
      <c r="K79" s="173"/>
      <c r="L79" s="173"/>
      <c r="M79" s="173"/>
      <c r="N79" s="173"/>
    </row>
    <row r="80" spans="2:14" x14ac:dyDescent="0.25">
      <c r="B80" s="173"/>
      <c r="C80" s="173"/>
      <c r="D80" s="173"/>
      <c r="E80" s="173"/>
      <c r="F80" s="173"/>
      <c r="G80" s="173"/>
      <c r="H80" s="173"/>
      <c r="I80" s="173"/>
      <c r="J80" s="173"/>
      <c r="K80" s="173"/>
      <c r="L80" s="173"/>
      <c r="M80" s="173"/>
      <c r="N80" s="173"/>
    </row>
    <row r="81" spans="2:14" x14ac:dyDescent="0.25">
      <c r="B81" s="173"/>
      <c r="C81" s="173"/>
      <c r="D81" s="173"/>
      <c r="E81" s="173"/>
      <c r="F81" s="173"/>
      <c r="G81" s="173"/>
      <c r="H81" s="173"/>
      <c r="I81" s="173"/>
      <c r="J81" s="173"/>
      <c r="K81" s="173"/>
      <c r="L81" s="173"/>
      <c r="M81" s="173"/>
      <c r="N81" s="173"/>
    </row>
    <row r="82" spans="2:14" x14ac:dyDescent="0.25">
      <c r="B82" s="173"/>
      <c r="C82" s="173"/>
      <c r="D82" s="173"/>
      <c r="E82" s="173"/>
      <c r="F82" s="173"/>
      <c r="G82" s="173"/>
      <c r="H82" s="173"/>
      <c r="I82" s="173"/>
      <c r="J82" s="173"/>
      <c r="K82" s="173"/>
      <c r="L82" s="173"/>
      <c r="M82" s="173"/>
      <c r="N82" s="173"/>
    </row>
    <row r="83" spans="2:14" x14ac:dyDescent="0.25">
      <c r="B83" s="173"/>
      <c r="C83" s="175"/>
      <c r="D83" s="175"/>
      <c r="E83" s="175"/>
      <c r="F83" s="175"/>
      <c r="G83" s="175"/>
      <c r="H83" s="175"/>
      <c r="I83" s="175"/>
      <c r="J83" s="175"/>
      <c r="K83" s="175"/>
      <c r="L83" s="175"/>
      <c r="M83" s="175"/>
      <c r="N83" s="173"/>
    </row>
    <row r="84" spans="2:14" x14ac:dyDescent="0.25">
      <c r="B84" s="173"/>
      <c r="C84" s="175"/>
      <c r="D84" s="175"/>
      <c r="E84" s="175"/>
      <c r="F84" s="175"/>
      <c r="G84" s="175"/>
      <c r="H84" s="175"/>
      <c r="I84" s="175"/>
      <c r="J84" s="175"/>
      <c r="K84" s="175"/>
      <c r="L84" s="175"/>
      <c r="M84" s="175"/>
      <c r="N84" s="173"/>
    </row>
    <row r="85" spans="2:14" x14ac:dyDescent="0.25">
      <c r="B85" s="173"/>
      <c r="C85" s="175"/>
      <c r="D85" s="175"/>
      <c r="E85" s="175"/>
      <c r="F85" s="175"/>
      <c r="G85" s="175"/>
      <c r="H85" s="175"/>
      <c r="I85" s="175"/>
      <c r="J85" s="175"/>
      <c r="K85" s="175"/>
      <c r="L85" s="175"/>
      <c r="M85" s="175"/>
      <c r="N85" s="173"/>
    </row>
    <row r="86" spans="2:14" x14ac:dyDescent="0.25">
      <c r="B86" s="173"/>
      <c r="C86" s="175"/>
      <c r="D86" s="175"/>
      <c r="E86" s="175"/>
      <c r="F86" s="175"/>
      <c r="G86" s="175"/>
      <c r="H86" s="175"/>
      <c r="I86" s="175"/>
      <c r="J86" s="175"/>
      <c r="K86" s="175"/>
      <c r="L86" s="175"/>
      <c r="M86" s="175"/>
      <c r="N86" s="173"/>
    </row>
    <row r="87" spans="2:14" x14ac:dyDescent="0.25">
      <c r="B87" s="173"/>
      <c r="C87" s="175"/>
      <c r="D87" s="175"/>
      <c r="E87" s="175"/>
      <c r="F87" s="175"/>
      <c r="G87" s="175"/>
      <c r="H87" s="175"/>
      <c r="I87" s="175"/>
      <c r="J87" s="175"/>
      <c r="K87" s="175"/>
      <c r="L87" s="175"/>
      <c r="M87" s="175"/>
      <c r="N87" s="173"/>
    </row>
    <row r="88" spans="2:14" x14ac:dyDescent="0.25">
      <c r="C88" s="80"/>
      <c r="D88" s="80"/>
      <c r="E88" s="80"/>
      <c r="F88" s="80"/>
      <c r="G88" s="80"/>
      <c r="H88" s="80"/>
      <c r="I88" s="80"/>
      <c r="J88" s="80"/>
      <c r="K88" s="80"/>
      <c r="L88" s="80"/>
      <c r="M88" s="80"/>
    </row>
    <row r="89" spans="2:14" x14ac:dyDescent="0.25">
      <c r="C89" s="80"/>
      <c r="D89" s="80"/>
      <c r="E89" s="80"/>
      <c r="F89" s="80"/>
      <c r="G89" s="80"/>
      <c r="H89" s="80"/>
      <c r="I89" s="80"/>
      <c r="J89" s="80"/>
      <c r="K89" s="80"/>
      <c r="L89" s="80"/>
      <c r="M89" s="80"/>
    </row>
    <row r="90" spans="2:14" x14ac:dyDescent="0.25">
      <c r="C90" s="80"/>
      <c r="D90" s="80"/>
      <c r="E90" s="80"/>
      <c r="F90" s="80"/>
      <c r="G90" s="80"/>
      <c r="H90" s="80"/>
      <c r="I90" s="80"/>
      <c r="J90" s="80"/>
      <c r="K90" s="80"/>
      <c r="L90" s="80"/>
      <c r="M90" s="80"/>
    </row>
    <row r="91" spans="2:14" x14ac:dyDescent="0.25">
      <c r="C91" s="80"/>
      <c r="D91" s="80"/>
      <c r="E91" s="80"/>
      <c r="F91" s="80"/>
      <c r="G91" s="80"/>
      <c r="H91" s="80"/>
      <c r="I91" s="80"/>
      <c r="J91" s="80"/>
      <c r="K91" s="80"/>
      <c r="L91" s="80"/>
      <c r="M91" s="80"/>
    </row>
    <row r="92" spans="2:14" x14ac:dyDescent="0.25">
      <c r="C92" s="80"/>
      <c r="D92" s="80"/>
      <c r="E92" s="80"/>
      <c r="F92" s="80"/>
      <c r="G92" s="80"/>
      <c r="H92" s="80"/>
      <c r="I92" s="80"/>
      <c r="J92" s="80"/>
      <c r="K92" s="80"/>
      <c r="L92" s="80"/>
      <c r="M92" s="80"/>
    </row>
    <row r="93" spans="2:14" x14ac:dyDescent="0.25">
      <c r="C93" s="80"/>
      <c r="D93" s="80"/>
      <c r="E93" s="80"/>
      <c r="F93" s="80"/>
      <c r="G93" s="80"/>
      <c r="H93" s="80"/>
      <c r="I93" s="80"/>
      <c r="J93" s="80"/>
      <c r="K93" s="80"/>
      <c r="L93" s="80"/>
      <c r="M93" s="80"/>
    </row>
    <row r="94" spans="2:14" x14ac:dyDescent="0.25">
      <c r="C94" s="80"/>
      <c r="D94" s="80"/>
      <c r="E94" s="80"/>
      <c r="F94" s="80"/>
      <c r="G94" s="80"/>
      <c r="H94" s="80"/>
      <c r="I94" s="80"/>
      <c r="J94" s="80"/>
      <c r="K94" s="80"/>
      <c r="L94" s="80"/>
      <c r="M94" s="80"/>
    </row>
    <row r="95" spans="2:14" x14ac:dyDescent="0.25">
      <c r="C95" s="80"/>
      <c r="D95" s="80"/>
      <c r="E95" s="80"/>
      <c r="F95" s="80"/>
      <c r="G95" s="80"/>
      <c r="H95" s="80"/>
      <c r="I95" s="80"/>
      <c r="J95" s="80"/>
      <c r="K95" s="80"/>
      <c r="L95" s="80"/>
      <c r="M95" s="80"/>
    </row>
    <row r="96" spans="2:14" x14ac:dyDescent="0.25">
      <c r="C96" s="80"/>
      <c r="D96" s="80"/>
      <c r="E96" s="80"/>
      <c r="F96" s="80"/>
      <c r="G96" s="80"/>
      <c r="H96" s="80"/>
      <c r="I96" s="80"/>
      <c r="J96" s="80"/>
      <c r="K96" s="80"/>
      <c r="L96" s="80"/>
      <c r="M96" s="80"/>
    </row>
    <row r="97" spans="3:13" x14ac:dyDescent="0.25">
      <c r="C97" s="80"/>
      <c r="D97" s="80"/>
      <c r="E97" s="80"/>
      <c r="F97" s="80"/>
      <c r="G97" s="80"/>
      <c r="H97" s="80"/>
      <c r="I97" s="80"/>
      <c r="J97" s="80"/>
      <c r="K97" s="80"/>
      <c r="L97" s="80"/>
      <c r="M97" s="80"/>
    </row>
    <row r="98" spans="3:13" x14ac:dyDescent="0.25">
      <c r="C98" s="80"/>
      <c r="D98" s="80"/>
      <c r="E98" s="80"/>
      <c r="F98" s="80"/>
      <c r="G98" s="80"/>
      <c r="H98" s="80"/>
      <c r="I98" s="80"/>
      <c r="J98" s="80"/>
      <c r="K98" s="80"/>
      <c r="L98" s="80"/>
      <c r="M98" s="80"/>
    </row>
    <row r="99" spans="3:13" x14ac:dyDescent="0.25">
      <c r="C99" s="80"/>
      <c r="D99" s="80"/>
      <c r="E99" s="80"/>
      <c r="F99" s="80"/>
      <c r="G99" s="80"/>
      <c r="H99" s="80"/>
      <c r="I99" s="80"/>
      <c r="J99" s="80"/>
      <c r="K99" s="80"/>
      <c r="L99" s="80"/>
      <c r="M99" s="80"/>
    </row>
    <row r="100" spans="3:13" x14ac:dyDescent="0.25">
      <c r="C100" s="80"/>
      <c r="D100" s="80"/>
      <c r="E100" s="80"/>
      <c r="F100" s="80"/>
      <c r="G100" s="80"/>
      <c r="H100" s="80"/>
      <c r="I100" s="80"/>
      <c r="J100" s="80"/>
      <c r="K100" s="80"/>
      <c r="L100" s="80"/>
      <c r="M100" s="80"/>
    </row>
    <row r="101" spans="3:13" x14ac:dyDescent="0.25">
      <c r="C101" s="80"/>
      <c r="D101" s="80"/>
      <c r="E101" s="80"/>
      <c r="F101" s="80"/>
      <c r="G101" s="80"/>
      <c r="H101" s="80"/>
      <c r="I101" s="80"/>
      <c r="J101" s="80"/>
      <c r="K101" s="80"/>
      <c r="L101" s="80"/>
      <c r="M101" s="80"/>
    </row>
    <row r="102" spans="3:13" x14ac:dyDescent="0.25">
      <c r="C102" s="80"/>
      <c r="D102" s="80"/>
      <c r="E102" s="80"/>
      <c r="F102" s="80"/>
      <c r="G102" s="80"/>
      <c r="H102" s="80"/>
      <c r="I102" s="80"/>
      <c r="J102" s="80"/>
      <c r="K102" s="80"/>
      <c r="L102" s="80"/>
      <c r="M102" s="80"/>
    </row>
    <row r="103" spans="3:13" x14ac:dyDescent="0.25">
      <c r="C103" s="80"/>
      <c r="D103" s="80"/>
      <c r="E103" s="80"/>
      <c r="F103" s="80"/>
      <c r="G103" s="80"/>
      <c r="H103" s="80"/>
      <c r="I103" s="80"/>
      <c r="J103" s="80"/>
      <c r="K103" s="80"/>
      <c r="L103" s="80"/>
      <c r="M103" s="80"/>
    </row>
    <row r="104" spans="3:13" x14ac:dyDescent="0.25">
      <c r="C104" s="80"/>
      <c r="D104" s="80"/>
      <c r="E104" s="80"/>
      <c r="F104" s="80"/>
      <c r="G104" s="80"/>
      <c r="H104" s="80"/>
      <c r="I104" s="80"/>
      <c r="J104" s="80"/>
      <c r="K104" s="80"/>
      <c r="L104" s="80"/>
      <c r="M104" s="80"/>
    </row>
    <row r="105" spans="3:13" x14ac:dyDescent="0.25">
      <c r="C105" s="80"/>
      <c r="D105" s="80"/>
      <c r="E105" s="80"/>
      <c r="F105" s="80"/>
      <c r="G105" s="80"/>
      <c r="H105" s="80"/>
      <c r="I105" s="80"/>
      <c r="J105" s="80"/>
      <c r="K105" s="80"/>
      <c r="L105" s="80"/>
      <c r="M105" s="80"/>
    </row>
    <row r="106" spans="3:13" x14ac:dyDescent="0.25">
      <c r="C106" s="80"/>
      <c r="D106" s="80"/>
      <c r="E106" s="80"/>
      <c r="F106" s="80"/>
      <c r="G106" s="80"/>
      <c r="H106" s="80"/>
      <c r="I106" s="80"/>
      <c r="J106" s="80"/>
      <c r="K106" s="80"/>
      <c r="L106" s="80"/>
      <c r="M106" s="80"/>
    </row>
    <row r="107" spans="3:13" x14ac:dyDescent="0.25">
      <c r="C107" s="80"/>
      <c r="D107" s="80"/>
      <c r="E107" s="80"/>
      <c r="F107" s="80"/>
      <c r="G107" s="80"/>
      <c r="H107" s="80"/>
      <c r="I107" s="80"/>
      <c r="J107" s="80"/>
      <c r="K107" s="80"/>
      <c r="L107" s="80"/>
      <c r="M107" s="80"/>
    </row>
    <row r="108" spans="3:13" x14ac:dyDescent="0.25">
      <c r="C108" s="80"/>
      <c r="D108" s="80"/>
      <c r="E108" s="80"/>
      <c r="F108" s="80"/>
      <c r="G108" s="80"/>
      <c r="H108" s="80"/>
      <c r="I108" s="80"/>
      <c r="J108" s="80"/>
      <c r="K108" s="80"/>
      <c r="L108" s="80"/>
      <c r="M108" s="80"/>
    </row>
    <row r="109" spans="3:13" x14ac:dyDescent="0.25">
      <c r="C109" s="80"/>
      <c r="D109" s="80"/>
      <c r="E109" s="80"/>
      <c r="F109" s="80"/>
      <c r="G109" s="80"/>
      <c r="H109" s="80"/>
      <c r="I109" s="80"/>
      <c r="J109" s="80"/>
      <c r="K109" s="80"/>
      <c r="L109" s="80"/>
      <c r="M109" s="80"/>
    </row>
    <row r="110" spans="3:13" x14ac:dyDescent="0.25">
      <c r="C110" s="80"/>
      <c r="D110" s="80"/>
      <c r="E110" s="80"/>
      <c r="F110" s="80"/>
      <c r="G110" s="80"/>
      <c r="H110" s="80"/>
      <c r="I110" s="80"/>
      <c r="J110" s="80"/>
      <c r="K110" s="80"/>
      <c r="L110" s="80"/>
      <c r="M110" s="80"/>
    </row>
    <row r="111" spans="3:13" x14ac:dyDescent="0.25">
      <c r="C111" s="80"/>
      <c r="D111" s="80"/>
      <c r="E111" s="80"/>
      <c r="F111" s="80"/>
      <c r="G111" s="80"/>
      <c r="H111" s="80"/>
      <c r="I111" s="80"/>
      <c r="J111" s="80"/>
      <c r="K111" s="80"/>
      <c r="L111" s="80"/>
      <c r="M111" s="80"/>
    </row>
  </sheetData>
  <mergeCells count="3">
    <mergeCell ref="B1:B5"/>
    <mergeCell ref="C1:I5"/>
    <mergeCell ref="N1:N5"/>
  </mergeCells>
  <conditionalFormatting sqref="B73">
    <cfRule type="cellIs" dxfId="36" priority="9" operator="greaterThan">
      <formula>60</formula>
    </cfRule>
  </conditionalFormatting>
  <conditionalFormatting sqref="C41 F41:K41 N41">
    <cfRule type="cellIs" dxfId="35" priority="4" operator="equal">
      <formula>"DEBE SUBSANAR"</formula>
    </cfRule>
  </conditionalFormatting>
  <conditionalFormatting sqref="C41">
    <cfRule type="cellIs" dxfId="34" priority="6" operator="equal">
      <formula>"NO HABILITADO"</formula>
    </cfRule>
  </conditionalFormatting>
  <conditionalFormatting sqref="C10:N10">
    <cfRule type="cellIs" dxfId="33" priority="5" operator="equal">
      <formula>"NO CUMPLE"</formula>
    </cfRule>
  </conditionalFormatting>
  <conditionalFormatting sqref="C69:N69">
    <cfRule type="expression" dxfId="32" priority="8">
      <formula>YEAR(C69)=2022</formula>
    </cfRule>
  </conditionalFormatting>
  <conditionalFormatting sqref="C72:N72">
    <cfRule type="cellIs" dxfId="31" priority="7" operator="greaterThan">
      <formula>$B$73</formula>
    </cfRule>
  </conditionalFormatting>
  <conditionalFormatting sqref="E41:K41">
    <cfRule type="cellIs" dxfId="30" priority="3" operator="equal">
      <formula>"NO HABILITADO"</formula>
    </cfRule>
  </conditionalFormatting>
  <conditionalFormatting sqref="M41:N41">
    <cfRule type="cellIs" dxfId="29" priority="1" operator="equal">
      <formula>"NO HABILITADO"</formula>
    </cfRule>
  </conditionalFormatting>
  <dataValidations count="1">
    <dataValidation type="list" allowBlank="1" showInputMessage="1" showErrorMessage="1" sqref="C74:N74" xr:uid="{172EDD7E-0710-417E-B28C-D91AE6DEE760}">
      <formula1>$P$21:$Q$21</formula1>
    </dataValidation>
  </dataValidations>
  <printOptions horizontalCentered="1" verticalCentered="1"/>
  <pageMargins left="0.19685039370078741" right="0.19685039370078741" top="0.15748031496062992" bottom="0.15748031496062992" header="0.31496062992125984" footer="0.31496062992125984"/>
  <pageSetup paperSize="256" scale="46" orientation="landscape" r:id="rId1"/>
  <ignoredErrors>
    <ignoredError sqref="F10" formula="1"/>
    <ignoredError sqref="F11:F19 N17" formula="1" formulaRange="1"/>
    <ignoredError sqref="N11:N16 N18:N19" formulaRange="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D457C-C2C9-4C09-BF01-2A0DBCDC50B2}">
  <sheetPr>
    <pageSetUpPr fitToPage="1"/>
  </sheetPr>
  <dimension ref="A1:R111"/>
  <sheetViews>
    <sheetView showGridLines="0" zoomScale="90" zoomScaleNormal="90" zoomScalePageLayoutView="90" workbookViewId="0"/>
  </sheetViews>
  <sheetFormatPr baseColWidth="10" defaultColWidth="18.7109375" defaultRowHeight="15" x14ac:dyDescent="0.25"/>
  <cols>
    <col min="1" max="1" width="1.42578125" style="1" customWidth="1"/>
    <col min="2" max="2" width="57.28515625" style="1" customWidth="1"/>
    <col min="3" max="14" width="29.7109375" style="1" customWidth="1"/>
    <col min="15" max="15" width="21.5703125" style="1" bestFit="1" customWidth="1"/>
    <col min="16" max="16" width="18.7109375" style="1"/>
    <col min="17" max="17" width="18.7109375" style="1" customWidth="1"/>
    <col min="18" max="16384" width="18.7109375" style="1"/>
  </cols>
  <sheetData>
    <row r="1" spans="1:17" ht="18" customHeight="1" x14ac:dyDescent="0.25">
      <c r="B1" s="222"/>
      <c r="C1" s="224" t="s">
        <v>60</v>
      </c>
      <c r="D1" s="225"/>
      <c r="E1" s="225"/>
      <c r="F1" s="225"/>
      <c r="G1" s="225"/>
      <c r="H1" s="225"/>
      <c r="I1" s="225"/>
      <c r="J1" s="225"/>
      <c r="K1" s="182"/>
      <c r="L1" s="182"/>
      <c r="M1" s="182"/>
      <c r="N1" s="230" t="s">
        <v>0</v>
      </c>
    </row>
    <row r="2" spans="1:17" ht="18" customHeight="1" x14ac:dyDescent="0.25">
      <c r="B2" s="223"/>
      <c r="C2" s="226"/>
      <c r="D2" s="227"/>
      <c r="E2" s="227"/>
      <c r="F2" s="227"/>
      <c r="G2" s="227"/>
      <c r="H2" s="227"/>
      <c r="I2" s="227"/>
      <c r="J2" s="227"/>
      <c r="K2" s="183"/>
      <c r="L2" s="183"/>
      <c r="M2" s="183"/>
      <c r="N2" s="231"/>
    </row>
    <row r="3" spans="1:17" ht="18" customHeight="1" x14ac:dyDescent="0.25">
      <c r="B3" s="223"/>
      <c r="C3" s="226"/>
      <c r="D3" s="227"/>
      <c r="E3" s="227"/>
      <c r="F3" s="227"/>
      <c r="G3" s="227"/>
      <c r="H3" s="227"/>
      <c r="I3" s="227"/>
      <c r="J3" s="227"/>
      <c r="K3" s="183"/>
      <c r="L3" s="183"/>
      <c r="M3" s="183"/>
      <c r="N3" s="231"/>
    </row>
    <row r="4" spans="1:17" ht="18" customHeight="1" x14ac:dyDescent="0.25">
      <c r="B4" s="223"/>
      <c r="C4" s="226"/>
      <c r="D4" s="227"/>
      <c r="E4" s="227"/>
      <c r="F4" s="227"/>
      <c r="G4" s="227"/>
      <c r="H4" s="227"/>
      <c r="I4" s="227"/>
      <c r="J4" s="227"/>
      <c r="K4" s="183"/>
      <c r="L4" s="183"/>
      <c r="M4" s="183"/>
      <c r="N4" s="231"/>
    </row>
    <row r="5" spans="1:17" ht="18" customHeight="1" x14ac:dyDescent="0.25">
      <c r="B5" s="223"/>
      <c r="C5" s="228"/>
      <c r="D5" s="229"/>
      <c r="E5" s="229"/>
      <c r="F5" s="229"/>
      <c r="G5" s="229"/>
      <c r="H5" s="229"/>
      <c r="I5" s="229"/>
      <c r="J5" s="229"/>
      <c r="K5" s="184"/>
      <c r="L5" s="184"/>
      <c r="M5" s="184"/>
      <c r="N5" s="232"/>
    </row>
    <row r="6" spans="1:17" ht="61.5" customHeight="1" x14ac:dyDescent="0.25">
      <c r="B6" s="25" t="s">
        <v>70</v>
      </c>
      <c r="C6" s="26"/>
      <c r="D6" s="26"/>
      <c r="E6" s="26"/>
      <c r="F6" s="26"/>
      <c r="G6" s="26"/>
      <c r="H6" s="26"/>
      <c r="I6" s="26"/>
      <c r="J6" s="26"/>
      <c r="K6" s="26"/>
      <c r="L6" s="26"/>
      <c r="M6" s="26"/>
      <c r="N6" s="27"/>
    </row>
    <row r="7" spans="1:17" ht="78.75" x14ac:dyDescent="0.25">
      <c r="B7" s="155" t="s">
        <v>1</v>
      </c>
      <c r="C7" s="63" t="s">
        <v>145</v>
      </c>
      <c r="D7" s="63" t="s">
        <v>146</v>
      </c>
      <c r="E7" s="63" t="s">
        <v>147</v>
      </c>
      <c r="F7" s="208" t="s">
        <v>148</v>
      </c>
      <c r="G7" s="208" t="s">
        <v>149</v>
      </c>
      <c r="H7" s="63" t="s">
        <v>150</v>
      </c>
      <c r="I7" s="63" t="s">
        <v>151</v>
      </c>
      <c r="J7" s="63" t="s">
        <v>152</v>
      </c>
      <c r="K7" s="208" t="s">
        <v>153</v>
      </c>
      <c r="L7" s="63" t="s">
        <v>182</v>
      </c>
      <c r="M7" s="63" t="s">
        <v>154</v>
      </c>
      <c r="N7" s="101" t="s">
        <v>155</v>
      </c>
      <c r="P7" s="43" t="s">
        <v>2</v>
      </c>
    </row>
    <row r="8" spans="1:17" s="3" customFormat="1" ht="15.75" x14ac:dyDescent="0.25">
      <c r="A8" s="2"/>
      <c r="B8" s="154" t="s">
        <v>3</v>
      </c>
      <c r="C8" s="202" t="s">
        <v>68</v>
      </c>
      <c r="D8" s="202" t="s">
        <v>69</v>
      </c>
      <c r="E8" s="8">
        <f>'4. Oferentes 20 a 27'!N8+1</f>
        <v>28</v>
      </c>
      <c r="F8" s="209">
        <f t="shared" ref="F8:G8" si="0">E8+1</f>
        <v>29</v>
      </c>
      <c r="G8" s="209">
        <f t="shared" si="0"/>
        <v>30</v>
      </c>
      <c r="H8" s="215" t="s">
        <v>68</v>
      </c>
      <c r="I8" s="202" t="s">
        <v>69</v>
      </c>
      <c r="J8" s="8">
        <f>G8+1</f>
        <v>31</v>
      </c>
      <c r="K8" s="209">
        <f t="shared" ref="K8" si="1">J8+1</f>
        <v>32</v>
      </c>
      <c r="L8" s="215" t="s">
        <v>68</v>
      </c>
      <c r="M8" s="202" t="s">
        <v>69</v>
      </c>
      <c r="N8" s="150">
        <f>K8+1</f>
        <v>33</v>
      </c>
      <c r="Q8" s="1"/>
    </row>
    <row r="9" spans="1:17" s="3" customFormat="1" ht="31.5" x14ac:dyDescent="0.25">
      <c r="B9" s="35" t="s">
        <v>4</v>
      </c>
      <c r="C9" s="39" t="s">
        <v>5</v>
      </c>
      <c r="D9" s="39" t="s">
        <v>5</v>
      </c>
      <c r="E9" s="39" t="s">
        <v>5</v>
      </c>
      <c r="F9" s="210" t="s">
        <v>5</v>
      </c>
      <c r="G9" s="210" t="s">
        <v>5</v>
      </c>
      <c r="H9" s="39" t="s">
        <v>5</v>
      </c>
      <c r="I9" s="39" t="s">
        <v>5</v>
      </c>
      <c r="J9" s="39" t="s">
        <v>5</v>
      </c>
      <c r="K9" s="210" t="s">
        <v>5</v>
      </c>
      <c r="L9" s="39" t="s">
        <v>5</v>
      </c>
      <c r="M9" s="39" t="s">
        <v>5</v>
      </c>
      <c r="N9" s="102" t="s">
        <v>5</v>
      </c>
      <c r="Q9" s="1"/>
    </row>
    <row r="10" spans="1:17" s="3" customFormat="1" ht="20.100000000000001" customHeight="1" x14ac:dyDescent="0.25">
      <c r="B10" s="35" t="s">
        <v>63</v>
      </c>
      <c r="C10" s="24" t="str">
        <f t="shared" ref="C10:D10" si="2">IF(C72&lt;=$B$73,"CUMPLE","NO CUMPLE")</f>
        <v>CUMPLE</v>
      </c>
      <c r="D10" s="24" t="str">
        <f t="shared" si="2"/>
        <v>CUMPLE</v>
      </c>
      <c r="E10" s="24" t="str">
        <f>IF(COUNTIF(C10:D10,"NO CUMPLE")&gt;=1,"NO CUMPLE","CUMPLE")</f>
        <v>CUMPLE</v>
      </c>
      <c r="F10" s="211" t="str">
        <f t="shared" ref="F10:G10" si="3">IF(F72&lt;=$B$73,"CUMPLE","NO CUMPLE")</f>
        <v>CUMPLE</v>
      </c>
      <c r="G10" s="211" t="str">
        <f t="shared" si="3"/>
        <v>CUMPLE</v>
      </c>
      <c r="H10" s="24" t="str">
        <f t="shared" ref="H10:I10" si="4">IF(H72&lt;=$B$73,"CUMPLE","NO CUMPLE")</f>
        <v>CUMPLE</v>
      </c>
      <c r="I10" s="24" t="str">
        <f t="shared" si="4"/>
        <v>CUMPLE</v>
      </c>
      <c r="J10" s="24" t="str">
        <f>IF(COUNTIF(H10:I10,"NO CUMPLE")&gt;=1,"NO CUMPLE","CUMPLE")</f>
        <v>CUMPLE</v>
      </c>
      <c r="K10" s="211" t="str">
        <f t="shared" ref="K10:M10" si="5">IF(K72&lt;=$B$73,"CUMPLE","NO CUMPLE")</f>
        <v>CUMPLE</v>
      </c>
      <c r="L10" s="24" t="str">
        <f t="shared" si="5"/>
        <v>CUMPLE</v>
      </c>
      <c r="M10" s="24" t="str">
        <f t="shared" si="5"/>
        <v>CUMPLE</v>
      </c>
      <c r="N10" s="103" t="str">
        <f>IF(COUNTIF(L10:M10,"NO CUMPLE")&gt;=1,"NO CUMPLE","CUMPLE")</f>
        <v>CUMPLE</v>
      </c>
      <c r="Q10" s="1"/>
    </row>
    <row r="11" spans="1:17" s="3" customFormat="1" ht="20.100000000000001" customHeight="1" x14ac:dyDescent="0.25">
      <c r="B11" s="22" t="s">
        <v>6</v>
      </c>
      <c r="C11" s="190">
        <v>0.1</v>
      </c>
      <c r="D11" s="190">
        <v>0.9</v>
      </c>
      <c r="E11" s="10">
        <f>SUM(C11:D11)</f>
        <v>1</v>
      </c>
      <c r="F11" s="190">
        <v>1</v>
      </c>
      <c r="G11" s="190">
        <v>1</v>
      </c>
      <c r="H11" s="190">
        <v>0.5</v>
      </c>
      <c r="I11" s="190">
        <v>0.5</v>
      </c>
      <c r="J11" s="10">
        <f>SUM(H11:I11)</f>
        <v>1</v>
      </c>
      <c r="K11" s="190">
        <v>1</v>
      </c>
      <c r="L11" s="190">
        <v>0.8</v>
      </c>
      <c r="M11" s="190">
        <v>0.2</v>
      </c>
      <c r="N11" s="99">
        <f>SUM(L11:M11)</f>
        <v>1</v>
      </c>
      <c r="Q11" s="1"/>
    </row>
    <row r="12" spans="1:17" s="3" customFormat="1" ht="20.100000000000001" customHeight="1" x14ac:dyDescent="0.25">
      <c r="B12" s="22" t="s">
        <v>7</v>
      </c>
      <c r="C12" s="191">
        <v>1428594112</v>
      </c>
      <c r="D12" s="191">
        <v>1015000590</v>
      </c>
      <c r="E12" s="161">
        <f t="shared" ref="E12:E19" si="6">SUM(C12:D12)</f>
        <v>2443594702</v>
      </c>
      <c r="F12" s="191">
        <v>2325301000</v>
      </c>
      <c r="G12" s="191">
        <v>3041440615</v>
      </c>
      <c r="H12" s="191">
        <v>1940414351</v>
      </c>
      <c r="I12" s="191">
        <v>254824000</v>
      </c>
      <c r="J12" s="161">
        <f t="shared" ref="J12:J19" si="7">SUM(H12:I12)</f>
        <v>2195238351</v>
      </c>
      <c r="K12" s="191">
        <v>4767912799</v>
      </c>
      <c r="L12" s="191">
        <v>354868336</v>
      </c>
      <c r="M12" s="191">
        <v>6696757113</v>
      </c>
      <c r="N12" s="162">
        <f t="shared" ref="N12:N19" si="8">SUM(L12:M12)</f>
        <v>7051625449</v>
      </c>
      <c r="Q12" s="1"/>
    </row>
    <row r="13" spans="1:17" s="3" customFormat="1" ht="20.100000000000001" customHeight="1" x14ac:dyDescent="0.25">
      <c r="B13" s="22" t="s">
        <v>8</v>
      </c>
      <c r="C13" s="191">
        <v>238880182</v>
      </c>
      <c r="D13" s="191">
        <v>55957314</v>
      </c>
      <c r="E13" s="161">
        <f t="shared" si="6"/>
        <v>294837496</v>
      </c>
      <c r="F13" s="191">
        <v>133397000</v>
      </c>
      <c r="G13" s="191">
        <v>599475004</v>
      </c>
      <c r="H13" s="191">
        <v>482769836</v>
      </c>
      <c r="I13" s="191">
        <v>5362000</v>
      </c>
      <c r="J13" s="161">
        <f t="shared" si="7"/>
        <v>488131836</v>
      </c>
      <c r="K13" s="191">
        <v>386327182</v>
      </c>
      <c r="L13" s="191">
        <v>43724000</v>
      </c>
      <c r="M13" s="191">
        <v>1187012273</v>
      </c>
      <c r="N13" s="162">
        <f t="shared" si="8"/>
        <v>1230736273</v>
      </c>
      <c r="Q13" s="1"/>
    </row>
    <row r="14" spans="1:17" s="3" customFormat="1" ht="20.100000000000001" customHeight="1" x14ac:dyDescent="0.25">
      <c r="B14" s="22" t="s">
        <v>9</v>
      </c>
      <c r="C14" s="191">
        <v>1517081112</v>
      </c>
      <c r="D14" s="191">
        <v>1065846327</v>
      </c>
      <c r="E14" s="161">
        <f t="shared" si="6"/>
        <v>2582927439</v>
      </c>
      <c r="F14" s="191">
        <v>3011665000</v>
      </c>
      <c r="G14" s="191">
        <v>5443459286</v>
      </c>
      <c r="H14" s="191">
        <v>2956593397</v>
      </c>
      <c r="I14" s="191">
        <v>305362000</v>
      </c>
      <c r="J14" s="161">
        <f t="shared" si="7"/>
        <v>3261955397</v>
      </c>
      <c r="K14" s="191">
        <v>5557017893</v>
      </c>
      <c r="L14" s="191">
        <v>395949336</v>
      </c>
      <c r="M14" s="191">
        <v>6696953128</v>
      </c>
      <c r="N14" s="162">
        <f t="shared" si="8"/>
        <v>7092902464</v>
      </c>
      <c r="Q14" s="1"/>
    </row>
    <row r="15" spans="1:17" s="3" customFormat="1" ht="20.100000000000001" customHeight="1" x14ac:dyDescent="0.25">
      <c r="B15" s="22" t="s">
        <v>10</v>
      </c>
      <c r="C15" s="191">
        <v>238880182</v>
      </c>
      <c r="D15" s="191">
        <v>55957314</v>
      </c>
      <c r="E15" s="161">
        <f t="shared" si="6"/>
        <v>294837496</v>
      </c>
      <c r="F15" s="191">
        <v>133397000</v>
      </c>
      <c r="G15" s="191">
        <v>2053372813</v>
      </c>
      <c r="H15" s="191">
        <v>768254794</v>
      </c>
      <c r="I15" s="191">
        <v>5362000</v>
      </c>
      <c r="J15" s="161">
        <f t="shared" si="7"/>
        <v>773616794</v>
      </c>
      <c r="K15" s="191">
        <v>467511667</v>
      </c>
      <c r="L15" s="191">
        <v>43724000</v>
      </c>
      <c r="M15" s="191">
        <v>2673676372</v>
      </c>
      <c r="N15" s="162">
        <f t="shared" si="8"/>
        <v>2717400372</v>
      </c>
      <c r="Q15" s="1"/>
    </row>
    <row r="16" spans="1:17" s="3" customFormat="1" ht="20.100000000000001" customHeight="1" x14ac:dyDescent="0.25">
      <c r="B16" s="22" t="s">
        <v>11</v>
      </c>
      <c r="C16" s="191">
        <v>1278200930</v>
      </c>
      <c r="D16" s="191">
        <v>1009889013</v>
      </c>
      <c r="E16" s="161">
        <f t="shared" si="6"/>
        <v>2288089943</v>
      </c>
      <c r="F16" s="191">
        <v>2878268000</v>
      </c>
      <c r="G16" s="191">
        <v>3390086473</v>
      </c>
      <c r="H16" s="191">
        <v>2188338603</v>
      </c>
      <c r="I16" s="191">
        <v>300000000</v>
      </c>
      <c r="J16" s="161">
        <f t="shared" si="7"/>
        <v>2488338603</v>
      </c>
      <c r="K16" s="191">
        <v>5089506226</v>
      </c>
      <c r="L16" s="191">
        <v>352225336</v>
      </c>
      <c r="M16" s="191">
        <v>4023276756</v>
      </c>
      <c r="N16" s="162">
        <f t="shared" si="8"/>
        <v>4375502092</v>
      </c>
      <c r="Q16" s="1"/>
    </row>
    <row r="17" spans="2:18" s="3" customFormat="1" ht="20.100000000000001" customHeight="1" x14ac:dyDescent="0.25">
      <c r="B17" s="22" t="s">
        <v>12</v>
      </c>
      <c r="C17" s="161">
        <f t="shared" ref="C17:N17" si="9">+C14-C15-C16</f>
        <v>0</v>
      </c>
      <c r="D17" s="161">
        <f t="shared" si="9"/>
        <v>0</v>
      </c>
      <c r="E17" s="161">
        <f t="shared" si="9"/>
        <v>0</v>
      </c>
      <c r="F17" s="191">
        <f t="shared" ref="F17:G17" si="10">+F14-F15-F16</f>
        <v>0</v>
      </c>
      <c r="G17" s="191">
        <f t="shared" si="10"/>
        <v>0</v>
      </c>
      <c r="H17" s="161">
        <f t="shared" si="9"/>
        <v>0</v>
      </c>
      <c r="I17" s="161">
        <f t="shared" si="9"/>
        <v>0</v>
      </c>
      <c r="J17" s="161">
        <f t="shared" si="9"/>
        <v>0</v>
      </c>
      <c r="K17" s="191">
        <f t="shared" si="9"/>
        <v>0</v>
      </c>
      <c r="L17" s="161">
        <f t="shared" si="9"/>
        <v>0</v>
      </c>
      <c r="M17" s="161">
        <f t="shared" si="9"/>
        <v>0</v>
      </c>
      <c r="N17" s="162">
        <f t="shared" si="9"/>
        <v>0</v>
      </c>
      <c r="Q17" s="1"/>
    </row>
    <row r="18" spans="2:18" s="3" customFormat="1" ht="20.100000000000001" customHeight="1" x14ac:dyDescent="0.25">
      <c r="B18" s="22" t="s">
        <v>13</v>
      </c>
      <c r="C18" s="161">
        <v>207271269</v>
      </c>
      <c r="D18" s="161">
        <v>10548161</v>
      </c>
      <c r="E18" s="161">
        <f t="shared" si="6"/>
        <v>217819430</v>
      </c>
      <c r="F18" s="191">
        <v>301208000</v>
      </c>
      <c r="G18" s="191">
        <v>645255991</v>
      </c>
      <c r="H18" s="161">
        <v>189091143</v>
      </c>
      <c r="I18" s="161">
        <v>0</v>
      </c>
      <c r="J18" s="161">
        <f t="shared" si="7"/>
        <v>189091143</v>
      </c>
      <c r="K18" s="191">
        <v>610207480</v>
      </c>
      <c r="L18" s="161">
        <v>172922364</v>
      </c>
      <c r="M18" s="161">
        <v>406613576</v>
      </c>
      <c r="N18" s="162">
        <f t="shared" si="8"/>
        <v>579535940</v>
      </c>
      <c r="Q18" s="1"/>
    </row>
    <row r="19" spans="2:18" s="3" customFormat="1" ht="20.100000000000001" customHeight="1" x14ac:dyDescent="0.25">
      <c r="B19" s="22" t="s">
        <v>14</v>
      </c>
      <c r="C19" s="161">
        <v>0</v>
      </c>
      <c r="D19" s="161">
        <v>392900</v>
      </c>
      <c r="E19" s="161">
        <f t="shared" si="6"/>
        <v>392900</v>
      </c>
      <c r="F19" s="191">
        <v>6450000</v>
      </c>
      <c r="G19" s="191">
        <v>16125095</v>
      </c>
      <c r="H19" s="161">
        <v>2812000</v>
      </c>
      <c r="I19" s="161">
        <v>0</v>
      </c>
      <c r="J19" s="161">
        <f t="shared" si="7"/>
        <v>2812000</v>
      </c>
      <c r="K19" s="191">
        <v>35896763</v>
      </c>
      <c r="L19" s="161">
        <v>756000</v>
      </c>
      <c r="M19" s="161">
        <v>1175600</v>
      </c>
      <c r="N19" s="162">
        <f t="shared" si="8"/>
        <v>1931600</v>
      </c>
      <c r="Q19" s="1"/>
    </row>
    <row r="20" spans="2:18" s="3" customFormat="1" ht="31.5" x14ac:dyDescent="0.25">
      <c r="B20" s="35" t="s">
        <v>15</v>
      </c>
      <c r="C20" s="28">
        <f t="shared" ref="C20:N20" si="11">IFERROR((C18/C16),"-")</f>
        <v>0.16215859661438362</v>
      </c>
      <c r="D20" s="28">
        <f t="shared" si="11"/>
        <v>1.0444871529659864E-2</v>
      </c>
      <c r="E20" s="28">
        <f t="shared" si="11"/>
        <v>9.5197057557278031E-2</v>
      </c>
      <c r="F20" s="212">
        <f t="shared" ref="F20:G20" si="12">IFERROR((F18/F16),"-")</f>
        <v>0.1046490458845389</v>
      </c>
      <c r="G20" s="212">
        <f t="shared" si="12"/>
        <v>0.19033614515118594</v>
      </c>
      <c r="H20" s="28">
        <f t="shared" si="11"/>
        <v>8.6408539675155563E-2</v>
      </c>
      <c r="I20" s="28">
        <f t="shared" si="11"/>
        <v>0</v>
      </c>
      <c r="J20" s="28">
        <f t="shared" si="11"/>
        <v>7.5990921320766888E-2</v>
      </c>
      <c r="K20" s="212">
        <f t="shared" si="11"/>
        <v>0.11989522222857774</v>
      </c>
      <c r="L20" s="28">
        <f t="shared" si="11"/>
        <v>0.49094243464643894</v>
      </c>
      <c r="M20" s="28">
        <f t="shared" si="11"/>
        <v>0.10106527605728548</v>
      </c>
      <c r="N20" s="167">
        <f t="shared" si="11"/>
        <v>0.13245015721957973</v>
      </c>
      <c r="Q20" s="1"/>
    </row>
    <row r="21" spans="2:18" s="3" customFormat="1" ht="31.5" x14ac:dyDescent="0.2">
      <c r="B21" s="35" t="s">
        <v>16</v>
      </c>
      <c r="C21" s="28">
        <f t="shared" ref="C21:N21" si="13">IFERROR((C18/C14),"-")</f>
        <v>0.136625040916072</v>
      </c>
      <c r="D21" s="28">
        <f t="shared" si="13"/>
        <v>9.8965120325455701E-3</v>
      </c>
      <c r="E21" s="28">
        <f t="shared" si="13"/>
        <v>8.4330448742427871E-2</v>
      </c>
      <c r="F21" s="212">
        <f t="shared" ref="F21:G21" si="14">IFERROR((F18/F14),"-")</f>
        <v>0.10001377975306018</v>
      </c>
      <c r="G21" s="212">
        <f t="shared" si="14"/>
        <v>0.11853785563520793</v>
      </c>
      <c r="H21" s="28">
        <f t="shared" si="13"/>
        <v>6.3955748258068643E-2</v>
      </c>
      <c r="I21" s="28">
        <f t="shared" si="13"/>
        <v>0</v>
      </c>
      <c r="J21" s="28">
        <f t="shared" si="13"/>
        <v>5.7968647632001942E-2</v>
      </c>
      <c r="K21" s="212">
        <f t="shared" si="13"/>
        <v>0.10980844254049624</v>
      </c>
      <c r="L21" s="28">
        <f t="shared" si="13"/>
        <v>0.43672851114466826</v>
      </c>
      <c r="M21" s="28">
        <f t="shared" si="13"/>
        <v>6.0716204552775842E-2</v>
      </c>
      <c r="N21" s="167">
        <f t="shared" si="13"/>
        <v>8.1706458384481179E-2</v>
      </c>
      <c r="P21" s="165" t="s">
        <v>77</v>
      </c>
      <c r="Q21" s="166" t="s">
        <v>78</v>
      </c>
      <c r="R21" s="91"/>
    </row>
    <row r="22" spans="2:18" s="3" customFormat="1" ht="15.75" x14ac:dyDescent="0.2">
      <c r="B22" s="11" t="s">
        <v>17</v>
      </c>
      <c r="C22" s="163" t="str">
        <f t="shared" ref="C22:N22" si="15">IF(C11=1,$P$22,"")</f>
        <v/>
      </c>
      <c r="D22" s="163" t="str">
        <f t="shared" si="15"/>
        <v/>
      </c>
      <c r="E22" s="163">
        <f t="shared" si="15"/>
        <v>344857484</v>
      </c>
      <c r="F22" s="213">
        <f t="shared" si="15"/>
        <v>344857484</v>
      </c>
      <c r="G22" s="213">
        <f t="shared" si="15"/>
        <v>344857484</v>
      </c>
      <c r="H22" s="163" t="str">
        <f t="shared" si="15"/>
        <v/>
      </c>
      <c r="I22" s="163" t="str">
        <f t="shared" si="15"/>
        <v/>
      </c>
      <c r="J22" s="163">
        <f t="shared" si="15"/>
        <v>344857484</v>
      </c>
      <c r="K22" s="213">
        <f t="shared" si="15"/>
        <v>344857484</v>
      </c>
      <c r="L22" s="163" t="str">
        <f t="shared" si="15"/>
        <v/>
      </c>
      <c r="M22" s="163" t="str">
        <f t="shared" si="15"/>
        <v/>
      </c>
      <c r="N22" s="164">
        <f t="shared" si="15"/>
        <v>344857484</v>
      </c>
      <c r="P22" s="42">
        <v>344857484</v>
      </c>
      <c r="Q22" s="42">
        <f>P22</f>
        <v>344857484</v>
      </c>
      <c r="R22" s="132"/>
    </row>
    <row r="23" spans="2:18" s="3" customFormat="1" ht="15.75" x14ac:dyDescent="0.2">
      <c r="B23" s="29" t="s">
        <v>18</v>
      </c>
      <c r="C23" s="30"/>
      <c r="D23" s="30"/>
      <c r="E23" s="204"/>
      <c r="F23" s="198"/>
      <c r="G23" s="198"/>
      <c r="H23" s="30"/>
      <c r="I23" s="30"/>
      <c r="J23" s="204"/>
      <c r="K23" s="198"/>
      <c r="L23" s="198"/>
      <c r="M23" s="30"/>
      <c r="N23" s="31"/>
      <c r="P23" s="173" t="s">
        <v>71</v>
      </c>
      <c r="Q23" s="90"/>
    </row>
    <row r="24" spans="2:18" s="3" customFormat="1" ht="15.75" x14ac:dyDescent="0.2">
      <c r="B24" s="12" t="s">
        <v>55</v>
      </c>
      <c r="C24" s="192"/>
      <c r="D24" s="192"/>
      <c r="E24" s="13"/>
      <c r="F24" s="192"/>
      <c r="G24" s="192"/>
      <c r="H24" s="192"/>
      <c r="I24" s="192"/>
      <c r="J24" s="13"/>
      <c r="K24" s="192"/>
      <c r="L24" s="192"/>
      <c r="M24" s="192"/>
      <c r="N24" s="168"/>
      <c r="P24" s="93">
        <v>1423500</v>
      </c>
      <c r="Q24" s="3" t="s">
        <v>58</v>
      </c>
    </row>
    <row r="25" spans="2:18" s="3" customFormat="1" ht="15.75" x14ac:dyDescent="0.2">
      <c r="B25" s="66" t="s">
        <v>62</v>
      </c>
      <c r="C25" s="60"/>
      <c r="D25" s="60"/>
      <c r="E25" s="205"/>
      <c r="F25" s="214"/>
      <c r="G25" s="214"/>
      <c r="H25" s="60"/>
      <c r="I25" s="60"/>
      <c r="J25" s="205"/>
      <c r="K25" s="214"/>
      <c r="L25" s="214"/>
      <c r="M25" s="60"/>
      <c r="N25" s="169"/>
      <c r="O25" s="203" t="s">
        <v>73</v>
      </c>
      <c r="P25" s="131">
        <f>Q22/P24</f>
        <v>242.26026273270108</v>
      </c>
      <c r="Q25" s="3" t="s">
        <v>74</v>
      </c>
      <c r="R25" s="3" t="s">
        <v>75</v>
      </c>
    </row>
    <row r="26" spans="2:18" s="3" customFormat="1" ht="15.75" x14ac:dyDescent="0.2">
      <c r="B26" s="29" t="s">
        <v>18</v>
      </c>
      <c r="C26" s="30"/>
      <c r="D26" s="30"/>
      <c r="E26" s="204"/>
      <c r="F26" s="198"/>
      <c r="G26" s="198"/>
      <c r="H26" s="30"/>
      <c r="I26" s="30"/>
      <c r="J26" s="204"/>
      <c r="K26" s="198"/>
      <c r="L26" s="198"/>
      <c r="M26" s="30"/>
      <c r="N26" s="31"/>
      <c r="P26" s="96" t="s">
        <v>59</v>
      </c>
      <c r="Q26" s="94" t="s">
        <v>72</v>
      </c>
    </row>
    <row r="27" spans="2:18" s="3" customFormat="1" ht="31.5" x14ac:dyDescent="0.2">
      <c r="B27" s="35" t="str">
        <f>CONCATENATE("Índice de Liquidez: ",CHAR(10),$P$21," ≥ ",P27," veces. ",IF($P$21=$Q$21,"",_xlfn.CONCAT($Q$21," ≥ ",Q27," veces.")))</f>
        <v>Índice de Liquidez: 
MiPyME ≥ 1,1 veces. Gran Empresa ≥ 1,2 veces.</v>
      </c>
      <c r="C27" s="216"/>
      <c r="D27" s="216"/>
      <c r="E27" s="14" t="str">
        <f>IFERROR(IF(E74=$P$21,IF(E28&gt;=$P$27,$B$24,$B$25),IF(E28&gt;=$Q$27,$B$24,$B$25)),"-")</f>
        <v>CUMPLE</v>
      </c>
      <c r="F27" s="193" t="str">
        <f>IFERROR(IF(F74=$P$21,IF(F28&gt;=$P$27,$B$24,$B$25),IF(F28&gt;=$Q$27,$B$24,$B$25)),"-")</f>
        <v>CUMPLE</v>
      </c>
      <c r="G27" s="193" t="str">
        <f>IFERROR(IF(G74=$P$21,IF(G28&gt;=$P$27,$B$24,$B$25),IF(G28&gt;=$Q$27,$B$24,$B$25)),"-")</f>
        <v>CUMPLE</v>
      </c>
      <c r="H27" s="219"/>
      <c r="I27" s="216"/>
      <c r="J27" s="14" t="str">
        <f>IFERROR(IF(J74=$P$21,IF(J28&gt;=$P$27,$B$24,$B$25),IF(J28&gt;=$Q$27,$B$24,$B$25)),"-")</f>
        <v>CUMPLE</v>
      </c>
      <c r="K27" s="193" t="str">
        <f>IFERROR(IF(K74=$P$21,IF(K28&gt;=$P$27,$B$24,$B$25),IF(K28&gt;=$Q$27,$B$24,$B$25)),"-")</f>
        <v>CUMPLE</v>
      </c>
      <c r="L27" s="219"/>
      <c r="M27" s="216"/>
      <c r="N27" s="104" t="str">
        <f>IFERROR(IF(N74=$P$21,IF(N28&gt;=$P$27,$B$24,$B$25),IF(N28&gt;=$Q$27,$B$24,$B$25)),"-")</f>
        <v>CUMPLE</v>
      </c>
      <c r="P27" s="40">
        <v>1.1000000000000001</v>
      </c>
      <c r="Q27" s="40">
        <v>1.2</v>
      </c>
    </row>
    <row r="28" spans="2:18" s="3" customFormat="1" ht="22.5" customHeight="1" x14ac:dyDescent="0.2">
      <c r="B28" s="156" t="s">
        <v>19</v>
      </c>
      <c r="C28" s="217"/>
      <c r="D28" s="217"/>
      <c r="E28" s="15">
        <f t="shared" ref="E28:G28" si="16">IFERROR(E12/E13,"-")</f>
        <v>8.2879373727960299</v>
      </c>
      <c r="F28" s="194">
        <f t="shared" si="16"/>
        <v>17.431433990269646</v>
      </c>
      <c r="G28" s="194">
        <f t="shared" si="16"/>
        <v>5.0735069764476783</v>
      </c>
      <c r="H28" s="217"/>
      <c r="I28" s="217"/>
      <c r="J28" s="15">
        <f t="shared" ref="J28:K28" si="17">IFERROR(J12/J13,"-")</f>
        <v>4.4972242929059849</v>
      </c>
      <c r="K28" s="194">
        <f t="shared" si="17"/>
        <v>12.341644650310938</v>
      </c>
      <c r="L28" s="217"/>
      <c r="M28" s="217"/>
      <c r="N28" s="105">
        <f t="shared" ref="N28" si="18">IFERROR(N12/N13,"-")</f>
        <v>5.7295991055916495</v>
      </c>
    </row>
    <row r="29" spans="2:18" s="3" customFormat="1" ht="31.5" x14ac:dyDescent="0.2">
      <c r="B29" s="35" t="str">
        <f>CONCATENATE("Endeudamiento total: ",CHAR(10),$P$21," ≤ ",TEXT(P29,"#0 %"),". ",IF($P$21=$Q$21,"",_xlfn.CONCAT($Q$21," ≤ ",TEXT(Q29,"#0 %."))))</f>
        <v>Endeudamiento total: 
MiPyME ≤ 65 %. Gran Empresa ≤ 65 %.</v>
      </c>
      <c r="C29" s="217"/>
      <c r="D29" s="217"/>
      <c r="E29" s="16" t="str">
        <f>IFERROR(IF(E74=$P$21,IF(E30&lt;=$P$29,$B$24,$B$25),IF(E30&lt;=$Q$29,$B$24,$B$25)),"-")</f>
        <v>CUMPLE</v>
      </c>
      <c r="F29" s="195" t="str">
        <f>IFERROR(IF(F74=$P$21,IF(F30&lt;=$P$29,$B$24,$B$25),IF(F30&lt;=$Q$29,$B$24,$B$25)),"-")</f>
        <v>CUMPLE</v>
      </c>
      <c r="G29" s="195" t="str">
        <f>IFERROR(IF(G74=$P$21,IF(G30&lt;=$P$29,$B$24,$B$25),IF(G30&lt;=$Q$29,$B$24,$B$25)),"-")</f>
        <v>CUMPLE</v>
      </c>
      <c r="H29" s="217"/>
      <c r="I29" s="217"/>
      <c r="J29" s="16" t="str">
        <f>IFERROR(IF(J74=$P$21,IF(J30&lt;=$P$29,$B$24,$B$25),IF(J30&lt;=$Q$29,$B$24,$B$25)),"-")</f>
        <v>CUMPLE</v>
      </c>
      <c r="K29" s="195" t="str">
        <f>IFERROR(IF(K74=$P$21,IF(K30&lt;=$P$29,$B$24,$B$25),IF(K30&lt;=$Q$29,$B$24,$B$25)),"-")</f>
        <v>CUMPLE</v>
      </c>
      <c r="L29" s="217"/>
      <c r="M29" s="217"/>
      <c r="N29" s="106" t="str">
        <f>IFERROR(IF(N74=$P$21,IF(N30&lt;=$P$29,$B$24,$B$25),IF(N30&lt;=$Q$29,$B$24,$B$25)),"-")</f>
        <v>CUMPLE</v>
      </c>
      <c r="P29" s="41">
        <v>0.65</v>
      </c>
      <c r="Q29" s="41">
        <v>0.65</v>
      </c>
    </row>
    <row r="30" spans="2:18" s="3" customFormat="1" ht="22.5" customHeight="1" x14ac:dyDescent="0.2">
      <c r="B30" s="157" t="s">
        <v>20</v>
      </c>
      <c r="C30" s="217"/>
      <c r="D30" s="217"/>
      <c r="E30" s="17">
        <f t="shared" ref="E30:G30" si="19">IFERROR(E15/E14,"-")</f>
        <v>0.11414857868177225</v>
      </c>
      <c r="F30" s="196">
        <f t="shared" si="19"/>
        <v>4.4293439011311019E-2</v>
      </c>
      <c r="G30" s="196">
        <f t="shared" si="19"/>
        <v>0.37721836521879704</v>
      </c>
      <c r="H30" s="217"/>
      <c r="I30" s="217"/>
      <c r="J30" s="17">
        <f t="shared" ref="J30:K30" si="20">IFERROR(J15/J14,"-")</f>
        <v>0.2371635107921741</v>
      </c>
      <c r="K30" s="196">
        <f t="shared" si="20"/>
        <v>8.412995531090689E-2</v>
      </c>
      <c r="L30" s="217"/>
      <c r="M30" s="217"/>
      <c r="N30" s="107">
        <f t="shared" ref="N30" si="21">IFERROR(N15/N14,"-")</f>
        <v>0.38311542923255404</v>
      </c>
    </row>
    <row r="31" spans="2:18" s="3" customFormat="1" ht="47.25" x14ac:dyDescent="0.2">
      <c r="B31" s="35" t="str">
        <f>CONCATENATE("Razón de Cobertura de Intereses: ",CHAR(10),$P$21," ≥ ",P31," vez(ces) o Indet."," ",IF($P$21=$Q$21,"",_xlfn.CONCAT($Q$21," ≥ ",Q31," vez(ces) o Indet.")))</f>
        <v>Razón de Cobertura de Intereses: 
MiPyME ≥ 1,5 vez(ces) o Indet. Gran Empresa ≥ 1,5 vez(ces) o Indet.</v>
      </c>
      <c r="C31" s="217"/>
      <c r="D31" s="217"/>
      <c r="E31" s="16" t="str">
        <f>IFERROR(IF(E74=$P$21,IF(AND(E32="Indeterminado",E18&lt;=0),$B$25,IF(E32&gt;=$P$31,$B$24,$B$25)),IF(AND(E32="Indeterminado",E18&lt;=0),$B$25,IF(E32&gt;=$Q$31,$B$24,$B$25))),"-")</f>
        <v>CUMPLE</v>
      </c>
      <c r="F31" s="195" t="str">
        <f>IFERROR(IF(F74=$P$21,IF(AND(F32="Indeterminado",F18&lt;=0),$B$25,IF(F32&gt;=$P$31,$B$24,$B$25)),IF(AND(F32="Indeterminado",F18&lt;=0),$B$25,IF(F32&gt;=$Q$31,$B$24,$B$25))),"-")</f>
        <v>CUMPLE</v>
      </c>
      <c r="G31" s="195" t="str">
        <f>IFERROR(IF(G74=$P$21,IF(AND(G32="Indeterminado",G18&lt;=0),$B$25,IF(G32&gt;=$P$31,$B$24,$B$25)),IF(AND(G32="Indeterminado",G18&lt;=0),$B$25,IF(G32&gt;=$Q$31,$B$24,$B$25))),"-")</f>
        <v>CUMPLE</v>
      </c>
      <c r="H31" s="217"/>
      <c r="I31" s="217"/>
      <c r="J31" s="16" t="str">
        <f>IFERROR(IF(J74=$P$21,IF(AND(J32="Indeterminado",J18&lt;=0),$B$25,IF(J32&gt;=$P$31,$B$24,$B$25)),IF(AND(J32="Indeterminado",J18&lt;=0),$B$25,IF(J32&gt;=$Q$31,$B$24,$B$25))),"-")</f>
        <v>CUMPLE</v>
      </c>
      <c r="K31" s="195" t="str">
        <f>IFERROR(IF(K74=$P$21,IF(AND(K32="Indeterminado",K18&lt;=0),$B$25,IF(K32&gt;=$P$31,$B$24,$B$25)),IF(AND(K32="Indeterminado",K18&lt;=0),$B$25,IF(K32&gt;=$Q$31,$B$24,$B$25))),"-")</f>
        <v>CUMPLE</v>
      </c>
      <c r="L31" s="217"/>
      <c r="M31" s="217"/>
      <c r="N31" s="106" t="str">
        <f>IFERROR(IF(N74=$P$21,IF(AND(N32="Indeterminado",N18&lt;=0),$B$25,IF(N32&gt;=$P$31,$B$24,$B$25)),IF(AND(N32="Indeterminado",N18&lt;=0),$B$25,IF(N32&gt;=$Q$31,$B$24,$B$25))),"-")</f>
        <v>CUMPLE</v>
      </c>
      <c r="P31" s="40">
        <v>1.5</v>
      </c>
      <c r="Q31" s="40">
        <v>1.5</v>
      </c>
    </row>
    <row r="32" spans="2:18" s="3" customFormat="1" ht="22.5" customHeight="1" x14ac:dyDescent="0.2">
      <c r="B32" s="157" t="s">
        <v>21</v>
      </c>
      <c r="C32" s="218"/>
      <c r="D32" s="218"/>
      <c r="E32" s="37">
        <f t="shared" ref="E32:G32" si="22">IFERROR(E18/E19,"Indeterminado")</f>
        <v>554.38897938406717</v>
      </c>
      <c r="F32" s="197">
        <f t="shared" si="22"/>
        <v>46.698914728682169</v>
      </c>
      <c r="G32" s="197">
        <f t="shared" si="22"/>
        <v>40.015639659797351</v>
      </c>
      <c r="H32" s="220"/>
      <c r="I32" s="218"/>
      <c r="J32" s="37">
        <f t="shared" ref="J32:K32" si="23">IFERROR(J18/J19,"Indeterminado")</f>
        <v>67.244360953058319</v>
      </c>
      <c r="K32" s="197">
        <f t="shared" si="23"/>
        <v>16.998955588279646</v>
      </c>
      <c r="L32" s="218"/>
      <c r="M32" s="218"/>
      <c r="N32" s="108">
        <f t="shared" ref="N32" si="24">IFERROR(N18/N19,"Indeterminado")</f>
        <v>300.02896044729755</v>
      </c>
    </row>
    <row r="33" spans="2:18" s="3" customFormat="1" ht="31.5" x14ac:dyDescent="0.2">
      <c r="B33" s="22" t="str">
        <f>CONCATENATE("Capital de trabajo:",CHAR(10),$P$21," ≥ ",TEXT(P33,"0 %")," del PO. ",IF($P$21=$Q$21,"",_xlfn.CONCAT($Q$21," ≥ ",TEXT(Q33,"0 %")," del PO.")))</f>
        <v>Capital de trabajo:
MiPyME ≥ 25 % del PO. Gran Empresa ≥ 25 % del PO.</v>
      </c>
      <c r="C33" s="216"/>
      <c r="D33" s="216"/>
      <c r="E33" s="16" t="str">
        <f>IFERROR(IF(E74=$P$21,IF(E34&gt;(E22*$P$33),$B$24,$B$25),IF(E34&gt;(E22*$Q$33),$B$24,$B$25)),"-")</f>
        <v>CUMPLE</v>
      </c>
      <c r="F33" s="195" t="str">
        <f>IFERROR(IF(F74=$P$21,IF(F34&gt;(F22*$P$33),$B$24,$B$25),IF(F34&gt;(F22*$Q$33),$B$24,$B$25)),"-")</f>
        <v>CUMPLE</v>
      </c>
      <c r="G33" s="195" t="str">
        <f>IFERROR(IF(G74=$P$21,IF(G34&gt;(G22*$P$33),$B$24,$B$25),IF(G34&gt;(G22*$Q$33),$B$24,$B$25)),"-")</f>
        <v>CUMPLE</v>
      </c>
      <c r="H33" s="219"/>
      <c r="I33" s="216"/>
      <c r="J33" s="16" t="str">
        <f>IFERROR(IF(J74=$P$21,IF(J34&gt;(J22*$P$33),$B$24,$B$25),IF(J34&gt;(J22*$Q$33),$B$24,$B$25)),"-")</f>
        <v>CUMPLE</v>
      </c>
      <c r="K33" s="195" t="str">
        <f>IFERROR(IF(K74=$P$21,IF(K34&gt;(K22*$P$33),$B$24,$B$25),IF(K34&gt;(K22*$Q$33),$B$24,$B$25)),"-")</f>
        <v>CUMPLE</v>
      </c>
      <c r="L33" s="216"/>
      <c r="M33" s="216"/>
      <c r="N33" s="106" t="str">
        <f>IFERROR(IF(N74=$P$21,IF(N34&gt;(N22*$P$33),$B$24,$B$25),IF(N34&gt;(N22*$Q$33),$B$24,$B$25)),"-")</f>
        <v>CUMPLE</v>
      </c>
      <c r="P33" s="44">
        <v>0.25</v>
      </c>
      <c r="Q33" s="44">
        <v>0.25</v>
      </c>
    </row>
    <row r="34" spans="2:18" s="4" customFormat="1" ht="22.5" customHeight="1" x14ac:dyDescent="0.2">
      <c r="B34" s="158" t="str">
        <f>CONCATENATE("CT = Activo Corriente - Pasivo Corriente ≥ ",TEXT((P22*P33),"$###.###.###.##0"))</f>
        <v>CT = Activo Corriente - Pasivo Corriente ≥ $86.214.371</v>
      </c>
      <c r="C34" s="217"/>
      <c r="D34" s="217"/>
      <c r="E34" s="161">
        <f t="shared" ref="E34:G34" si="25">IFERROR(E12-E13,"-")</f>
        <v>2148757206</v>
      </c>
      <c r="F34" s="191">
        <f t="shared" si="25"/>
        <v>2191904000</v>
      </c>
      <c r="G34" s="191">
        <f t="shared" si="25"/>
        <v>2441965611</v>
      </c>
      <c r="H34" s="217"/>
      <c r="I34" s="217"/>
      <c r="J34" s="161">
        <f t="shared" ref="J34:K34" si="26">IFERROR(J12-J13,"-")</f>
        <v>1707106515</v>
      </c>
      <c r="K34" s="191">
        <f t="shared" si="26"/>
        <v>4381585617</v>
      </c>
      <c r="L34" s="217"/>
      <c r="M34" s="217"/>
      <c r="N34" s="162">
        <f t="shared" ref="N34" si="27">IFERROR(N12-N13,"-")</f>
        <v>5820889176</v>
      </c>
      <c r="O34" s="95"/>
      <c r="P34" s="92"/>
      <c r="Q34" s="92"/>
      <c r="R34" s="3"/>
    </row>
    <row r="35" spans="2:18" s="3" customFormat="1" ht="15.75" x14ac:dyDescent="0.2">
      <c r="B35" s="36" t="s">
        <v>22</v>
      </c>
      <c r="C35" s="204"/>
      <c r="D35" s="204"/>
      <c r="E35" s="38"/>
      <c r="F35" s="198"/>
      <c r="G35" s="198"/>
      <c r="H35" s="204"/>
      <c r="I35" s="204"/>
      <c r="J35" s="38"/>
      <c r="K35" s="198"/>
      <c r="L35" s="204"/>
      <c r="M35" s="204"/>
      <c r="N35" s="109"/>
      <c r="O35" s="96"/>
      <c r="P35" s="93"/>
      <c r="Q35" s="93"/>
      <c r="R35" s="94"/>
    </row>
    <row r="36" spans="2:18" s="3" customFormat="1" ht="15.75" x14ac:dyDescent="0.2">
      <c r="B36" s="18"/>
      <c r="C36" s="216"/>
      <c r="D36" s="216"/>
      <c r="E36" s="9"/>
      <c r="F36" s="199"/>
      <c r="G36" s="199"/>
      <c r="H36" s="219"/>
      <c r="I36" s="216"/>
      <c r="J36" s="9"/>
      <c r="K36" s="199"/>
      <c r="L36" s="216"/>
      <c r="M36" s="216"/>
      <c r="N36" s="110"/>
    </row>
    <row r="37" spans="2:18" s="3" customFormat="1" ht="31.5" x14ac:dyDescent="0.2">
      <c r="B37" s="35" t="str">
        <f>CONCATENATE("Indicador  Rentabilidad del Patrimonio",CHAR(10),$P$21," ≥ ",TEXT(P37,"#0 %. "),IF($P$21=$Q$21,"",_xlfn.CONCAT($Q$21," ≥ ",TEXT(Q37,"#0 %."))))</f>
        <v>Indicador  Rentabilidad del Patrimonio
MiPyME ≥ 2 %. Gran Empresa ≥ 4 %.</v>
      </c>
      <c r="C37" s="217" t="s">
        <v>95</v>
      </c>
      <c r="D37" s="217" t="s">
        <v>95</v>
      </c>
      <c r="E37" s="16" t="str">
        <f>IFERROR(IF((IF(E74=$P$21,IF(E38&gt;=$P$37,$B$24,$B$25),IF(E38&gt;=$Q$37,$B$24,$B$25)))="No hábil",IF(AND(E38&lt;0,E16&gt;0,E74="ESAL"),$B$24,$B$25),IF(E74=$P$21,IF(E38&gt;=$P$37,$B$24,$B$25),IF(E38&gt;=$Q$37,$B$24,$B$25))),"-")</f>
        <v>CUMPLE</v>
      </c>
      <c r="F37" s="195" t="str">
        <f>IFERROR(IF((IF(F74=$P$21,IF(F38&gt;=$P$37,$B$24,$B$25),IF(F38&gt;=$Q$37,$B$24,$B$25)))="No hábil",IF(AND(F38&lt;0,F16&gt;0,F74="ESAL"),$B$24,$B$25),IF(F74=$P$21,IF(F38&gt;=$P$37,$B$24,$B$25),IF(F38&gt;=$Q$37,$B$24,$B$25))),"-")</f>
        <v>CUMPLE</v>
      </c>
      <c r="G37" s="195" t="str">
        <f>IFERROR(IF((IF(G74=$P$21,IF(G38&gt;=$P$37,$B$24,$B$25),IF(G38&gt;=$Q$37,$B$24,$B$25)))="No hábil",IF(AND(G38&lt;0,G16&gt;0,G74="ESAL"),$B$24,$B$25),IF(G74=$P$21,IF(G38&gt;=$P$37,$B$24,$B$25),IF(G38&gt;=$Q$37,$B$24,$B$25))),"-")</f>
        <v>CUMPLE</v>
      </c>
      <c r="H37" s="217" t="s">
        <v>95</v>
      </c>
      <c r="I37" s="217" t="s">
        <v>95</v>
      </c>
      <c r="J37" s="16" t="str">
        <f>IFERROR(IF((IF(J74=$P$21,IF(J38&gt;=$P$37,$B$24,$B$25),IF(J38&gt;=$Q$37,$B$24,$B$25)))="No hábil",IF(AND(J38&lt;0,J16&gt;0,J74="ESAL"),$B$24,$B$25),IF(J74=$P$21,IF(J38&gt;=$P$37,$B$24,$B$25),IF(J38&gt;=$Q$37,$B$24,$B$25))),"-")</f>
        <v>CUMPLE</v>
      </c>
      <c r="K37" s="195" t="str">
        <f>IFERROR(IF((IF(K74=$P$21,IF(K38&gt;=$P$37,$B$24,$B$25),IF(K38&gt;=$Q$37,$B$24,$B$25)))="No hábil",IF(AND(K38&lt;0,K16&gt;0,K74="ESAL"),$B$24,$B$25),IF(K74=$P$21,IF(K38&gt;=$P$37,$B$24,$B$25),IF(K38&gt;=$Q$37,$B$24,$B$25))),"-")</f>
        <v>CUMPLE</v>
      </c>
      <c r="L37" s="217" t="s">
        <v>95</v>
      </c>
      <c r="M37" s="217" t="s">
        <v>95</v>
      </c>
      <c r="N37" s="106" t="str">
        <f>IFERROR(IF((IF(N74=$P$21,IF(N38&gt;=$P$37,$B$24,$B$25),IF(N38&gt;=$Q$37,$B$24,$B$25)))="No hábil",IF(AND(N38&lt;0,N16&gt;0,N74="ESAL"),$B$24,$B$25),IF(N74=$P$21,IF(N38&gt;=$P$37,$B$24,$B$25),IF(N38&gt;=$Q$37,$B$24,$B$25))),"-")</f>
        <v>CUMPLE</v>
      </c>
      <c r="P37" s="41">
        <v>0.02</v>
      </c>
      <c r="Q37" s="41">
        <v>0.04</v>
      </c>
    </row>
    <row r="38" spans="2:18" s="3" customFormat="1" ht="22.5" customHeight="1" x14ac:dyDescent="0.2">
      <c r="B38" s="157" t="s">
        <v>23</v>
      </c>
      <c r="C38" s="217" t="s">
        <v>95</v>
      </c>
      <c r="D38" s="217" t="s">
        <v>95</v>
      </c>
      <c r="E38" s="170">
        <f t="shared" ref="E38:G38" si="28">IFERROR(E18/E16,"-")</f>
        <v>9.5197057557278031E-2</v>
      </c>
      <c r="F38" s="200">
        <f t="shared" si="28"/>
        <v>0.1046490458845389</v>
      </c>
      <c r="G38" s="200">
        <f t="shared" si="28"/>
        <v>0.19033614515118594</v>
      </c>
      <c r="H38" s="217" t="s">
        <v>95</v>
      </c>
      <c r="I38" s="217" t="s">
        <v>95</v>
      </c>
      <c r="J38" s="170">
        <f t="shared" ref="J38:K38" si="29">IFERROR(J18/J16,"-")</f>
        <v>7.5990921320766888E-2</v>
      </c>
      <c r="K38" s="200">
        <f t="shared" si="29"/>
        <v>0.11989522222857774</v>
      </c>
      <c r="L38" s="217" t="s">
        <v>95</v>
      </c>
      <c r="M38" s="217" t="s">
        <v>95</v>
      </c>
      <c r="N38" s="171">
        <f t="shared" ref="N38" si="30">IFERROR(N18/N16,"-")</f>
        <v>0.13245015721957973</v>
      </c>
    </row>
    <row r="39" spans="2:18" s="3" customFormat="1" ht="31.5" x14ac:dyDescent="0.2">
      <c r="B39" s="35" t="str">
        <f>CONCATENATE("Indicador Rentabilidad del Activo",CHAR(10),$P$21," ≥ ",TEXT(P39,"#0 %. "),IF($P$21=$Q$21,"",_xlfn.CONCAT($Q$21," ≥ ",TEXT(Q39,"#0 %."))))</f>
        <v>Indicador Rentabilidad del Activo
MiPyME ≥ 1 %. Gran Empresa ≥ 3 %.</v>
      </c>
      <c r="C39" s="217" t="s">
        <v>95</v>
      </c>
      <c r="D39" s="217" t="s">
        <v>95</v>
      </c>
      <c r="E39" s="14" t="str">
        <f>IFERROR(IF((IF(E74=$P$21,IF(E40&gt;=$P$39,$B$24,$B$25),IF(E40&gt;=$Q$39,$B$24,$B$25)))="No hábil",IF(AND(E40&lt;0,E16&gt;0,E74="ESAL"),$B$24,$B$25),IF(E74=$P$21,IF(E40&gt;=$P$39,$B$24,$B$25),IF(E40&gt;=$Q$39,$B$24,$B$25))),"-")</f>
        <v>CUMPLE</v>
      </c>
      <c r="F39" s="193" t="str">
        <f>IFERROR(IF((IF(F74=$P$21,IF(F40&gt;=$P$39,$B$24,$B$25),IF(F40&gt;=$Q$39,$B$24,$B$25)))="No hábil",IF(AND(F40&lt;0,F16&gt;0,F74="ESAL"),$B$24,$B$25),IF(F74=$P$21,IF(F40&gt;=$P$39,$B$24,$B$25),IF(F40&gt;=$Q$39,$B$24,$B$25))),"-")</f>
        <v>CUMPLE</v>
      </c>
      <c r="G39" s="193" t="str">
        <f>IFERROR(IF((IF(G74=$P$21,IF(G40&gt;=$P$39,$B$24,$B$25),IF(G40&gt;=$Q$39,$B$24,$B$25)))="No hábil",IF(AND(G40&lt;0,G16&gt;0,G74="ESAL"),$B$24,$B$25),IF(G74=$P$21,IF(G40&gt;=$P$39,$B$24,$B$25),IF(G40&gt;=$Q$39,$B$24,$B$25))),"-")</f>
        <v>CUMPLE</v>
      </c>
      <c r="H39" s="217" t="s">
        <v>95</v>
      </c>
      <c r="I39" s="217" t="s">
        <v>95</v>
      </c>
      <c r="J39" s="14" t="str">
        <f>IFERROR(IF((IF(J74=$P$21,IF(J40&gt;=$P$39,$B$24,$B$25),IF(J40&gt;=$Q$39,$B$24,$B$25)))="No hábil",IF(AND(J40&lt;0,J16&gt;0,J74="ESAL"),$B$24,$B$25),IF(J74=$P$21,IF(J40&gt;=$P$39,$B$24,$B$25),IF(J40&gt;=$Q$39,$B$24,$B$25))),"-")</f>
        <v>CUMPLE</v>
      </c>
      <c r="K39" s="193" t="str">
        <f>IFERROR(IF((IF(K74=$P$21,IF(K40&gt;=$P$39,$B$24,$B$25),IF(K40&gt;=$Q$39,$B$24,$B$25)))="No hábil",IF(AND(K40&lt;0,K16&gt;0,K74="ESAL"),$B$24,$B$25),IF(K74=$P$21,IF(K40&gt;=$P$39,$B$24,$B$25),IF(K40&gt;=$Q$39,$B$24,$B$25))),"-")</f>
        <v>CUMPLE</v>
      </c>
      <c r="L39" s="217" t="s">
        <v>95</v>
      </c>
      <c r="M39" s="217" t="s">
        <v>95</v>
      </c>
      <c r="N39" s="104" t="str">
        <f>IFERROR(IF((IF(N74=$P$21,IF(N40&gt;=$P$39,$B$24,$B$25),IF(N40&gt;=$Q$39,$B$24,$B$25)))="No hábil",IF(AND(N40&lt;0,N16&gt;0,N74="ESAL"),$B$24,$B$25),IF(N74=$P$21,IF(N40&gt;=$P$39,$B$24,$B$25),IF(N40&gt;=$Q$39,$B$24,$B$25))),"-")</f>
        <v>CUMPLE</v>
      </c>
      <c r="P39" s="41">
        <v>0.01</v>
      </c>
      <c r="Q39" s="41">
        <v>0.03</v>
      </c>
    </row>
    <row r="40" spans="2:18" s="3" customFormat="1" ht="22.5" customHeight="1" x14ac:dyDescent="0.2">
      <c r="B40" s="157" t="s">
        <v>24</v>
      </c>
      <c r="C40" s="217" t="s">
        <v>95</v>
      </c>
      <c r="D40" s="217" t="s">
        <v>95</v>
      </c>
      <c r="E40" s="170">
        <f t="shared" ref="E40:G40" si="31">IFERROR(E18/E14,"-")</f>
        <v>8.4330448742427871E-2</v>
      </c>
      <c r="F40" s="200">
        <f t="shared" si="31"/>
        <v>0.10001377975306018</v>
      </c>
      <c r="G40" s="200">
        <f t="shared" si="31"/>
        <v>0.11853785563520793</v>
      </c>
      <c r="H40" s="217" t="s">
        <v>95</v>
      </c>
      <c r="I40" s="217" t="s">
        <v>95</v>
      </c>
      <c r="J40" s="170">
        <f t="shared" ref="J40:K40" si="32">IFERROR(J18/J14,"-")</f>
        <v>5.7968647632001942E-2</v>
      </c>
      <c r="K40" s="200">
        <f t="shared" si="32"/>
        <v>0.10980844254049624</v>
      </c>
      <c r="L40" s="217" t="s">
        <v>95</v>
      </c>
      <c r="M40" s="217" t="s">
        <v>95</v>
      </c>
      <c r="N40" s="171">
        <f t="shared" ref="N40" si="33">IFERROR(N18/N14,"-")</f>
        <v>8.1706458384481179E-2</v>
      </c>
    </row>
    <row r="41" spans="2:18" s="3" customFormat="1" ht="25.9" customHeight="1" x14ac:dyDescent="0.25">
      <c r="B41" s="23" t="s">
        <v>25</v>
      </c>
      <c r="C41" s="218"/>
      <c r="D41" s="218"/>
      <c r="E41" s="19" t="str">
        <f t="shared" ref="E41:G41" si="34">IF(E10="NO CUMPLE","DEBE SUBSANAR",IF(COUNTIF(E27:E40,"NO CUMPLE")&gt;=1,"NO HABILITADO","HABILITADO"))</f>
        <v>HABILITADO</v>
      </c>
      <c r="F41" s="201" t="str">
        <f t="shared" si="34"/>
        <v>HABILITADO</v>
      </c>
      <c r="G41" s="201" t="str">
        <f t="shared" si="34"/>
        <v>HABILITADO</v>
      </c>
      <c r="H41" s="220"/>
      <c r="I41" s="218"/>
      <c r="J41" s="19" t="str">
        <f t="shared" ref="J41:K41" si="35">IF(J10="NO CUMPLE","DEBE SUBSANAR",IF(COUNTIF(J27:J40,"NO CUMPLE")&gt;=1,"NO HABILITADO","HABILITADO"))</f>
        <v>HABILITADO</v>
      </c>
      <c r="K41" s="201" t="str">
        <f t="shared" si="35"/>
        <v>HABILITADO</v>
      </c>
      <c r="L41" s="218"/>
      <c r="M41" s="218"/>
      <c r="N41" s="129" t="str">
        <f t="shared" ref="N41" si="36">IF(N10="NO CUMPLE","DEBE SUBSANAR",IF(COUNTIF(N27:N40,"NO CUMPLE")&gt;=1,"NO HABILITADO","HABILITADO"))</f>
        <v>HABILITADO</v>
      </c>
      <c r="P41" s="94"/>
      <c r="Q41" s="1"/>
    </row>
    <row r="42" spans="2:18" s="3" customFormat="1" ht="15.75" x14ac:dyDescent="0.25">
      <c r="B42" s="32"/>
      <c r="C42" s="33"/>
      <c r="D42" s="33"/>
      <c r="E42" s="33"/>
      <c r="F42" s="33"/>
      <c r="G42" s="33"/>
      <c r="H42" s="33"/>
      <c r="I42" s="33"/>
      <c r="J42" s="33"/>
      <c r="K42" s="33"/>
      <c r="L42" s="33"/>
      <c r="M42" s="33"/>
      <c r="N42" s="98"/>
      <c r="P42" s="94" t="s">
        <v>79</v>
      </c>
      <c r="Q42" s="1"/>
    </row>
    <row r="43" spans="2:18" s="3" customFormat="1" ht="21" customHeight="1" x14ac:dyDescent="0.25">
      <c r="B43" s="159" t="s">
        <v>26</v>
      </c>
      <c r="C43" s="71"/>
      <c r="D43" s="71"/>
      <c r="E43" s="71"/>
      <c r="F43" s="71"/>
      <c r="G43" s="71"/>
      <c r="H43" s="71"/>
      <c r="I43" s="71"/>
      <c r="J43" s="71"/>
      <c r="K43" s="71"/>
      <c r="L43" s="71"/>
      <c r="M43" s="71"/>
      <c r="N43" s="72"/>
      <c r="P43" s="3" t="s">
        <v>76</v>
      </c>
      <c r="Q43" s="1"/>
    </row>
    <row r="44" spans="2:18" s="3" customFormat="1" ht="21" customHeight="1" x14ac:dyDescent="0.25">
      <c r="B44" s="160" t="s">
        <v>61</v>
      </c>
      <c r="C44" s="73"/>
      <c r="D44" s="73"/>
      <c r="E44" s="73"/>
      <c r="F44" s="73"/>
      <c r="G44" s="73"/>
      <c r="H44" s="73"/>
      <c r="I44" s="73"/>
      <c r="J44" s="73"/>
      <c r="K44" s="73"/>
      <c r="L44" s="73"/>
      <c r="M44" s="73"/>
      <c r="N44" s="74"/>
      <c r="Q44" s="1"/>
    </row>
    <row r="45" spans="2:18" s="3" customFormat="1" ht="15.75" x14ac:dyDescent="0.25">
      <c r="B45" s="20"/>
      <c r="C45" s="34"/>
      <c r="D45" s="34"/>
      <c r="E45" s="34"/>
      <c r="F45" s="34"/>
      <c r="G45" s="34"/>
      <c r="H45" s="34"/>
      <c r="I45" s="34"/>
      <c r="J45" s="34"/>
      <c r="K45" s="34"/>
      <c r="L45" s="34"/>
      <c r="M45" s="34"/>
      <c r="N45" s="21"/>
      <c r="Q45" s="1"/>
    </row>
    <row r="46" spans="2:18" s="3" customFormat="1" ht="15.75" x14ac:dyDescent="0.25">
      <c r="B46" s="45" t="str">
        <f>B71</f>
        <v>Fecha de cierre del proceso:</v>
      </c>
      <c r="C46" s="34"/>
      <c r="D46" s="34"/>
      <c r="E46" s="34"/>
      <c r="F46" s="34"/>
      <c r="G46" s="34"/>
      <c r="H46" s="34"/>
      <c r="I46" s="34"/>
      <c r="J46" s="34"/>
      <c r="K46" s="34"/>
      <c r="L46" s="34"/>
      <c r="M46" s="34"/>
      <c r="N46" s="21"/>
      <c r="Q46" s="1"/>
    </row>
    <row r="47" spans="2:18" s="3" customFormat="1" ht="15.75" x14ac:dyDescent="0.25">
      <c r="B47" s="59">
        <f>C71</f>
        <v>46006</v>
      </c>
      <c r="C47" s="34"/>
      <c r="D47" s="34"/>
      <c r="E47" s="34"/>
      <c r="F47" s="34"/>
      <c r="G47" s="34"/>
      <c r="H47" s="34"/>
      <c r="I47" s="34"/>
      <c r="J47" s="34"/>
      <c r="K47" s="34"/>
      <c r="L47" s="34"/>
      <c r="M47" s="34"/>
      <c r="N47" s="21"/>
      <c r="Q47" s="1"/>
    </row>
    <row r="48" spans="2:18" s="3" customFormat="1" ht="15.75" x14ac:dyDescent="0.25">
      <c r="B48" s="46"/>
      <c r="N48" s="111"/>
      <c r="Q48" s="1"/>
    </row>
    <row r="49" spans="1:17" s="3" customFormat="1" ht="15.75" x14ac:dyDescent="0.25">
      <c r="B49" s="79" t="s">
        <v>27</v>
      </c>
      <c r="C49" s="64"/>
      <c r="D49" s="64"/>
      <c r="E49" s="64"/>
      <c r="F49" s="64"/>
      <c r="G49" s="64"/>
      <c r="H49" s="64"/>
      <c r="I49" s="64"/>
      <c r="J49" s="64"/>
      <c r="K49" s="64"/>
      <c r="L49" s="64"/>
      <c r="M49" s="64"/>
      <c r="N49" s="112"/>
      <c r="Q49" s="1"/>
    </row>
    <row r="50" spans="1:17" s="3" customFormat="1" ht="15.75" x14ac:dyDescent="0.25">
      <c r="A50" s="5"/>
      <c r="B50" s="58">
        <f>C65</f>
        <v>46008</v>
      </c>
      <c r="C50" s="65"/>
      <c r="D50" s="65"/>
      <c r="E50" s="65"/>
      <c r="F50" s="65"/>
      <c r="G50" s="65"/>
      <c r="H50" s="65"/>
      <c r="I50" s="65"/>
      <c r="J50" s="65"/>
      <c r="K50" s="65"/>
      <c r="L50" s="65"/>
      <c r="M50" s="65"/>
      <c r="N50" s="113"/>
      <c r="Q50" s="1"/>
    </row>
    <row r="51" spans="1:17" s="3" customFormat="1" ht="15.75" x14ac:dyDescent="0.25">
      <c r="A51" s="5"/>
      <c r="B51" s="58"/>
      <c r="C51" s="120"/>
      <c r="D51" s="120" t="s">
        <v>28</v>
      </c>
      <c r="F51" s="120"/>
      <c r="G51" s="120"/>
      <c r="H51" s="120"/>
      <c r="J51" s="120"/>
      <c r="K51" s="120"/>
      <c r="L51" s="120"/>
      <c r="M51" s="120"/>
      <c r="N51" s="113"/>
      <c r="Q51" s="1"/>
    </row>
    <row r="52" spans="1:17" ht="15.75" x14ac:dyDescent="0.25">
      <c r="A52" s="6"/>
      <c r="B52" s="79" t="s">
        <v>29</v>
      </c>
      <c r="C52" s="130"/>
      <c r="D52" s="65" t="s">
        <v>66</v>
      </c>
      <c r="F52" s="65"/>
      <c r="G52" s="65"/>
      <c r="H52" s="65"/>
      <c r="J52" s="65"/>
      <c r="K52" s="65"/>
      <c r="L52" s="65"/>
      <c r="M52" s="65"/>
      <c r="N52" s="114"/>
    </row>
    <row r="53" spans="1:17" ht="15.75" x14ac:dyDescent="0.25">
      <c r="A53" s="6"/>
      <c r="B53" s="58">
        <f>'1. Oferentes 1 a 8'!B53</f>
        <v>46020</v>
      </c>
      <c r="C53" s="130"/>
      <c r="D53" s="65" t="s">
        <v>30</v>
      </c>
      <c r="F53" s="65"/>
      <c r="G53" s="65"/>
      <c r="H53" s="65"/>
      <c r="J53" s="65"/>
      <c r="K53" s="65"/>
      <c r="L53" s="65"/>
      <c r="M53" s="65"/>
      <c r="N53" s="114"/>
    </row>
    <row r="54" spans="1:17" ht="15.75" x14ac:dyDescent="0.25">
      <c r="A54" s="6"/>
      <c r="B54" s="58"/>
      <c r="C54" s="57"/>
      <c r="D54" s="57"/>
      <c r="E54" s="57"/>
      <c r="F54" s="57"/>
      <c r="G54" s="57"/>
      <c r="H54" s="57"/>
      <c r="I54" s="57"/>
      <c r="J54" s="57"/>
      <c r="K54" s="57"/>
      <c r="L54" s="57"/>
      <c r="M54" s="57"/>
      <c r="N54" s="114"/>
    </row>
    <row r="55" spans="1:17" ht="15.75" x14ac:dyDescent="0.25">
      <c r="A55" s="6"/>
      <c r="B55" s="119" t="str">
        <f>"NOTA: La fecha de corte de la información financiera registrada en el RUP debe ser 31/12/2024, de acuerdo a lo establecido en el pliego definitivo de condiciones del proceso "&amp;P23&amp;","</f>
        <v>NOTA: La fecha de corte de la información financiera registrada en el RUP debe ser 31/12/2024, de acuerdo a lo establecido en el pliego definitivo de condiciones del proceso FDLU-CMA-027-2025 (143212),</v>
      </c>
      <c r="C55" s="69"/>
      <c r="D55" s="69"/>
      <c r="E55" s="69"/>
      <c r="F55" s="69"/>
      <c r="G55" s="69"/>
      <c r="H55" s="69"/>
      <c r="I55" s="69"/>
      <c r="J55" s="69"/>
      <c r="K55" s="69"/>
      <c r="L55" s="69"/>
      <c r="M55" s="69"/>
      <c r="N55" s="115"/>
    </row>
    <row r="56" spans="1:17" ht="15.75" x14ac:dyDescent="0.25">
      <c r="A56" s="6"/>
      <c r="B56" s="75" t="str">
        <f ca="1">'Consolidado 1 a 9'!J58</f>
        <v>de las (46) empresas evaluadas, (45) empresas están habilitadas.</v>
      </c>
      <c r="C56" s="57"/>
      <c r="D56" s="57"/>
      <c r="E56" s="57"/>
      <c r="F56" s="57"/>
      <c r="G56" s="57"/>
      <c r="H56" s="57"/>
      <c r="I56" s="57"/>
      <c r="J56" s="57"/>
      <c r="K56" s="57"/>
      <c r="L56" s="57"/>
      <c r="M56" s="57"/>
      <c r="N56" s="114"/>
    </row>
    <row r="57" spans="1:17" ht="16.5" thickBot="1" x14ac:dyDescent="0.3">
      <c r="B57" s="89"/>
      <c r="C57" s="76"/>
      <c r="D57" s="76"/>
      <c r="E57" s="76"/>
      <c r="F57" s="76"/>
      <c r="G57" s="76"/>
      <c r="H57" s="76"/>
      <c r="I57" s="76"/>
      <c r="J57" s="76"/>
      <c r="K57" s="76"/>
      <c r="L57" s="76"/>
      <c r="M57" s="76"/>
      <c r="N57" s="77"/>
    </row>
    <row r="59" spans="1:17" x14ac:dyDescent="0.25">
      <c r="B59" s="7"/>
      <c r="C59" s="7"/>
      <c r="D59" s="7"/>
      <c r="E59" s="7"/>
      <c r="F59" s="7"/>
      <c r="G59" s="7"/>
      <c r="H59" s="7"/>
      <c r="I59" s="7"/>
      <c r="J59" s="7"/>
      <c r="K59" s="7"/>
      <c r="L59" s="7"/>
      <c r="M59" s="7"/>
      <c r="N59" s="7"/>
    </row>
    <row r="63" spans="1:17" x14ac:dyDescent="0.25">
      <c r="B63" s="47" t="s">
        <v>31</v>
      </c>
      <c r="C63" s="48"/>
      <c r="D63" s="48"/>
      <c r="E63" s="48"/>
      <c r="F63" s="48"/>
      <c r="G63" s="48"/>
      <c r="H63" s="48"/>
      <c r="I63" s="48"/>
      <c r="J63" s="48"/>
      <c r="K63" s="48"/>
      <c r="L63" s="48"/>
      <c r="M63" s="48"/>
      <c r="N63" s="49"/>
    </row>
    <row r="64" spans="1:17" x14ac:dyDescent="0.25">
      <c r="B64" s="50"/>
      <c r="N64" s="51"/>
    </row>
    <row r="65" spans="2:14" x14ac:dyDescent="0.25">
      <c r="B65" s="50" t="s">
        <v>32</v>
      </c>
      <c r="C65" s="151">
        <v>46008</v>
      </c>
      <c r="E65" s="68"/>
      <c r="F65" s="68"/>
      <c r="G65" s="68"/>
      <c r="H65" s="68"/>
      <c r="I65" s="68"/>
      <c r="J65" s="68"/>
      <c r="K65" s="68"/>
      <c r="L65" s="68"/>
      <c r="M65" s="68"/>
      <c r="N65" s="88"/>
    </row>
    <row r="66" spans="2:14" x14ac:dyDescent="0.25">
      <c r="B66" s="50"/>
      <c r="N66" s="51"/>
    </row>
    <row r="67" spans="2:14" x14ac:dyDescent="0.25">
      <c r="B67" s="52"/>
      <c r="C67" s="53" t="str">
        <f t="shared" ref="C67:N67" si="37">C8</f>
        <v>A</v>
      </c>
      <c r="D67" s="53" t="str">
        <f t="shared" si="37"/>
        <v>B</v>
      </c>
      <c r="E67" s="53">
        <f t="shared" si="37"/>
        <v>28</v>
      </c>
      <c r="F67" s="53">
        <f t="shared" si="37"/>
        <v>29</v>
      </c>
      <c r="G67" s="53">
        <f t="shared" si="37"/>
        <v>30</v>
      </c>
      <c r="H67" s="53" t="str">
        <f t="shared" si="37"/>
        <v>A</v>
      </c>
      <c r="I67" s="53" t="str">
        <f t="shared" si="37"/>
        <v>B</v>
      </c>
      <c r="J67" s="53">
        <f t="shared" si="37"/>
        <v>31</v>
      </c>
      <c r="K67" s="53">
        <f t="shared" si="37"/>
        <v>32</v>
      </c>
      <c r="L67" s="53" t="str">
        <f t="shared" si="37"/>
        <v>A</v>
      </c>
      <c r="M67" s="53" t="str">
        <f t="shared" si="37"/>
        <v>B</v>
      </c>
      <c r="N67" s="61">
        <f t="shared" si="37"/>
        <v>33</v>
      </c>
    </row>
    <row r="68" spans="2:14" x14ac:dyDescent="0.25">
      <c r="B68" s="54" t="s">
        <v>33</v>
      </c>
      <c r="C68" s="55">
        <v>46006</v>
      </c>
      <c r="D68" s="55">
        <v>45982</v>
      </c>
      <c r="E68" s="55"/>
      <c r="F68" s="55">
        <v>45996</v>
      </c>
      <c r="G68" s="55">
        <v>46000</v>
      </c>
      <c r="H68" s="55">
        <v>45988</v>
      </c>
      <c r="I68" s="55">
        <v>46001</v>
      </c>
      <c r="J68" s="55"/>
      <c r="K68" s="55">
        <v>46006</v>
      </c>
      <c r="L68" s="55">
        <v>46008</v>
      </c>
      <c r="M68" s="55">
        <v>46001</v>
      </c>
      <c r="N68" s="62"/>
    </row>
    <row r="69" spans="2:14" x14ac:dyDescent="0.25">
      <c r="B69" s="54" t="s">
        <v>34</v>
      </c>
      <c r="C69" s="55"/>
      <c r="D69" s="55"/>
      <c r="E69" s="55"/>
      <c r="F69" s="55"/>
      <c r="G69" s="55"/>
      <c r="H69" s="55"/>
      <c r="I69" s="55"/>
      <c r="J69" s="55"/>
      <c r="K69" s="55"/>
      <c r="L69" s="55"/>
      <c r="M69" s="55"/>
      <c r="N69" s="62"/>
    </row>
    <row r="70" spans="2:14" x14ac:dyDescent="0.25">
      <c r="B70" s="50"/>
      <c r="N70" s="51"/>
    </row>
    <row r="71" spans="2:14" x14ac:dyDescent="0.25">
      <c r="B71" s="50" t="s">
        <v>35</v>
      </c>
      <c r="C71" s="151">
        <v>46006</v>
      </c>
      <c r="D71" s="68">
        <f t="shared" ref="D71:I71" si="38">C71</f>
        <v>46006</v>
      </c>
      <c r="E71" s="68"/>
      <c r="F71" s="68">
        <f>D71</f>
        <v>46006</v>
      </c>
      <c r="G71" s="68">
        <f t="shared" si="38"/>
        <v>46006</v>
      </c>
      <c r="H71" s="68">
        <f>G71</f>
        <v>46006</v>
      </c>
      <c r="I71" s="68">
        <f t="shared" si="38"/>
        <v>46006</v>
      </c>
      <c r="J71" s="68"/>
      <c r="K71" s="68">
        <f>I71</f>
        <v>46006</v>
      </c>
      <c r="L71" s="68">
        <f>K71</f>
        <v>46006</v>
      </c>
      <c r="M71" s="68">
        <f>L71</f>
        <v>46006</v>
      </c>
      <c r="N71" s="88"/>
    </row>
    <row r="72" spans="2:14" x14ac:dyDescent="0.25">
      <c r="B72" s="54" t="s">
        <v>36</v>
      </c>
      <c r="C72" s="70">
        <f t="shared" ref="C72:I72" si="39">C71-C68</f>
        <v>0</v>
      </c>
      <c r="D72" s="70">
        <f t="shared" si="39"/>
        <v>24</v>
      </c>
      <c r="E72" s="70"/>
      <c r="F72" s="70">
        <f t="shared" si="39"/>
        <v>10</v>
      </c>
      <c r="G72" s="70">
        <f t="shared" si="39"/>
        <v>6</v>
      </c>
      <c r="H72" s="70">
        <f t="shared" si="39"/>
        <v>18</v>
      </c>
      <c r="I72" s="70">
        <f t="shared" si="39"/>
        <v>5</v>
      </c>
      <c r="J72" s="70"/>
      <c r="K72" s="70">
        <f t="shared" ref="K72:M72" si="40">K71-K68</f>
        <v>0</v>
      </c>
      <c r="L72" s="70">
        <f t="shared" si="40"/>
        <v>-2</v>
      </c>
      <c r="M72" s="70">
        <f t="shared" si="40"/>
        <v>5</v>
      </c>
      <c r="N72" s="116"/>
    </row>
    <row r="73" spans="2:14" x14ac:dyDescent="0.25">
      <c r="B73" s="78">
        <v>30</v>
      </c>
      <c r="C73" s="56"/>
      <c r="D73" s="56"/>
      <c r="E73" s="56"/>
      <c r="F73" s="56"/>
      <c r="G73" s="56"/>
      <c r="H73" s="56"/>
      <c r="I73" s="56"/>
      <c r="J73" s="56"/>
      <c r="K73" s="56"/>
      <c r="L73" s="56"/>
      <c r="M73" s="56"/>
      <c r="N73" s="67"/>
    </row>
    <row r="74" spans="2:14" x14ac:dyDescent="0.25">
      <c r="B74" s="153" t="s">
        <v>37</v>
      </c>
      <c r="C74" s="127" t="s">
        <v>77</v>
      </c>
      <c r="D74" s="127" t="s">
        <v>77</v>
      </c>
      <c r="E74" s="127" t="s">
        <v>77</v>
      </c>
      <c r="F74" s="127" t="s">
        <v>77</v>
      </c>
      <c r="G74" s="127" t="s">
        <v>77</v>
      </c>
      <c r="H74" s="127" t="s">
        <v>77</v>
      </c>
      <c r="I74" s="127" t="s">
        <v>77</v>
      </c>
      <c r="J74" s="127" t="s">
        <v>77</v>
      </c>
      <c r="K74" s="127" t="s">
        <v>77</v>
      </c>
      <c r="L74" s="127" t="s">
        <v>77</v>
      </c>
      <c r="M74" s="127" t="s">
        <v>77</v>
      </c>
      <c r="N74" s="128" t="s">
        <v>77</v>
      </c>
    </row>
    <row r="75" spans="2:14" ht="15.75" customHeight="1" x14ac:dyDescent="0.25">
      <c r="B75" s="152"/>
      <c r="C75" s="100"/>
      <c r="D75" s="100"/>
      <c r="E75" s="100"/>
      <c r="F75" s="100"/>
      <c r="G75" s="100"/>
      <c r="H75" s="100"/>
      <c r="I75" s="100"/>
      <c r="J75" s="100"/>
      <c r="K75" s="100"/>
      <c r="L75" s="100"/>
      <c r="M75" s="100"/>
      <c r="N75" s="97"/>
    </row>
    <row r="76" spans="2:14" x14ac:dyDescent="0.25">
      <c r="B76" s="173"/>
      <c r="C76" s="173"/>
      <c r="D76" s="173"/>
      <c r="E76" s="173"/>
      <c r="F76" s="173"/>
      <c r="G76" s="173"/>
      <c r="H76" s="173"/>
      <c r="I76" s="173"/>
      <c r="J76" s="173"/>
      <c r="K76" s="173"/>
      <c r="L76" s="173"/>
      <c r="M76" s="173"/>
      <c r="N76" s="173"/>
    </row>
    <row r="77" spans="2:14" x14ac:dyDescent="0.25">
      <c r="B77" s="173"/>
      <c r="C77" s="173"/>
      <c r="D77" s="173"/>
      <c r="E77" s="173"/>
      <c r="F77" s="173"/>
      <c r="G77" s="173"/>
      <c r="H77" s="173"/>
      <c r="I77" s="173"/>
      <c r="J77" s="173"/>
      <c r="K77" s="173"/>
      <c r="L77" s="173"/>
      <c r="M77" s="173"/>
      <c r="N77" s="174"/>
    </row>
    <row r="78" spans="2:14" x14ac:dyDescent="0.25">
      <c r="B78" s="173"/>
      <c r="C78" s="173"/>
      <c r="D78" s="173"/>
      <c r="E78" s="173"/>
      <c r="F78" s="173"/>
      <c r="G78" s="173"/>
      <c r="H78" s="173"/>
      <c r="I78" s="173"/>
      <c r="J78" s="173"/>
      <c r="K78" s="173"/>
      <c r="L78" s="173"/>
      <c r="M78" s="173"/>
      <c r="N78" s="173"/>
    </row>
    <row r="79" spans="2:14" x14ac:dyDescent="0.25">
      <c r="B79" s="173"/>
      <c r="C79" s="173"/>
      <c r="D79" s="173"/>
      <c r="E79" s="173"/>
      <c r="F79" s="173"/>
      <c r="G79" s="173"/>
      <c r="H79" s="173"/>
      <c r="I79" s="173"/>
      <c r="J79" s="173"/>
      <c r="K79" s="173"/>
      <c r="L79" s="173"/>
      <c r="M79" s="173"/>
      <c r="N79" s="173"/>
    </row>
    <row r="80" spans="2:14" x14ac:dyDescent="0.25">
      <c r="B80" s="173"/>
      <c r="C80" s="173"/>
      <c r="D80" s="173"/>
      <c r="E80" s="173"/>
      <c r="F80" s="173"/>
      <c r="G80" s="173"/>
      <c r="H80" s="173"/>
      <c r="I80" s="173"/>
      <c r="J80" s="173"/>
      <c r="K80" s="173"/>
      <c r="L80" s="173"/>
      <c r="M80" s="173"/>
      <c r="N80" s="173"/>
    </row>
    <row r="81" spans="2:14" x14ac:dyDescent="0.25">
      <c r="B81" s="173"/>
      <c r="C81" s="173"/>
      <c r="D81" s="173"/>
      <c r="E81" s="173"/>
      <c r="F81" s="173"/>
      <c r="G81" s="173"/>
      <c r="H81" s="173"/>
      <c r="I81" s="173"/>
      <c r="J81" s="173"/>
      <c r="K81" s="173"/>
      <c r="L81" s="173"/>
      <c r="M81" s="173"/>
      <c r="N81" s="173"/>
    </row>
    <row r="82" spans="2:14" x14ac:dyDescent="0.25">
      <c r="B82" s="173"/>
      <c r="C82" s="173"/>
      <c r="D82" s="173"/>
      <c r="E82" s="173"/>
      <c r="F82" s="173"/>
      <c r="G82" s="173"/>
      <c r="H82" s="173"/>
      <c r="I82" s="173"/>
      <c r="J82" s="173"/>
      <c r="K82" s="173"/>
      <c r="L82" s="173"/>
      <c r="M82" s="173"/>
      <c r="N82" s="173"/>
    </row>
    <row r="83" spans="2:14" x14ac:dyDescent="0.25">
      <c r="B83" s="173"/>
      <c r="C83" s="175"/>
      <c r="D83" s="175"/>
      <c r="E83" s="175"/>
      <c r="F83" s="175"/>
      <c r="G83" s="175"/>
      <c r="H83" s="175"/>
      <c r="I83" s="175"/>
      <c r="J83" s="175"/>
      <c r="K83" s="175"/>
      <c r="L83" s="175"/>
      <c r="M83" s="175"/>
      <c r="N83" s="173"/>
    </row>
    <row r="84" spans="2:14" x14ac:dyDescent="0.25">
      <c r="B84" s="173"/>
      <c r="C84" s="175"/>
      <c r="D84" s="175"/>
      <c r="E84" s="175"/>
      <c r="F84" s="175"/>
      <c r="G84" s="175"/>
      <c r="H84" s="175"/>
      <c r="I84" s="175"/>
      <c r="J84" s="175"/>
      <c r="K84" s="175"/>
      <c r="L84" s="175"/>
      <c r="M84" s="175"/>
      <c r="N84" s="173"/>
    </row>
    <row r="85" spans="2:14" x14ac:dyDescent="0.25">
      <c r="B85" s="173"/>
      <c r="C85" s="175"/>
      <c r="D85" s="175"/>
      <c r="E85" s="175"/>
      <c r="F85" s="175"/>
      <c r="G85" s="175"/>
      <c r="H85" s="175"/>
      <c r="I85" s="175"/>
      <c r="J85" s="175"/>
      <c r="K85" s="175"/>
      <c r="L85" s="175"/>
      <c r="M85" s="175"/>
      <c r="N85" s="173"/>
    </row>
    <row r="86" spans="2:14" x14ac:dyDescent="0.25">
      <c r="B86" s="173"/>
      <c r="C86" s="175"/>
      <c r="D86" s="175"/>
      <c r="E86" s="175"/>
      <c r="F86" s="175"/>
      <c r="G86" s="175"/>
      <c r="H86" s="175"/>
      <c r="I86" s="175"/>
      <c r="J86" s="175"/>
      <c r="K86" s="175"/>
      <c r="L86" s="175"/>
      <c r="M86" s="175"/>
      <c r="N86" s="173"/>
    </row>
    <row r="87" spans="2:14" x14ac:dyDescent="0.25">
      <c r="B87" s="173"/>
      <c r="C87" s="175"/>
      <c r="D87" s="175"/>
      <c r="E87" s="175"/>
      <c r="F87" s="175"/>
      <c r="G87" s="175"/>
      <c r="H87" s="175"/>
      <c r="I87" s="175"/>
      <c r="J87" s="175"/>
      <c r="K87" s="175"/>
      <c r="L87" s="175"/>
      <c r="M87" s="175"/>
      <c r="N87" s="173"/>
    </row>
    <row r="88" spans="2:14" x14ac:dyDescent="0.25">
      <c r="C88" s="80"/>
      <c r="D88" s="80"/>
      <c r="E88" s="80"/>
      <c r="F88" s="80"/>
      <c r="G88" s="80"/>
      <c r="H88" s="80"/>
      <c r="I88" s="80"/>
      <c r="J88" s="80"/>
      <c r="K88" s="80"/>
      <c r="L88" s="80"/>
      <c r="M88" s="80"/>
    </row>
    <row r="89" spans="2:14" x14ac:dyDescent="0.25">
      <c r="C89" s="80"/>
      <c r="D89" s="80"/>
      <c r="E89" s="80"/>
      <c r="F89" s="80"/>
      <c r="G89" s="80"/>
      <c r="H89" s="80"/>
      <c r="I89" s="80"/>
      <c r="J89" s="80"/>
      <c r="K89" s="80"/>
      <c r="L89" s="80"/>
      <c r="M89" s="80"/>
    </row>
    <row r="90" spans="2:14" x14ac:dyDescent="0.25">
      <c r="C90" s="80"/>
      <c r="D90" s="80"/>
      <c r="E90" s="80"/>
      <c r="F90" s="80"/>
      <c r="G90" s="80"/>
      <c r="H90" s="80"/>
      <c r="I90" s="80"/>
      <c r="J90" s="80"/>
      <c r="K90" s="80"/>
      <c r="L90" s="80"/>
      <c r="M90" s="80"/>
    </row>
    <row r="91" spans="2:14" x14ac:dyDescent="0.25">
      <c r="C91" s="80"/>
      <c r="D91" s="80"/>
      <c r="E91" s="80"/>
      <c r="F91" s="80"/>
      <c r="G91" s="80"/>
      <c r="H91" s="80"/>
      <c r="I91" s="80"/>
      <c r="J91" s="80"/>
      <c r="K91" s="80"/>
      <c r="L91" s="80"/>
      <c r="M91" s="80"/>
    </row>
    <row r="92" spans="2:14" x14ac:dyDescent="0.25">
      <c r="C92" s="80"/>
      <c r="D92" s="80"/>
      <c r="E92" s="80"/>
      <c r="F92" s="80"/>
      <c r="G92" s="80"/>
      <c r="H92" s="80"/>
      <c r="I92" s="80"/>
      <c r="J92" s="80"/>
      <c r="K92" s="80"/>
      <c r="L92" s="80"/>
      <c r="M92" s="80"/>
    </row>
    <row r="93" spans="2:14" x14ac:dyDescent="0.25">
      <c r="C93" s="80"/>
      <c r="D93" s="80"/>
      <c r="E93" s="80"/>
      <c r="F93" s="80"/>
      <c r="G93" s="80"/>
      <c r="H93" s="80"/>
      <c r="I93" s="80"/>
      <c r="J93" s="80"/>
      <c r="K93" s="80"/>
      <c r="L93" s="80"/>
      <c r="M93" s="80"/>
    </row>
    <row r="94" spans="2:14" x14ac:dyDescent="0.25">
      <c r="C94" s="80"/>
      <c r="D94" s="80"/>
      <c r="E94" s="80"/>
      <c r="F94" s="80"/>
      <c r="G94" s="80"/>
      <c r="H94" s="80"/>
      <c r="I94" s="80"/>
      <c r="J94" s="80"/>
      <c r="K94" s="80"/>
      <c r="L94" s="80"/>
      <c r="M94" s="80"/>
    </row>
    <row r="95" spans="2:14" x14ac:dyDescent="0.25">
      <c r="C95" s="80"/>
      <c r="D95" s="80"/>
      <c r="E95" s="80"/>
      <c r="F95" s="80"/>
      <c r="G95" s="80"/>
      <c r="H95" s="80"/>
      <c r="I95" s="80"/>
      <c r="J95" s="80"/>
      <c r="K95" s="80"/>
      <c r="L95" s="80"/>
      <c r="M95" s="80"/>
    </row>
    <row r="96" spans="2:14" x14ac:dyDescent="0.25">
      <c r="C96" s="80"/>
      <c r="D96" s="80"/>
      <c r="E96" s="80"/>
      <c r="F96" s="80"/>
      <c r="G96" s="80"/>
      <c r="H96" s="80"/>
      <c r="I96" s="80"/>
      <c r="J96" s="80"/>
      <c r="K96" s="80"/>
      <c r="L96" s="80"/>
      <c r="M96" s="80"/>
    </row>
    <row r="97" spans="3:13" x14ac:dyDescent="0.25">
      <c r="C97" s="80"/>
      <c r="D97" s="80"/>
      <c r="E97" s="80"/>
      <c r="F97" s="80"/>
      <c r="G97" s="80"/>
      <c r="H97" s="80"/>
      <c r="I97" s="80"/>
      <c r="J97" s="80"/>
      <c r="K97" s="80"/>
      <c r="L97" s="80"/>
      <c r="M97" s="80"/>
    </row>
    <row r="98" spans="3:13" x14ac:dyDescent="0.25">
      <c r="C98" s="80"/>
      <c r="D98" s="80"/>
      <c r="E98" s="80"/>
      <c r="F98" s="80"/>
      <c r="G98" s="80"/>
      <c r="H98" s="80"/>
      <c r="I98" s="80"/>
      <c r="J98" s="80"/>
      <c r="K98" s="80"/>
      <c r="L98" s="80"/>
      <c r="M98" s="80"/>
    </row>
    <row r="99" spans="3:13" x14ac:dyDescent="0.25">
      <c r="C99" s="80"/>
      <c r="D99" s="80"/>
      <c r="E99" s="80"/>
      <c r="F99" s="80"/>
      <c r="G99" s="80"/>
      <c r="H99" s="80"/>
      <c r="I99" s="80"/>
      <c r="J99" s="80"/>
      <c r="K99" s="80"/>
      <c r="L99" s="80"/>
      <c r="M99" s="80"/>
    </row>
    <row r="100" spans="3:13" x14ac:dyDescent="0.25">
      <c r="C100" s="80"/>
      <c r="D100" s="80"/>
      <c r="E100" s="80"/>
      <c r="F100" s="80"/>
      <c r="G100" s="80"/>
      <c r="H100" s="80"/>
      <c r="I100" s="80"/>
      <c r="J100" s="80"/>
      <c r="K100" s="80"/>
      <c r="L100" s="80"/>
      <c r="M100" s="80"/>
    </row>
    <row r="101" spans="3:13" x14ac:dyDescent="0.25">
      <c r="C101" s="80"/>
      <c r="D101" s="80"/>
      <c r="E101" s="80"/>
      <c r="F101" s="80"/>
      <c r="G101" s="80"/>
      <c r="H101" s="80"/>
      <c r="I101" s="80"/>
      <c r="J101" s="80"/>
      <c r="K101" s="80"/>
      <c r="L101" s="80"/>
      <c r="M101" s="80"/>
    </row>
    <row r="102" spans="3:13" x14ac:dyDescent="0.25">
      <c r="C102" s="80"/>
      <c r="D102" s="80"/>
      <c r="E102" s="80"/>
      <c r="F102" s="80"/>
      <c r="G102" s="80"/>
      <c r="H102" s="80"/>
      <c r="I102" s="80"/>
      <c r="J102" s="80"/>
      <c r="K102" s="80"/>
      <c r="L102" s="80"/>
      <c r="M102" s="80"/>
    </row>
    <row r="103" spans="3:13" x14ac:dyDescent="0.25">
      <c r="C103" s="80"/>
      <c r="D103" s="80"/>
      <c r="E103" s="80"/>
      <c r="F103" s="80"/>
      <c r="G103" s="80"/>
      <c r="H103" s="80"/>
      <c r="I103" s="80"/>
      <c r="J103" s="80"/>
      <c r="K103" s="80"/>
      <c r="L103" s="80"/>
      <c r="M103" s="80"/>
    </row>
    <row r="104" spans="3:13" x14ac:dyDescent="0.25">
      <c r="C104" s="80"/>
      <c r="D104" s="80"/>
      <c r="E104" s="80"/>
      <c r="F104" s="80"/>
      <c r="G104" s="80"/>
      <c r="H104" s="80"/>
      <c r="I104" s="80"/>
      <c r="J104" s="80"/>
      <c r="K104" s="80"/>
      <c r="L104" s="80"/>
      <c r="M104" s="80"/>
    </row>
    <row r="105" spans="3:13" x14ac:dyDescent="0.25">
      <c r="C105" s="80"/>
      <c r="D105" s="80"/>
      <c r="E105" s="80"/>
      <c r="F105" s="80"/>
      <c r="G105" s="80"/>
      <c r="H105" s="80"/>
      <c r="I105" s="80"/>
      <c r="J105" s="80"/>
      <c r="K105" s="80"/>
      <c r="L105" s="80"/>
      <c r="M105" s="80"/>
    </row>
    <row r="106" spans="3:13" x14ac:dyDescent="0.25">
      <c r="C106" s="80"/>
      <c r="D106" s="80"/>
      <c r="E106" s="80"/>
      <c r="F106" s="80"/>
      <c r="G106" s="80"/>
      <c r="H106" s="80"/>
      <c r="I106" s="80"/>
      <c r="J106" s="80"/>
      <c r="K106" s="80"/>
      <c r="L106" s="80"/>
      <c r="M106" s="80"/>
    </row>
    <row r="107" spans="3:13" x14ac:dyDescent="0.25">
      <c r="C107" s="80"/>
      <c r="D107" s="80"/>
      <c r="E107" s="80"/>
      <c r="F107" s="80"/>
      <c r="G107" s="80"/>
      <c r="H107" s="80"/>
      <c r="I107" s="80"/>
      <c r="J107" s="80"/>
      <c r="K107" s="80"/>
      <c r="L107" s="80"/>
      <c r="M107" s="80"/>
    </row>
    <row r="108" spans="3:13" x14ac:dyDescent="0.25">
      <c r="C108" s="80"/>
      <c r="D108" s="80"/>
      <c r="E108" s="80"/>
      <c r="F108" s="80"/>
      <c r="G108" s="80"/>
      <c r="H108" s="80"/>
      <c r="I108" s="80"/>
      <c r="J108" s="80"/>
      <c r="K108" s="80"/>
      <c r="L108" s="80"/>
      <c r="M108" s="80"/>
    </row>
    <row r="109" spans="3:13" x14ac:dyDescent="0.25">
      <c r="C109" s="80"/>
      <c r="D109" s="80"/>
      <c r="E109" s="80"/>
      <c r="F109" s="80"/>
      <c r="G109" s="80"/>
      <c r="H109" s="80"/>
      <c r="I109" s="80"/>
      <c r="J109" s="80"/>
      <c r="K109" s="80"/>
      <c r="L109" s="80"/>
      <c r="M109" s="80"/>
    </row>
    <row r="110" spans="3:13" x14ac:dyDescent="0.25">
      <c r="C110" s="80"/>
      <c r="D110" s="80"/>
      <c r="E110" s="80"/>
      <c r="F110" s="80"/>
      <c r="G110" s="80"/>
      <c r="H110" s="80"/>
      <c r="I110" s="80"/>
      <c r="J110" s="80"/>
      <c r="K110" s="80"/>
      <c r="L110" s="80"/>
      <c r="M110" s="80"/>
    </row>
    <row r="111" spans="3:13" x14ac:dyDescent="0.25">
      <c r="C111" s="80"/>
      <c r="D111" s="80"/>
      <c r="E111" s="80"/>
      <c r="F111" s="80"/>
      <c r="G111" s="80"/>
      <c r="H111" s="80"/>
      <c r="I111" s="80"/>
      <c r="J111" s="80"/>
      <c r="K111" s="80"/>
      <c r="L111" s="80"/>
      <c r="M111" s="80"/>
    </row>
  </sheetData>
  <mergeCells count="3">
    <mergeCell ref="B1:B5"/>
    <mergeCell ref="C1:J5"/>
    <mergeCell ref="N1:N5"/>
  </mergeCells>
  <conditionalFormatting sqref="B73">
    <cfRule type="cellIs" dxfId="28" priority="9" operator="greaterThan">
      <formula>60</formula>
    </cfRule>
  </conditionalFormatting>
  <conditionalFormatting sqref="C10:N10">
    <cfRule type="cellIs" dxfId="27" priority="5" operator="equal">
      <formula>"NO CUMPLE"</formula>
    </cfRule>
  </conditionalFormatting>
  <conditionalFormatting sqref="C69:N69">
    <cfRule type="expression" dxfId="26" priority="8">
      <formula>YEAR(C69)=2022</formula>
    </cfRule>
  </conditionalFormatting>
  <conditionalFormatting sqref="C72:N72">
    <cfRule type="cellIs" dxfId="25" priority="7" operator="greaterThan">
      <formula>$B$73</formula>
    </cfRule>
  </conditionalFormatting>
  <conditionalFormatting sqref="D41:G41">
    <cfRule type="cellIs" dxfId="24" priority="3" operator="equal">
      <formula>"NO HABILITADO"</formula>
    </cfRule>
  </conditionalFormatting>
  <conditionalFormatting sqref="E41:G41 J41:K41 N41">
    <cfRule type="cellIs" dxfId="23" priority="4" operator="equal">
      <formula>"DEBE SUBSANAR"</formula>
    </cfRule>
  </conditionalFormatting>
  <conditionalFormatting sqref="I41:K41">
    <cfRule type="cellIs" dxfId="22" priority="2" operator="equal">
      <formula>"NO HABILITADO"</formula>
    </cfRule>
  </conditionalFormatting>
  <conditionalFormatting sqref="M41:N41">
    <cfRule type="cellIs" dxfId="21" priority="1" operator="equal">
      <formula>"NO HABILITADO"</formula>
    </cfRule>
  </conditionalFormatting>
  <dataValidations count="1">
    <dataValidation type="list" allowBlank="1" showInputMessage="1" showErrorMessage="1" sqref="C74:N74" xr:uid="{6580761A-AC8D-4D1C-B047-65491571ACCF}">
      <formula1>$P$21:$Q$21</formula1>
    </dataValidation>
  </dataValidations>
  <printOptions horizontalCentered="1" verticalCentered="1"/>
  <pageMargins left="0.19685039370078741" right="0.19685039370078741" top="0.15748031496062992" bottom="0.15748031496062992" header="0.31496062992125984" footer="0.31496062992125984"/>
  <pageSetup paperSize="256" scale="46" orientation="landscape" r:id="rId1"/>
  <ignoredErrors>
    <ignoredError sqref="E17 E10 J10" formula="1"/>
    <ignoredError sqref="J11:J19 N17" formula="1" formulaRange="1"/>
    <ignoredError sqref="N11:N16 N18:N19" formulaRange="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CD29D-59B2-4950-92A6-A291074932E5}">
  <sheetPr>
    <pageSetUpPr fitToPage="1"/>
  </sheetPr>
  <dimension ref="A1:T111"/>
  <sheetViews>
    <sheetView showGridLines="0" zoomScale="90" zoomScaleNormal="90" zoomScalePageLayoutView="90" workbookViewId="0"/>
  </sheetViews>
  <sheetFormatPr baseColWidth="10" defaultColWidth="18.7109375" defaultRowHeight="15" x14ac:dyDescent="0.25"/>
  <cols>
    <col min="1" max="1" width="1.42578125" style="1" customWidth="1"/>
    <col min="2" max="2" width="57.28515625" style="1" customWidth="1"/>
    <col min="3" max="16" width="29.7109375" style="1" customWidth="1"/>
    <col min="17" max="17" width="21.5703125" style="1" bestFit="1" customWidth="1"/>
    <col min="18" max="18" width="18.7109375" style="1"/>
    <col min="19" max="19" width="18.7109375" style="1" customWidth="1"/>
    <col min="20" max="16384" width="18.7109375" style="1"/>
  </cols>
  <sheetData>
    <row r="1" spans="1:19" ht="18" customHeight="1" x14ac:dyDescent="0.25">
      <c r="B1" s="222"/>
      <c r="C1" s="224" t="s">
        <v>60</v>
      </c>
      <c r="D1" s="225"/>
      <c r="E1" s="225"/>
      <c r="F1" s="225"/>
      <c r="G1" s="225"/>
      <c r="H1" s="225"/>
      <c r="I1" s="225"/>
      <c r="J1" s="225"/>
      <c r="K1" s="225"/>
      <c r="L1" s="225"/>
      <c r="M1" s="182"/>
      <c r="N1" s="182"/>
      <c r="O1" s="182"/>
      <c r="P1" s="230" t="s">
        <v>0</v>
      </c>
    </row>
    <row r="2" spans="1:19" ht="18" customHeight="1" x14ac:dyDescent="0.25">
      <c r="B2" s="223"/>
      <c r="C2" s="226"/>
      <c r="D2" s="227"/>
      <c r="E2" s="227"/>
      <c r="F2" s="227"/>
      <c r="G2" s="227"/>
      <c r="H2" s="227"/>
      <c r="I2" s="227"/>
      <c r="J2" s="227"/>
      <c r="K2" s="227"/>
      <c r="L2" s="227"/>
      <c r="M2" s="183"/>
      <c r="N2" s="183"/>
      <c r="O2" s="183"/>
      <c r="P2" s="231"/>
    </row>
    <row r="3" spans="1:19" ht="18" customHeight="1" x14ac:dyDescent="0.25">
      <c r="B3" s="223"/>
      <c r="C3" s="226"/>
      <c r="D3" s="227"/>
      <c r="E3" s="227"/>
      <c r="F3" s="227"/>
      <c r="G3" s="227"/>
      <c r="H3" s="227"/>
      <c r="I3" s="227"/>
      <c r="J3" s="227"/>
      <c r="K3" s="227"/>
      <c r="L3" s="227"/>
      <c r="M3" s="183"/>
      <c r="N3" s="183"/>
      <c r="O3" s="183"/>
      <c r="P3" s="231"/>
    </row>
    <row r="4" spans="1:19" ht="18" customHeight="1" x14ac:dyDescent="0.25">
      <c r="B4" s="223"/>
      <c r="C4" s="226"/>
      <c r="D4" s="227"/>
      <c r="E4" s="227"/>
      <c r="F4" s="227"/>
      <c r="G4" s="227"/>
      <c r="H4" s="227"/>
      <c r="I4" s="227"/>
      <c r="J4" s="227"/>
      <c r="K4" s="227"/>
      <c r="L4" s="227"/>
      <c r="M4" s="183"/>
      <c r="N4" s="183"/>
      <c r="O4" s="183"/>
      <c r="P4" s="231"/>
    </row>
    <row r="5" spans="1:19" ht="18" customHeight="1" x14ac:dyDescent="0.25">
      <c r="B5" s="223"/>
      <c r="C5" s="228"/>
      <c r="D5" s="229"/>
      <c r="E5" s="229"/>
      <c r="F5" s="229"/>
      <c r="G5" s="229"/>
      <c r="H5" s="229"/>
      <c r="I5" s="229"/>
      <c r="J5" s="229"/>
      <c r="K5" s="229"/>
      <c r="L5" s="229"/>
      <c r="M5" s="184"/>
      <c r="N5" s="184"/>
      <c r="O5" s="184"/>
      <c r="P5" s="232"/>
    </row>
    <row r="6" spans="1:19" ht="61.5" customHeight="1" x14ac:dyDescent="0.25">
      <c r="B6" s="25" t="s">
        <v>70</v>
      </c>
      <c r="C6" s="26"/>
      <c r="D6" s="26"/>
      <c r="E6" s="26"/>
      <c r="F6" s="26"/>
      <c r="G6" s="26"/>
      <c r="H6" s="26"/>
      <c r="I6" s="26"/>
      <c r="J6" s="26"/>
      <c r="K6" s="26"/>
      <c r="L6" s="26"/>
      <c r="M6" s="26"/>
      <c r="N6" s="26"/>
      <c r="O6" s="26"/>
      <c r="P6" s="27"/>
    </row>
    <row r="7" spans="1:19" ht="63" x14ac:dyDescent="0.25">
      <c r="B7" s="155" t="s">
        <v>1</v>
      </c>
      <c r="C7" s="63" t="s">
        <v>156</v>
      </c>
      <c r="D7" s="63" t="s">
        <v>158</v>
      </c>
      <c r="E7" s="63" t="s">
        <v>157</v>
      </c>
      <c r="F7" s="63" t="s">
        <v>159</v>
      </c>
      <c r="G7" s="63" t="s">
        <v>179</v>
      </c>
      <c r="H7" s="63" t="s">
        <v>180</v>
      </c>
      <c r="I7" s="63" t="s">
        <v>181</v>
      </c>
      <c r="J7" s="63" t="s">
        <v>160</v>
      </c>
      <c r="K7" s="63" t="s">
        <v>161</v>
      </c>
      <c r="L7" s="63" t="s">
        <v>162</v>
      </c>
      <c r="M7" s="208" t="s">
        <v>163</v>
      </c>
      <c r="N7" s="63" t="s">
        <v>164</v>
      </c>
      <c r="O7" s="63" t="s">
        <v>165</v>
      </c>
      <c r="P7" s="101" t="s">
        <v>166</v>
      </c>
      <c r="R7" s="43" t="s">
        <v>2</v>
      </c>
    </row>
    <row r="8" spans="1:19" s="3" customFormat="1" ht="15.75" x14ac:dyDescent="0.25">
      <c r="A8" s="2"/>
      <c r="B8" s="154" t="s">
        <v>3</v>
      </c>
      <c r="C8" s="202" t="s">
        <v>68</v>
      </c>
      <c r="D8" s="202" t="s">
        <v>69</v>
      </c>
      <c r="E8" s="202" t="s">
        <v>103</v>
      </c>
      <c r="F8" s="8">
        <f>'5. Oferentes 28 a 33'!N8+1</f>
        <v>34</v>
      </c>
      <c r="G8" s="202" t="s">
        <v>68</v>
      </c>
      <c r="H8" s="202" t="s">
        <v>69</v>
      </c>
      <c r="I8" s="8">
        <f>F8+1</f>
        <v>35</v>
      </c>
      <c r="J8" s="202" t="s">
        <v>68</v>
      </c>
      <c r="K8" s="202" t="s">
        <v>69</v>
      </c>
      <c r="L8" s="8">
        <f>I8+1</f>
        <v>36</v>
      </c>
      <c r="M8" s="209">
        <f t="shared" ref="M8" si="0">L8+1</f>
        <v>37</v>
      </c>
      <c r="N8" s="215" t="s">
        <v>68</v>
      </c>
      <c r="O8" s="202" t="s">
        <v>69</v>
      </c>
      <c r="P8" s="150">
        <f>M8+1</f>
        <v>38</v>
      </c>
      <c r="S8" s="1"/>
    </row>
    <row r="9" spans="1:19" s="3" customFormat="1" ht="31.5" x14ac:dyDescent="0.25">
      <c r="B9" s="35" t="s">
        <v>4</v>
      </c>
      <c r="C9" s="39" t="s">
        <v>5</v>
      </c>
      <c r="D9" s="39" t="s">
        <v>5</v>
      </c>
      <c r="E9" s="39" t="s">
        <v>5</v>
      </c>
      <c r="F9" s="39" t="s">
        <v>5</v>
      </c>
      <c r="G9" s="39" t="s">
        <v>5</v>
      </c>
      <c r="H9" s="39" t="s">
        <v>5</v>
      </c>
      <c r="I9" s="39" t="s">
        <v>5</v>
      </c>
      <c r="J9" s="39" t="s">
        <v>5</v>
      </c>
      <c r="K9" s="39" t="s">
        <v>5</v>
      </c>
      <c r="L9" s="39" t="s">
        <v>5</v>
      </c>
      <c r="M9" s="210" t="s">
        <v>5</v>
      </c>
      <c r="N9" s="39" t="s">
        <v>5</v>
      </c>
      <c r="O9" s="39" t="s">
        <v>5</v>
      </c>
      <c r="P9" s="102" t="s">
        <v>5</v>
      </c>
      <c r="S9" s="1"/>
    </row>
    <row r="10" spans="1:19" s="3" customFormat="1" ht="20.100000000000001" customHeight="1" x14ac:dyDescent="0.25">
      <c r="B10" s="35" t="s">
        <v>63</v>
      </c>
      <c r="C10" s="24" t="str">
        <f t="shared" ref="C10:D10" si="1">IF(C72&lt;=$B$73,"CUMPLE","NO CUMPLE")</f>
        <v>CUMPLE</v>
      </c>
      <c r="D10" s="24" t="str">
        <f t="shared" si="1"/>
        <v>CUMPLE</v>
      </c>
      <c r="E10" s="24" t="str">
        <f t="shared" ref="E10" si="2">IF(E72&lt;=$B$73,"CUMPLE","NO CUMPLE")</f>
        <v>CUMPLE</v>
      </c>
      <c r="F10" s="24" t="str">
        <f>IF(COUNTIF(C10:E10,"NO CUMPLE")&gt;=1,"NO CUMPLE","CUMPLE")</f>
        <v>CUMPLE</v>
      </c>
      <c r="G10" s="24" t="str">
        <f t="shared" ref="G10:H10" si="3">IF(G72&lt;=$B$73,"CUMPLE","NO CUMPLE")</f>
        <v>CUMPLE</v>
      </c>
      <c r="H10" s="24" t="str">
        <f t="shared" si="3"/>
        <v>CUMPLE</v>
      </c>
      <c r="I10" s="24" t="str">
        <f>IF(COUNTIF(G10:H10,"NO CUMPLE")&gt;=1,"NO CUMPLE","CUMPLE")</f>
        <v>CUMPLE</v>
      </c>
      <c r="J10" s="24" t="str">
        <f t="shared" ref="J10:K10" si="4">IF(J72&lt;=$B$73,"CUMPLE","NO CUMPLE")</f>
        <v>CUMPLE</v>
      </c>
      <c r="K10" s="24" t="str">
        <f t="shared" si="4"/>
        <v>CUMPLE</v>
      </c>
      <c r="L10" s="24" t="str">
        <f>IF(COUNTIF(J10:K10,"NO CUMPLE")&gt;=1,"NO CUMPLE","CUMPLE")</f>
        <v>CUMPLE</v>
      </c>
      <c r="M10" s="211" t="str">
        <f t="shared" ref="M10:O10" si="5">IF(M72&lt;=$B$73,"CUMPLE","NO CUMPLE")</f>
        <v>CUMPLE</v>
      </c>
      <c r="N10" s="24" t="str">
        <f t="shared" si="5"/>
        <v>CUMPLE</v>
      </c>
      <c r="O10" s="24" t="str">
        <f t="shared" si="5"/>
        <v>CUMPLE</v>
      </c>
      <c r="P10" s="103" t="str">
        <f>IF(COUNTIF(N10:O10,"NO CUMPLE")&gt;=1,"NO CUMPLE","CUMPLE")</f>
        <v>CUMPLE</v>
      </c>
      <c r="S10" s="1"/>
    </row>
    <row r="11" spans="1:19" s="3" customFormat="1" ht="20.100000000000001" customHeight="1" x14ac:dyDescent="0.25">
      <c r="B11" s="22" t="s">
        <v>6</v>
      </c>
      <c r="C11" s="190">
        <v>0.5</v>
      </c>
      <c r="D11" s="190">
        <v>0.2</v>
      </c>
      <c r="E11" s="190">
        <v>0.3</v>
      </c>
      <c r="F11" s="10">
        <f>SUM(C11:E11)</f>
        <v>1</v>
      </c>
      <c r="G11" s="190">
        <v>0.5</v>
      </c>
      <c r="H11" s="190">
        <v>0.5</v>
      </c>
      <c r="I11" s="10">
        <f>SUM(G11:H11)</f>
        <v>1</v>
      </c>
      <c r="J11" s="190">
        <v>0.9</v>
      </c>
      <c r="K11" s="190">
        <v>0.1</v>
      </c>
      <c r="L11" s="10">
        <f>SUM(J11:K11)</f>
        <v>1</v>
      </c>
      <c r="M11" s="190">
        <v>1</v>
      </c>
      <c r="N11" s="190">
        <v>0.8</v>
      </c>
      <c r="O11" s="190">
        <v>0.2</v>
      </c>
      <c r="P11" s="99">
        <f>SUM(N11:O11)</f>
        <v>1</v>
      </c>
      <c r="S11" s="1"/>
    </row>
    <row r="12" spans="1:19" s="3" customFormat="1" ht="20.100000000000001" customHeight="1" x14ac:dyDescent="0.25">
      <c r="B12" s="22" t="s">
        <v>7</v>
      </c>
      <c r="C12" s="191">
        <v>430724922</v>
      </c>
      <c r="D12" s="191">
        <v>586030409</v>
      </c>
      <c r="E12" s="191">
        <v>1097380316</v>
      </c>
      <c r="F12" s="161">
        <f>SUM(C12:E12)</f>
        <v>2114135647</v>
      </c>
      <c r="G12" s="191">
        <v>779761143</v>
      </c>
      <c r="H12" s="191">
        <v>345570514</v>
      </c>
      <c r="I12" s="161">
        <f t="shared" ref="I12:I19" si="6">SUM(G12:H12)</f>
        <v>1125331657</v>
      </c>
      <c r="J12" s="191">
        <v>899901371</v>
      </c>
      <c r="K12" s="191">
        <v>929151515</v>
      </c>
      <c r="L12" s="161">
        <f t="shared" ref="L12:L19" si="7">SUM(J12:K12)</f>
        <v>1829052886</v>
      </c>
      <c r="M12" s="191">
        <v>1920664247</v>
      </c>
      <c r="N12" s="191">
        <v>3755742504</v>
      </c>
      <c r="O12" s="191">
        <v>407580032</v>
      </c>
      <c r="P12" s="162">
        <f t="shared" ref="P12:P19" si="8">SUM(N12:O12)</f>
        <v>4163322536</v>
      </c>
      <c r="S12" s="1"/>
    </row>
    <row r="13" spans="1:19" s="3" customFormat="1" ht="20.100000000000001" customHeight="1" x14ac:dyDescent="0.25">
      <c r="B13" s="22" t="s">
        <v>8</v>
      </c>
      <c r="C13" s="191">
        <v>18896998</v>
      </c>
      <c r="D13" s="191">
        <v>23500000</v>
      </c>
      <c r="E13" s="191">
        <v>64572052</v>
      </c>
      <c r="F13" s="161">
        <f t="shared" ref="F13:F19" si="9">SUM(C13:E13)</f>
        <v>106969050</v>
      </c>
      <c r="G13" s="191">
        <v>339633288</v>
      </c>
      <c r="H13" s="191">
        <v>76654766</v>
      </c>
      <c r="I13" s="161">
        <f t="shared" si="6"/>
        <v>416288054</v>
      </c>
      <c r="J13" s="191">
        <v>72294000</v>
      </c>
      <c r="K13" s="191">
        <v>111991975</v>
      </c>
      <c r="L13" s="161">
        <f t="shared" si="7"/>
        <v>184285975</v>
      </c>
      <c r="M13" s="191">
        <v>24538000</v>
      </c>
      <c r="N13" s="191">
        <v>629325017</v>
      </c>
      <c r="O13" s="191">
        <v>2653011</v>
      </c>
      <c r="P13" s="162">
        <f t="shared" si="8"/>
        <v>631978028</v>
      </c>
      <c r="S13" s="1"/>
    </row>
    <row r="14" spans="1:19" s="3" customFormat="1" ht="20.100000000000001" customHeight="1" x14ac:dyDescent="0.25">
      <c r="B14" s="22" t="s">
        <v>9</v>
      </c>
      <c r="C14" s="191">
        <v>436754130</v>
      </c>
      <c r="D14" s="191">
        <v>1154581934</v>
      </c>
      <c r="E14" s="191">
        <v>1480383785</v>
      </c>
      <c r="F14" s="161">
        <f t="shared" si="9"/>
        <v>3071719849</v>
      </c>
      <c r="G14" s="191">
        <v>811631348</v>
      </c>
      <c r="H14" s="191">
        <v>405500874</v>
      </c>
      <c r="I14" s="161">
        <f t="shared" si="6"/>
        <v>1217132222</v>
      </c>
      <c r="J14" s="191">
        <v>959374371</v>
      </c>
      <c r="K14" s="191">
        <v>1009151515</v>
      </c>
      <c r="L14" s="161">
        <f t="shared" si="7"/>
        <v>1968525886</v>
      </c>
      <c r="M14" s="191">
        <v>3168106513</v>
      </c>
      <c r="N14" s="191">
        <v>3843185321</v>
      </c>
      <c r="O14" s="191">
        <v>407580032</v>
      </c>
      <c r="P14" s="162">
        <f t="shared" si="8"/>
        <v>4250765353</v>
      </c>
      <c r="S14" s="1"/>
    </row>
    <row r="15" spans="1:19" s="3" customFormat="1" ht="20.100000000000001" customHeight="1" x14ac:dyDescent="0.25">
      <c r="B15" s="22" t="s">
        <v>10</v>
      </c>
      <c r="C15" s="191">
        <v>114879215</v>
      </c>
      <c r="D15" s="191">
        <v>26400000</v>
      </c>
      <c r="E15" s="191">
        <v>166779607</v>
      </c>
      <c r="F15" s="161">
        <f t="shared" si="9"/>
        <v>308058822</v>
      </c>
      <c r="G15" s="191">
        <v>339633288</v>
      </c>
      <c r="H15" s="191">
        <v>76654766</v>
      </c>
      <c r="I15" s="161">
        <f t="shared" si="6"/>
        <v>416288054</v>
      </c>
      <c r="J15" s="191">
        <v>72294000</v>
      </c>
      <c r="K15" s="191">
        <v>200476778</v>
      </c>
      <c r="L15" s="161">
        <f t="shared" si="7"/>
        <v>272770778</v>
      </c>
      <c r="M15" s="191">
        <v>1232568000</v>
      </c>
      <c r="N15" s="191">
        <v>937580043</v>
      </c>
      <c r="O15" s="191">
        <v>2653011</v>
      </c>
      <c r="P15" s="162">
        <f t="shared" si="8"/>
        <v>940233054</v>
      </c>
      <c r="S15" s="1"/>
    </row>
    <row r="16" spans="1:19" s="3" customFormat="1" ht="20.100000000000001" customHeight="1" x14ac:dyDescent="0.25">
      <c r="B16" s="22" t="s">
        <v>11</v>
      </c>
      <c r="C16" s="191">
        <v>321874915</v>
      </c>
      <c r="D16" s="191">
        <v>1128181934</v>
      </c>
      <c r="E16" s="191">
        <v>1313604178</v>
      </c>
      <c r="F16" s="161">
        <f t="shared" si="9"/>
        <v>2763661027</v>
      </c>
      <c r="G16" s="191">
        <v>471998060</v>
      </c>
      <c r="H16" s="191">
        <v>328846108</v>
      </c>
      <c r="I16" s="161">
        <f t="shared" si="6"/>
        <v>800844168</v>
      </c>
      <c r="J16" s="191">
        <v>887080371</v>
      </c>
      <c r="K16" s="191">
        <v>808674737</v>
      </c>
      <c r="L16" s="161">
        <f t="shared" si="7"/>
        <v>1695755108</v>
      </c>
      <c r="M16" s="191">
        <v>1935538513</v>
      </c>
      <c r="N16" s="191">
        <v>2905605278</v>
      </c>
      <c r="O16" s="191">
        <v>404927021</v>
      </c>
      <c r="P16" s="162">
        <f t="shared" si="8"/>
        <v>3310532299</v>
      </c>
      <c r="S16" s="1"/>
    </row>
    <row r="17" spans="2:20" s="3" customFormat="1" ht="20.100000000000001" customHeight="1" x14ac:dyDescent="0.25">
      <c r="B17" s="22" t="s">
        <v>12</v>
      </c>
      <c r="C17" s="161">
        <f t="shared" ref="C17:P17" si="10">+C14-C15-C16</f>
        <v>0</v>
      </c>
      <c r="D17" s="161">
        <f t="shared" si="10"/>
        <v>0</v>
      </c>
      <c r="E17" s="161">
        <f t="shared" ref="E17" si="11">+E14-E15-E16</f>
        <v>0</v>
      </c>
      <c r="F17" s="161">
        <f t="shared" si="10"/>
        <v>0</v>
      </c>
      <c r="G17" s="161">
        <f t="shared" ref="G17:I17" si="12">+G14-G15-G16</f>
        <v>0</v>
      </c>
      <c r="H17" s="161">
        <f t="shared" si="12"/>
        <v>0</v>
      </c>
      <c r="I17" s="161">
        <f t="shared" si="12"/>
        <v>0</v>
      </c>
      <c r="J17" s="161">
        <f t="shared" si="10"/>
        <v>0</v>
      </c>
      <c r="K17" s="161">
        <f t="shared" si="10"/>
        <v>0</v>
      </c>
      <c r="L17" s="161">
        <f t="shared" si="10"/>
        <v>0</v>
      </c>
      <c r="M17" s="191">
        <f t="shared" si="10"/>
        <v>0</v>
      </c>
      <c r="N17" s="161">
        <f t="shared" si="10"/>
        <v>0</v>
      </c>
      <c r="O17" s="161">
        <f t="shared" si="10"/>
        <v>0</v>
      </c>
      <c r="P17" s="162">
        <f t="shared" si="10"/>
        <v>0</v>
      </c>
      <c r="S17" s="1"/>
    </row>
    <row r="18" spans="2:20" s="3" customFormat="1" ht="20.100000000000001" customHeight="1" x14ac:dyDescent="0.25">
      <c r="B18" s="22" t="s">
        <v>13</v>
      </c>
      <c r="C18" s="161">
        <v>33653715</v>
      </c>
      <c r="D18" s="161">
        <v>187595237</v>
      </c>
      <c r="E18" s="161">
        <v>101409227</v>
      </c>
      <c r="F18" s="161">
        <f t="shared" si="9"/>
        <v>322658179</v>
      </c>
      <c r="G18" s="161">
        <v>151486769</v>
      </c>
      <c r="H18" s="161">
        <v>32023868</v>
      </c>
      <c r="I18" s="161">
        <f t="shared" si="6"/>
        <v>183510637</v>
      </c>
      <c r="J18" s="161">
        <v>65131050</v>
      </c>
      <c r="K18" s="161">
        <v>210556672</v>
      </c>
      <c r="L18" s="161">
        <f t="shared" si="7"/>
        <v>275687722</v>
      </c>
      <c r="M18" s="191">
        <v>538228064</v>
      </c>
      <c r="N18" s="161">
        <v>766660108</v>
      </c>
      <c r="O18" s="161">
        <v>7585832</v>
      </c>
      <c r="P18" s="162">
        <f t="shared" si="8"/>
        <v>774245940</v>
      </c>
      <c r="S18" s="1"/>
    </row>
    <row r="19" spans="2:20" s="3" customFormat="1" ht="20.100000000000001" customHeight="1" x14ac:dyDescent="0.25">
      <c r="B19" s="22" t="s">
        <v>14</v>
      </c>
      <c r="C19" s="161">
        <v>0</v>
      </c>
      <c r="D19" s="161">
        <v>150000</v>
      </c>
      <c r="E19" s="161">
        <v>1188750</v>
      </c>
      <c r="F19" s="161">
        <f t="shared" si="9"/>
        <v>1338750</v>
      </c>
      <c r="G19" s="161">
        <v>1810300</v>
      </c>
      <c r="H19" s="161">
        <v>121319</v>
      </c>
      <c r="I19" s="161">
        <f t="shared" si="6"/>
        <v>1931619</v>
      </c>
      <c r="J19" s="161">
        <v>1745800</v>
      </c>
      <c r="K19" s="161">
        <v>9562000</v>
      </c>
      <c r="L19" s="161">
        <f t="shared" si="7"/>
        <v>11307800</v>
      </c>
      <c r="M19" s="191">
        <v>0</v>
      </c>
      <c r="N19" s="161">
        <v>3791008</v>
      </c>
      <c r="O19" s="161">
        <v>5800</v>
      </c>
      <c r="P19" s="162">
        <f t="shared" si="8"/>
        <v>3796808</v>
      </c>
      <c r="S19" s="1"/>
    </row>
    <row r="20" spans="2:20" s="3" customFormat="1" ht="31.5" x14ac:dyDescent="0.25">
      <c r="B20" s="35" t="s">
        <v>15</v>
      </c>
      <c r="C20" s="28">
        <f t="shared" ref="C20:P20" si="13">IFERROR((C18/C16),"-")</f>
        <v>0.10455525867867026</v>
      </c>
      <c r="D20" s="28">
        <f t="shared" si="13"/>
        <v>0.16628101492006342</v>
      </c>
      <c r="E20" s="28">
        <f t="shared" ref="E20" si="14">IFERROR((E18/E16),"-")</f>
        <v>7.7199226904407725E-2</v>
      </c>
      <c r="F20" s="28">
        <f t="shared" si="13"/>
        <v>0.11675027286188235</v>
      </c>
      <c r="G20" s="28">
        <f t="shared" ref="G20:I20" si="15">IFERROR((G18/G16),"-")</f>
        <v>0.32094786364164296</v>
      </c>
      <c r="H20" s="28">
        <f t="shared" si="15"/>
        <v>9.7382536149705629E-2</v>
      </c>
      <c r="I20" s="28">
        <f t="shared" si="15"/>
        <v>0.22914649857324054</v>
      </c>
      <c r="J20" s="28">
        <f t="shared" si="13"/>
        <v>7.3421813997054386E-2</v>
      </c>
      <c r="K20" s="28">
        <f t="shared" si="13"/>
        <v>0.26037251117936183</v>
      </c>
      <c r="L20" s="28">
        <f t="shared" si="13"/>
        <v>0.16257519773898862</v>
      </c>
      <c r="M20" s="212">
        <f t="shared" si="13"/>
        <v>0.27807664915216285</v>
      </c>
      <c r="N20" s="28">
        <f t="shared" si="13"/>
        <v>0.26385556008065592</v>
      </c>
      <c r="O20" s="28">
        <f t="shared" si="13"/>
        <v>1.8733825125490947E-2</v>
      </c>
      <c r="P20" s="167">
        <f t="shared" si="13"/>
        <v>0.23387354965057236</v>
      </c>
      <c r="S20" s="1"/>
    </row>
    <row r="21" spans="2:20" s="3" customFormat="1" ht="31.5" x14ac:dyDescent="0.2">
      <c r="B21" s="35" t="s">
        <v>16</v>
      </c>
      <c r="C21" s="28">
        <f t="shared" ref="C21:P21" si="16">IFERROR((C18/C14),"-")</f>
        <v>7.7054142567581446E-2</v>
      </c>
      <c r="D21" s="28">
        <f t="shared" si="16"/>
        <v>0.16247892979763184</v>
      </c>
      <c r="E21" s="28">
        <f t="shared" ref="E21" si="17">IFERROR((E18/E14),"-")</f>
        <v>6.8501984436420998E-2</v>
      </c>
      <c r="F21" s="28">
        <f t="shared" si="16"/>
        <v>0.10504153857163814</v>
      </c>
      <c r="G21" s="28">
        <f t="shared" ref="G21:I21" si="18">IFERROR((G18/G14),"-")</f>
        <v>0.18664479800255324</v>
      </c>
      <c r="H21" s="28">
        <f t="shared" si="18"/>
        <v>7.8973610301022429E-2</v>
      </c>
      <c r="I21" s="28">
        <f t="shared" si="18"/>
        <v>0.15077296754041566</v>
      </c>
      <c r="J21" s="28">
        <f t="shared" si="16"/>
        <v>6.78890868557505E-2</v>
      </c>
      <c r="K21" s="28">
        <f t="shared" si="16"/>
        <v>0.20864723371098542</v>
      </c>
      <c r="L21" s="28">
        <f t="shared" si="16"/>
        <v>0.14004780123069208</v>
      </c>
      <c r="M21" s="212">
        <f t="shared" si="16"/>
        <v>0.16988951027733329</v>
      </c>
      <c r="N21" s="28">
        <f t="shared" si="16"/>
        <v>0.19948559436121971</v>
      </c>
      <c r="O21" s="28">
        <f t="shared" si="16"/>
        <v>1.8611883322095624E-2</v>
      </c>
      <c r="P21" s="167">
        <f t="shared" si="16"/>
        <v>0.18214271447695221</v>
      </c>
      <c r="R21" s="165" t="s">
        <v>77</v>
      </c>
      <c r="S21" s="166" t="s">
        <v>78</v>
      </c>
      <c r="T21" s="91"/>
    </row>
    <row r="22" spans="2:20" s="3" customFormat="1" ht="15.75" x14ac:dyDescent="0.2">
      <c r="B22" s="11" t="s">
        <v>17</v>
      </c>
      <c r="C22" s="163" t="str">
        <f t="shared" ref="C22:P22" si="19">IF(C11=1,$R$22,"")</f>
        <v/>
      </c>
      <c r="D22" s="163" t="str">
        <f t="shared" si="19"/>
        <v/>
      </c>
      <c r="E22" s="163" t="str">
        <f t="shared" si="19"/>
        <v/>
      </c>
      <c r="F22" s="163">
        <f t="shared" si="19"/>
        <v>344857484</v>
      </c>
      <c r="G22" s="163" t="str">
        <f t="shared" si="19"/>
        <v/>
      </c>
      <c r="H22" s="163" t="str">
        <f t="shared" si="19"/>
        <v/>
      </c>
      <c r="I22" s="163">
        <f t="shared" si="19"/>
        <v>344857484</v>
      </c>
      <c r="J22" s="163" t="str">
        <f t="shared" si="19"/>
        <v/>
      </c>
      <c r="K22" s="163" t="str">
        <f t="shared" si="19"/>
        <v/>
      </c>
      <c r="L22" s="163">
        <f t="shared" si="19"/>
        <v>344857484</v>
      </c>
      <c r="M22" s="213">
        <f t="shared" si="19"/>
        <v>344857484</v>
      </c>
      <c r="N22" s="163" t="str">
        <f t="shared" si="19"/>
        <v/>
      </c>
      <c r="O22" s="163" t="str">
        <f t="shared" si="19"/>
        <v/>
      </c>
      <c r="P22" s="164">
        <f t="shared" si="19"/>
        <v>344857484</v>
      </c>
      <c r="R22" s="42">
        <v>344857484</v>
      </c>
      <c r="S22" s="42">
        <f>R22</f>
        <v>344857484</v>
      </c>
      <c r="T22" s="132"/>
    </row>
    <row r="23" spans="2:20" s="3" customFormat="1" ht="15.75" x14ac:dyDescent="0.2">
      <c r="B23" s="29" t="s">
        <v>18</v>
      </c>
      <c r="C23" s="30"/>
      <c r="D23" s="30"/>
      <c r="E23" s="30"/>
      <c r="F23" s="204"/>
      <c r="G23" s="30"/>
      <c r="H23" s="30"/>
      <c r="I23" s="204"/>
      <c r="J23" s="30"/>
      <c r="K23" s="30"/>
      <c r="L23" s="204"/>
      <c r="M23" s="198"/>
      <c r="N23" s="198"/>
      <c r="O23" s="30"/>
      <c r="P23" s="31"/>
      <c r="R23" s="173" t="s">
        <v>71</v>
      </c>
      <c r="S23" s="90"/>
    </row>
    <row r="24" spans="2:20" s="3" customFormat="1" ht="15.75" x14ac:dyDescent="0.2">
      <c r="B24" s="12" t="s">
        <v>55</v>
      </c>
      <c r="C24" s="192"/>
      <c r="D24" s="192"/>
      <c r="E24" s="192"/>
      <c r="F24" s="13"/>
      <c r="G24" s="192"/>
      <c r="H24" s="192"/>
      <c r="I24" s="13"/>
      <c r="J24" s="192"/>
      <c r="K24" s="192"/>
      <c r="L24" s="13"/>
      <c r="M24" s="192"/>
      <c r="N24" s="192"/>
      <c r="O24" s="192"/>
      <c r="P24" s="168"/>
      <c r="R24" s="93">
        <v>1423500</v>
      </c>
      <c r="S24" s="3" t="s">
        <v>58</v>
      </c>
    </row>
    <row r="25" spans="2:20" s="3" customFormat="1" ht="15.75" x14ac:dyDescent="0.2">
      <c r="B25" s="66" t="s">
        <v>62</v>
      </c>
      <c r="C25" s="60"/>
      <c r="D25" s="60"/>
      <c r="E25" s="60"/>
      <c r="F25" s="205"/>
      <c r="G25" s="60"/>
      <c r="H25" s="60"/>
      <c r="I25" s="205"/>
      <c r="J25" s="60"/>
      <c r="K25" s="60"/>
      <c r="L25" s="205"/>
      <c r="M25" s="214"/>
      <c r="N25" s="214"/>
      <c r="O25" s="60"/>
      <c r="P25" s="169"/>
      <c r="Q25" s="203" t="s">
        <v>73</v>
      </c>
      <c r="R25" s="131">
        <f>S22/R24</f>
        <v>242.26026273270108</v>
      </c>
      <c r="S25" s="3" t="s">
        <v>74</v>
      </c>
      <c r="T25" s="3" t="s">
        <v>75</v>
      </c>
    </row>
    <row r="26" spans="2:20" s="3" customFormat="1" ht="15.75" x14ac:dyDescent="0.2">
      <c r="B26" s="29" t="s">
        <v>18</v>
      </c>
      <c r="C26" s="30"/>
      <c r="D26" s="30"/>
      <c r="E26" s="30"/>
      <c r="F26" s="204"/>
      <c r="G26" s="30"/>
      <c r="H26" s="30"/>
      <c r="I26" s="204"/>
      <c r="J26" s="30"/>
      <c r="K26" s="30"/>
      <c r="L26" s="204"/>
      <c r="M26" s="198"/>
      <c r="N26" s="198"/>
      <c r="O26" s="30"/>
      <c r="P26" s="31"/>
      <c r="R26" s="96" t="s">
        <v>59</v>
      </c>
      <c r="S26" s="94" t="s">
        <v>72</v>
      </c>
    </row>
    <row r="27" spans="2:20" s="3" customFormat="1" ht="31.5" x14ac:dyDescent="0.2">
      <c r="B27" s="35" t="str">
        <f>CONCATENATE("Índice de Liquidez: ",CHAR(10),$R$21," ≥ ",R27," veces. ",IF($R$21=$S$21,"",_xlfn.CONCAT($S$21," ≥ ",S27," veces.")))</f>
        <v>Índice de Liquidez: 
MiPyME ≥ 1,1 veces. Gran Empresa ≥ 1,2 veces.</v>
      </c>
      <c r="C27" s="216"/>
      <c r="D27" s="216"/>
      <c r="E27" s="216"/>
      <c r="F27" s="14" t="str">
        <f>IFERROR(IF(F74=$R$21,IF(F28&gt;=$R$27,$B$24,$B$25),IF(F28&gt;=$S$27,$B$24,$B$25)),"-")</f>
        <v>CUMPLE</v>
      </c>
      <c r="G27" s="216"/>
      <c r="H27" s="216"/>
      <c r="I27" s="14" t="str">
        <f>IFERROR(IF(I74=$R$21,IF(I28&gt;=$R$27,$B$24,$B$25),IF(I28&gt;=$S$27,$B$24,$B$25)),"-")</f>
        <v>CUMPLE</v>
      </c>
      <c r="J27" s="216"/>
      <c r="K27" s="216"/>
      <c r="L27" s="14" t="str">
        <f>IFERROR(IF(L74=$R$21,IF(L28&gt;=$R$27,$B$24,$B$25),IF(L28&gt;=$S$27,$B$24,$B$25)),"-")</f>
        <v>CUMPLE</v>
      </c>
      <c r="M27" s="193" t="str">
        <f>IFERROR(IF(M74=$R$21,IF(M28&gt;=$R$27,$B$24,$B$25),IF(M28&gt;=$S$27,$B$24,$B$25)),"-")</f>
        <v>CUMPLE</v>
      </c>
      <c r="N27" s="216"/>
      <c r="O27" s="216"/>
      <c r="P27" s="104" t="str">
        <f>IFERROR(IF(P74=$R$21,IF(P28&gt;=$R$27,$B$24,$B$25),IF(P28&gt;=$S$27,$B$24,$B$25)),"-")</f>
        <v>CUMPLE</v>
      </c>
      <c r="R27" s="40">
        <v>1.1000000000000001</v>
      </c>
      <c r="S27" s="40">
        <v>1.2</v>
      </c>
    </row>
    <row r="28" spans="2:20" s="3" customFormat="1" ht="22.5" customHeight="1" x14ac:dyDescent="0.2">
      <c r="B28" s="156" t="s">
        <v>19</v>
      </c>
      <c r="C28" s="217"/>
      <c r="D28" s="217"/>
      <c r="E28" s="217"/>
      <c r="F28" s="15">
        <f t="shared" ref="F28" si="20">IFERROR(F12/F13,"-")</f>
        <v>19.763993856166806</v>
      </c>
      <c r="G28" s="217"/>
      <c r="H28" s="217"/>
      <c r="I28" s="15">
        <f t="shared" ref="I28" si="21">IFERROR(I12/I13,"-")</f>
        <v>2.703252342187076</v>
      </c>
      <c r="J28" s="217"/>
      <c r="K28" s="217"/>
      <c r="L28" s="15">
        <f t="shared" ref="L28:M28" si="22">IFERROR(L12/L13,"-")</f>
        <v>9.9250791385508315</v>
      </c>
      <c r="M28" s="194">
        <f t="shared" si="22"/>
        <v>78.273055954030482</v>
      </c>
      <c r="N28" s="217"/>
      <c r="O28" s="217"/>
      <c r="P28" s="105">
        <f t="shared" ref="P28" si="23">IFERROR(P12/P13,"-")</f>
        <v>6.587764687287514</v>
      </c>
    </row>
    <row r="29" spans="2:20" s="3" customFormat="1" ht="31.5" x14ac:dyDescent="0.2">
      <c r="B29" s="35" t="str">
        <f>CONCATENATE("Endeudamiento total: ",CHAR(10),$R$21," ≤ ",TEXT(R29,"#0 %"),". ",IF($R$21=$S$21,"",_xlfn.CONCAT($S$21," ≤ ",TEXT(S29,"#0 %."))))</f>
        <v>Endeudamiento total: 
MiPyME ≤ 65 %. Gran Empresa ≤ 65 %.</v>
      </c>
      <c r="C29" s="217"/>
      <c r="D29" s="217"/>
      <c r="E29" s="217"/>
      <c r="F29" s="16" t="str">
        <f>IFERROR(IF(F74=$R$21,IF(F30&lt;=$R$29,$B$24,$B$25),IF(F30&lt;=$S$29,$B$24,$B$25)),"-")</f>
        <v>CUMPLE</v>
      </c>
      <c r="G29" s="217"/>
      <c r="H29" s="217"/>
      <c r="I29" s="16" t="str">
        <f>IFERROR(IF(I74=$R$21,IF(I30&lt;=$R$29,$B$24,$B$25),IF(I30&lt;=$S$29,$B$24,$B$25)),"-")</f>
        <v>CUMPLE</v>
      </c>
      <c r="J29" s="217"/>
      <c r="K29" s="217"/>
      <c r="L29" s="16" t="str">
        <f>IFERROR(IF(L74=$R$21,IF(L30&lt;=$R$29,$B$24,$B$25),IF(L30&lt;=$S$29,$B$24,$B$25)),"-")</f>
        <v>CUMPLE</v>
      </c>
      <c r="M29" s="195" t="str">
        <f>IFERROR(IF(M74=$R$21,IF(M30&lt;=$R$29,$B$24,$B$25),IF(M30&lt;=$S$29,$B$24,$B$25)),"-")</f>
        <v>CUMPLE</v>
      </c>
      <c r="N29" s="217"/>
      <c r="O29" s="217"/>
      <c r="P29" s="106" t="str">
        <f>IFERROR(IF(P74=$R$21,IF(P30&lt;=$R$29,$B$24,$B$25),IF(P30&lt;=$S$29,$B$24,$B$25)),"-")</f>
        <v>CUMPLE</v>
      </c>
      <c r="R29" s="41">
        <v>0.65</v>
      </c>
      <c r="S29" s="41">
        <v>0.65</v>
      </c>
    </row>
    <row r="30" spans="2:20" s="3" customFormat="1" ht="22.5" customHeight="1" x14ac:dyDescent="0.2">
      <c r="B30" s="157" t="s">
        <v>20</v>
      </c>
      <c r="C30" s="217"/>
      <c r="D30" s="217"/>
      <c r="E30" s="217"/>
      <c r="F30" s="17">
        <f t="shared" ref="F30" si="24">IFERROR(F15/F14,"-")</f>
        <v>0.10028871028075322</v>
      </c>
      <c r="G30" s="217"/>
      <c r="H30" s="217"/>
      <c r="I30" s="17">
        <f t="shared" ref="I30" si="25">IFERROR(I15/I14,"-")</f>
        <v>0.34202369017554446</v>
      </c>
      <c r="J30" s="217"/>
      <c r="K30" s="217"/>
      <c r="L30" s="17">
        <f t="shared" ref="L30:M30" si="26">IFERROR(L15/L14,"-")</f>
        <v>0.13856601020079246</v>
      </c>
      <c r="M30" s="196">
        <f t="shared" si="26"/>
        <v>0.38905510119129005</v>
      </c>
      <c r="N30" s="217"/>
      <c r="O30" s="217"/>
      <c r="P30" s="107">
        <f t="shared" ref="P30" si="27">IFERROR(P15/P14,"-")</f>
        <v>0.22119147398630828</v>
      </c>
    </row>
    <row r="31" spans="2:20" s="3" customFormat="1" ht="47.25" x14ac:dyDescent="0.2">
      <c r="B31" s="35" t="str">
        <f>CONCATENATE("Razón de Cobertura de Intereses: ",CHAR(10),$R$21," ≥ ",R31," vez(ces) o Indet."," ",IF($R$21=$S$21,"",_xlfn.CONCAT($S$21," ≥ ",S31," vez(ces) o Indet.")))</f>
        <v>Razón de Cobertura de Intereses: 
MiPyME ≥ 1,5 vez(ces) o Indet. Gran Empresa ≥ 1,5 vez(ces) o Indet.</v>
      </c>
      <c r="C31" s="217"/>
      <c r="D31" s="217"/>
      <c r="E31" s="217"/>
      <c r="F31" s="16" t="str">
        <f>IFERROR(IF(F74=$R$21,IF(AND(F32="Indeterminado",F18&lt;=0),$B$25,IF(F32&gt;=$R$31,$B$24,$B$25)),IF(AND(F32="Indeterminado",F18&lt;=0),$B$25,IF(F32&gt;=$S$31,$B$24,$B$25))),"-")</f>
        <v>CUMPLE</v>
      </c>
      <c r="G31" s="217"/>
      <c r="H31" s="217"/>
      <c r="I31" s="16" t="str">
        <f>IFERROR(IF(I74=$R$21,IF(AND(I32="Indeterminado",I18&lt;=0),$B$25,IF(I32&gt;=$R$31,$B$24,$B$25)),IF(AND(I32="Indeterminado",I18&lt;=0),$B$25,IF(I32&gt;=$S$31,$B$24,$B$25))),"-")</f>
        <v>CUMPLE</v>
      </c>
      <c r="J31" s="217"/>
      <c r="K31" s="217"/>
      <c r="L31" s="16" t="str">
        <f>IFERROR(IF(L74=$R$21,IF(AND(L32="Indeterminado",L18&lt;=0),$B$25,IF(L32&gt;=$R$31,$B$24,$B$25)),IF(AND(L32="Indeterminado",L18&lt;=0),$B$25,IF(L32&gt;=$S$31,$B$24,$B$25))),"-")</f>
        <v>CUMPLE</v>
      </c>
      <c r="M31" s="195" t="str">
        <f>IFERROR(IF(M74=$R$21,IF(AND(M32="Indeterminado",M18&lt;=0),$B$25,IF(M32&gt;=$R$31,$B$24,$B$25)),IF(AND(M32="Indeterminado",M18&lt;=0),$B$25,IF(M32&gt;=$S$31,$B$24,$B$25))),"-")</f>
        <v>CUMPLE</v>
      </c>
      <c r="N31" s="217"/>
      <c r="O31" s="217"/>
      <c r="P31" s="106" t="str">
        <f>IFERROR(IF(P74=$R$21,IF(AND(P32="Indeterminado",P18&lt;=0),$B$25,IF(P32&gt;=$R$31,$B$24,$B$25)),IF(AND(P32="Indeterminado",P18&lt;=0),$B$25,IF(P32&gt;=$S$31,$B$24,$B$25))),"-")</f>
        <v>CUMPLE</v>
      </c>
      <c r="R31" s="40">
        <v>1.5</v>
      </c>
      <c r="S31" s="40">
        <v>1.5</v>
      </c>
    </row>
    <row r="32" spans="2:20" s="3" customFormat="1" ht="22.5" customHeight="1" x14ac:dyDescent="0.2">
      <c r="B32" s="157" t="s">
        <v>21</v>
      </c>
      <c r="C32" s="218"/>
      <c r="D32" s="218"/>
      <c r="E32" s="218"/>
      <c r="F32" s="37">
        <f t="shared" ref="F32" si="28">IFERROR(F18/F19,"Indeterminado")</f>
        <v>241.01451279178337</v>
      </c>
      <c r="G32" s="218"/>
      <c r="H32" s="218"/>
      <c r="I32" s="37">
        <f t="shared" ref="I32" si="29">IFERROR(I18/I19,"Indeterminado")</f>
        <v>95.003536929384111</v>
      </c>
      <c r="J32" s="218"/>
      <c r="K32" s="218"/>
      <c r="L32" s="37">
        <f t="shared" ref="L32:M32" si="30">IFERROR(L18/L19,"Indeterminado")</f>
        <v>24.380314650064559</v>
      </c>
      <c r="M32" s="197" t="str">
        <f t="shared" si="30"/>
        <v>Indeterminado</v>
      </c>
      <c r="N32" s="218"/>
      <c r="O32" s="218"/>
      <c r="P32" s="108">
        <f t="shared" ref="P32" si="31">IFERROR(P18/P19,"Indeterminado")</f>
        <v>203.92022456758414</v>
      </c>
    </row>
    <row r="33" spans="2:20" s="3" customFormat="1" ht="31.5" x14ac:dyDescent="0.2">
      <c r="B33" s="22" t="str">
        <f>CONCATENATE("Capital de trabajo:",CHAR(10),$R$21," ≥ ",TEXT(R33,"0 %")," del PO. ",IF($R$21=$S$21,"",_xlfn.CONCAT($S$21," ≥ ",TEXT(S33,"0 %")," del PO.")))</f>
        <v>Capital de trabajo:
MiPyME ≥ 25 % del PO. Gran Empresa ≥ 25 % del PO.</v>
      </c>
      <c r="C33" s="216"/>
      <c r="D33" s="216"/>
      <c r="E33" s="216"/>
      <c r="F33" s="16" t="str">
        <f>IFERROR(IF(F74=$R$21,IF(F34&gt;(F22*$R$33),$B$24,$B$25),IF(F34&gt;(F22*$S$33),$B$24,$B$25)),"-")</f>
        <v>CUMPLE</v>
      </c>
      <c r="G33" s="216"/>
      <c r="H33" s="216"/>
      <c r="I33" s="16" t="str">
        <f>IFERROR(IF(I74=$R$21,IF(I34&gt;(I22*$R$33),$B$24,$B$25),IF(I34&gt;(I22*$S$33),$B$24,$B$25)),"-")</f>
        <v>CUMPLE</v>
      </c>
      <c r="J33" s="216"/>
      <c r="K33" s="216"/>
      <c r="L33" s="16" t="str">
        <f>IFERROR(IF(L74=$R$21,IF(L34&gt;(L22*$R$33),$B$24,$B$25),IF(L34&gt;(L22*$S$33),$B$24,$B$25)),"-")</f>
        <v>CUMPLE</v>
      </c>
      <c r="M33" s="195" t="str">
        <f>IFERROR(IF(M74=$R$21,IF(M34&gt;(M22*$R$33),$B$24,$B$25),IF(M34&gt;(M22*$S$33),$B$24,$B$25)),"-")</f>
        <v>CUMPLE</v>
      </c>
      <c r="N33" s="216"/>
      <c r="O33" s="216"/>
      <c r="P33" s="106" t="str">
        <f>IFERROR(IF(P74=$R$21,IF(P34&gt;(P22*$R$33),$B$24,$B$25),IF(P34&gt;(P22*$S$33),$B$24,$B$25)),"-")</f>
        <v>CUMPLE</v>
      </c>
      <c r="R33" s="44">
        <v>0.25</v>
      </c>
      <c r="S33" s="44">
        <v>0.25</v>
      </c>
    </row>
    <row r="34" spans="2:20" s="4" customFormat="1" ht="22.5" customHeight="1" x14ac:dyDescent="0.2">
      <c r="B34" s="158" t="str">
        <f>CONCATENATE("CT = Activo Corriente - Pasivo Corriente ≥ ",TEXT((R22*R33),"$###.###.###.##0"))</f>
        <v>CT = Activo Corriente - Pasivo Corriente ≥ $86.214.371</v>
      </c>
      <c r="C34" s="217"/>
      <c r="D34" s="217"/>
      <c r="E34" s="217"/>
      <c r="F34" s="161">
        <f t="shared" ref="F34" si="32">IFERROR(F12-F13,"-")</f>
        <v>2007166597</v>
      </c>
      <c r="G34" s="217"/>
      <c r="H34" s="217"/>
      <c r="I34" s="161">
        <f t="shared" ref="I34" si="33">IFERROR(I12-I13,"-")</f>
        <v>709043603</v>
      </c>
      <c r="J34" s="217"/>
      <c r="K34" s="217"/>
      <c r="L34" s="161">
        <f t="shared" ref="L34:M34" si="34">IFERROR(L12-L13,"-")</f>
        <v>1644766911</v>
      </c>
      <c r="M34" s="191">
        <f t="shared" si="34"/>
        <v>1896126247</v>
      </c>
      <c r="N34" s="217"/>
      <c r="O34" s="217"/>
      <c r="P34" s="162">
        <f t="shared" ref="P34" si="35">IFERROR(P12-P13,"-")</f>
        <v>3531344508</v>
      </c>
      <c r="Q34" s="95"/>
      <c r="R34" s="92"/>
      <c r="S34" s="92"/>
      <c r="T34" s="3"/>
    </row>
    <row r="35" spans="2:20" s="3" customFormat="1" ht="15.75" x14ac:dyDescent="0.2">
      <c r="B35" s="36" t="s">
        <v>22</v>
      </c>
      <c r="C35" s="204"/>
      <c r="D35" s="204"/>
      <c r="E35" s="204"/>
      <c r="F35" s="38"/>
      <c r="G35" s="204"/>
      <c r="H35" s="204"/>
      <c r="I35" s="38"/>
      <c r="J35" s="204"/>
      <c r="K35" s="204"/>
      <c r="L35" s="38"/>
      <c r="M35" s="198"/>
      <c r="N35" s="204"/>
      <c r="O35" s="204"/>
      <c r="P35" s="109"/>
      <c r="Q35" s="96"/>
      <c r="R35" s="93"/>
      <c r="S35" s="93"/>
      <c r="T35" s="94"/>
    </row>
    <row r="36" spans="2:20" s="3" customFormat="1" ht="15.75" x14ac:dyDescent="0.2">
      <c r="B36" s="18"/>
      <c r="C36" s="216"/>
      <c r="D36" s="216"/>
      <c r="E36" s="216"/>
      <c r="F36" s="9"/>
      <c r="G36" s="216"/>
      <c r="H36" s="216"/>
      <c r="I36" s="9"/>
      <c r="J36" s="216"/>
      <c r="K36" s="216"/>
      <c r="L36" s="9"/>
      <c r="M36" s="199"/>
      <c r="N36" s="216"/>
      <c r="O36" s="216"/>
      <c r="P36" s="110"/>
    </row>
    <row r="37" spans="2:20" s="3" customFormat="1" ht="31.5" x14ac:dyDescent="0.2">
      <c r="B37" s="35" t="str">
        <f>CONCATENATE("Indicador  Rentabilidad del Patrimonio",CHAR(10),$R$21," ≥ ",TEXT(R37,"#0 %. "),IF($R$21=$S$21,"",_xlfn.CONCAT($S$21," ≥ ",TEXT(S37,"#0 %."))))</f>
        <v>Indicador  Rentabilidad del Patrimonio
MiPyME ≥ 2 %. Gran Empresa ≥ 4 %.</v>
      </c>
      <c r="C37" s="217" t="s">
        <v>95</v>
      </c>
      <c r="D37" s="217" t="s">
        <v>95</v>
      </c>
      <c r="E37" s="217" t="s">
        <v>95</v>
      </c>
      <c r="F37" s="16" t="str">
        <f>IFERROR(IF((IF(F74=$R$21,IF(F38&gt;=$R$37,$B$24,$B$25),IF(F38&gt;=$S$37,$B$24,$B$25)))="No hábil",IF(AND(F38&lt;0,F16&gt;0,F74="ESAL"),$B$24,$B$25),IF(F74=$R$21,IF(F38&gt;=$R$37,$B$24,$B$25),IF(F38&gt;=$S$37,$B$24,$B$25))),"-")</f>
        <v>CUMPLE</v>
      </c>
      <c r="G37" s="217" t="s">
        <v>95</v>
      </c>
      <c r="H37" s="217" t="s">
        <v>95</v>
      </c>
      <c r="I37" s="16" t="str">
        <f>IFERROR(IF((IF(I74=$R$21,IF(I38&gt;=$R$37,$B$24,$B$25),IF(I38&gt;=$S$37,$B$24,$B$25)))="No hábil",IF(AND(I38&lt;0,I16&gt;0,I74="ESAL"),$B$24,$B$25),IF(I74=$R$21,IF(I38&gt;=$R$37,$B$24,$B$25),IF(I38&gt;=$S$37,$B$24,$B$25))),"-")</f>
        <v>CUMPLE</v>
      </c>
      <c r="J37" s="217" t="s">
        <v>95</v>
      </c>
      <c r="K37" s="217" t="s">
        <v>95</v>
      </c>
      <c r="L37" s="16" t="str">
        <f>IFERROR(IF((IF(L74=$R$21,IF(L38&gt;=$R$37,$B$24,$B$25),IF(L38&gt;=$S$37,$B$24,$B$25)))="No hábil",IF(AND(L38&lt;0,L16&gt;0,L74="ESAL"),$B$24,$B$25),IF(L74=$R$21,IF(L38&gt;=$R$37,$B$24,$B$25),IF(L38&gt;=$S$37,$B$24,$B$25))),"-")</f>
        <v>CUMPLE</v>
      </c>
      <c r="M37" s="195" t="str">
        <f>IFERROR(IF((IF(M74=$R$21,IF(M38&gt;=$R$37,$B$24,$B$25),IF(M38&gt;=$S$37,$B$24,$B$25)))="No hábil",IF(AND(M38&lt;0,M16&gt;0,M74="ESAL"),$B$24,$B$25),IF(M74=$R$21,IF(M38&gt;=$R$37,$B$24,$B$25),IF(M38&gt;=$S$37,$B$24,$B$25))),"-")</f>
        <v>CUMPLE</v>
      </c>
      <c r="N37" s="217" t="s">
        <v>95</v>
      </c>
      <c r="O37" s="217" t="s">
        <v>95</v>
      </c>
      <c r="P37" s="106" t="str">
        <f>IFERROR(IF((IF(P74=$R$21,IF(P38&gt;=$R$37,$B$24,$B$25),IF(P38&gt;=$S$37,$B$24,$B$25)))="No hábil",IF(AND(P38&lt;0,P16&gt;0,P74="ESAL"),$B$24,$B$25),IF(P74=$R$21,IF(P38&gt;=$R$37,$B$24,$B$25),IF(P38&gt;=$S$37,$B$24,$B$25))),"-")</f>
        <v>CUMPLE</v>
      </c>
      <c r="R37" s="41">
        <v>0.02</v>
      </c>
      <c r="S37" s="41">
        <v>0.04</v>
      </c>
    </row>
    <row r="38" spans="2:20" s="3" customFormat="1" ht="22.5" customHeight="1" x14ac:dyDescent="0.2">
      <c r="B38" s="157" t="s">
        <v>23</v>
      </c>
      <c r="C38" s="217" t="s">
        <v>95</v>
      </c>
      <c r="D38" s="217" t="s">
        <v>95</v>
      </c>
      <c r="E38" s="217" t="s">
        <v>95</v>
      </c>
      <c r="F38" s="170">
        <f t="shared" ref="F38" si="36">IFERROR(F18/F16,"-")</f>
        <v>0.11675027286188235</v>
      </c>
      <c r="G38" s="217" t="s">
        <v>95</v>
      </c>
      <c r="H38" s="217" t="s">
        <v>95</v>
      </c>
      <c r="I38" s="170">
        <f t="shared" ref="I38" si="37">IFERROR(I18/I16,"-")</f>
        <v>0.22914649857324054</v>
      </c>
      <c r="J38" s="217" t="s">
        <v>95</v>
      </c>
      <c r="K38" s="217" t="s">
        <v>95</v>
      </c>
      <c r="L38" s="170">
        <f t="shared" ref="L38:M38" si="38">IFERROR(L18/L16,"-")</f>
        <v>0.16257519773898862</v>
      </c>
      <c r="M38" s="200">
        <f t="shared" si="38"/>
        <v>0.27807664915216285</v>
      </c>
      <c r="N38" s="217" t="s">
        <v>95</v>
      </c>
      <c r="O38" s="217" t="s">
        <v>95</v>
      </c>
      <c r="P38" s="171">
        <f t="shared" ref="P38" si="39">IFERROR(P18/P16,"-")</f>
        <v>0.23387354965057236</v>
      </c>
    </row>
    <row r="39" spans="2:20" s="3" customFormat="1" ht="31.5" x14ac:dyDescent="0.2">
      <c r="B39" s="35" t="str">
        <f>CONCATENATE("Indicador Rentabilidad del Activo",CHAR(10),$R$21," ≥ ",TEXT(R39,"#0 %. "),IF($R$21=$S$21,"",_xlfn.CONCAT($S$21," ≥ ",TEXT(S39,"#0 %."))))</f>
        <v>Indicador Rentabilidad del Activo
MiPyME ≥ 1 %. Gran Empresa ≥ 3 %.</v>
      </c>
      <c r="C39" s="217" t="s">
        <v>95</v>
      </c>
      <c r="D39" s="217" t="s">
        <v>95</v>
      </c>
      <c r="E39" s="217" t="s">
        <v>95</v>
      </c>
      <c r="F39" s="14" t="str">
        <f>IFERROR(IF((IF(F74=$R$21,IF(F40&gt;=$R$39,$B$24,$B$25),IF(F40&gt;=$S$39,$B$24,$B$25)))="No hábil",IF(AND(F40&lt;0,F16&gt;0,F74="ESAL"),$B$24,$B$25),IF(F74=$R$21,IF(F40&gt;=$R$39,$B$24,$B$25),IF(F40&gt;=$S$39,$B$24,$B$25))),"-")</f>
        <v>CUMPLE</v>
      </c>
      <c r="G39" s="217" t="s">
        <v>95</v>
      </c>
      <c r="H39" s="217" t="s">
        <v>95</v>
      </c>
      <c r="I39" s="14" t="str">
        <f>IFERROR(IF((IF(I74=$R$21,IF(I40&gt;=$R$39,$B$24,$B$25),IF(I40&gt;=$S$39,$B$24,$B$25)))="No hábil",IF(AND(I40&lt;0,I16&gt;0,I74="ESAL"),$B$24,$B$25),IF(I74=$R$21,IF(I40&gt;=$R$39,$B$24,$B$25),IF(I40&gt;=$S$39,$B$24,$B$25))),"-")</f>
        <v>CUMPLE</v>
      </c>
      <c r="J39" s="217" t="s">
        <v>95</v>
      </c>
      <c r="K39" s="217" t="s">
        <v>95</v>
      </c>
      <c r="L39" s="14" t="str">
        <f>IFERROR(IF((IF(L74=$R$21,IF(L40&gt;=$R$39,$B$24,$B$25),IF(L40&gt;=$S$39,$B$24,$B$25)))="No hábil",IF(AND(L40&lt;0,L16&gt;0,L74="ESAL"),$B$24,$B$25),IF(L74=$R$21,IF(L40&gt;=$R$39,$B$24,$B$25),IF(L40&gt;=$S$39,$B$24,$B$25))),"-")</f>
        <v>CUMPLE</v>
      </c>
      <c r="M39" s="193" t="str">
        <f>IFERROR(IF((IF(M74=$R$21,IF(M40&gt;=$R$39,$B$24,$B$25),IF(M40&gt;=$S$39,$B$24,$B$25)))="No hábil",IF(AND(M40&lt;0,M16&gt;0,M74="ESAL"),$B$24,$B$25),IF(M74=$R$21,IF(M40&gt;=$R$39,$B$24,$B$25),IF(M40&gt;=$S$39,$B$24,$B$25))),"-")</f>
        <v>CUMPLE</v>
      </c>
      <c r="N39" s="217" t="s">
        <v>95</v>
      </c>
      <c r="O39" s="217" t="s">
        <v>95</v>
      </c>
      <c r="P39" s="104" t="str">
        <f>IFERROR(IF((IF(P74=$R$21,IF(P40&gt;=$R$39,$B$24,$B$25),IF(P40&gt;=$S$39,$B$24,$B$25)))="No hábil",IF(AND(P40&lt;0,P16&gt;0,P74="ESAL"),$B$24,$B$25),IF(P74=$R$21,IF(P40&gt;=$R$39,$B$24,$B$25),IF(P40&gt;=$S$39,$B$24,$B$25))),"-")</f>
        <v>CUMPLE</v>
      </c>
      <c r="R39" s="41">
        <v>0.01</v>
      </c>
      <c r="S39" s="41">
        <v>0.03</v>
      </c>
    </row>
    <row r="40" spans="2:20" s="3" customFormat="1" ht="22.5" customHeight="1" x14ac:dyDescent="0.2">
      <c r="B40" s="157" t="s">
        <v>24</v>
      </c>
      <c r="C40" s="217" t="s">
        <v>95</v>
      </c>
      <c r="D40" s="217" t="s">
        <v>95</v>
      </c>
      <c r="E40" s="217" t="s">
        <v>95</v>
      </c>
      <c r="F40" s="170">
        <f t="shared" ref="F40" si="40">IFERROR(F18/F14,"-")</f>
        <v>0.10504153857163814</v>
      </c>
      <c r="G40" s="217" t="s">
        <v>95</v>
      </c>
      <c r="H40" s="217" t="s">
        <v>95</v>
      </c>
      <c r="I40" s="170">
        <f t="shared" ref="I40" si="41">IFERROR(I18/I14,"-")</f>
        <v>0.15077296754041566</v>
      </c>
      <c r="J40" s="217" t="s">
        <v>95</v>
      </c>
      <c r="K40" s="217" t="s">
        <v>95</v>
      </c>
      <c r="L40" s="170">
        <f t="shared" ref="L40:M40" si="42">IFERROR(L18/L14,"-")</f>
        <v>0.14004780123069208</v>
      </c>
      <c r="M40" s="200">
        <f t="shared" si="42"/>
        <v>0.16988951027733329</v>
      </c>
      <c r="N40" s="217" t="s">
        <v>95</v>
      </c>
      <c r="O40" s="217" t="s">
        <v>95</v>
      </c>
      <c r="P40" s="171">
        <f t="shared" ref="P40" si="43">IFERROR(P18/P14,"-")</f>
        <v>0.18214271447695221</v>
      </c>
    </row>
    <row r="41" spans="2:20" s="3" customFormat="1" ht="25.9" customHeight="1" x14ac:dyDescent="0.25">
      <c r="B41" s="23" t="s">
        <v>25</v>
      </c>
      <c r="C41" s="218"/>
      <c r="D41" s="218"/>
      <c r="E41" s="218"/>
      <c r="F41" s="19" t="str">
        <f t="shared" ref="F41" si="44">IF(F10="NO CUMPLE","DEBE SUBSANAR",IF(COUNTIF(F27:F40,"NO CUMPLE")&gt;=1,"NO HABILITADO","HABILITADO"))</f>
        <v>HABILITADO</v>
      </c>
      <c r="G41" s="218"/>
      <c r="H41" s="218"/>
      <c r="I41" s="19" t="str">
        <f t="shared" ref="I41" si="45">IF(I10="NO CUMPLE","DEBE SUBSANAR",IF(COUNTIF(I27:I40,"NO CUMPLE")&gt;=1,"NO HABILITADO","HABILITADO"))</f>
        <v>HABILITADO</v>
      </c>
      <c r="J41" s="218"/>
      <c r="K41" s="218"/>
      <c r="L41" s="19" t="str">
        <f t="shared" ref="L41:M41" si="46">IF(L10="NO CUMPLE","DEBE SUBSANAR",IF(COUNTIF(L27:L40,"NO CUMPLE")&gt;=1,"NO HABILITADO","HABILITADO"))</f>
        <v>HABILITADO</v>
      </c>
      <c r="M41" s="201" t="str">
        <f t="shared" si="46"/>
        <v>HABILITADO</v>
      </c>
      <c r="N41" s="218"/>
      <c r="O41" s="218"/>
      <c r="P41" s="129" t="str">
        <f t="shared" ref="P41" si="47">IF(P10="NO CUMPLE","DEBE SUBSANAR",IF(COUNTIF(P27:P40,"NO CUMPLE")&gt;=1,"NO HABILITADO","HABILITADO"))</f>
        <v>HABILITADO</v>
      </c>
      <c r="R41" s="94"/>
      <c r="S41" s="1"/>
    </row>
    <row r="42" spans="2:20" s="3" customFormat="1" ht="15.75" x14ac:dyDescent="0.25">
      <c r="B42" s="32"/>
      <c r="C42" s="33"/>
      <c r="D42" s="33"/>
      <c r="E42" s="33"/>
      <c r="F42" s="33"/>
      <c r="G42" s="33"/>
      <c r="H42" s="33"/>
      <c r="I42" s="33"/>
      <c r="J42" s="33"/>
      <c r="K42" s="33"/>
      <c r="L42" s="33"/>
      <c r="M42" s="33"/>
      <c r="N42" s="33"/>
      <c r="O42" s="33"/>
      <c r="P42" s="98"/>
      <c r="R42" s="94" t="s">
        <v>79</v>
      </c>
      <c r="S42" s="1"/>
    </row>
    <row r="43" spans="2:20" s="3" customFormat="1" ht="21" customHeight="1" x14ac:dyDescent="0.25">
      <c r="B43" s="159" t="s">
        <v>26</v>
      </c>
      <c r="C43" s="71"/>
      <c r="D43" s="71"/>
      <c r="E43" s="71"/>
      <c r="F43" s="71"/>
      <c r="G43" s="71"/>
      <c r="H43" s="71"/>
      <c r="I43" s="71"/>
      <c r="J43" s="71"/>
      <c r="K43" s="71"/>
      <c r="L43" s="71"/>
      <c r="M43" s="71"/>
      <c r="N43" s="71"/>
      <c r="O43" s="71"/>
      <c r="P43" s="72"/>
      <c r="R43" s="3" t="s">
        <v>76</v>
      </c>
      <c r="S43" s="1"/>
    </row>
    <row r="44" spans="2:20" s="3" customFormat="1" ht="21" customHeight="1" x14ac:dyDescent="0.25">
      <c r="B44" s="160" t="s">
        <v>61</v>
      </c>
      <c r="C44" s="73"/>
      <c r="D44" s="73"/>
      <c r="E44" s="73"/>
      <c r="F44" s="73"/>
      <c r="G44" s="73"/>
      <c r="H44" s="73"/>
      <c r="I44" s="73"/>
      <c r="J44" s="73"/>
      <c r="K44" s="73"/>
      <c r="L44" s="73"/>
      <c r="M44" s="73"/>
      <c r="N44" s="73"/>
      <c r="O44" s="73"/>
      <c r="P44" s="74"/>
      <c r="S44" s="1"/>
    </row>
    <row r="45" spans="2:20" s="3" customFormat="1" ht="15.75" x14ac:dyDescent="0.25">
      <c r="B45" s="20"/>
      <c r="C45" s="34"/>
      <c r="D45" s="34"/>
      <c r="E45" s="34"/>
      <c r="F45" s="34"/>
      <c r="G45" s="34"/>
      <c r="H45" s="34"/>
      <c r="I45" s="34"/>
      <c r="J45" s="34"/>
      <c r="K45" s="34"/>
      <c r="L45" s="34"/>
      <c r="M45" s="34"/>
      <c r="N45" s="34"/>
      <c r="O45" s="34"/>
      <c r="P45" s="21"/>
      <c r="S45" s="1"/>
    </row>
    <row r="46" spans="2:20" s="3" customFormat="1" ht="15.75" x14ac:dyDescent="0.25">
      <c r="B46" s="45" t="str">
        <f>B71</f>
        <v>Fecha de cierre del proceso:</v>
      </c>
      <c r="C46" s="34"/>
      <c r="D46" s="34"/>
      <c r="E46" s="34"/>
      <c r="F46" s="34"/>
      <c r="G46" s="34"/>
      <c r="H46" s="34"/>
      <c r="I46" s="34"/>
      <c r="J46" s="34"/>
      <c r="K46" s="34"/>
      <c r="L46" s="34"/>
      <c r="M46" s="34"/>
      <c r="N46" s="34"/>
      <c r="O46" s="34"/>
      <c r="P46" s="21"/>
      <c r="S46" s="1"/>
    </row>
    <row r="47" spans="2:20" s="3" customFormat="1" ht="15.75" x14ac:dyDescent="0.25">
      <c r="B47" s="59">
        <f>C71</f>
        <v>46006</v>
      </c>
      <c r="C47" s="34"/>
      <c r="D47" s="34"/>
      <c r="E47" s="34"/>
      <c r="F47" s="34"/>
      <c r="G47" s="34"/>
      <c r="H47" s="34"/>
      <c r="I47" s="34"/>
      <c r="J47" s="34"/>
      <c r="K47" s="34"/>
      <c r="L47" s="34"/>
      <c r="M47" s="34"/>
      <c r="N47" s="34"/>
      <c r="O47" s="34"/>
      <c r="P47" s="21"/>
      <c r="S47" s="1"/>
    </row>
    <row r="48" spans="2:20" s="3" customFormat="1" ht="15.75" x14ac:dyDescent="0.25">
      <c r="B48" s="46"/>
      <c r="P48" s="111"/>
      <c r="S48" s="1"/>
    </row>
    <row r="49" spans="1:19" s="3" customFormat="1" ht="15.75" x14ac:dyDescent="0.25">
      <c r="B49" s="79" t="s">
        <v>27</v>
      </c>
      <c r="C49" s="64"/>
      <c r="D49" s="64"/>
      <c r="E49" s="64"/>
      <c r="F49" s="64"/>
      <c r="G49" s="64"/>
      <c r="H49" s="64"/>
      <c r="I49" s="64"/>
      <c r="J49" s="64"/>
      <c r="K49" s="64"/>
      <c r="L49" s="64"/>
      <c r="M49" s="64"/>
      <c r="N49" s="64"/>
      <c r="O49" s="64"/>
      <c r="P49" s="112"/>
      <c r="S49" s="1"/>
    </row>
    <row r="50" spans="1:19" s="3" customFormat="1" ht="15.75" x14ac:dyDescent="0.25">
      <c r="A50" s="5"/>
      <c r="B50" s="58">
        <f>C65</f>
        <v>46008</v>
      </c>
      <c r="C50" s="65"/>
      <c r="D50" s="65"/>
      <c r="E50" s="65"/>
      <c r="F50" s="65"/>
      <c r="G50" s="65"/>
      <c r="H50" s="65"/>
      <c r="I50" s="65"/>
      <c r="J50" s="65"/>
      <c r="K50" s="65"/>
      <c r="L50" s="65"/>
      <c r="M50" s="65"/>
      <c r="N50" s="65"/>
      <c r="O50" s="65"/>
      <c r="P50" s="113"/>
      <c r="S50" s="1"/>
    </row>
    <row r="51" spans="1:19" s="3" customFormat="1" ht="15.75" x14ac:dyDescent="0.25">
      <c r="A51" s="5"/>
      <c r="B51" s="58"/>
      <c r="C51" s="120"/>
      <c r="D51" s="120" t="s">
        <v>28</v>
      </c>
      <c r="E51" s="120"/>
      <c r="G51" s="120"/>
      <c r="I51" s="120"/>
      <c r="J51" s="120"/>
      <c r="L51" s="120"/>
      <c r="M51" s="120"/>
      <c r="N51" s="120"/>
      <c r="O51" s="120"/>
      <c r="P51" s="113"/>
      <c r="S51" s="1"/>
    </row>
    <row r="52" spans="1:19" ht="15.75" x14ac:dyDescent="0.25">
      <c r="A52" s="6"/>
      <c r="B52" s="79" t="s">
        <v>29</v>
      </c>
      <c r="C52" s="130"/>
      <c r="D52" s="65" t="s">
        <v>66</v>
      </c>
      <c r="E52" s="65"/>
      <c r="G52" s="65"/>
      <c r="I52" s="65"/>
      <c r="J52" s="65"/>
      <c r="L52" s="65"/>
      <c r="M52" s="65"/>
      <c r="N52" s="65"/>
      <c r="O52" s="65"/>
      <c r="P52" s="114"/>
    </row>
    <row r="53" spans="1:19" ht="15.75" x14ac:dyDescent="0.25">
      <c r="A53" s="6"/>
      <c r="B53" s="58">
        <f>'1. Oferentes 1 a 8'!B53</f>
        <v>46020</v>
      </c>
      <c r="C53" s="130"/>
      <c r="D53" s="65" t="s">
        <v>30</v>
      </c>
      <c r="E53" s="65"/>
      <c r="G53" s="65"/>
      <c r="I53" s="65"/>
      <c r="J53" s="65"/>
      <c r="L53" s="65"/>
      <c r="M53" s="65"/>
      <c r="N53" s="65"/>
      <c r="O53" s="65"/>
      <c r="P53" s="114"/>
    </row>
    <row r="54" spans="1:19" ht="15.75" x14ac:dyDescent="0.25">
      <c r="A54" s="6"/>
      <c r="B54" s="58"/>
      <c r="C54" s="57"/>
      <c r="D54" s="57"/>
      <c r="E54" s="57"/>
      <c r="F54" s="57"/>
      <c r="G54" s="57"/>
      <c r="H54" s="57"/>
      <c r="I54" s="57"/>
      <c r="J54" s="57"/>
      <c r="K54" s="57"/>
      <c r="L54" s="57"/>
      <c r="M54" s="57"/>
      <c r="N54" s="57"/>
      <c r="O54" s="57"/>
      <c r="P54" s="114"/>
    </row>
    <row r="55" spans="1:19" ht="15.75" x14ac:dyDescent="0.25">
      <c r="A55" s="6"/>
      <c r="B55" s="119" t="str">
        <f>"NOTA: La fecha de corte de la información financiera registrada en el RUP debe ser 31/12/2024, de acuerdo a lo establecido en el pliego definitivo de condiciones del proceso "&amp;R23&amp;","</f>
        <v>NOTA: La fecha de corte de la información financiera registrada en el RUP debe ser 31/12/2024, de acuerdo a lo establecido en el pliego definitivo de condiciones del proceso FDLU-CMA-027-2025 (143212),</v>
      </c>
      <c r="C55" s="69"/>
      <c r="D55" s="69"/>
      <c r="E55" s="69"/>
      <c r="F55" s="69"/>
      <c r="G55" s="69"/>
      <c r="H55" s="69"/>
      <c r="I55" s="69"/>
      <c r="J55" s="69"/>
      <c r="K55" s="69"/>
      <c r="L55" s="69"/>
      <c r="M55" s="69"/>
      <c r="N55" s="69"/>
      <c r="O55" s="69"/>
      <c r="P55" s="115"/>
    </row>
    <row r="56" spans="1:19" ht="15.75" x14ac:dyDescent="0.25">
      <c r="A56" s="6"/>
      <c r="B56" s="75" t="str">
        <f ca="1">'Consolidado 1 a 9'!J58</f>
        <v>de las (46) empresas evaluadas, (45) empresas están habilitadas.</v>
      </c>
      <c r="C56" s="57"/>
      <c r="D56" s="57"/>
      <c r="E56" s="57"/>
      <c r="F56" s="57"/>
      <c r="G56" s="57"/>
      <c r="H56" s="57"/>
      <c r="I56" s="57"/>
      <c r="J56" s="57"/>
      <c r="K56" s="57"/>
      <c r="L56" s="57"/>
      <c r="M56" s="57"/>
      <c r="N56" s="57"/>
      <c r="O56" s="57"/>
      <c r="P56" s="114"/>
    </row>
    <row r="57" spans="1:19" ht="16.5" thickBot="1" x14ac:dyDescent="0.3">
      <c r="B57" s="89"/>
      <c r="C57" s="76"/>
      <c r="D57" s="76"/>
      <c r="E57" s="76"/>
      <c r="F57" s="76"/>
      <c r="G57" s="76"/>
      <c r="H57" s="76"/>
      <c r="I57" s="76"/>
      <c r="J57" s="76"/>
      <c r="K57" s="76"/>
      <c r="L57" s="76"/>
      <c r="M57" s="76"/>
      <c r="N57" s="76"/>
      <c r="O57" s="76"/>
      <c r="P57" s="77"/>
    </row>
    <row r="59" spans="1:19" x14ac:dyDescent="0.25">
      <c r="B59" s="7"/>
      <c r="C59" s="7"/>
      <c r="D59" s="7"/>
      <c r="E59" s="7"/>
      <c r="F59" s="7"/>
      <c r="G59" s="7"/>
      <c r="H59" s="7"/>
      <c r="I59" s="7"/>
      <c r="J59" s="7"/>
      <c r="K59" s="7"/>
      <c r="L59" s="7"/>
      <c r="M59" s="7"/>
      <c r="N59" s="7"/>
      <c r="O59" s="7"/>
      <c r="P59" s="7"/>
    </row>
    <row r="63" spans="1:19" x14ac:dyDescent="0.25">
      <c r="B63" s="47" t="s">
        <v>31</v>
      </c>
      <c r="C63" s="48"/>
      <c r="D63" s="48"/>
      <c r="E63" s="48"/>
      <c r="F63" s="48"/>
      <c r="G63" s="48"/>
      <c r="H63" s="48"/>
      <c r="I63" s="48"/>
      <c r="J63" s="48"/>
      <c r="K63" s="48"/>
      <c r="L63" s="48"/>
      <c r="M63" s="48"/>
      <c r="N63" s="48"/>
      <c r="O63" s="48"/>
      <c r="P63" s="49"/>
    </row>
    <row r="64" spans="1:19" x14ac:dyDescent="0.25">
      <c r="B64" s="50"/>
      <c r="P64" s="51"/>
    </row>
    <row r="65" spans="2:16" x14ac:dyDescent="0.25">
      <c r="B65" s="50" t="s">
        <v>32</v>
      </c>
      <c r="C65" s="151">
        <v>46008</v>
      </c>
      <c r="F65" s="68"/>
      <c r="G65" s="68"/>
      <c r="H65" s="68"/>
      <c r="I65" s="68"/>
      <c r="J65" s="68"/>
      <c r="K65" s="68"/>
      <c r="L65" s="68"/>
      <c r="M65" s="68"/>
      <c r="N65" s="68"/>
      <c r="O65" s="68"/>
      <c r="P65" s="88"/>
    </row>
    <row r="66" spans="2:16" x14ac:dyDescent="0.25">
      <c r="B66" s="50"/>
      <c r="P66" s="51"/>
    </row>
    <row r="67" spans="2:16" x14ac:dyDescent="0.25">
      <c r="B67" s="52"/>
      <c r="C67" s="53" t="str">
        <f t="shared" ref="C67:P67" si="48">C8</f>
        <v>A</v>
      </c>
      <c r="D67" s="53" t="str">
        <f t="shared" si="48"/>
        <v>B</v>
      </c>
      <c r="E67" s="53" t="str">
        <f t="shared" ref="E67" si="49">E8</f>
        <v>C</v>
      </c>
      <c r="F67" s="53">
        <f t="shared" si="48"/>
        <v>34</v>
      </c>
      <c r="G67" s="53" t="str">
        <f t="shared" ref="G67:I67" si="50">G8</f>
        <v>A</v>
      </c>
      <c r="H67" s="53" t="str">
        <f t="shared" si="50"/>
        <v>B</v>
      </c>
      <c r="I67" s="53">
        <f t="shared" si="50"/>
        <v>35</v>
      </c>
      <c r="J67" s="53" t="str">
        <f t="shared" si="48"/>
        <v>A</v>
      </c>
      <c r="K67" s="53" t="str">
        <f t="shared" si="48"/>
        <v>B</v>
      </c>
      <c r="L67" s="53">
        <f t="shared" si="48"/>
        <v>36</v>
      </c>
      <c r="M67" s="53">
        <f t="shared" si="48"/>
        <v>37</v>
      </c>
      <c r="N67" s="53" t="str">
        <f t="shared" si="48"/>
        <v>A</v>
      </c>
      <c r="O67" s="53" t="str">
        <f t="shared" si="48"/>
        <v>B</v>
      </c>
      <c r="P67" s="61">
        <f t="shared" si="48"/>
        <v>38</v>
      </c>
    </row>
    <row r="68" spans="2:16" x14ac:dyDescent="0.25">
      <c r="B68" s="54" t="s">
        <v>33</v>
      </c>
      <c r="C68" s="55">
        <v>45979</v>
      </c>
      <c r="D68" s="55">
        <v>45979</v>
      </c>
      <c r="E68" s="55">
        <v>45988</v>
      </c>
      <c r="F68" s="55"/>
      <c r="G68" s="55">
        <v>45995</v>
      </c>
      <c r="H68" s="55">
        <v>46000</v>
      </c>
      <c r="I68" s="55"/>
      <c r="J68" s="55">
        <v>45988</v>
      </c>
      <c r="K68" s="55">
        <v>45987</v>
      </c>
      <c r="L68" s="55"/>
      <c r="M68" s="55">
        <v>45992</v>
      </c>
      <c r="N68" s="55">
        <v>46002</v>
      </c>
      <c r="O68" s="55">
        <v>46001</v>
      </c>
      <c r="P68" s="62"/>
    </row>
    <row r="69" spans="2:16" x14ac:dyDescent="0.25">
      <c r="B69" s="54" t="s">
        <v>34</v>
      </c>
      <c r="C69" s="55"/>
      <c r="D69" s="55"/>
      <c r="E69" s="55"/>
      <c r="F69" s="55"/>
      <c r="G69" s="55"/>
      <c r="H69" s="55"/>
      <c r="I69" s="55"/>
      <c r="J69" s="55"/>
      <c r="K69" s="55"/>
      <c r="L69" s="55"/>
      <c r="M69" s="55"/>
      <c r="N69" s="55"/>
      <c r="O69" s="55"/>
      <c r="P69" s="62"/>
    </row>
    <row r="70" spans="2:16" x14ac:dyDescent="0.25">
      <c r="B70" s="50"/>
      <c r="P70" s="51"/>
    </row>
    <row r="71" spans="2:16" x14ac:dyDescent="0.25">
      <c r="B71" s="50" t="s">
        <v>35</v>
      </c>
      <c r="C71" s="151">
        <v>46006</v>
      </c>
      <c r="D71" s="68">
        <f t="shared" ref="D71:K71" si="51">C71</f>
        <v>46006</v>
      </c>
      <c r="E71" s="68">
        <f t="shared" si="51"/>
        <v>46006</v>
      </c>
      <c r="F71" s="68"/>
      <c r="G71" s="68">
        <f>D71</f>
        <v>46006</v>
      </c>
      <c r="H71" s="68">
        <f t="shared" ref="H71" si="52">G71</f>
        <v>46006</v>
      </c>
      <c r="I71" s="68"/>
      <c r="J71" s="68">
        <f>H71</f>
        <v>46006</v>
      </c>
      <c r="K71" s="68">
        <f t="shared" si="51"/>
        <v>46006</v>
      </c>
      <c r="L71" s="68"/>
      <c r="M71" s="68">
        <f>K71</f>
        <v>46006</v>
      </c>
      <c r="N71" s="68">
        <f>M71</f>
        <v>46006</v>
      </c>
      <c r="O71" s="68">
        <f>N71</f>
        <v>46006</v>
      </c>
      <c r="P71" s="88"/>
    </row>
    <row r="72" spans="2:16" x14ac:dyDescent="0.25">
      <c r="B72" s="54" t="s">
        <v>36</v>
      </c>
      <c r="C72" s="70">
        <f t="shared" ref="C72:K72" si="53">C71-C68</f>
        <v>27</v>
      </c>
      <c r="D72" s="70">
        <f t="shared" si="53"/>
        <v>27</v>
      </c>
      <c r="E72" s="70">
        <f t="shared" ref="E72" si="54">E71-E68</f>
        <v>18</v>
      </c>
      <c r="F72" s="70"/>
      <c r="G72" s="70">
        <f t="shared" ref="G72:H72" si="55">G71-G68</f>
        <v>11</v>
      </c>
      <c r="H72" s="70">
        <f t="shared" si="55"/>
        <v>6</v>
      </c>
      <c r="I72" s="70"/>
      <c r="J72" s="70">
        <f t="shared" si="53"/>
        <v>18</v>
      </c>
      <c r="K72" s="70">
        <f t="shared" si="53"/>
        <v>19</v>
      </c>
      <c r="L72" s="70"/>
      <c r="M72" s="70">
        <f t="shared" ref="M72:O72" si="56">M71-M68</f>
        <v>14</v>
      </c>
      <c r="N72" s="70">
        <f t="shared" si="56"/>
        <v>4</v>
      </c>
      <c r="O72" s="70">
        <f t="shared" si="56"/>
        <v>5</v>
      </c>
      <c r="P72" s="116"/>
    </row>
    <row r="73" spans="2:16" x14ac:dyDescent="0.25">
      <c r="B73" s="78">
        <v>30</v>
      </c>
      <c r="C73" s="56"/>
      <c r="D73" s="56"/>
      <c r="E73" s="56"/>
      <c r="F73" s="56"/>
      <c r="G73" s="56"/>
      <c r="H73" s="56"/>
      <c r="I73" s="56"/>
      <c r="J73" s="56"/>
      <c r="K73" s="56"/>
      <c r="L73" s="56"/>
      <c r="M73" s="56"/>
      <c r="N73" s="56"/>
      <c r="O73" s="56"/>
      <c r="P73" s="67"/>
    </row>
    <row r="74" spans="2:16" x14ac:dyDescent="0.25">
      <c r="B74" s="153" t="s">
        <v>37</v>
      </c>
      <c r="C74" s="127" t="s">
        <v>77</v>
      </c>
      <c r="D74" s="127" t="s">
        <v>77</v>
      </c>
      <c r="E74" s="127" t="s">
        <v>77</v>
      </c>
      <c r="F74" s="127" t="s">
        <v>77</v>
      </c>
      <c r="G74" s="127" t="s">
        <v>77</v>
      </c>
      <c r="H74" s="127" t="s">
        <v>77</v>
      </c>
      <c r="I74" s="127" t="s">
        <v>77</v>
      </c>
      <c r="J74" s="127" t="s">
        <v>77</v>
      </c>
      <c r="K74" s="127" t="s">
        <v>77</v>
      </c>
      <c r="L74" s="127" t="s">
        <v>77</v>
      </c>
      <c r="M74" s="127" t="s">
        <v>77</v>
      </c>
      <c r="N74" s="127" t="s">
        <v>77</v>
      </c>
      <c r="O74" s="127" t="s">
        <v>77</v>
      </c>
      <c r="P74" s="128" t="s">
        <v>77</v>
      </c>
    </row>
    <row r="75" spans="2:16" ht="15.75" customHeight="1" x14ac:dyDescent="0.25">
      <c r="B75" s="152"/>
      <c r="C75" s="100"/>
      <c r="D75" s="100"/>
      <c r="E75" s="100"/>
      <c r="F75" s="100"/>
      <c r="G75" s="100"/>
      <c r="H75" s="100"/>
      <c r="I75" s="100"/>
      <c r="J75" s="100"/>
      <c r="K75" s="100"/>
      <c r="L75" s="100"/>
      <c r="M75" s="100"/>
      <c r="N75" s="100"/>
      <c r="O75" s="100"/>
      <c r="P75" s="97"/>
    </row>
    <row r="76" spans="2:16" x14ac:dyDescent="0.25">
      <c r="B76" s="173"/>
      <c r="C76" s="173"/>
      <c r="D76" s="173"/>
      <c r="E76" s="173"/>
      <c r="F76" s="173"/>
      <c r="G76" s="173"/>
      <c r="H76" s="173"/>
      <c r="I76" s="173"/>
      <c r="J76" s="173"/>
      <c r="K76" s="173"/>
      <c r="L76" s="173"/>
      <c r="M76" s="173"/>
      <c r="N76" s="173"/>
      <c r="O76" s="173"/>
      <c r="P76" s="173"/>
    </row>
    <row r="77" spans="2:16" x14ac:dyDescent="0.25">
      <c r="B77" s="173"/>
      <c r="C77" s="173"/>
      <c r="D77" s="173"/>
      <c r="E77" s="173"/>
      <c r="F77" s="173"/>
      <c r="G77" s="173"/>
      <c r="H77" s="173"/>
      <c r="I77" s="173"/>
      <c r="J77" s="173"/>
      <c r="K77" s="173"/>
      <c r="L77" s="173"/>
      <c r="M77" s="173"/>
      <c r="N77" s="173"/>
      <c r="O77" s="173"/>
      <c r="P77" s="174"/>
    </row>
    <row r="78" spans="2:16" x14ac:dyDescent="0.25">
      <c r="B78" s="173"/>
      <c r="C78" s="173"/>
      <c r="D78" s="173"/>
      <c r="E78" s="173"/>
      <c r="F78" s="173"/>
      <c r="G78" s="173"/>
      <c r="H78" s="173"/>
      <c r="I78" s="173"/>
      <c r="J78" s="173"/>
      <c r="K78" s="173"/>
      <c r="L78" s="173"/>
      <c r="M78" s="173"/>
      <c r="N78" s="173"/>
      <c r="O78" s="173"/>
      <c r="P78" s="173"/>
    </row>
    <row r="79" spans="2:16" x14ac:dyDescent="0.25">
      <c r="B79" s="173"/>
      <c r="C79" s="173"/>
      <c r="D79" s="173"/>
      <c r="E79" s="173"/>
      <c r="F79" s="173"/>
      <c r="G79" s="173"/>
      <c r="H79" s="173"/>
      <c r="I79" s="173"/>
      <c r="J79" s="173"/>
      <c r="K79" s="173"/>
      <c r="L79" s="173"/>
      <c r="M79" s="173"/>
      <c r="N79" s="173"/>
      <c r="O79" s="173"/>
      <c r="P79" s="173"/>
    </row>
    <row r="80" spans="2:16" x14ac:dyDescent="0.25">
      <c r="B80" s="173"/>
      <c r="C80" s="173"/>
      <c r="D80" s="173"/>
      <c r="E80" s="173"/>
      <c r="F80" s="173"/>
      <c r="G80" s="173"/>
      <c r="H80" s="173"/>
      <c r="I80" s="173"/>
      <c r="J80" s="173"/>
      <c r="K80" s="173"/>
      <c r="L80" s="173"/>
      <c r="M80" s="173"/>
      <c r="N80" s="173"/>
      <c r="O80" s="173"/>
      <c r="P80" s="173"/>
    </row>
    <row r="81" spans="2:16" x14ac:dyDescent="0.25">
      <c r="B81" s="173"/>
      <c r="C81" s="173"/>
      <c r="D81" s="173"/>
      <c r="E81" s="173"/>
      <c r="F81" s="173"/>
      <c r="G81" s="173"/>
      <c r="H81" s="173"/>
      <c r="I81" s="173"/>
      <c r="J81" s="173"/>
      <c r="K81" s="173"/>
      <c r="L81" s="173"/>
      <c r="M81" s="173"/>
      <c r="N81" s="173"/>
      <c r="O81" s="173"/>
      <c r="P81" s="173"/>
    </row>
    <row r="82" spans="2:16" x14ac:dyDescent="0.25">
      <c r="B82" s="173"/>
      <c r="C82" s="173"/>
      <c r="D82" s="173"/>
      <c r="E82" s="173"/>
      <c r="F82" s="173"/>
      <c r="G82" s="173"/>
      <c r="H82" s="173"/>
      <c r="I82" s="173"/>
      <c r="J82" s="173"/>
      <c r="K82" s="173"/>
      <c r="L82" s="173"/>
      <c r="M82" s="173"/>
      <c r="N82" s="173"/>
      <c r="O82" s="173"/>
      <c r="P82" s="173"/>
    </row>
    <row r="83" spans="2:16" x14ac:dyDescent="0.25">
      <c r="B83" s="173"/>
      <c r="C83" s="175"/>
      <c r="D83" s="175"/>
      <c r="E83" s="175"/>
      <c r="F83" s="175"/>
      <c r="G83" s="175"/>
      <c r="H83" s="175"/>
      <c r="I83" s="175"/>
      <c r="J83" s="175"/>
      <c r="K83" s="175"/>
      <c r="L83" s="175"/>
      <c r="M83" s="175"/>
      <c r="N83" s="175"/>
      <c r="O83" s="175"/>
      <c r="P83" s="173"/>
    </row>
    <row r="84" spans="2:16" x14ac:dyDescent="0.25">
      <c r="B84" s="173"/>
      <c r="C84" s="175"/>
      <c r="D84" s="175"/>
      <c r="E84" s="175"/>
      <c r="F84" s="175"/>
      <c r="G84" s="175"/>
      <c r="H84" s="175"/>
      <c r="I84" s="175"/>
      <c r="J84" s="175"/>
      <c r="K84" s="175"/>
      <c r="L84" s="175"/>
      <c r="M84" s="175"/>
      <c r="N84" s="175"/>
      <c r="O84" s="175"/>
      <c r="P84" s="173"/>
    </row>
    <row r="85" spans="2:16" x14ac:dyDescent="0.25">
      <c r="B85" s="173"/>
      <c r="C85" s="175"/>
      <c r="D85" s="175"/>
      <c r="E85" s="175"/>
      <c r="F85" s="175"/>
      <c r="G85" s="175"/>
      <c r="H85" s="175"/>
      <c r="I85" s="175"/>
      <c r="J85" s="175"/>
      <c r="K85" s="175"/>
      <c r="L85" s="175"/>
      <c r="M85" s="175"/>
      <c r="N85" s="175"/>
      <c r="O85" s="175"/>
      <c r="P85" s="173"/>
    </row>
    <row r="86" spans="2:16" x14ac:dyDescent="0.25">
      <c r="B86" s="173"/>
      <c r="C86" s="175"/>
      <c r="D86" s="175"/>
      <c r="E86" s="175"/>
      <c r="F86" s="175"/>
      <c r="G86" s="175"/>
      <c r="H86" s="175"/>
      <c r="I86" s="175"/>
      <c r="J86" s="175"/>
      <c r="K86" s="175"/>
      <c r="L86" s="175"/>
      <c r="M86" s="175"/>
      <c r="N86" s="175"/>
      <c r="O86" s="175"/>
      <c r="P86" s="173"/>
    </row>
    <row r="87" spans="2:16" x14ac:dyDescent="0.25">
      <c r="B87" s="173"/>
      <c r="C87" s="175"/>
      <c r="D87" s="175"/>
      <c r="E87" s="175"/>
      <c r="F87" s="175"/>
      <c r="G87" s="175"/>
      <c r="H87" s="175"/>
      <c r="I87" s="175"/>
      <c r="J87" s="175"/>
      <c r="K87" s="175"/>
      <c r="L87" s="175"/>
      <c r="M87" s="175"/>
      <c r="N87" s="175"/>
      <c r="O87" s="175"/>
      <c r="P87" s="173"/>
    </row>
    <row r="88" spans="2:16" x14ac:dyDescent="0.25">
      <c r="C88" s="80"/>
      <c r="D88" s="80"/>
      <c r="E88" s="80"/>
      <c r="F88" s="80"/>
      <c r="G88" s="80"/>
      <c r="H88" s="80"/>
      <c r="I88" s="80"/>
      <c r="J88" s="80"/>
      <c r="K88" s="80"/>
      <c r="L88" s="80"/>
      <c r="M88" s="80"/>
      <c r="N88" s="80"/>
      <c r="O88" s="80"/>
    </row>
    <row r="89" spans="2:16" x14ac:dyDescent="0.25">
      <c r="C89" s="80"/>
      <c r="D89" s="80"/>
      <c r="E89" s="80"/>
      <c r="F89" s="80"/>
      <c r="G89" s="80"/>
      <c r="H89" s="80"/>
      <c r="I89" s="80"/>
      <c r="J89" s="80"/>
      <c r="K89" s="80"/>
      <c r="L89" s="80"/>
      <c r="M89" s="80"/>
      <c r="N89" s="80"/>
      <c r="O89" s="80"/>
    </row>
    <row r="90" spans="2:16" x14ac:dyDescent="0.25">
      <c r="C90" s="80"/>
      <c r="D90" s="80"/>
      <c r="E90" s="80"/>
      <c r="F90" s="80"/>
      <c r="G90" s="80"/>
      <c r="H90" s="80"/>
      <c r="I90" s="80"/>
      <c r="J90" s="80"/>
      <c r="K90" s="80"/>
      <c r="L90" s="80"/>
      <c r="M90" s="80"/>
      <c r="N90" s="80"/>
      <c r="O90" s="80"/>
    </row>
    <row r="91" spans="2:16" x14ac:dyDescent="0.25">
      <c r="C91" s="80"/>
      <c r="D91" s="80"/>
      <c r="E91" s="80"/>
      <c r="F91" s="80"/>
      <c r="G91" s="80"/>
      <c r="H91" s="80"/>
      <c r="I91" s="80"/>
      <c r="J91" s="80"/>
      <c r="K91" s="80"/>
      <c r="L91" s="80"/>
      <c r="M91" s="80"/>
      <c r="N91" s="80"/>
      <c r="O91" s="80"/>
    </row>
    <row r="92" spans="2:16" x14ac:dyDescent="0.25">
      <c r="C92" s="80"/>
      <c r="D92" s="80"/>
      <c r="E92" s="80"/>
      <c r="F92" s="80"/>
      <c r="G92" s="80"/>
      <c r="H92" s="80"/>
      <c r="I92" s="80"/>
      <c r="J92" s="80"/>
      <c r="K92" s="80"/>
      <c r="L92" s="80"/>
      <c r="M92" s="80"/>
      <c r="N92" s="80"/>
      <c r="O92" s="80"/>
    </row>
    <row r="93" spans="2:16" x14ac:dyDescent="0.25">
      <c r="C93" s="80"/>
      <c r="D93" s="80"/>
      <c r="E93" s="80"/>
      <c r="F93" s="80"/>
      <c r="G93" s="80"/>
      <c r="H93" s="80"/>
      <c r="I93" s="80"/>
      <c r="J93" s="80"/>
      <c r="K93" s="80"/>
      <c r="L93" s="80"/>
      <c r="M93" s="80"/>
      <c r="N93" s="80"/>
      <c r="O93" s="80"/>
    </row>
    <row r="94" spans="2:16" x14ac:dyDescent="0.25">
      <c r="C94" s="80"/>
      <c r="D94" s="80"/>
      <c r="E94" s="80"/>
      <c r="F94" s="80"/>
      <c r="G94" s="80"/>
      <c r="H94" s="80"/>
      <c r="I94" s="80"/>
      <c r="J94" s="80"/>
      <c r="K94" s="80"/>
      <c r="L94" s="80"/>
      <c r="M94" s="80"/>
      <c r="N94" s="80"/>
      <c r="O94" s="80"/>
    </row>
    <row r="95" spans="2:16" x14ac:dyDescent="0.25">
      <c r="C95" s="80"/>
      <c r="D95" s="80"/>
      <c r="E95" s="80"/>
      <c r="F95" s="80"/>
      <c r="G95" s="80"/>
      <c r="H95" s="80"/>
      <c r="I95" s="80"/>
      <c r="J95" s="80"/>
      <c r="K95" s="80"/>
      <c r="L95" s="80"/>
      <c r="M95" s="80"/>
      <c r="N95" s="80"/>
      <c r="O95" s="80"/>
    </row>
    <row r="96" spans="2:16" x14ac:dyDescent="0.25">
      <c r="C96" s="80"/>
      <c r="D96" s="80"/>
      <c r="E96" s="80"/>
      <c r="F96" s="80"/>
      <c r="G96" s="80"/>
      <c r="H96" s="80"/>
      <c r="I96" s="80"/>
      <c r="J96" s="80"/>
      <c r="K96" s="80"/>
      <c r="L96" s="80"/>
      <c r="M96" s="80"/>
      <c r="N96" s="80"/>
      <c r="O96" s="80"/>
    </row>
    <row r="97" spans="3:15" x14ac:dyDescent="0.25">
      <c r="C97" s="80"/>
      <c r="D97" s="80"/>
      <c r="E97" s="80"/>
      <c r="F97" s="80"/>
      <c r="G97" s="80"/>
      <c r="H97" s="80"/>
      <c r="I97" s="80"/>
      <c r="J97" s="80"/>
      <c r="K97" s="80"/>
      <c r="L97" s="80"/>
      <c r="M97" s="80"/>
      <c r="N97" s="80"/>
      <c r="O97" s="80"/>
    </row>
    <row r="98" spans="3:15" x14ac:dyDescent="0.25">
      <c r="C98" s="80"/>
      <c r="D98" s="80"/>
      <c r="E98" s="80"/>
      <c r="F98" s="80"/>
      <c r="G98" s="80"/>
      <c r="H98" s="80"/>
      <c r="I98" s="80"/>
      <c r="J98" s="80"/>
      <c r="K98" s="80"/>
      <c r="L98" s="80"/>
      <c r="M98" s="80"/>
      <c r="N98" s="80"/>
      <c r="O98" s="80"/>
    </row>
    <row r="99" spans="3:15" x14ac:dyDescent="0.25">
      <c r="C99" s="80"/>
      <c r="D99" s="80"/>
      <c r="E99" s="80"/>
      <c r="F99" s="80"/>
      <c r="G99" s="80"/>
      <c r="H99" s="80"/>
      <c r="I99" s="80"/>
      <c r="J99" s="80"/>
      <c r="K99" s="80"/>
      <c r="L99" s="80"/>
      <c r="M99" s="80"/>
      <c r="N99" s="80"/>
      <c r="O99" s="80"/>
    </row>
    <row r="100" spans="3:15" x14ac:dyDescent="0.25">
      <c r="C100" s="80"/>
      <c r="D100" s="80"/>
      <c r="E100" s="80"/>
      <c r="F100" s="80"/>
      <c r="G100" s="80"/>
      <c r="H100" s="80"/>
      <c r="I100" s="80"/>
      <c r="J100" s="80"/>
      <c r="K100" s="80"/>
      <c r="L100" s="80"/>
      <c r="M100" s="80"/>
      <c r="N100" s="80"/>
      <c r="O100" s="80"/>
    </row>
    <row r="101" spans="3:15" x14ac:dyDescent="0.25">
      <c r="C101" s="80"/>
      <c r="D101" s="80"/>
      <c r="E101" s="80"/>
      <c r="F101" s="80"/>
      <c r="G101" s="80"/>
      <c r="H101" s="80"/>
      <c r="I101" s="80"/>
      <c r="J101" s="80"/>
      <c r="K101" s="80"/>
      <c r="L101" s="80"/>
      <c r="M101" s="80"/>
      <c r="N101" s="80"/>
      <c r="O101" s="80"/>
    </row>
    <row r="102" spans="3:15" x14ac:dyDescent="0.25">
      <c r="C102" s="80"/>
      <c r="D102" s="80"/>
      <c r="E102" s="80"/>
      <c r="F102" s="80"/>
      <c r="G102" s="80"/>
      <c r="H102" s="80"/>
      <c r="I102" s="80"/>
      <c r="J102" s="80"/>
      <c r="K102" s="80"/>
      <c r="L102" s="80"/>
      <c r="M102" s="80"/>
      <c r="N102" s="80"/>
      <c r="O102" s="80"/>
    </row>
    <row r="103" spans="3:15" x14ac:dyDescent="0.25">
      <c r="C103" s="80"/>
      <c r="D103" s="80"/>
      <c r="E103" s="80"/>
      <c r="F103" s="80"/>
      <c r="G103" s="80"/>
      <c r="H103" s="80"/>
      <c r="I103" s="80"/>
      <c r="J103" s="80"/>
      <c r="K103" s="80"/>
      <c r="L103" s="80"/>
      <c r="M103" s="80"/>
      <c r="N103" s="80"/>
      <c r="O103" s="80"/>
    </row>
    <row r="104" spans="3:15" x14ac:dyDescent="0.25">
      <c r="C104" s="80"/>
      <c r="D104" s="80"/>
      <c r="E104" s="80"/>
      <c r="F104" s="80"/>
      <c r="G104" s="80"/>
      <c r="H104" s="80"/>
      <c r="I104" s="80"/>
      <c r="J104" s="80"/>
      <c r="K104" s="80"/>
      <c r="L104" s="80"/>
      <c r="M104" s="80"/>
      <c r="N104" s="80"/>
      <c r="O104" s="80"/>
    </row>
    <row r="105" spans="3:15" x14ac:dyDescent="0.25">
      <c r="C105" s="80"/>
      <c r="D105" s="80"/>
      <c r="E105" s="80"/>
      <c r="F105" s="80"/>
      <c r="G105" s="80"/>
      <c r="H105" s="80"/>
      <c r="I105" s="80"/>
      <c r="J105" s="80"/>
      <c r="K105" s="80"/>
      <c r="L105" s="80"/>
      <c r="M105" s="80"/>
      <c r="N105" s="80"/>
      <c r="O105" s="80"/>
    </row>
    <row r="106" spans="3:15" x14ac:dyDescent="0.25">
      <c r="C106" s="80"/>
      <c r="D106" s="80"/>
      <c r="E106" s="80"/>
      <c r="F106" s="80"/>
      <c r="G106" s="80"/>
      <c r="H106" s="80"/>
      <c r="I106" s="80"/>
      <c r="J106" s="80"/>
      <c r="K106" s="80"/>
      <c r="L106" s="80"/>
      <c r="M106" s="80"/>
      <c r="N106" s="80"/>
      <c r="O106" s="80"/>
    </row>
    <row r="107" spans="3:15" x14ac:dyDescent="0.25">
      <c r="C107" s="80"/>
      <c r="D107" s="80"/>
      <c r="E107" s="80"/>
      <c r="F107" s="80"/>
      <c r="G107" s="80"/>
      <c r="H107" s="80"/>
      <c r="I107" s="80"/>
      <c r="J107" s="80"/>
      <c r="K107" s="80"/>
      <c r="L107" s="80"/>
      <c r="M107" s="80"/>
      <c r="N107" s="80"/>
      <c r="O107" s="80"/>
    </row>
    <row r="108" spans="3:15" x14ac:dyDescent="0.25">
      <c r="C108" s="80"/>
      <c r="D108" s="80"/>
      <c r="E108" s="80"/>
      <c r="F108" s="80"/>
      <c r="G108" s="80"/>
      <c r="H108" s="80"/>
      <c r="I108" s="80"/>
      <c r="J108" s="80"/>
      <c r="K108" s="80"/>
      <c r="L108" s="80"/>
      <c r="M108" s="80"/>
      <c r="N108" s="80"/>
      <c r="O108" s="80"/>
    </row>
    <row r="109" spans="3:15" x14ac:dyDescent="0.25">
      <c r="C109" s="80"/>
      <c r="D109" s="80"/>
      <c r="E109" s="80"/>
      <c r="F109" s="80"/>
      <c r="G109" s="80"/>
      <c r="H109" s="80"/>
      <c r="I109" s="80"/>
      <c r="J109" s="80"/>
      <c r="K109" s="80"/>
      <c r="L109" s="80"/>
      <c r="M109" s="80"/>
      <c r="N109" s="80"/>
      <c r="O109" s="80"/>
    </row>
    <row r="110" spans="3:15" x14ac:dyDescent="0.25">
      <c r="C110" s="80"/>
      <c r="D110" s="80"/>
      <c r="E110" s="80"/>
      <c r="F110" s="80"/>
      <c r="G110" s="80"/>
      <c r="H110" s="80"/>
      <c r="I110" s="80"/>
      <c r="J110" s="80"/>
      <c r="K110" s="80"/>
      <c r="L110" s="80"/>
      <c r="M110" s="80"/>
      <c r="N110" s="80"/>
      <c r="O110" s="80"/>
    </row>
    <row r="111" spans="3:15" x14ac:dyDescent="0.25">
      <c r="C111" s="80"/>
      <c r="D111" s="80"/>
      <c r="E111" s="80"/>
      <c r="F111" s="80"/>
      <c r="G111" s="80"/>
      <c r="H111" s="80"/>
      <c r="I111" s="80"/>
      <c r="J111" s="80"/>
      <c r="K111" s="80"/>
      <c r="L111" s="80"/>
      <c r="M111" s="80"/>
      <c r="N111" s="80"/>
      <c r="O111" s="80"/>
    </row>
  </sheetData>
  <mergeCells count="3">
    <mergeCell ref="B1:B5"/>
    <mergeCell ref="C1:L5"/>
    <mergeCell ref="P1:P5"/>
  </mergeCells>
  <conditionalFormatting sqref="B73">
    <cfRule type="cellIs" dxfId="20" priority="10" operator="greaterThan">
      <formula>60</formula>
    </cfRule>
  </conditionalFormatting>
  <conditionalFormatting sqref="C10:P10">
    <cfRule type="cellIs" dxfId="19" priority="6" operator="equal">
      <formula>"NO CUMPLE"</formula>
    </cfRule>
  </conditionalFormatting>
  <conditionalFormatting sqref="C69:P69">
    <cfRule type="expression" dxfId="18" priority="9">
      <formula>YEAR(C69)=2022</formula>
    </cfRule>
  </conditionalFormatting>
  <conditionalFormatting sqref="C72:P72">
    <cfRule type="cellIs" dxfId="17" priority="8" operator="greaterThan">
      <formula>$B$73</formula>
    </cfRule>
  </conditionalFormatting>
  <conditionalFormatting sqref="D41:F41">
    <cfRule type="cellIs" dxfId="16" priority="4" operator="equal">
      <formula>"NO HABILITADO"</formula>
    </cfRule>
  </conditionalFormatting>
  <conditionalFormatting sqref="F41 I41 L41:M41 P41">
    <cfRule type="cellIs" dxfId="15" priority="5" operator="equal">
      <formula>"DEBE SUBSANAR"</formula>
    </cfRule>
  </conditionalFormatting>
  <conditionalFormatting sqref="H41:I41">
    <cfRule type="cellIs" dxfId="14" priority="3" operator="equal">
      <formula>"NO HABILITADO"</formula>
    </cfRule>
  </conditionalFormatting>
  <conditionalFormatting sqref="K41:M41">
    <cfRule type="cellIs" dxfId="13" priority="2" operator="equal">
      <formula>"NO HABILITADO"</formula>
    </cfRule>
  </conditionalFormatting>
  <conditionalFormatting sqref="O41:P41">
    <cfRule type="cellIs" dxfId="12" priority="1" operator="equal">
      <formula>"NO HABILITADO"</formula>
    </cfRule>
  </conditionalFormatting>
  <dataValidations count="1">
    <dataValidation type="list" allowBlank="1" showInputMessage="1" showErrorMessage="1" sqref="C74:P74" xr:uid="{8ACF362C-C602-47E2-9C3E-5358A830C7D4}">
      <formula1>$R$21:$S$21</formula1>
    </dataValidation>
  </dataValidations>
  <printOptions horizontalCentered="1" verticalCentered="1"/>
  <pageMargins left="0.19685039370078741" right="0.19685039370078741" top="0.15748031496062992" bottom="0.15748031496062992" header="0.31496062992125984" footer="0.31496062992125984"/>
  <pageSetup paperSize="256" scale="46" orientation="landscape" r:id="rId1"/>
  <ignoredErrors>
    <ignoredError sqref="F10 F17 I10 I17 L10 L17" formula="1"/>
    <ignoredError sqref="P11:P16 P18:P19" formulaRange="1"/>
    <ignoredError sqref="P17" formula="1" formulaRange="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C9CAA-E474-448E-ABB4-7F36E75AEE5E}">
  <sheetPr>
    <pageSetUpPr fitToPage="1"/>
  </sheetPr>
  <dimension ref="A1:R111"/>
  <sheetViews>
    <sheetView showGridLines="0" zoomScale="90" zoomScaleNormal="90" zoomScalePageLayoutView="90" workbookViewId="0"/>
  </sheetViews>
  <sheetFormatPr baseColWidth="10" defaultColWidth="18.7109375" defaultRowHeight="15" x14ac:dyDescent="0.25"/>
  <cols>
    <col min="1" max="1" width="1.42578125" style="1" customWidth="1"/>
    <col min="2" max="2" width="57.28515625" style="1" customWidth="1"/>
    <col min="3" max="14" width="29.7109375" style="1" customWidth="1"/>
    <col min="15" max="15" width="21.5703125" style="1" bestFit="1" customWidth="1"/>
    <col min="16" max="16" width="18.7109375" style="1"/>
    <col min="17" max="17" width="18.7109375" style="1" customWidth="1"/>
    <col min="18" max="16384" width="18.7109375" style="1"/>
  </cols>
  <sheetData>
    <row r="1" spans="1:17" ht="18" customHeight="1" x14ac:dyDescent="0.25">
      <c r="B1" s="222"/>
      <c r="C1" s="224" t="s">
        <v>60</v>
      </c>
      <c r="D1" s="225"/>
      <c r="E1" s="225"/>
      <c r="F1" s="225"/>
      <c r="G1" s="225"/>
      <c r="H1" s="225"/>
      <c r="I1" s="225"/>
      <c r="J1" s="182"/>
      <c r="K1" s="182"/>
      <c r="L1" s="182"/>
      <c r="M1" s="182"/>
      <c r="N1" s="230" t="s">
        <v>0</v>
      </c>
    </row>
    <row r="2" spans="1:17" ht="18" customHeight="1" x14ac:dyDescent="0.25">
      <c r="B2" s="223"/>
      <c r="C2" s="226"/>
      <c r="D2" s="227"/>
      <c r="E2" s="227"/>
      <c r="F2" s="227"/>
      <c r="G2" s="227"/>
      <c r="H2" s="227"/>
      <c r="I2" s="227"/>
      <c r="J2" s="183"/>
      <c r="K2" s="183"/>
      <c r="L2" s="183"/>
      <c r="M2" s="183"/>
      <c r="N2" s="231"/>
    </row>
    <row r="3" spans="1:17" ht="18" customHeight="1" x14ac:dyDescent="0.25">
      <c r="B3" s="223"/>
      <c r="C3" s="226"/>
      <c r="D3" s="227"/>
      <c r="E3" s="227"/>
      <c r="F3" s="227"/>
      <c r="G3" s="227"/>
      <c r="H3" s="227"/>
      <c r="I3" s="227"/>
      <c r="J3" s="183"/>
      <c r="K3" s="183"/>
      <c r="L3" s="183"/>
      <c r="M3" s="183"/>
      <c r="N3" s="231"/>
    </row>
    <row r="4" spans="1:17" ht="18" customHeight="1" x14ac:dyDescent="0.25">
      <c r="B4" s="223"/>
      <c r="C4" s="226"/>
      <c r="D4" s="227"/>
      <c r="E4" s="227"/>
      <c r="F4" s="227"/>
      <c r="G4" s="227"/>
      <c r="H4" s="227"/>
      <c r="I4" s="227"/>
      <c r="J4" s="183"/>
      <c r="K4" s="183"/>
      <c r="L4" s="183"/>
      <c r="M4" s="183"/>
      <c r="N4" s="231"/>
    </row>
    <row r="5" spans="1:17" ht="18" customHeight="1" x14ac:dyDescent="0.25">
      <c r="B5" s="223"/>
      <c r="C5" s="228"/>
      <c r="D5" s="229"/>
      <c r="E5" s="229"/>
      <c r="F5" s="229"/>
      <c r="G5" s="229"/>
      <c r="H5" s="229"/>
      <c r="I5" s="229"/>
      <c r="J5" s="184"/>
      <c r="K5" s="184"/>
      <c r="L5" s="184"/>
      <c r="M5" s="184"/>
      <c r="N5" s="232"/>
    </row>
    <row r="6" spans="1:17" ht="61.5" customHeight="1" x14ac:dyDescent="0.25">
      <c r="B6" s="25" t="s">
        <v>70</v>
      </c>
      <c r="C6" s="26"/>
      <c r="D6" s="26"/>
      <c r="E6" s="26"/>
      <c r="F6" s="26"/>
      <c r="G6" s="26"/>
      <c r="H6" s="26"/>
      <c r="I6" s="26"/>
      <c r="J6" s="26"/>
      <c r="K6" s="26"/>
      <c r="L6" s="26"/>
      <c r="M6" s="26"/>
      <c r="N6" s="27"/>
    </row>
    <row r="7" spans="1:17" ht="78.75" x14ac:dyDescent="0.25">
      <c r="B7" s="155" t="s">
        <v>1</v>
      </c>
      <c r="C7" s="63" t="s">
        <v>186</v>
      </c>
      <c r="D7" s="63" t="s">
        <v>167</v>
      </c>
      <c r="E7" s="63" t="s">
        <v>168</v>
      </c>
      <c r="F7" s="63" t="s">
        <v>169</v>
      </c>
      <c r="G7" s="63" t="s">
        <v>170</v>
      </c>
      <c r="H7" s="63" t="s">
        <v>171</v>
      </c>
      <c r="I7" s="63" t="s">
        <v>172</v>
      </c>
      <c r="J7" s="63" t="s">
        <v>173</v>
      </c>
      <c r="K7" s="63" t="s">
        <v>174</v>
      </c>
      <c r="L7" s="63" t="s">
        <v>176</v>
      </c>
      <c r="M7" s="63" t="s">
        <v>177</v>
      </c>
      <c r="N7" s="101" t="s">
        <v>178</v>
      </c>
      <c r="P7" s="43" t="s">
        <v>2</v>
      </c>
    </row>
    <row r="8" spans="1:17" s="3" customFormat="1" ht="15.75" x14ac:dyDescent="0.25">
      <c r="A8" s="2"/>
      <c r="B8" s="154" t="s">
        <v>3</v>
      </c>
      <c r="C8" s="8">
        <f>'6. Oferentes 34 a 38'!P8+1</f>
        <v>39</v>
      </c>
      <c r="D8" s="202" t="s">
        <v>68</v>
      </c>
      <c r="E8" s="202" t="s">
        <v>69</v>
      </c>
      <c r="F8" s="8">
        <f>C8+1</f>
        <v>40</v>
      </c>
      <c r="G8" s="8">
        <f t="shared" ref="G8" si="0">F8+1</f>
        <v>41</v>
      </c>
      <c r="H8" s="8">
        <f t="shared" ref="H8" si="1">G8+1</f>
        <v>42</v>
      </c>
      <c r="I8" s="8">
        <f t="shared" ref="I8" si="2">H8+1</f>
        <v>43</v>
      </c>
      <c r="J8" s="202" t="s">
        <v>68</v>
      </c>
      <c r="K8" s="202" t="s">
        <v>69</v>
      </c>
      <c r="L8" s="8">
        <f>I8+1</f>
        <v>44</v>
      </c>
      <c r="M8" s="8">
        <f>L8+1</f>
        <v>45</v>
      </c>
      <c r="N8" s="150">
        <f>M8+1</f>
        <v>46</v>
      </c>
      <c r="Q8" s="1"/>
    </row>
    <row r="9" spans="1:17" s="3" customFormat="1" ht="31.5" x14ac:dyDescent="0.25">
      <c r="B9" s="35" t="s">
        <v>4</v>
      </c>
      <c r="C9" s="39" t="s">
        <v>5</v>
      </c>
      <c r="D9" s="39" t="s">
        <v>5</v>
      </c>
      <c r="E9" s="39" t="s">
        <v>5</v>
      </c>
      <c r="F9" s="39" t="s">
        <v>5</v>
      </c>
      <c r="G9" s="39" t="s">
        <v>5</v>
      </c>
      <c r="H9" s="39" t="s">
        <v>5</v>
      </c>
      <c r="I9" s="39" t="s">
        <v>5</v>
      </c>
      <c r="J9" s="39" t="s">
        <v>5</v>
      </c>
      <c r="K9" s="39" t="s">
        <v>175</v>
      </c>
      <c r="L9" s="39" t="s">
        <v>5</v>
      </c>
      <c r="M9" s="39" t="s">
        <v>5</v>
      </c>
      <c r="N9" s="102" t="s">
        <v>5</v>
      </c>
      <c r="Q9" s="1"/>
    </row>
    <row r="10" spans="1:17" s="3" customFormat="1" ht="20.100000000000001" customHeight="1" x14ac:dyDescent="0.25">
      <c r="B10" s="35" t="s">
        <v>63</v>
      </c>
      <c r="C10" s="24" t="str">
        <f t="shared" ref="C10:G10" si="3">IF(C72&lt;=$B$73,"CUMPLE","NO CUMPLE")</f>
        <v>CUMPLE</v>
      </c>
      <c r="D10" s="24" t="str">
        <f t="shared" ref="D10:E10" si="4">IF(D72&lt;=$B$73,"CUMPLE","NO CUMPLE")</f>
        <v>CUMPLE</v>
      </c>
      <c r="E10" s="24" t="str">
        <f t="shared" si="4"/>
        <v>CUMPLE</v>
      </c>
      <c r="F10" s="24" t="str">
        <f>IF(COUNTIF(D10:E10,"NO CUMPLE")&gt;=1,"NO CUMPLE","CUMPLE")</f>
        <v>CUMPLE</v>
      </c>
      <c r="G10" s="24" t="str">
        <f t="shared" si="3"/>
        <v>CUMPLE</v>
      </c>
      <c r="H10" s="24" t="str">
        <f t="shared" ref="H10:I10" si="5">IF(H72&lt;=$B$73,"CUMPLE","NO CUMPLE")</f>
        <v>CUMPLE</v>
      </c>
      <c r="I10" s="24" t="str">
        <f t="shared" si="5"/>
        <v>CUMPLE</v>
      </c>
      <c r="J10" s="24" t="str">
        <f t="shared" ref="J10:K10" si="6">IF(J72&lt;=$B$73,"CUMPLE","NO CUMPLE")</f>
        <v>CUMPLE</v>
      </c>
      <c r="K10" s="24" t="str">
        <f t="shared" si="6"/>
        <v>CUMPLE</v>
      </c>
      <c r="L10" s="24" t="str">
        <f>IF(COUNTIF(J10:K10,"NO CUMPLE")&gt;=1,"NO CUMPLE","CUMPLE")</f>
        <v>CUMPLE</v>
      </c>
      <c r="M10" s="24" t="str">
        <f>IF(COUNTIF(K10:L10,"NO CUMPLE")&gt;=1,"NO CUMPLE","CUMPLE")</f>
        <v>CUMPLE</v>
      </c>
      <c r="N10" s="103" t="str">
        <f t="shared" ref="N10" si="7">IF(N72&lt;=$B$73,"CUMPLE","NO CUMPLE")</f>
        <v>CUMPLE</v>
      </c>
      <c r="Q10" s="1"/>
    </row>
    <row r="11" spans="1:17" s="3" customFormat="1" ht="20.100000000000001" customHeight="1" x14ac:dyDescent="0.25">
      <c r="B11" s="22" t="s">
        <v>6</v>
      </c>
      <c r="C11" s="10">
        <v>1</v>
      </c>
      <c r="D11" s="190">
        <v>0.1</v>
      </c>
      <c r="E11" s="190">
        <v>0.9</v>
      </c>
      <c r="F11" s="10">
        <f>SUM(D11:E11)</f>
        <v>1</v>
      </c>
      <c r="G11" s="10">
        <v>1</v>
      </c>
      <c r="H11" s="10">
        <v>1</v>
      </c>
      <c r="I11" s="10">
        <v>1</v>
      </c>
      <c r="J11" s="190">
        <v>0.1</v>
      </c>
      <c r="K11" s="190">
        <v>0.9</v>
      </c>
      <c r="L11" s="10">
        <f>SUM(J11:K11)</f>
        <v>1</v>
      </c>
      <c r="M11" s="10">
        <v>1</v>
      </c>
      <c r="N11" s="99">
        <v>1</v>
      </c>
      <c r="Q11" s="1"/>
    </row>
    <row r="12" spans="1:17" s="3" customFormat="1" ht="20.100000000000001" customHeight="1" x14ac:dyDescent="0.25">
      <c r="B12" s="22" t="s">
        <v>7</v>
      </c>
      <c r="C12" s="161">
        <v>4053178262</v>
      </c>
      <c r="D12" s="191">
        <v>20938000000</v>
      </c>
      <c r="E12" s="191">
        <v>156000000</v>
      </c>
      <c r="F12" s="161">
        <f t="shared" ref="F12:F19" si="8">SUM(D12:E12)</f>
        <v>21094000000</v>
      </c>
      <c r="G12" s="161">
        <v>3702325000</v>
      </c>
      <c r="H12" s="161">
        <v>1039633547</v>
      </c>
      <c r="I12" s="161">
        <v>888655443</v>
      </c>
      <c r="J12" s="191">
        <v>4299166970</v>
      </c>
      <c r="K12" s="191">
        <v>5000000</v>
      </c>
      <c r="L12" s="161">
        <f t="shared" ref="L12:L19" si="9">SUM(J12:K12)</f>
        <v>4304166970</v>
      </c>
      <c r="M12" s="161">
        <v>1612644406</v>
      </c>
      <c r="N12" s="162">
        <v>3716747870</v>
      </c>
      <c r="Q12" s="1"/>
    </row>
    <row r="13" spans="1:17" s="3" customFormat="1" ht="20.100000000000001" customHeight="1" x14ac:dyDescent="0.25">
      <c r="B13" s="22" t="s">
        <v>8</v>
      </c>
      <c r="C13" s="161">
        <v>549506040</v>
      </c>
      <c r="D13" s="191">
        <v>35000000</v>
      </c>
      <c r="E13" s="191">
        <v>5000000</v>
      </c>
      <c r="F13" s="161">
        <f t="shared" si="8"/>
        <v>40000000</v>
      </c>
      <c r="G13" s="161">
        <v>190174000</v>
      </c>
      <c r="H13" s="161">
        <v>258108141</v>
      </c>
      <c r="I13" s="161">
        <v>290636404</v>
      </c>
      <c r="J13" s="191">
        <v>1428886836</v>
      </c>
      <c r="K13" s="191">
        <v>0</v>
      </c>
      <c r="L13" s="161">
        <f t="shared" si="9"/>
        <v>1428886836</v>
      </c>
      <c r="M13" s="161">
        <v>216341966</v>
      </c>
      <c r="N13" s="162">
        <v>653224689</v>
      </c>
      <c r="Q13" s="1"/>
    </row>
    <row r="14" spans="1:17" s="3" customFormat="1" ht="20.100000000000001" customHeight="1" x14ac:dyDescent="0.25">
      <c r="B14" s="22" t="s">
        <v>9</v>
      </c>
      <c r="C14" s="161">
        <v>4246324702</v>
      </c>
      <c r="D14" s="191">
        <v>21560500000</v>
      </c>
      <c r="E14" s="191">
        <v>178500000</v>
      </c>
      <c r="F14" s="161">
        <f t="shared" si="8"/>
        <v>21739000000</v>
      </c>
      <c r="G14" s="161">
        <v>3805911000</v>
      </c>
      <c r="H14" s="161">
        <v>1122566862</v>
      </c>
      <c r="I14" s="161">
        <v>944094638</v>
      </c>
      <c r="J14" s="191">
        <v>5020431758</v>
      </c>
      <c r="K14" s="191">
        <v>5000000</v>
      </c>
      <c r="L14" s="161">
        <f t="shared" si="9"/>
        <v>5025431758</v>
      </c>
      <c r="M14" s="161">
        <v>1612644406</v>
      </c>
      <c r="N14" s="162">
        <v>4008707373</v>
      </c>
      <c r="Q14" s="1"/>
    </row>
    <row r="15" spans="1:17" s="3" customFormat="1" ht="20.100000000000001" customHeight="1" x14ac:dyDescent="0.25">
      <c r="B15" s="22" t="s">
        <v>10</v>
      </c>
      <c r="C15" s="161">
        <v>624113342</v>
      </c>
      <c r="D15" s="191">
        <v>78100000</v>
      </c>
      <c r="E15" s="191">
        <v>5000000</v>
      </c>
      <c r="F15" s="161">
        <f t="shared" si="8"/>
        <v>83100000</v>
      </c>
      <c r="G15" s="161">
        <v>973015000</v>
      </c>
      <c r="H15" s="161">
        <v>303413464</v>
      </c>
      <c r="I15" s="161">
        <v>314626404</v>
      </c>
      <c r="J15" s="191">
        <v>1986085674</v>
      </c>
      <c r="K15" s="191">
        <v>0</v>
      </c>
      <c r="L15" s="161">
        <f t="shared" si="9"/>
        <v>1986085674</v>
      </c>
      <c r="M15" s="161">
        <v>676363423</v>
      </c>
      <c r="N15" s="162">
        <v>653224689</v>
      </c>
      <c r="Q15" s="1"/>
    </row>
    <row r="16" spans="1:17" s="3" customFormat="1" ht="20.100000000000001" customHeight="1" x14ac:dyDescent="0.25">
      <c r="B16" s="22" t="s">
        <v>11</v>
      </c>
      <c r="C16" s="161">
        <v>3622211360</v>
      </c>
      <c r="D16" s="191">
        <v>21482400000</v>
      </c>
      <c r="E16" s="191">
        <v>173500000</v>
      </c>
      <c r="F16" s="161">
        <f t="shared" si="8"/>
        <v>21655900000</v>
      </c>
      <c r="G16" s="161">
        <v>2832896000</v>
      </c>
      <c r="H16" s="161">
        <v>819153398</v>
      </c>
      <c r="I16" s="161">
        <v>629468234</v>
      </c>
      <c r="J16" s="191">
        <v>3034346084</v>
      </c>
      <c r="K16" s="191">
        <v>5000000</v>
      </c>
      <c r="L16" s="161">
        <f t="shared" si="9"/>
        <v>3039346084</v>
      </c>
      <c r="M16" s="161">
        <v>936280983</v>
      </c>
      <c r="N16" s="162">
        <v>3355482684</v>
      </c>
      <c r="Q16" s="1"/>
    </row>
    <row r="17" spans="2:18" s="3" customFormat="1" ht="20.100000000000001" customHeight="1" x14ac:dyDescent="0.25">
      <c r="B17" s="22" t="s">
        <v>12</v>
      </c>
      <c r="C17" s="161">
        <f t="shared" ref="C17:N17" si="10">+C14-C15-C16</f>
        <v>0</v>
      </c>
      <c r="D17" s="161">
        <f t="shared" ref="D17:F17" si="11">+D14-D15-D16</f>
        <v>0</v>
      </c>
      <c r="E17" s="161">
        <f t="shared" si="11"/>
        <v>0</v>
      </c>
      <c r="F17" s="161">
        <f t="shared" si="11"/>
        <v>0</v>
      </c>
      <c r="G17" s="161">
        <f t="shared" si="10"/>
        <v>0</v>
      </c>
      <c r="H17" s="161">
        <f t="shared" ref="H17:I17" si="12">+H14-H15-H16</f>
        <v>0</v>
      </c>
      <c r="I17" s="161">
        <f t="shared" si="12"/>
        <v>0</v>
      </c>
      <c r="J17" s="161">
        <f t="shared" si="10"/>
        <v>0</v>
      </c>
      <c r="K17" s="161">
        <f t="shared" si="10"/>
        <v>0</v>
      </c>
      <c r="L17" s="161">
        <f t="shared" si="10"/>
        <v>0</v>
      </c>
      <c r="M17" s="161">
        <f t="shared" ref="M17" si="13">+M14-M15-M16</f>
        <v>0</v>
      </c>
      <c r="N17" s="162">
        <f t="shared" si="10"/>
        <v>0</v>
      </c>
      <c r="Q17" s="1"/>
    </row>
    <row r="18" spans="2:18" s="3" customFormat="1" ht="20.100000000000001" customHeight="1" x14ac:dyDescent="0.25">
      <c r="B18" s="22" t="s">
        <v>13</v>
      </c>
      <c r="C18" s="161">
        <v>539143304</v>
      </c>
      <c r="D18" s="161">
        <v>8698000190</v>
      </c>
      <c r="E18" s="161">
        <v>62000000</v>
      </c>
      <c r="F18" s="161">
        <f t="shared" si="8"/>
        <v>8760000190</v>
      </c>
      <c r="G18" s="161">
        <v>85671000</v>
      </c>
      <c r="H18" s="161">
        <v>158981510</v>
      </c>
      <c r="I18" s="161">
        <v>168664492</v>
      </c>
      <c r="J18" s="161">
        <v>709065789</v>
      </c>
      <c r="K18" s="161">
        <v>0</v>
      </c>
      <c r="L18" s="161">
        <f t="shared" si="9"/>
        <v>709065789</v>
      </c>
      <c r="M18" s="161">
        <v>209840609</v>
      </c>
      <c r="N18" s="162">
        <v>361807081</v>
      </c>
      <c r="Q18" s="1"/>
    </row>
    <row r="19" spans="2:18" s="3" customFormat="1" ht="20.100000000000001" customHeight="1" x14ac:dyDescent="0.25">
      <c r="B19" s="22" t="s">
        <v>14</v>
      </c>
      <c r="C19" s="161">
        <v>1404258</v>
      </c>
      <c r="D19" s="161">
        <v>1000000</v>
      </c>
      <c r="E19" s="161">
        <v>0</v>
      </c>
      <c r="F19" s="161">
        <f t="shared" si="8"/>
        <v>1000000</v>
      </c>
      <c r="G19" s="161">
        <v>21903000</v>
      </c>
      <c r="H19" s="161">
        <v>387000</v>
      </c>
      <c r="I19" s="161">
        <v>0</v>
      </c>
      <c r="J19" s="161">
        <v>113761973</v>
      </c>
      <c r="K19" s="161">
        <v>0</v>
      </c>
      <c r="L19" s="161">
        <f t="shared" si="9"/>
        <v>113761973</v>
      </c>
      <c r="M19" s="161">
        <v>183000</v>
      </c>
      <c r="N19" s="162">
        <v>0</v>
      </c>
      <c r="Q19" s="1"/>
    </row>
    <row r="20" spans="2:18" s="3" customFormat="1" ht="31.5" x14ac:dyDescent="0.25">
      <c r="B20" s="35" t="s">
        <v>15</v>
      </c>
      <c r="C20" s="28">
        <f t="shared" ref="C20:N20" si="14">IFERROR((C18/C16),"-")</f>
        <v>0.14884368978402188</v>
      </c>
      <c r="D20" s="28">
        <f t="shared" ref="D20:F20" si="15">IFERROR((D18/D16),"-")</f>
        <v>0.40488959287602877</v>
      </c>
      <c r="E20" s="28">
        <f t="shared" si="15"/>
        <v>0.35734870317002881</v>
      </c>
      <c r="F20" s="28">
        <f t="shared" si="15"/>
        <v>0.40450871079013112</v>
      </c>
      <c r="G20" s="28">
        <f t="shared" si="14"/>
        <v>3.024149139255377E-2</v>
      </c>
      <c r="H20" s="28">
        <f t="shared" ref="H20:I20" si="16">IFERROR((H18/H16),"-")</f>
        <v>0.19408026675853451</v>
      </c>
      <c r="I20" s="28">
        <f t="shared" si="16"/>
        <v>0.26794758319766143</v>
      </c>
      <c r="J20" s="28">
        <f t="shared" si="14"/>
        <v>0.23367993279964963</v>
      </c>
      <c r="K20" s="28">
        <f t="shared" si="14"/>
        <v>0</v>
      </c>
      <c r="L20" s="28">
        <f t="shared" si="14"/>
        <v>0.23329550811364594</v>
      </c>
      <c r="M20" s="28">
        <f t="shared" ref="M20" si="17">IFERROR((M18/M16),"-")</f>
        <v>0.22412140458907515</v>
      </c>
      <c r="N20" s="167">
        <f t="shared" si="14"/>
        <v>0.10782564390071518</v>
      </c>
      <c r="Q20" s="1"/>
    </row>
    <row r="21" spans="2:18" s="3" customFormat="1" ht="31.5" x14ac:dyDescent="0.2">
      <c r="B21" s="35" t="s">
        <v>16</v>
      </c>
      <c r="C21" s="28">
        <f t="shared" ref="C21:N21" si="18">IFERROR((C18/C14),"-")</f>
        <v>0.12696704605421857</v>
      </c>
      <c r="D21" s="28">
        <f t="shared" ref="D21:F21" si="19">IFERROR((D18/D14),"-")</f>
        <v>0.40342293499686926</v>
      </c>
      <c r="E21" s="28">
        <f t="shared" si="19"/>
        <v>0.34733893557422968</v>
      </c>
      <c r="F21" s="28">
        <f t="shared" si="19"/>
        <v>0.4029624265145591</v>
      </c>
      <c r="G21" s="28">
        <f t="shared" si="18"/>
        <v>2.2509985125768836E-2</v>
      </c>
      <c r="H21" s="28">
        <f t="shared" ref="H21:I21" si="20">IFERROR((H18/H14),"-")</f>
        <v>0.14162319892175831</v>
      </c>
      <c r="I21" s="28">
        <f t="shared" si="20"/>
        <v>0.17865210246009255</v>
      </c>
      <c r="J21" s="28">
        <f t="shared" si="18"/>
        <v>0.14123601777279651</v>
      </c>
      <c r="K21" s="28">
        <f t="shared" si="18"/>
        <v>0</v>
      </c>
      <c r="L21" s="28">
        <f t="shared" si="18"/>
        <v>0.14109549649564657</v>
      </c>
      <c r="M21" s="28">
        <f t="shared" ref="M21" si="21">IFERROR((M18/M14),"-")</f>
        <v>0.13012205804284419</v>
      </c>
      <c r="N21" s="167">
        <f t="shared" si="18"/>
        <v>9.0255298612438778E-2</v>
      </c>
      <c r="P21" s="165" t="s">
        <v>77</v>
      </c>
      <c r="Q21" s="166" t="s">
        <v>78</v>
      </c>
      <c r="R21" s="91"/>
    </row>
    <row r="22" spans="2:18" s="3" customFormat="1" ht="15.75" x14ac:dyDescent="0.2">
      <c r="B22" s="11" t="s">
        <v>17</v>
      </c>
      <c r="C22" s="163">
        <f t="shared" ref="C22:N22" si="22">IF(C11=1,$P$22,"")</f>
        <v>344857484</v>
      </c>
      <c r="D22" s="163" t="str">
        <f t="shared" si="22"/>
        <v/>
      </c>
      <c r="E22" s="163" t="str">
        <f t="shared" si="22"/>
        <v/>
      </c>
      <c r="F22" s="163">
        <f t="shared" si="22"/>
        <v>344857484</v>
      </c>
      <c r="G22" s="163">
        <f t="shared" si="22"/>
        <v>344857484</v>
      </c>
      <c r="H22" s="163">
        <f t="shared" si="22"/>
        <v>344857484</v>
      </c>
      <c r="I22" s="163">
        <f t="shared" si="22"/>
        <v>344857484</v>
      </c>
      <c r="J22" s="163" t="str">
        <f t="shared" si="22"/>
        <v/>
      </c>
      <c r="K22" s="163" t="str">
        <f t="shared" si="22"/>
        <v/>
      </c>
      <c r="L22" s="163">
        <f t="shared" si="22"/>
        <v>344857484</v>
      </c>
      <c r="M22" s="163">
        <f t="shared" si="22"/>
        <v>344857484</v>
      </c>
      <c r="N22" s="164">
        <f t="shared" si="22"/>
        <v>344857484</v>
      </c>
      <c r="P22" s="42">
        <v>344857484</v>
      </c>
      <c r="Q22" s="42">
        <f>P22</f>
        <v>344857484</v>
      </c>
      <c r="R22" s="132"/>
    </row>
    <row r="23" spans="2:18" s="3" customFormat="1" ht="15.75" x14ac:dyDescent="0.2">
      <c r="B23" s="29" t="s">
        <v>18</v>
      </c>
      <c r="C23" s="30"/>
      <c r="D23" s="30"/>
      <c r="E23" s="30"/>
      <c r="F23" s="204"/>
      <c r="G23" s="30"/>
      <c r="H23" s="30"/>
      <c r="I23" s="30"/>
      <c r="J23" s="30"/>
      <c r="K23" s="30"/>
      <c r="L23" s="204"/>
      <c r="M23" s="204"/>
      <c r="N23" s="109"/>
      <c r="P23" s="173" t="s">
        <v>71</v>
      </c>
      <c r="Q23" s="90"/>
    </row>
    <row r="24" spans="2:18" s="3" customFormat="1" ht="15.75" x14ac:dyDescent="0.2">
      <c r="B24" s="12" t="s">
        <v>55</v>
      </c>
      <c r="C24" s="13"/>
      <c r="D24" s="192"/>
      <c r="E24" s="192"/>
      <c r="F24" s="13"/>
      <c r="G24" s="13"/>
      <c r="H24" s="13"/>
      <c r="I24" s="13"/>
      <c r="J24" s="192"/>
      <c r="K24" s="192"/>
      <c r="L24" s="13"/>
      <c r="M24" s="13"/>
      <c r="N24" s="168"/>
      <c r="P24" s="93">
        <v>1423500</v>
      </c>
      <c r="Q24" s="3" t="s">
        <v>58</v>
      </c>
    </row>
    <row r="25" spans="2:18" s="3" customFormat="1" ht="15.75" x14ac:dyDescent="0.2">
      <c r="B25" s="66" t="s">
        <v>62</v>
      </c>
      <c r="C25" s="60"/>
      <c r="D25" s="60"/>
      <c r="E25" s="60"/>
      <c r="F25" s="205"/>
      <c r="G25" s="60"/>
      <c r="H25" s="60"/>
      <c r="I25" s="60"/>
      <c r="J25" s="60"/>
      <c r="K25" s="60"/>
      <c r="L25" s="205"/>
      <c r="M25" s="205"/>
      <c r="N25" s="206"/>
      <c r="O25" s="203" t="s">
        <v>73</v>
      </c>
      <c r="P25" s="131">
        <f>Q22/P24</f>
        <v>242.26026273270108</v>
      </c>
      <c r="Q25" s="3" t="s">
        <v>74</v>
      </c>
      <c r="R25" s="3" t="s">
        <v>75</v>
      </c>
    </row>
    <row r="26" spans="2:18" s="3" customFormat="1" ht="15.75" x14ac:dyDescent="0.2">
      <c r="B26" s="29" t="s">
        <v>18</v>
      </c>
      <c r="C26" s="30"/>
      <c r="D26" s="30"/>
      <c r="E26" s="30"/>
      <c r="F26" s="204"/>
      <c r="G26" s="30"/>
      <c r="H26" s="30"/>
      <c r="I26" s="30"/>
      <c r="J26" s="30"/>
      <c r="K26" s="30"/>
      <c r="L26" s="204"/>
      <c r="M26" s="204"/>
      <c r="N26" s="109"/>
      <c r="P26" s="96" t="s">
        <v>59</v>
      </c>
      <c r="Q26" s="94" t="s">
        <v>72</v>
      </c>
    </row>
    <row r="27" spans="2:18" s="3" customFormat="1" ht="31.5" x14ac:dyDescent="0.2">
      <c r="B27" s="35" t="str">
        <f>CONCATENATE("Índice de Liquidez: ",CHAR(10),$P$21," ≥ ",P27," veces. ",IF($P$21=$Q$21,"",_xlfn.CONCAT($Q$21," ≥ ",Q27," veces.")))</f>
        <v>Índice de Liquidez: 
MiPyME ≥ 1,1 veces. Gran Empresa ≥ 1,2 veces.</v>
      </c>
      <c r="C27" s="14" t="str">
        <f>IFERROR(IF(C74=$P$21,IF(C28&gt;=$P$27,$B$24,$B$25),IF(C28&gt;=$Q$27,$B$24,$B$25)),"-")</f>
        <v>CUMPLE</v>
      </c>
      <c r="D27" s="216"/>
      <c r="E27" s="216"/>
      <c r="F27" s="14" t="str">
        <f>IFERROR(IF(F74=$P$21,IF(F28&gt;=$P$27,$B$24,$B$25),IF(F28&gt;=$Q$27,$B$24,$B$25)),"-")</f>
        <v>CUMPLE</v>
      </c>
      <c r="G27" s="14" t="str">
        <f>IFERROR(IF(G74=$P$21,IF(G28&gt;=$P$27,$B$24,$B$25),IF(G28&gt;=$Q$27,$B$24,$B$25)),"-")</f>
        <v>CUMPLE</v>
      </c>
      <c r="H27" s="14" t="str">
        <f>IFERROR(IF(H74=$P$21,IF(H28&gt;=$P$27,$B$24,$B$25),IF(H28&gt;=$Q$27,$B$24,$B$25)),"-")</f>
        <v>CUMPLE</v>
      </c>
      <c r="I27" s="14" t="str">
        <f>IFERROR(IF(I74=$P$21,IF(I28&gt;=$P$27,$B$24,$B$25),IF(I28&gt;=$Q$27,$B$24,$B$25)),"-")</f>
        <v>CUMPLE</v>
      </c>
      <c r="J27" s="216"/>
      <c r="K27" s="216"/>
      <c r="L27" s="14" t="str">
        <f>IFERROR(IF(L74=$P$21,IF(L28&gt;=$P$27,$B$24,$B$25),IF(L28&gt;=$Q$27,$B$24,$B$25)),"-")</f>
        <v>CUMPLE</v>
      </c>
      <c r="M27" s="14" t="str">
        <f>IFERROR(IF(M74=$P$21,IF(M28&gt;=$P$27,$B$24,$B$25),IF(M28&gt;=$Q$27,$B$24,$B$25)),"-")</f>
        <v>CUMPLE</v>
      </c>
      <c r="N27" s="104" t="str">
        <f>IFERROR(IF(N74=$P$21,IF(N28&gt;=$P$27,$B$24,$B$25),IF(N28&gt;=$Q$27,$B$24,$B$25)),"-")</f>
        <v>CUMPLE</v>
      </c>
      <c r="P27" s="40">
        <v>1.1000000000000001</v>
      </c>
      <c r="Q27" s="40">
        <v>1.2</v>
      </c>
    </row>
    <row r="28" spans="2:18" s="3" customFormat="1" ht="22.5" customHeight="1" x14ac:dyDescent="0.2">
      <c r="B28" s="156" t="s">
        <v>19</v>
      </c>
      <c r="C28" s="15">
        <f t="shared" ref="C28:G28" si="23">IFERROR(C12/C13,"-")</f>
        <v>7.3760395099569784</v>
      </c>
      <c r="D28" s="217"/>
      <c r="E28" s="217"/>
      <c r="F28" s="15">
        <f t="shared" ref="F28" si="24">IFERROR(F12/F13,"-")</f>
        <v>527.35</v>
      </c>
      <c r="G28" s="15">
        <f t="shared" si="23"/>
        <v>19.468092378558584</v>
      </c>
      <c r="H28" s="15">
        <f t="shared" ref="H28:I28" si="25">IFERROR(H12/H13,"-")</f>
        <v>4.027899092884482</v>
      </c>
      <c r="I28" s="15">
        <f t="shared" si="25"/>
        <v>3.0576191790481966</v>
      </c>
      <c r="J28" s="217"/>
      <c r="K28" s="217"/>
      <c r="L28" s="15">
        <f t="shared" ref="L28:N28" si="26">IFERROR(L12/L13,"-")</f>
        <v>3.0122518183798288</v>
      </c>
      <c r="M28" s="15">
        <f t="shared" si="26"/>
        <v>7.4541451010018092</v>
      </c>
      <c r="N28" s="105">
        <f t="shared" si="26"/>
        <v>5.6898459788619533</v>
      </c>
    </row>
    <row r="29" spans="2:18" s="3" customFormat="1" ht="31.5" x14ac:dyDescent="0.2">
      <c r="B29" s="35" t="str">
        <f>CONCATENATE("Endeudamiento total: ",CHAR(10),$P$21," ≤ ",TEXT(P29,"#0 %"),". ",IF($P$21=$Q$21,"",_xlfn.CONCAT($Q$21," ≤ ",TEXT(Q29,"#0 %."))))</f>
        <v>Endeudamiento total: 
MiPyME ≤ 65 %. Gran Empresa ≤ 65 %.</v>
      </c>
      <c r="C29" s="16" t="str">
        <f>IFERROR(IF(C74=$P$21,IF(C30&lt;=$P$29,$B$24,$B$25),IF(C30&lt;=$Q$29,$B$24,$B$25)),"-")</f>
        <v>CUMPLE</v>
      </c>
      <c r="D29" s="217"/>
      <c r="E29" s="217"/>
      <c r="F29" s="16" t="str">
        <f>IFERROR(IF(F74=$P$21,IF(F30&lt;=$P$29,$B$24,$B$25),IF(F30&lt;=$Q$29,$B$24,$B$25)),"-")</f>
        <v>CUMPLE</v>
      </c>
      <c r="G29" s="16" t="str">
        <f>IFERROR(IF(G74=$P$21,IF(G30&lt;=$P$29,$B$24,$B$25),IF(G30&lt;=$Q$29,$B$24,$B$25)),"-")</f>
        <v>CUMPLE</v>
      </c>
      <c r="H29" s="16" t="str">
        <f>IFERROR(IF(H74=$P$21,IF(H30&lt;=$P$29,$B$24,$B$25),IF(H30&lt;=$Q$29,$B$24,$B$25)),"-")</f>
        <v>CUMPLE</v>
      </c>
      <c r="I29" s="16" t="str">
        <f>IFERROR(IF(I74=$P$21,IF(I30&lt;=$P$29,$B$24,$B$25),IF(I30&lt;=$Q$29,$B$24,$B$25)),"-")</f>
        <v>CUMPLE</v>
      </c>
      <c r="J29" s="217"/>
      <c r="K29" s="217"/>
      <c r="L29" s="16" t="str">
        <f>IFERROR(IF(L74=$P$21,IF(L30&lt;=$P$29,$B$24,$B$25),IF(L30&lt;=$Q$29,$B$24,$B$25)),"-")</f>
        <v>CUMPLE</v>
      </c>
      <c r="M29" s="16" t="str">
        <f>IFERROR(IF(M74=$P$21,IF(M30&lt;=$P$29,$B$24,$B$25),IF(M30&lt;=$Q$29,$B$24,$B$25)),"-")</f>
        <v>CUMPLE</v>
      </c>
      <c r="N29" s="106" t="str">
        <f>IFERROR(IF(N74=$P$21,IF(N30&lt;=$P$29,$B$24,$B$25),IF(N30&lt;=$Q$29,$B$24,$B$25)),"-")</f>
        <v>CUMPLE</v>
      </c>
      <c r="P29" s="41">
        <v>0.65</v>
      </c>
      <c r="Q29" s="41">
        <v>0.65</v>
      </c>
    </row>
    <row r="30" spans="2:18" s="3" customFormat="1" ht="22.5" customHeight="1" x14ac:dyDescent="0.2">
      <c r="B30" s="157" t="s">
        <v>20</v>
      </c>
      <c r="C30" s="17">
        <f t="shared" ref="C30:G30" si="27">IFERROR(C15/C14,"-")</f>
        <v>0.14697730055971589</v>
      </c>
      <c r="D30" s="217"/>
      <c r="E30" s="217"/>
      <c r="F30" s="17">
        <f t="shared" ref="F30" si="28">IFERROR(F15/F14,"-")</f>
        <v>3.8226229357376145E-3</v>
      </c>
      <c r="G30" s="17">
        <f t="shared" si="27"/>
        <v>0.25565889480862797</v>
      </c>
      <c r="H30" s="17">
        <f t="shared" ref="H30:I30" si="29">IFERROR(H15/H14,"-")</f>
        <v>0.27028542732806948</v>
      </c>
      <c r="I30" s="17">
        <f t="shared" si="29"/>
        <v>0.33325727245577258</v>
      </c>
      <c r="J30" s="217"/>
      <c r="K30" s="217"/>
      <c r="L30" s="17">
        <f t="shared" ref="L30:N30" si="30">IFERROR(L15/L14,"-")</f>
        <v>0.3952069731796366</v>
      </c>
      <c r="M30" s="17">
        <f t="shared" si="30"/>
        <v>0.41941262468249307</v>
      </c>
      <c r="N30" s="107">
        <f t="shared" si="30"/>
        <v>0.16295145248058993</v>
      </c>
    </row>
    <row r="31" spans="2:18" s="3" customFormat="1" ht="47.25" x14ac:dyDescent="0.2">
      <c r="B31" s="35" t="str">
        <f>CONCATENATE("Razón de Cobertura de Intereses: ",CHAR(10),$P$21," ≥ ",P31," vez(ces) o Indet."," ",IF($P$21=$Q$21,"",_xlfn.CONCAT($Q$21," ≥ ",Q31," vez(ces) o Indet.")))</f>
        <v>Razón de Cobertura de Intereses: 
MiPyME ≥ 1,5 vez(ces) o Indet. Gran Empresa ≥ 1,5 vez(ces) o Indet.</v>
      </c>
      <c r="C31" s="16" t="str">
        <f>IFERROR(IF(C74=$P$21,IF(AND(C32="Indeterminado",C18&lt;=0),$B$25,IF(C32&gt;=$P$31,$B$24,$B$25)),IF(AND(C32="Indeterminado",C18&lt;=0),$B$25,IF(C32&gt;=$Q$31,$B$24,$B$25))),"-")</f>
        <v>CUMPLE</v>
      </c>
      <c r="D31" s="217"/>
      <c r="E31" s="217"/>
      <c r="F31" s="16" t="str">
        <f>IFERROR(IF(F74=$P$21,IF(AND(F32="Indeterminado",F18&lt;=0),$B$25,IF(F32&gt;=$P$31,$B$24,$B$25)),IF(AND(F32="Indeterminado",F18&lt;=0),$B$25,IF(F32&gt;=$Q$31,$B$24,$B$25))),"-")</f>
        <v>CUMPLE</v>
      </c>
      <c r="G31" s="16" t="str">
        <f>IFERROR(IF(G74=$P$21,IF(AND(G32="Indeterminado",G18&lt;=0),$B$25,IF(G32&gt;=$P$31,$B$24,$B$25)),IF(AND(G32="Indeterminado",G18&lt;=0),$B$25,IF(G32&gt;=$Q$31,$B$24,$B$25))),"-")</f>
        <v>CUMPLE</v>
      </c>
      <c r="H31" s="16" t="str">
        <f>IFERROR(IF(H74=$P$21,IF(AND(H32="Indeterminado",H18&lt;=0),$B$25,IF(H32&gt;=$P$31,$B$24,$B$25)),IF(AND(H32="Indeterminado",H18&lt;=0),$B$25,IF(H32&gt;=$Q$31,$B$24,$B$25))),"-")</f>
        <v>CUMPLE</v>
      </c>
      <c r="I31" s="16" t="str">
        <f>IFERROR(IF(I74=$P$21,IF(AND(I32="Indeterminado",I18&lt;=0),$B$25,IF(I32&gt;=$P$31,$B$24,$B$25)),IF(AND(I32="Indeterminado",I18&lt;=0),$B$25,IF(I32&gt;=$Q$31,$B$24,$B$25))),"-")</f>
        <v>CUMPLE</v>
      </c>
      <c r="J31" s="217"/>
      <c r="K31" s="217"/>
      <c r="L31" s="16" t="str">
        <f>IFERROR(IF(L74=$P$21,IF(AND(L32="Indeterminado",L18&lt;=0),$B$25,IF(L32&gt;=$P$31,$B$24,$B$25)),IF(AND(L32="Indeterminado",L18&lt;=0),$B$25,IF(L32&gt;=$Q$31,$B$24,$B$25))),"-")</f>
        <v>CUMPLE</v>
      </c>
      <c r="M31" s="16" t="str">
        <f>IFERROR(IF(M74=$P$21,IF(AND(M32="Indeterminado",M18&lt;=0),$B$25,IF(M32&gt;=$P$31,$B$24,$B$25)),IF(AND(M32="Indeterminado",M18&lt;=0),$B$25,IF(M32&gt;=$Q$31,$B$24,$B$25))),"-")</f>
        <v>CUMPLE</v>
      </c>
      <c r="N31" s="106" t="str">
        <f>IFERROR(IF(N74=$P$21,IF(AND(N32="Indeterminado",N18&lt;=0),$B$25,IF(N32&gt;=$P$31,$B$24,$B$25)),IF(AND(N32="Indeterminado",N18&lt;=0),$B$25,IF(N32&gt;=$Q$31,$B$24,$B$25))),"-")</f>
        <v>CUMPLE</v>
      </c>
      <c r="P31" s="40">
        <v>1.5</v>
      </c>
      <c r="Q31" s="40">
        <v>1.5</v>
      </c>
    </row>
    <row r="32" spans="2:18" s="3" customFormat="1" ht="22.5" customHeight="1" x14ac:dyDescent="0.2">
      <c r="B32" s="157" t="s">
        <v>21</v>
      </c>
      <c r="C32" s="37">
        <f t="shared" ref="C32:G32" si="31">IFERROR(C18/C19,"Indeterminado")</f>
        <v>383.93465018536477</v>
      </c>
      <c r="D32" s="218"/>
      <c r="E32" s="218"/>
      <c r="F32" s="37">
        <f t="shared" ref="F32" si="32">IFERROR(F18/F19,"Indeterminado")</f>
        <v>8760.0001900000007</v>
      </c>
      <c r="G32" s="37">
        <f t="shared" si="31"/>
        <v>3.9113820024654156</v>
      </c>
      <c r="H32" s="37">
        <f t="shared" ref="H32:I32" si="33">IFERROR(H18/H19,"Indeterminado")</f>
        <v>410.8049354005168</v>
      </c>
      <c r="I32" s="37" t="str">
        <f t="shared" si="33"/>
        <v>Indeterminado</v>
      </c>
      <c r="J32" s="218"/>
      <c r="K32" s="218"/>
      <c r="L32" s="37">
        <f t="shared" ref="L32:N32" si="34">IFERROR(L18/L19,"Indeterminado")</f>
        <v>6.232889341678348</v>
      </c>
      <c r="M32" s="37">
        <f t="shared" si="34"/>
        <v>1146.6699945355192</v>
      </c>
      <c r="N32" s="108" t="str">
        <f t="shared" si="34"/>
        <v>Indeterminado</v>
      </c>
    </row>
    <row r="33" spans="2:18" s="3" customFormat="1" ht="31.5" x14ac:dyDescent="0.2">
      <c r="B33" s="22" t="str">
        <f>CONCATENATE("Capital de trabajo:",CHAR(10),$P$21," ≥ ",TEXT(P33,"0 %")," del PO. ",IF($P$21=$Q$21,"",_xlfn.CONCAT($Q$21," ≥ ",TEXT(Q33,"0 %")," del PO.")))</f>
        <v>Capital de trabajo:
MiPyME ≥ 25 % del PO. Gran Empresa ≥ 25 % del PO.</v>
      </c>
      <c r="C33" s="16" t="str">
        <f>IFERROR(IF(C74=$P$21,IF(C34&gt;(C22*$P$33),$B$24,$B$25),IF(C34&gt;(C22*$Q$33),$B$24,$B$25)),"-")</f>
        <v>CUMPLE</v>
      </c>
      <c r="D33" s="216"/>
      <c r="E33" s="216"/>
      <c r="F33" s="16" t="str">
        <f>IFERROR(IF(F74=$P$21,IF(F34&gt;(F22*$P$33),$B$24,$B$25),IF(F34&gt;(F22*$Q$33),$B$24,$B$25)),"-")</f>
        <v>CUMPLE</v>
      </c>
      <c r="G33" s="16" t="str">
        <f>IFERROR(IF(G74=$P$21,IF(G34&gt;(G22*$P$33),$B$24,$B$25),IF(G34&gt;(G22*$Q$33),$B$24,$B$25)),"-")</f>
        <v>CUMPLE</v>
      </c>
      <c r="H33" s="16" t="str">
        <f>IFERROR(IF(H74=$P$21,IF(H34&gt;(H22*$P$33),$B$24,$B$25),IF(H34&gt;(H22*$Q$33),$B$24,$B$25)),"-")</f>
        <v>CUMPLE</v>
      </c>
      <c r="I33" s="16" t="str">
        <f>IFERROR(IF(I74=$P$21,IF(I34&gt;(I22*$P$33),$B$24,$B$25),IF(I34&gt;(I22*$Q$33),$B$24,$B$25)),"-")</f>
        <v>CUMPLE</v>
      </c>
      <c r="J33" s="216"/>
      <c r="K33" s="216"/>
      <c r="L33" s="16" t="str">
        <f>IFERROR(IF(L74=$P$21,IF(L34&gt;(L22*$P$33),$B$24,$B$25),IF(L34&gt;(L22*$Q$33),$B$24,$B$25)),"-")</f>
        <v>CUMPLE</v>
      </c>
      <c r="M33" s="16" t="str">
        <f>IFERROR(IF(M74=$P$21,IF(M34&gt;(M22*$P$33),$B$24,$B$25),IF(M34&gt;(M22*$Q$33),$B$24,$B$25)),"-")</f>
        <v>CUMPLE</v>
      </c>
      <c r="N33" s="106" t="str">
        <f>IFERROR(IF(N74=$P$21,IF(N34&gt;(N22*$P$33),$B$24,$B$25),IF(N34&gt;(N22*$Q$33),$B$24,$B$25)),"-")</f>
        <v>CUMPLE</v>
      </c>
      <c r="P33" s="44">
        <v>0.25</v>
      </c>
      <c r="Q33" s="44">
        <v>0.25</v>
      </c>
    </row>
    <row r="34" spans="2:18" s="4" customFormat="1" ht="22.5" customHeight="1" x14ac:dyDescent="0.2">
      <c r="B34" s="158" t="str">
        <f>CONCATENATE("CT = Activo Corriente - Pasivo Corriente ≥ ",TEXT((P22*P33),"$###.###.###.##0"))</f>
        <v>CT = Activo Corriente - Pasivo Corriente ≥ $86.214.371</v>
      </c>
      <c r="C34" s="161">
        <f t="shared" ref="C34:G34" si="35">IFERROR(C12-C13,"-")</f>
        <v>3503672222</v>
      </c>
      <c r="D34" s="217"/>
      <c r="E34" s="217"/>
      <c r="F34" s="161">
        <f t="shared" ref="F34" si="36">IFERROR(F12-F13,"-")</f>
        <v>21054000000</v>
      </c>
      <c r="G34" s="161">
        <f t="shared" si="35"/>
        <v>3512151000</v>
      </c>
      <c r="H34" s="161">
        <f t="shared" ref="H34:I34" si="37">IFERROR(H12-H13,"-")</f>
        <v>781525406</v>
      </c>
      <c r="I34" s="161">
        <f t="shared" si="37"/>
        <v>598019039</v>
      </c>
      <c r="J34" s="217"/>
      <c r="K34" s="217"/>
      <c r="L34" s="161">
        <f t="shared" ref="L34:N34" si="38">IFERROR(L12-L13,"-")</f>
        <v>2875280134</v>
      </c>
      <c r="M34" s="161">
        <f t="shared" si="38"/>
        <v>1396302440</v>
      </c>
      <c r="N34" s="162">
        <f t="shared" si="38"/>
        <v>3063523181</v>
      </c>
      <c r="O34" s="95"/>
      <c r="P34" s="92"/>
      <c r="Q34" s="92"/>
      <c r="R34" s="3"/>
    </row>
    <row r="35" spans="2:18" s="3" customFormat="1" ht="15.75" x14ac:dyDescent="0.2">
      <c r="B35" s="36" t="s">
        <v>22</v>
      </c>
      <c r="C35" s="38"/>
      <c r="D35" s="204"/>
      <c r="E35" s="204"/>
      <c r="F35" s="38"/>
      <c r="G35" s="38"/>
      <c r="H35" s="38"/>
      <c r="I35" s="38"/>
      <c r="J35" s="204"/>
      <c r="K35" s="204"/>
      <c r="L35" s="38"/>
      <c r="M35" s="38"/>
      <c r="N35" s="109"/>
      <c r="O35" s="96"/>
      <c r="P35" s="93"/>
      <c r="Q35" s="93"/>
      <c r="R35" s="94"/>
    </row>
    <row r="36" spans="2:18" s="3" customFormat="1" ht="15.75" x14ac:dyDescent="0.2">
      <c r="B36" s="18"/>
      <c r="C36" s="9"/>
      <c r="D36" s="216"/>
      <c r="E36" s="216"/>
      <c r="F36" s="9"/>
      <c r="G36" s="9"/>
      <c r="H36" s="9"/>
      <c r="I36" s="9"/>
      <c r="J36" s="216"/>
      <c r="K36" s="216"/>
      <c r="L36" s="9"/>
      <c r="M36" s="9"/>
      <c r="N36" s="110"/>
    </row>
    <row r="37" spans="2:18" s="3" customFormat="1" ht="31.5" x14ac:dyDescent="0.2">
      <c r="B37" s="35" t="str">
        <f>CONCATENATE("Indicador  Rentabilidad del Patrimonio",CHAR(10),$P$21," ≥ ",TEXT(P37,"#0 %. "),IF($P$21=$Q$21,"",_xlfn.CONCAT($Q$21," ≥ ",TEXT(Q37,"#0 %."))))</f>
        <v>Indicador  Rentabilidad del Patrimonio
MiPyME ≥ 2 %. Gran Empresa ≥ 4 %.</v>
      </c>
      <c r="C37" s="16" t="str">
        <f>IFERROR(IF((IF(C74=$P$21,IF(C38&gt;=$P$37,$B$24,$B$25),IF(C38&gt;=$Q$37,$B$24,$B$25)))="No hábil",IF(AND(C38&lt;0,C16&gt;0,C74="ESAL"),$B$24,$B$25),IF(C74=$P$21,IF(C38&gt;=$P$37,$B$24,$B$25),IF(C38&gt;=$Q$37,$B$24,$B$25))),"-")</f>
        <v>CUMPLE</v>
      </c>
      <c r="D37" s="217" t="s">
        <v>95</v>
      </c>
      <c r="E37" s="217" t="s">
        <v>95</v>
      </c>
      <c r="F37" s="16" t="str">
        <f>IFERROR(IF((IF(F74=$P$21,IF(F38&gt;=$P$37,$B$24,$B$25),IF(F38&gt;=$Q$37,$B$24,$B$25)))="No hábil",IF(AND(F38&lt;0,F16&gt;0,F74="ESAL"),$B$24,$B$25),IF(F74=$P$21,IF(F38&gt;=$P$37,$B$24,$B$25),IF(F38&gt;=$Q$37,$B$24,$B$25))),"-")</f>
        <v>CUMPLE</v>
      </c>
      <c r="G37" s="16" t="str">
        <f>IFERROR(IF((IF(G74=$P$21,IF(G38&gt;=$P$37,$B$24,$B$25),IF(G38&gt;=$Q$37,$B$24,$B$25)))="No hábil",IF(AND(G38&lt;0,G16&gt;0,G74="ESAL"),$B$24,$B$25),IF(G74=$P$21,IF(G38&gt;=$P$37,$B$24,$B$25),IF(G38&gt;=$Q$37,$B$24,$B$25))),"-")</f>
        <v>CUMPLE</v>
      </c>
      <c r="H37" s="16" t="str">
        <f>IFERROR(IF((IF(H74=$P$21,IF(H38&gt;=$P$37,$B$24,$B$25),IF(H38&gt;=$Q$37,$B$24,$B$25)))="No hábil",IF(AND(H38&lt;0,H16&gt;0,H74="ESAL"),$B$24,$B$25),IF(H74=$P$21,IF(H38&gt;=$P$37,$B$24,$B$25),IF(H38&gt;=$Q$37,$B$24,$B$25))),"-")</f>
        <v>CUMPLE</v>
      </c>
      <c r="I37" s="16" t="str">
        <f>IFERROR(IF((IF(I74=$P$21,IF(I38&gt;=$P$37,$B$24,$B$25),IF(I38&gt;=$Q$37,$B$24,$B$25)))="No hábil",IF(AND(I38&lt;0,I16&gt;0,I74="ESAL"),$B$24,$B$25),IF(I74=$P$21,IF(I38&gt;=$P$37,$B$24,$B$25),IF(I38&gt;=$Q$37,$B$24,$B$25))),"-")</f>
        <v>CUMPLE</v>
      </c>
      <c r="J37" s="217" t="s">
        <v>95</v>
      </c>
      <c r="K37" s="217" t="s">
        <v>95</v>
      </c>
      <c r="L37" s="16" t="str">
        <f>IFERROR(IF((IF(L74=$P$21,IF(L38&gt;=$P$37,$B$24,$B$25),IF(L38&gt;=$Q$37,$B$24,$B$25)))="No hábil",IF(AND(L38&lt;0,L16&gt;0,L74="ESAL"),$B$24,$B$25),IF(L74=$P$21,IF(L38&gt;=$P$37,$B$24,$B$25),IF(L38&gt;=$Q$37,$B$24,$B$25))),"-")</f>
        <v>CUMPLE</v>
      </c>
      <c r="M37" s="16" t="str">
        <f>IFERROR(IF((IF(M74=$P$21,IF(M38&gt;=$P$37,$B$24,$B$25),IF(M38&gt;=$Q$37,$B$24,$B$25)))="No hábil",IF(AND(M38&lt;0,M16&gt;0,M74="ESAL"),$B$24,$B$25),IF(M74=$P$21,IF(M38&gt;=$P$37,$B$24,$B$25),IF(M38&gt;=$Q$37,$B$24,$B$25))),"-")</f>
        <v>CUMPLE</v>
      </c>
      <c r="N37" s="106" t="str">
        <f>IFERROR(IF((IF(N74=$P$21,IF(N38&gt;=$P$37,$B$24,$B$25),IF(N38&gt;=$Q$37,$B$24,$B$25)))="No hábil",IF(AND(N38&lt;0,N16&gt;0,N74="ESAL"),$B$24,$B$25),IF(N74=$P$21,IF(N38&gt;=$P$37,$B$24,$B$25),IF(N38&gt;=$Q$37,$B$24,$B$25))),"-")</f>
        <v>CUMPLE</v>
      </c>
      <c r="P37" s="41">
        <v>0.02</v>
      </c>
      <c r="Q37" s="41">
        <v>0.04</v>
      </c>
    </row>
    <row r="38" spans="2:18" s="3" customFormat="1" ht="22.5" customHeight="1" x14ac:dyDescent="0.2">
      <c r="B38" s="157" t="s">
        <v>23</v>
      </c>
      <c r="C38" s="170">
        <f t="shared" ref="C38:G38" si="39">IFERROR(C18/C16,"-")</f>
        <v>0.14884368978402188</v>
      </c>
      <c r="D38" s="217" t="s">
        <v>95</v>
      </c>
      <c r="E38" s="217" t="s">
        <v>95</v>
      </c>
      <c r="F38" s="170">
        <f t="shared" ref="F38" si="40">IFERROR(F18/F16,"-")</f>
        <v>0.40450871079013112</v>
      </c>
      <c r="G38" s="170">
        <f t="shared" si="39"/>
        <v>3.024149139255377E-2</v>
      </c>
      <c r="H38" s="170">
        <f t="shared" ref="H38:I38" si="41">IFERROR(H18/H16,"-")</f>
        <v>0.19408026675853451</v>
      </c>
      <c r="I38" s="170">
        <f t="shared" si="41"/>
        <v>0.26794758319766143</v>
      </c>
      <c r="J38" s="217" t="s">
        <v>95</v>
      </c>
      <c r="K38" s="217" t="s">
        <v>95</v>
      </c>
      <c r="L38" s="170">
        <f t="shared" ref="L38:N38" si="42">IFERROR(L18/L16,"-")</f>
        <v>0.23329550811364594</v>
      </c>
      <c r="M38" s="170">
        <f t="shared" si="42"/>
        <v>0.22412140458907515</v>
      </c>
      <c r="N38" s="171">
        <f t="shared" si="42"/>
        <v>0.10782564390071518</v>
      </c>
    </row>
    <row r="39" spans="2:18" s="3" customFormat="1" ht="31.5" x14ac:dyDescent="0.2">
      <c r="B39" s="35" t="str">
        <f>CONCATENATE("Indicador Rentabilidad del Activo",CHAR(10),$P$21," ≥ ",TEXT(P39,"#0 %. "),IF($P$21=$Q$21,"",_xlfn.CONCAT($Q$21," ≥ ",TEXT(Q39,"#0 %."))))</f>
        <v>Indicador Rentabilidad del Activo
MiPyME ≥ 1 %. Gran Empresa ≥ 3 %.</v>
      </c>
      <c r="C39" s="14" t="str">
        <f>IFERROR(IF((IF(C74=$P$21,IF(C40&gt;=$P$39,$B$24,$B$25),IF(C40&gt;=$Q$39,$B$24,$B$25)))="No hábil",IF(AND(C40&lt;0,C16&gt;0,C74="ESAL"),$B$24,$B$25),IF(C74=$P$21,IF(C40&gt;=$P$39,$B$24,$B$25),IF(C40&gt;=$Q$39,$B$24,$B$25))),"-")</f>
        <v>CUMPLE</v>
      </c>
      <c r="D39" s="217" t="s">
        <v>95</v>
      </c>
      <c r="E39" s="217" t="s">
        <v>95</v>
      </c>
      <c r="F39" s="14" t="str">
        <f>IFERROR(IF((IF(F74=$P$21,IF(F40&gt;=$P$39,$B$24,$B$25),IF(F40&gt;=$Q$39,$B$24,$B$25)))="No hábil",IF(AND(F40&lt;0,F16&gt;0,F74="ESAL"),$B$24,$B$25),IF(F74=$P$21,IF(F40&gt;=$P$39,$B$24,$B$25),IF(F40&gt;=$Q$39,$B$24,$B$25))),"-")</f>
        <v>CUMPLE</v>
      </c>
      <c r="G39" s="14" t="str">
        <f>IFERROR(IF((IF(G74=$P$21,IF(G40&gt;=$P$39,$B$24,$B$25),IF(G40&gt;=$Q$39,$B$24,$B$25)))="No hábil",IF(AND(G40&lt;0,G16&gt;0,G74="ESAL"),$B$24,$B$25),IF(G74=$P$21,IF(G40&gt;=$P$39,$B$24,$B$25),IF(G40&gt;=$Q$39,$B$24,$B$25))),"-")</f>
        <v>CUMPLE</v>
      </c>
      <c r="H39" s="14" t="str">
        <f>IFERROR(IF((IF(H74=$P$21,IF(H40&gt;=$P$39,$B$24,$B$25),IF(H40&gt;=$Q$39,$B$24,$B$25)))="No hábil",IF(AND(H40&lt;0,H16&gt;0,H74="ESAL"),$B$24,$B$25),IF(H74=$P$21,IF(H40&gt;=$P$39,$B$24,$B$25),IF(H40&gt;=$Q$39,$B$24,$B$25))),"-")</f>
        <v>CUMPLE</v>
      </c>
      <c r="I39" s="14" t="str">
        <f>IFERROR(IF((IF(I74=$P$21,IF(I40&gt;=$P$39,$B$24,$B$25),IF(I40&gt;=$Q$39,$B$24,$B$25)))="No hábil",IF(AND(I40&lt;0,I16&gt;0,I74="ESAL"),$B$24,$B$25),IF(I74=$P$21,IF(I40&gt;=$P$39,$B$24,$B$25),IF(I40&gt;=$Q$39,$B$24,$B$25))),"-")</f>
        <v>CUMPLE</v>
      </c>
      <c r="J39" s="217" t="s">
        <v>95</v>
      </c>
      <c r="K39" s="217" t="s">
        <v>95</v>
      </c>
      <c r="L39" s="14" t="str">
        <f>IFERROR(IF((IF(L74=$P$21,IF(L40&gt;=$P$39,$B$24,$B$25),IF(L40&gt;=$Q$39,$B$24,$B$25)))="No hábil",IF(AND(L40&lt;0,L16&gt;0,L74="ESAL"),$B$24,$B$25),IF(L74=$P$21,IF(L40&gt;=$P$39,$B$24,$B$25),IF(L40&gt;=$Q$39,$B$24,$B$25))),"-")</f>
        <v>CUMPLE</v>
      </c>
      <c r="M39" s="14" t="str">
        <f>IFERROR(IF((IF(M74=$P$21,IF(M40&gt;=$P$39,$B$24,$B$25),IF(M40&gt;=$Q$39,$B$24,$B$25)))="No hábil",IF(AND(M40&lt;0,M16&gt;0,M74="ESAL"),$B$24,$B$25),IF(M74=$P$21,IF(M40&gt;=$P$39,$B$24,$B$25),IF(M40&gt;=$Q$39,$B$24,$B$25))),"-")</f>
        <v>CUMPLE</v>
      </c>
      <c r="N39" s="104" t="str">
        <f>IFERROR(IF((IF(N74=$P$21,IF(N40&gt;=$P$39,$B$24,$B$25),IF(N40&gt;=$Q$39,$B$24,$B$25)))="No hábil",IF(AND(N40&lt;0,N16&gt;0,N74="ESAL"),$B$24,$B$25),IF(N74=$P$21,IF(N40&gt;=$P$39,$B$24,$B$25),IF(N40&gt;=$Q$39,$B$24,$B$25))),"-")</f>
        <v>CUMPLE</v>
      </c>
      <c r="P39" s="41">
        <v>0.01</v>
      </c>
      <c r="Q39" s="41">
        <v>0.03</v>
      </c>
    </row>
    <row r="40" spans="2:18" s="3" customFormat="1" ht="22.5" customHeight="1" x14ac:dyDescent="0.2">
      <c r="B40" s="157" t="s">
        <v>24</v>
      </c>
      <c r="C40" s="170">
        <f t="shared" ref="C40:G40" si="43">IFERROR(C18/C14,"-")</f>
        <v>0.12696704605421857</v>
      </c>
      <c r="D40" s="217" t="s">
        <v>95</v>
      </c>
      <c r="E40" s="217" t="s">
        <v>95</v>
      </c>
      <c r="F40" s="170">
        <f t="shared" ref="F40" si="44">IFERROR(F18/F14,"-")</f>
        <v>0.4029624265145591</v>
      </c>
      <c r="G40" s="170">
        <f t="shared" si="43"/>
        <v>2.2509985125768836E-2</v>
      </c>
      <c r="H40" s="170">
        <f t="shared" ref="H40:I40" si="45">IFERROR(H18/H14,"-")</f>
        <v>0.14162319892175831</v>
      </c>
      <c r="I40" s="170">
        <f t="shared" si="45"/>
        <v>0.17865210246009255</v>
      </c>
      <c r="J40" s="217" t="s">
        <v>95</v>
      </c>
      <c r="K40" s="217" t="s">
        <v>95</v>
      </c>
      <c r="L40" s="170">
        <f t="shared" ref="L40:N40" si="46">IFERROR(L18/L14,"-")</f>
        <v>0.14109549649564657</v>
      </c>
      <c r="M40" s="170">
        <f t="shared" si="46"/>
        <v>0.13012205804284419</v>
      </c>
      <c r="N40" s="171">
        <f t="shared" si="46"/>
        <v>9.0255298612438778E-2</v>
      </c>
    </row>
    <row r="41" spans="2:18" s="3" customFormat="1" ht="25.9" customHeight="1" x14ac:dyDescent="0.25">
      <c r="B41" s="23" t="s">
        <v>25</v>
      </c>
      <c r="C41" s="19" t="str">
        <f t="shared" ref="C41:G41" si="47">IF(C10="NO CUMPLE","DEBE SUBSANAR",IF(COUNTIF(C27:C40,"NO CUMPLE")&gt;=1,"NO HABILITADO","HABILITADO"))</f>
        <v>HABILITADO</v>
      </c>
      <c r="D41" s="218"/>
      <c r="E41" s="218"/>
      <c r="F41" s="19" t="str">
        <f t="shared" ref="F41" si="48">IF(F10="NO CUMPLE","DEBE SUBSANAR",IF(COUNTIF(F27:F40,"NO CUMPLE")&gt;=1,"NO HABILITADO","HABILITADO"))</f>
        <v>HABILITADO</v>
      </c>
      <c r="G41" s="19" t="str">
        <f t="shared" si="47"/>
        <v>HABILITADO</v>
      </c>
      <c r="H41" s="19" t="str">
        <f t="shared" ref="H41:I41" si="49">IF(H10="NO CUMPLE","DEBE SUBSANAR",IF(COUNTIF(H27:H40,"NO CUMPLE")&gt;=1,"NO HABILITADO","HABILITADO"))</f>
        <v>HABILITADO</v>
      </c>
      <c r="I41" s="19" t="str">
        <f t="shared" si="49"/>
        <v>HABILITADO</v>
      </c>
      <c r="J41" s="218"/>
      <c r="K41" s="218"/>
      <c r="L41" s="19" t="str">
        <f t="shared" ref="L41:N41" si="50">IF(L10="NO CUMPLE","DEBE SUBSANAR",IF(COUNTIF(L27:L40,"NO CUMPLE")&gt;=1,"NO HABILITADO","HABILITADO"))</f>
        <v>HABILITADO</v>
      </c>
      <c r="M41" s="19" t="str">
        <f t="shared" si="50"/>
        <v>HABILITADO</v>
      </c>
      <c r="N41" s="129" t="str">
        <f t="shared" si="50"/>
        <v>HABILITADO</v>
      </c>
      <c r="P41" s="94"/>
      <c r="Q41" s="1"/>
    </row>
    <row r="42" spans="2:18" s="3" customFormat="1" ht="15.75" x14ac:dyDescent="0.25">
      <c r="B42" s="32"/>
      <c r="C42" s="33"/>
      <c r="D42" s="33"/>
      <c r="E42" s="33"/>
      <c r="F42" s="33"/>
      <c r="G42" s="33"/>
      <c r="H42" s="33"/>
      <c r="I42" s="33"/>
      <c r="J42" s="33"/>
      <c r="K42" s="33"/>
      <c r="L42" s="33"/>
      <c r="M42" s="33"/>
      <c r="N42" s="98"/>
      <c r="P42" s="94" t="s">
        <v>79</v>
      </c>
      <c r="Q42" s="1"/>
    </row>
    <row r="43" spans="2:18" s="3" customFormat="1" ht="21" customHeight="1" x14ac:dyDescent="0.25">
      <c r="B43" s="159" t="s">
        <v>26</v>
      </c>
      <c r="C43" s="71"/>
      <c r="D43" s="71"/>
      <c r="E43" s="71"/>
      <c r="F43" s="71"/>
      <c r="G43" s="71"/>
      <c r="H43" s="71"/>
      <c r="I43" s="71"/>
      <c r="J43" s="71"/>
      <c r="K43" s="71"/>
      <c r="L43" s="71"/>
      <c r="M43" s="71"/>
      <c r="N43" s="72"/>
      <c r="P43" s="3" t="s">
        <v>76</v>
      </c>
      <c r="Q43" s="1"/>
    </row>
    <row r="44" spans="2:18" s="3" customFormat="1" ht="21" customHeight="1" x14ac:dyDescent="0.25">
      <c r="B44" s="160" t="s">
        <v>61</v>
      </c>
      <c r="C44" s="73"/>
      <c r="D44" s="73"/>
      <c r="E44" s="73"/>
      <c r="F44" s="73"/>
      <c r="G44" s="73"/>
      <c r="H44" s="73"/>
      <c r="I44" s="73"/>
      <c r="J44" s="73"/>
      <c r="K44" s="73"/>
      <c r="L44" s="73"/>
      <c r="M44" s="73"/>
      <c r="N44" s="74"/>
      <c r="Q44" s="1"/>
    </row>
    <row r="45" spans="2:18" s="3" customFormat="1" ht="15.75" x14ac:dyDescent="0.25">
      <c r="B45" s="20"/>
      <c r="C45" s="34"/>
      <c r="D45" s="34"/>
      <c r="E45" s="34"/>
      <c r="F45" s="34"/>
      <c r="G45" s="34"/>
      <c r="H45" s="34"/>
      <c r="I45" s="34"/>
      <c r="J45" s="34"/>
      <c r="K45" s="34"/>
      <c r="L45" s="34"/>
      <c r="M45" s="34"/>
      <c r="N45" s="21"/>
      <c r="Q45" s="1"/>
    </row>
    <row r="46" spans="2:18" s="3" customFormat="1" ht="15.75" x14ac:dyDescent="0.25">
      <c r="B46" s="45" t="str">
        <f>B71</f>
        <v>Fecha de cierre del proceso:</v>
      </c>
      <c r="C46" s="34"/>
      <c r="D46" s="34"/>
      <c r="E46" s="34"/>
      <c r="F46" s="34"/>
      <c r="G46" s="34"/>
      <c r="H46" s="34"/>
      <c r="I46" s="34"/>
      <c r="J46" s="34"/>
      <c r="K46" s="34"/>
      <c r="L46" s="34"/>
      <c r="M46" s="34"/>
      <c r="N46" s="21"/>
      <c r="Q46" s="1"/>
    </row>
    <row r="47" spans="2:18" s="3" customFormat="1" ht="15.75" x14ac:dyDescent="0.25">
      <c r="B47" s="59">
        <f>C71</f>
        <v>46006</v>
      </c>
      <c r="C47" s="34"/>
      <c r="D47" s="34"/>
      <c r="E47" s="34"/>
      <c r="F47" s="34"/>
      <c r="G47" s="34"/>
      <c r="H47" s="34"/>
      <c r="I47" s="34"/>
      <c r="J47" s="34"/>
      <c r="K47" s="34"/>
      <c r="L47" s="34"/>
      <c r="M47" s="34"/>
      <c r="N47" s="21"/>
      <c r="Q47" s="1"/>
    </row>
    <row r="48" spans="2:18" s="3" customFormat="1" ht="15.75" x14ac:dyDescent="0.25">
      <c r="B48" s="46"/>
      <c r="N48" s="111"/>
      <c r="Q48" s="1"/>
    </row>
    <row r="49" spans="1:17" s="3" customFormat="1" ht="15.75" x14ac:dyDescent="0.25">
      <c r="B49" s="79" t="s">
        <v>27</v>
      </c>
      <c r="C49" s="64"/>
      <c r="D49" s="64"/>
      <c r="E49" s="64"/>
      <c r="F49" s="64"/>
      <c r="G49" s="64"/>
      <c r="H49" s="64"/>
      <c r="I49" s="64"/>
      <c r="J49" s="64"/>
      <c r="K49" s="64"/>
      <c r="L49" s="64"/>
      <c r="M49" s="64"/>
      <c r="N49" s="112"/>
      <c r="Q49" s="1"/>
    </row>
    <row r="50" spans="1:17" s="3" customFormat="1" ht="15.75" x14ac:dyDescent="0.25">
      <c r="A50" s="5"/>
      <c r="B50" s="58">
        <f>C65</f>
        <v>46008</v>
      </c>
      <c r="C50" s="65"/>
      <c r="D50" s="65"/>
      <c r="E50" s="65"/>
      <c r="F50" s="65"/>
      <c r="G50" s="65"/>
      <c r="H50" s="65"/>
      <c r="I50" s="65"/>
      <c r="J50" s="65"/>
      <c r="K50" s="65"/>
      <c r="L50" s="65"/>
      <c r="M50" s="65"/>
      <c r="N50" s="113"/>
      <c r="Q50" s="1"/>
    </row>
    <row r="51" spans="1:17" s="3" customFormat="1" ht="15.75" x14ac:dyDescent="0.25">
      <c r="A51" s="5"/>
      <c r="B51" s="58"/>
      <c r="C51" s="120"/>
      <c r="D51" s="120" t="s">
        <v>28</v>
      </c>
      <c r="F51" s="120"/>
      <c r="G51" s="120"/>
      <c r="H51" s="120"/>
      <c r="J51" s="120"/>
      <c r="K51" s="120"/>
      <c r="L51" s="120"/>
      <c r="M51" s="120"/>
      <c r="N51" s="113"/>
      <c r="Q51" s="1"/>
    </row>
    <row r="52" spans="1:17" ht="15.75" x14ac:dyDescent="0.25">
      <c r="A52" s="6"/>
      <c r="B52" s="79" t="s">
        <v>29</v>
      </c>
      <c r="C52" s="130"/>
      <c r="D52" s="65" t="s">
        <v>66</v>
      </c>
      <c r="F52" s="65"/>
      <c r="G52" s="65"/>
      <c r="H52" s="65"/>
      <c r="J52" s="65"/>
      <c r="K52" s="65"/>
      <c r="L52" s="65"/>
      <c r="M52" s="65"/>
      <c r="N52" s="114"/>
    </row>
    <row r="53" spans="1:17" ht="15.75" x14ac:dyDescent="0.25">
      <c r="A53" s="6"/>
      <c r="B53" s="58">
        <f>'1. Oferentes 1 a 8'!B53</f>
        <v>46020</v>
      </c>
      <c r="C53" s="130"/>
      <c r="D53" s="65" t="s">
        <v>30</v>
      </c>
      <c r="F53" s="65"/>
      <c r="G53" s="65"/>
      <c r="H53" s="65"/>
      <c r="J53" s="65"/>
      <c r="K53" s="65"/>
      <c r="L53" s="65"/>
      <c r="M53" s="65"/>
      <c r="N53" s="114"/>
    </row>
    <row r="54" spans="1:17" ht="15.75" x14ac:dyDescent="0.25">
      <c r="A54" s="6"/>
      <c r="B54" s="58"/>
      <c r="C54" s="57"/>
      <c r="D54" s="57"/>
      <c r="E54" s="57"/>
      <c r="F54" s="57"/>
      <c r="G54" s="57"/>
      <c r="H54" s="57"/>
      <c r="I54" s="57"/>
      <c r="J54" s="57"/>
      <c r="K54" s="57"/>
      <c r="L54" s="57"/>
      <c r="M54" s="57"/>
      <c r="N54" s="114"/>
    </row>
    <row r="55" spans="1:17" ht="15.75" x14ac:dyDescent="0.25">
      <c r="A55" s="6"/>
      <c r="B55" s="119" t="str">
        <f>"NOTA: La fecha de corte de la información financiera registrada en el RUP debe ser 31/12/2024, de acuerdo a lo establecido en el pliego definitivo de condiciones del proceso "&amp;P23&amp;","</f>
        <v>NOTA: La fecha de corte de la información financiera registrada en el RUP debe ser 31/12/2024, de acuerdo a lo establecido en el pliego definitivo de condiciones del proceso FDLU-CMA-027-2025 (143212),</v>
      </c>
      <c r="C55" s="69"/>
      <c r="D55" s="69"/>
      <c r="E55" s="69"/>
      <c r="F55" s="69"/>
      <c r="G55" s="69"/>
      <c r="H55" s="69"/>
      <c r="I55" s="69"/>
      <c r="J55" s="69"/>
      <c r="K55" s="69"/>
      <c r="L55" s="69"/>
      <c r="M55" s="69"/>
      <c r="N55" s="115"/>
    </row>
    <row r="56" spans="1:17" ht="15.75" x14ac:dyDescent="0.25">
      <c r="A56" s="6"/>
      <c r="B56" s="75" t="str">
        <f ca="1">'Consolidado 1 a 9'!J58</f>
        <v>de las (46) empresas evaluadas, (45) empresas están habilitadas.</v>
      </c>
      <c r="C56" s="57"/>
      <c r="D56" s="57"/>
      <c r="E56" s="57"/>
      <c r="F56" s="57"/>
      <c r="G56" s="57"/>
      <c r="H56" s="57"/>
      <c r="I56" s="57"/>
      <c r="J56" s="57"/>
      <c r="K56" s="57"/>
      <c r="L56" s="57"/>
      <c r="M56" s="57"/>
      <c r="N56" s="114"/>
    </row>
    <row r="57" spans="1:17" ht="16.5" thickBot="1" x14ac:dyDescent="0.3">
      <c r="B57" s="89"/>
      <c r="C57" s="76"/>
      <c r="D57" s="76"/>
      <c r="E57" s="76"/>
      <c r="F57" s="76"/>
      <c r="G57" s="76"/>
      <c r="H57" s="76"/>
      <c r="I57" s="76"/>
      <c r="J57" s="76"/>
      <c r="K57" s="76"/>
      <c r="L57" s="76"/>
      <c r="M57" s="76"/>
      <c r="N57" s="77"/>
    </row>
    <row r="59" spans="1:17" x14ac:dyDescent="0.25">
      <c r="B59" s="7"/>
      <c r="C59" s="7"/>
      <c r="D59" s="7"/>
      <c r="E59" s="7"/>
      <c r="F59" s="7"/>
      <c r="G59" s="7"/>
      <c r="H59" s="7"/>
      <c r="I59" s="7"/>
      <c r="J59" s="7"/>
      <c r="K59" s="7"/>
      <c r="L59" s="7"/>
      <c r="M59" s="7"/>
      <c r="N59" s="7"/>
    </row>
    <row r="63" spans="1:17" x14ac:dyDescent="0.25">
      <c r="B63" s="47" t="s">
        <v>31</v>
      </c>
      <c r="C63" s="48"/>
      <c r="D63" s="48"/>
      <c r="E63" s="48"/>
      <c r="F63" s="48"/>
      <c r="G63" s="48"/>
      <c r="H63" s="48"/>
      <c r="I63" s="48"/>
      <c r="J63" s="48"/>
      <c r="K63" s="48"/>
      <c r="L63" s="48"/>
      <c r="M63" s="48"/>
      <c r="N63" s="49"/>
    </row>
    <row r="64" spans="1:17" x14ac:dyDescent="0.25">
      <c r="B64" s="50"/>
      <c r="N64" s="51"/>
    </row>
    <row r="65" spans="2:14" x14ac:dyDescent="0.25">
      <c r="B65" s="50" t="s">
        <v>32</v>
      </c>
      <c r="C65" s="151">
        <v>46008</v>
      </c>
      <c r="E65" s="68"/>
      <c r="F65" s="68"/>
      <c r="G65" s="68"/>
      <c r="H65" s="68"/>
      <c r="I65" s="68"/>
      <c r="J65" s="68"/>
      <c r="K65" s="68"/>
      <c r="L65" s="68"/>
      <c r="M65" s="68"/>
      <c r="N65" s="88"/>
    </row>
    <row r="66" spans="2:14" x14ac:dyDescent="0.25">
      <c r="B66" s="50"/>
      <c r="N66" s="51"/>
    </row>
    <row r="67" spans="2:14" x14ac:dyDescent="0.25">
      <c r="B67" s="52"/>
      <c r="C67" s="53">
        <f t="shared" ref="C67:N67" si="51">C8</f>
        <v>39</v>
      </c>
      <c r="D67" s="53" t="str">
        <f t="shared" si="51"/>
        <v>A</v>
      </c>
      <c r="E67" s="53" t="str">
        <f t="shared" si="51"/>
        <v>B</v>
      </c>
      <c r="F67" s="53">
        <f t="shared" si="51"/>
        <v>40</v>
      </c>
      <c r="G67" s="53">
        <f t="shared" si="51"/>
        <v>41</v>
      </c>
      <c r="H67" s="53">
        <f t="shared" si="51"/>
        <v>42</v>
      </c>
      <c r="I67" s="53">
        <f t="shared" si="51"/>
        <v>43</v>
      </c>
      <c r="J67" s="53" t="str">
        <f t="shared" si="51"/>
        <v>A</v>
      </c>
      <c r="K67" s="53" t="str">
        <f t="shared" si="51"/>
        <v>B</v>
      </c>
      <c r="L67" s="53">
        <f t="shared" si="51"/>
        <v>44</v>
      </c>
      <c r="M67" s="53">
        <f t="shared" ref="M67" si="52">M8</f>
        <v>45</v>
      </c>
      <c r="N67" s="61">
        <f t="shared" si="51"/>
        <v>46</v>
      </c>
    </row>
    <row r="68" spans="2:14" x14ac:dyDescent="0.25">
      <c r="B68" s="54" t="s">
        <v>33</v>
      </c>
      <c r="C68" s="55">
        <v>46004</v>
      </c>
      <c r="D68" s="55">
        <v>46001</v>
      </c>
      <c r="E68" s="55">
        <v>46004</v>
      </c>
      <c r="F68" s="55"/>
      <c r="G68" s="55">
        <v>46006</v>
      </c>
      <c r="H68" s="55">
        <v>45982</v>
      </c>
      <c r="I68" s="55">
        <v>45995</v>
      </c>
      <c r="J68" s="55">
        <v>45995</v>
      </c>
      <c r="K68" s="55">
        <v>45995</v>
      </c>
      <c r="L68" s="55"/>
      <c r="M68" s="55">
        <v>46000</v>
      </c>
      <c r="N68" s="62">
        <v>45987</v>
      </c>
    </row>
    <row r="69" spans="2:14" x14ac:dyDescent="0.25">
      <c r="B69" s="54" t="s">
        <v>34</v>
      </c>
      <c r="C69" s="55"/>
      <c r="D69" s="55"/>
      <c r="E69" s="55"/>
      <c r="F69" s="55"/>
      <c r="G69" s="55"/>
      <c r="H69" s="55"/>
      <c r="I69" s="55"/>
      <c r="J69" s="55"/>
      <c r="K69" s="55"/>
      <c r="L69" s="55"/>
      <c r="M69" s="55"/>
      <c r="N69" s="62"/>
    </row>
    <row r="70" spans="2:14" x14ac:dyDescent="0.25">
      <c r="B70" s="50"/>
      <c r="N70" s="51"/>
    </row>
    <row r="71" spans="2:14" x14ac:dyDescent="0.25">
      <c r="B71" s="50" t="s">
        <v>35</v>
      </c>
      <c r="C71" s="151">
        <v>46006</v>
      </c>
      <c r="D71" s="68">
        <f t="shared" ref="D71:I71" si="53">C71</f>
        <v>46006</v>
      </c>
      <c r="E71" s="68">
        <f t="shared" si="53"/>
        <v>46006</v>
      </c>
      <c r="F71" s="68"/>
      <c r="G71" s="68">
        <f>E71</f>
        <v>46006</v>
      </c>
      <c r="H71" s="68">
        <f t="shared" si="53"/>
        <v>46006</v>
      </c>
      <c r="I71" s="68">
        <f t="shared" si="53"/>
        <v>46006</v>
      </c>
      <c r="J71" s="68">
        <f>I71</f>
        <v>46006</v>
      </c>
      <c r="K71" s="68">
        <f>J71</f>
        <v>46006</v>
      </c>
      <c r="L71" s="68"/>
      <c r="M71" s="68">
        <f>K71</f>
        <v>46006</v>
      </c>
      <c r="N71" s="88">
        <f>M71</f>
        <v>46006</v>
      </c>
    </row>
    <row r="72" spans="2:14" x14ac:dyDescent="0.25">
      <c r="B72" s="54" t="s">
        <v>36</v>
      </c>
      <c r="C72" s="70">
        <f t="shared" ref="C72:I72" si="54">C71-C68</f>
        <v>2</v>
      </c>
      <c r="D72" s="70">
        <f t="shared" si="54"/>
        <v>5</v>
      </c>
      <c r="E72" s="70">
        <f t="shared" si="54"/>
        <v>2</v>
      </c>
      <c r="F72" s="70"/>
      <c r="G72" s="70">
        <f t="shared" si="54"/>
        <v>0</v>
      </c>
      <c r="H72" s="70">
        <f t="shared" si="54"/>
        <v>24</v>
      </c>
      <c r="I72" s="70">
        <f t="shared" si="54"/>
        <v>11</v>
      </c>
      <c r="J72" s="70">
        <f t="shared" ref="J72:N72" si="55">J71-J68</f>
        <v>11</v>
      </c>
      <c r="K72" s="70">
        <f t="shared" si="55"/>
        <v>11</v>
      </c>
      <c r="L72" s="70"/>
      <c r="M72" s="70">
        <f t="shared" ref="M72" si="56">M71-M68</f>
        <v>6</v>
      </c>
      <c r="N72" s="116">
        <f t="shared" si="55"/>
        <v>19</v>
      </c>
    </row>
    <row r="73" spans="2:14" x14ac:dyDescent="0.25">
      <c r="B73" s="78">
        <v>30</v>
      </c>
      <c r="C73" s="56"/>
      <c r="D73" s="56"/>
      <c r="E73" s="56"/>
      <c r="F73" s="56"/>
      <c r="G73" s="56"/>
      <c r="H73" s="56"/>
      <c r="I73" s="56"/>
      <c r="J73" s="56"/>
      <c r="K73" s="56"/>
      <c r="L73" s="56"/>
      <c r="M73" s="56"/>
      <c r="N73" s="67"/>
    </row>
    <row r="74" spans="2:14" x14ac:dyDescent="0.25">
      <c r="B74" s="153" t="s">
        <v>37</v>
      </c>
      <c r="C74" s="127" t="s">
        <v>77</v>
      </c>
      <c r="D74" s="127" t="s">
        <v>77</v>
      </c>
      <c r="E74" s="127" t="s">
        <v>77</v>
      </c>
      <c r="F74" s="127" t="s">
        <v>77</v>
      </c>
      <c r="G74" s="127" t="s">
        <v>77</v>
      </c>
      <c r="H74" s="127" t="s">
        <v>77</v>
      </c>
      <c r="I74" s="127" t="s">
        <v>77</v>
      </c>
      <c r="J74" s="127" t="s">
        <v>77</v>
      </c>
      <c r="K74" s="127" t="s">
        <v>77</v>
      </c>
      <c r="L74" s="127" t="s">
        <v>77</v>
      </c>
      <c r="M74" s="127" t="s">
        <v>77</v>
      </c>
      <c r="N74" s="128" t="s">
        <v>77</v>
      </c>
    </row>
    <row r="75" spans="2:14" ht="15.75" customHeight="1" x14ac:dyDescent="0.25">
      <c r="B75" s="152"/>
      <c r="C75" s="100"/>
      <c r="D75" s="100"/>
      <c r="E75" s="100"/>
      <c r="F75" s="100"/>
      <c r="G75" s="100"/>
      <c r="H75" s="100"/>
      <c r="I75" s="100"/>
      <c r="J75" s="100"/>
      <c r="K75" s="100"/>
      <c r="L75" s="100"/>
      <c r="M75" s="100"/>
      <c r="N75" s="97"/>
    </row>
    <row r="76" spans="2:14" x14ac:dyDescent="0.25">
      <c r="B76" s="173"/>
      <c r="C76" s="173"/>
      <c r="D76" s="173"/>
      <c r="E76" s="173"/>
      <c r="F76" s="173"/>
      <c r="G76" s="173"/>
      <c r="H76" s="173"/>
      <c r="I76" s="173"/>
      <c r="J76" s="173"/>
      <c r="K76" s="173"/>
      <c r="L76" s="173"/>
      <c r="M76" s="173"/>
      <c r="N76" s="173"/>
    </row>
    <row r="77" spans="2:14" x14ac:dyDescent="0.25">
      <c r="B77" s="173"/>
      <c r="C77" s="173"/>
      <c r="D77" s="173"/>
      <c r="E77" s="173"/>
      <c r="F77" s="173"/>
      <c r="G77" s="173"/>
      <c r="H77" s="173"/>
      <c r="I77" s="173"/>
      <c r="J77" s="173"/>
      <c r="K77" s="173"/>
      <c r="L77" s="173"/>
      <c r="M77" s="173"/>
      <c r="N77" s="174"/>
    </row>
    <row r="78" spans="2:14" x14ac:dyDescent="0.25">
      <c r="B78" s="173"/>
      <c r="C78" s="173"/>
      <c r="D78" s="173"/>
      <c r="E78" s="173"/>
      <c r="F78" s="173"/>
      <c r="G78" s="173"/>
      <c r="H78" s="173"/>
      <c r="I78" s="173"/>
      <c r="J78" s="173"/>
      <c r="K78" s="173"/>
      <c r="L78" s="173"/>
      <c r="M78" s="173"/>
      <c r="N78" s="173"/>
    </row>
    <row r="79" spans="2:14" x14ac:dyDescent="0.25">
      <c r="B79" s="173"/>
      <c r="C79" s="173"/>
      <c r="D79" s="173"/>
      <c r="E79" s="173"/>
      <c r="F79" s="173"/>
      <c r="G79" s="173"/>
      <c r="H79" s="173"/>
      <c r="I79" s="173"/>
      <c r="J79" s="173"/>
      <c r="K79" s="173"/>
      <c r="L79" s="173"/>
      <c r="M79" s="173"/>
      <c r="N79" s="173"/>
    </row>
    <row r="80" spans="2:14" x14ac:dyDescent="0.25">
      <c r="B80" s="173"/>
      <c r="C80" s="173"/>
      <c r="D80" s="173"/>
      <c r="E80" s="173"/>
      <c r="F80" s="173"/>
      <c r="G80" s="173"/>
      <c r="H80" s="173"/>
      <c r="I80" s="173"/>
      <c r="J80" s="173"/>
      <c r="K80" s="173"/>
      <c r="L80" s="173"/>
      <c r="M80" s="173"/>
      <c r="N80" s="173"/>
    </row>
    <row r="81" spans="2:14" x14ac:dyDescent="0.25">
      <c r="B81" s="173"/>
      <c r="C81" s="173"/>
      <c r="D81" s="173"/>
      <c r="E81" s="173"/>
      <c r="F81" s="173"/>
      <c r="G81" s="173"/>
      <c r="H81" s="173"/>
      <c r="I81" s="173"/>
      <c r="J81" s="173"/>
      <c r="K81" s="173"/>
      <c r="L81" s="173"/>
      <c r="M81" s="173"/>
      <c r="N81" s="173"/>
    </row>
    <row r="82" spans="2:14" x14ac:dyDescent="0.25">
      <c r="B82" s="173"/>
      <c r="C82" s="173"/>
      <c r="D82" s="173"/>
      <c r="E82" s="173"/>
      <c r="F82" s="173"/>
      <c r="G82" s="173"/>
      <c r="H82" s="173"/>
      <c r="I82" s="173"/>
      <c r="J82" s="173"/>
      <c r="K82" s="173"/>
      <c r="L82" s="173"/>
      <c r="M82" s="173"/>
      <c r="N82" s="173"/>
    </row>
    <row r="83" spans="2:14" x14ac:dyDescent="0.25">
      <c r="B83" s="173"/>
      <c r="C83" s="175"/>
      <c r="D83" s="175"/>
      <c r="E83" s="175"/>
      <c r="F83" s="175"/>
      <c r="G83" s="175"/>
      <c r="H83" s="175"/>
      <c r="I83" s="175"/>
      <c r="J83" s="175"/>
      <c r="K83" s="175"/>
      <c r="L83" s="175"/>
      <c r="M83" s="175"/>
      <c r="N83" s="173"/>
    </row>
    <row r="84" spans="2:14" x14ac:dyDescent="0.25">
      <c r="B84" s="173"/>
      <c r="C84" s="175"/>
      <c r="D84" s="175"/>
      <c r="E84" s="175"/>
      <c r="F84" s="175"/>
      <c r="G84" s="175"/>
      <c r="H84" s="175"/>
      <c r="I84" s="175"/>
      <c r="J84" s="175"/>
      <c r="K84" s="175"/>
      <c r="L84" s="175"/>
      <c r="M84" s="175"/>
      <c r="N84" s="173"/>
    </row>
    <row r="85" spans="2:14" x14ac:dyDescent="0.25">
      <c r="B85" s="173"/>
      <c r="C85" s="175"/>
      <c r="D85" s="175"/>
      <c r="E85" s="175"/>
      <c r="F85" s="175"/>
      <c r="G85" s="175"/>
      <c r="H85" s="175"/>
      <c r="I85" s="175"/>
      <c r="J85" s="175"/>
      <c r="K85" s="175"/>
      <c r="L85" s="175"/>
      <c r="M85" s="175"/>
      <c r="N85" s="173"/>
    </row>
    <row r="86" spans="2:14" x14ac:dyDescent="0.25">
      <c r="B86" s="173"/>
      <c r="C86" s="175"/>
      <c r="D86" s="175"/>
      <c r="E86" s="175"/>
      <c r="F86" s="175"/>
      <c r="G86" s="175"/>
      <c r="H86" s="175"/>
      <c r="I86" s="175"/>
      <c r="J86" s="175"/>
      <c r="K86" s="175"/>
      <c r="L86" s="175"/>
      <c r="M86" s="175"/>
      <c r="N86" s="173"/>
    </row>
    <row r="87" spans="2:14" x14ac:dyDescent="0.25">
      <c r="B87" s="173"/>
      <c r="C87" s="175"/>
      <c r="D87" s="175"/>
      <c r="E87" s="175"/>
      <c r="F87" s="175"/>
      <c r="G87" s="175"/>
      <c r="H87" s="175"/>
      <c r="I87" s="175"/>
      <c r="J87" s="175"/>
      <c r="K87" s="175"/>
      <c r="L87" s="175"/>
      <c r="M87" s="175"/>
      <c r="N87" s="173"/>
    </row>
    <row r="88" spans="2:14" x14ac:dyDescent="0.25">
      <c r="C88" s="80"/>
      <c r="D88" s="80"/>
      <c r="E88" s="80"/>
      <c r="F88" s="80"/>
      <c r="G88" s="80"/>
      <c r="H88" s="80"/>
      <c r="I88" s="80"/>
      <c r="J88" s="80"/>
      <c r="K88" s="80"/>
      <c r="L88" s="80"/>
      <c r="M88" s="80"/>
    </row>
    <row r="89" spans="2:14" x14ac:dyDescent="0.25">
      <c r="C89" s="80"/>
      <c r="D89" s="80"/>
      <c r="E89" s="80"/>
      <c r="F89" s="80"/>
      <c r="G89" s="80"/>
      <c r="H89" s="80"/>
      <c r="I89" s="80"/>
      <c r="J89" s="80"/>
      <c r="K89" s="80"/>
      <c r="L89" s="80"/>
      <c r="M89" s="80"/>
    </row>
    <row r="90" spans="2:14" x14ac:dyDescent="0.25">
      <c r="C90" s="80"/>
      <c r="D90" s="80"/>
      <c r="E90" s="80"/>
      <c r="F90" s="80"/>
      <c r="G90" s="80"/>
      <c r="H90" s="80"/>
      <c r="I90" s="80"/>
      <c r="J90" s="80"/>
      <c r="K90" s="80"/>
      <c r="L90" s="80"/>
      <c r="M90" s="80"/>
    </row>
    <row r="91" spans="2:14" x14ac:dyDescent="0.25">
      <c r="C91" s="80"/>
      <c r="D91" s="80"/>
      <c r="E91" s="80"/>
      <c r="F91" s="80"/>
      <c r="G91" s="80"/>
      <c r="H91" s="80"/>
      <c r="I91" s="80"/>
      <c r="J91" s="80"/>
      <c r="K91" s="80"/>
      <c r="L91" s="80"/>
      <c r="M91" s="80"/>
    </row>
    <row r="92" spans="2:14" x14ac:dyDescent="0.25">
      <c r="C92" s="80"/>
      <c r="D92" s="80"/>
      <c r="E92" s="80"/>
      <c r="F92" s="80"/>
      <c r="G92" s="80"/>
      <c r="H92" s="80"/>
      <c r="I92" s="80"/>
      <c r="J92" s="80"/>
      <c r="K92" s="80"/>
      <c r="L92" s="80"/>
      <c r="M92" s="80"/>
    </row>
    <row r="93" spans="2:14" x14ac:dyDescent="0.25">
      <c r="C93" s="80"/>
      <c r="D93" s="80"/>
      <c r="E93" s="80"/>
      <c r="F93" s="80"/>
      <c r="G93" s="80"/>
      <c r="H93" s="80"/>
      <c r="I93" s="80"/>
      <c r="J93" s="80"/>
      <c r="K93" s="80"/>
      <c r="L93" s="80"/>
      <c r="M93" s="80"/>
    </row>
    <row r="94" spans="2:14" x14ac:dyDescent="0.25">
      <c r="C94" s="80"/>
      <c r="D94" s="80"/>
      <c r="E94" s="80"/>
      <c r="F94" s="80"/>
      <c r="G94" s="80"/>
      <c r="H94" s="80"/>
      <c r="I94" s="80"/>
      <c r="J94" s="80"/>
      <c r="K94" s="80"/>
      <c r="L94" s="80"/>
      <c r="M94" s="80"/>
    </row>
    <row r="95" spans="2:14" x14ac:dyDescent="0.25">
      <c r="C95" s="80"/>
      <c r="D95" s="80"/>
      <c r="E95" s="80"/>
      <c r="F95" s="80"/>
      <c r="G95" s="80"/>
      <c r="H95" s="80"/>
      <c r="I95" s="80"/>
      <c r="J95" s="80"/>
      <c r="K95" s="80"/>
      <c r="L95" s="80"/>
      <c r="M95" s="80"/>
    </row>
    <row r="96" spans="2:14" x14ac:dyDescent="0.25">
      <c r="C96" s="80"/>
      <c r="D96" s="80"/>
      <c r="E96" s="80"/>
      <c r="F96" s="80"/>
      <c r="G96" s="80"/>
      <c r="H96" s="80"/>
      <c r="I96" s="80"/>
      <c r="J96" s="80"/>
      <c r="K96" s="80"/>
      <c r="L96" s="80"/>
      <c r="M96" s="80"/>
    </row>
    <row r="97" spans="3:13" x14ac:dyDescent="0.25">
      <c r="C97" s="80"/>
      <c r="D97" s="80"/>
      <c r="E97" s="80"/>
      <c r="F97" s="80"/>
      <c r="G97" s="80"/>
      <c r="H97" s="80"/>
      <c r="I97" s="80"/>
      <c r="J97" s="80"/>
      <c r="K97" s="80"/>
      <c r="L97" s="80"/>
      <c r="M97" s="80"/>
    </row>
    <row r="98" spans="3:13" x14ac:dyDescent="0.25">
      <c r="C98" s="80"/>
      <c r="D98" s="80"/>
      <c r="E98" s="80"/>
      <c r="F98" s="80"/>
      <c r="G98" s="80"/>
      <c r="H98" s="80"/>
      <c r="I98" s="80"/>
      <c r="J98" s="80"/>
      <c r="K98" s="80"/>
      <c r="L98" s="80"/>
      <c r="M98" s="80"/>
    </row>
    <row r="99" spans="3:13" x14ac:dyDescent="0.25">
      <c r="C99" s="80"/>
      <c r="D99" s="80"/>
      <c r="E99" s="80"/>
      <c r="F99" s="80"/>
      <c r="G99" s="80"/>
      <c r="H99" s="80"/>
      <c r="I99" s="80"/>
      <c r="J99" s="80"/>
      <c r="K99" s="80"/>
      <c r="L99" s="80"/>
      <c r="M99" s="80"/>
    </row>
    <row r="100" spans="3:13" x14ac:dyDescent="0.25">
      <c r="C100" s="80"/>
      <c r="D100" s="80"/>
      <c r="E100" s="80"/>
      <c r="F100" s="80"/>
      <c r="G100" s="80"/>
      <c r="H100" s="80"/>
      <c r="I100" s="80"/>
      <c r="J100" s="80"/>
      <c r="K100" s="80"/>
      <c r="L100" s="80"/>
      <c r="M100" s="80"/>
    </row>
    <row r="101" spans="3:13" x14ac:dyDescent="0.25">
      <c r="C101" s="80"/>
      <c r="D101" s="80"/>
      <c r="E101" s="80"/>
      <c r="F101" s="80"/>
      <c r="G101" s="80"/>
      <c r="H101" s="80"/>
      <c r="I101" s="80"/>
      <c r="J101" s="80"/>
      <c r="K101" s="80"/>
      <c r="L101" s="80"/>
      <c r="M101" s="80"/>
    </row>
    <row r="102" spans="3:13" x14ac:dyDescent="0.25">
      <c r="C102" s="80"/>
      <c r="D102" s="80"/>
      <c r="E102" s="80"/>
      <c r="F102" s="80"/>
      <c r="G102" s="80"/>
      <c r="H102" s="80"/>
      <c r="I102" s="80"/>
      <c r="J102" s="80"/>
      <c r="K102" s="80"/>
      <c r="L102" s="80"/>
      <c r="M102" s="80"/>
    </row>
    <row r="103" spans="3:13" x14ac:dyDescent="0.25">
      <c r="C103" s="80"/>
      <c r="D103" s="80"/>
      <c r="E103" s="80"/>
      <c r="F103" s="80"/>
      <c r="G103" s="80"/>
      <c r="H103" s="80"/>
      <c r="I103" s="80"/>
      <c r="J103" s="80"/>
      <c r="K103" s="80"/>
      <c r="L103" s="80"/>
      <c r="M103" s="80"/>
    </row>
    <row r="104" spans="3:13" x14ac:dyDescent="0.25">
      <c r="C104" s="80"/>
      <c r="D104" s="80"/>
      <c r="E104" s="80"/>
      <c r="F104" s="80"/>
      <c r="G104" s="80"/>
      <c r="H104" s="80"/>
      <c r="I104" s="80"/>
      <c r="J104" s="80"/>
      <c r="K104" s="80"/>
      <c r="L104" s="80"/>
      <c r="M104" s="80"/>
    </row>
    <row r="105" spans="3:13" x14ac:dyDescent="0.25">
      <c r="C105" s="80"/>
      <c r="D105" s="80"/>
      <c r="E105" s="80"/>
      <c r="F105" s="80"/>
      <c r="G105" s="80"/>
      <c r="H105" s="80"/>
      <c r="I105" s="80"/>
      <c r="J105" s="80"/>
      <c r="K105" s="80"/>
      <c r="L105" s="80"/>
      <c r="M105" s="80"/>
    </row>
    <row r="106" spans="3:13" x14ac:dyDescent="0.25">
      <c r="C106" s="80"/>
      <c r="D106" s="80"/>
      <c r="E106" s="80"/>
      <c r="F106" s="80"/>
      <c r="G106" s="80"/>
      <c r="H106" s="80"/>
      <c r="I106" s="80"/>
      <c r="J106" s="80"/>
      <c r="K106" s="80"/>
      <c r="L106" s="80"/>
      <c r="M106" s="80"/>
    </row>
    <row r="107" spans="3:13" x14ac:dyDescent="0.25">
      <c r="C107" s="80"/>
      <c r="D107" s="80"/>
      <c r="E107" s="80"/>
      <c r="F107" s="80"/>
      <c r="G107" s="80"/>
      <c r="H107" s="80"/>
      <c r="I107" s="80"/>
      <c r="J107" s="80"/>
      <c r="K107" s="80"/>
      <c r="L107" s="80"/>
      <c r="M107" s="80"/>
    </row>
    <row r="108" spans="3:13" x14ac:dyDescent="0.25">
      <c r="C108" s="80"/>
      <c r="D108" s="80"/>
      <c r="E108" s="80"/>
      <c r="F108" s="80"/>
      <c r="G108" s="80"/>
      <c r="H108" s="80"/>
      <c r="I108" s="80"/>
      <c r="J108" s="80"/>
      <c r="K108" s="80"/>
      <c r="L108" s="80"/>
      <c r="M108" s="80"/>
    </row>
    <row r="109" spans="3:13" x14ac:dyDescent="0.25">
      <c r="C109" s="80"/>
      <c r="D109" s="80"/>
      <c r="E109" s="80"/>
      <c r="F109" s="80"/>
      <c r="G109" s="80"/>
      <c r="H109" s="80"/>
      <c r="I109" s="80"/>
      <c r="J109" s="80"/>
      <c r="K109" s="80"/>
      <c r="L109" s="80"/>
      <c r="M109" s="80"/>
    </row>
    <row r="110" spans="3:13" x14ac:dyDescent="0.25">
      <c r="C110" s="80"/>
      <c r="D110" s="80"/>
      <c r="E110" s="80"/>
      <c r="F110" s="80"/>
      <c r="G110" s="80"/>
      <c r="H110" s="80"/>
      <c r="I110" s="80"/>
      <c r="J110" s="80"/>
      <c r="K110" s="80"/>
      <c r="L110" s="80"/>
      <c r="M110" s="80"/>
    </row>
    <row r="111" spans="3:13" x14ac:dyDescent="0.25">
      <c r="C111" s="80"/>
      <c r="D111" s="80"/>
      <c r="E111" s="80"/>
      <c r="F111" s="80"/>
      <c r="G111" s="80"/>
      <c r="H111" s="80"/>
      <c r="I111" s="80"/>
      <c r="J111" s="80"/>
      <c r="K111" s="80"/>
      <c r="L111" s="80"/>
      <c r="M111" s="80"/>
    </row>
  </sheetData>
  <mergeCells count="3">
    <mergeCell ref="B1:B5"/>
    <mergeCell ref="C1:I5"/>
    <mergeCell ref="N1:N5"/>
  </mergeCells>
  <conditionalFormatting sqref="B73">
    <cfRule type="cellIs" dxfId="11" priority="8" operator="greaterThan">
      <formula>60</formula>
    </cfRule>
  </conditionalFormatting>
  <conditionalFormatting sqref="C41 F41:I41 L41:N41">
    <cfRule type="cellIs" dxfId="10" priority="3" operator="equal">
      <formula>"DEBE SUBSANAR"</formula>
    </cfRule>
  </conditionalFormatting>
  <conditionalFormatting sqref="C41">
    <cfRule type="cellIs" dxfId="9" priority="5" operator="equal">
      <formula>"NO HABILITADO"</formula>
    </cfRule>
  </conditionalFormatting>
  <conditionalFormatting sqref="C10:N10">
    <cfRule type="cellIs" dxfId="8" priority="4" operator="equal">
      <formula>"NO CUMPLE"</formula>
    </cfRule>
  </conditionalFormatting>
  <conditionalFormatting sqref="C69:N69">
    <cfRule type="expression" dxfId="7" priority="7">
      <formula>YEAR(C69)=2022</formula>
    </cfRule>
  </conditionalFormatting>
  <conditionalFormatting sqref="C72:N72">
    <cfRule type="cellIs" dxfId="6" priority="6" operator="greaterThan">
      <formula>$B$73</formula>
    </cfRule>
  </conditionalFormatting>
  <conditionalFormatting sqref="E41:I41">
    <cfRule type="cellIs" dxfId="5" priority="2" operator="equal">
      <formula>"NO HABILITADO"</formula>
    </cfRule>
  </conditionalFormatting>
  <conditionalFormatting sqref="K41:N41">
    <cfRule type="cellIs" dxfId="4" priority="1" operator="equal">
      <formula>"NO HABILITADO"</formula>
    </cfRule>
  </conditionalFormatting>
  <dataValidations count="1">
    <dataValidation type="list" allowBlank="1" showInputMessage="1" showErrorMessage="1" sqref="C74:N74" xr:uid="{83082E15-2D98-4AE0-9DA9-448EEF21A345}">
      <formula1>$P$21:$Q$21</formula1>
    </dataValidation>
  </dataValidations>
  <printOptions horizontalCentered="1" verticalCentered="1"/>
  <pageMargins left="0.19685039370078741" right="0.19685039370078741" top="0.15748031496062992" bottom="0.15748031496062992" header="0.31496062992125984" footer="0.31496062992125984"/>
  <pageSetup paperSize="256" scale="46" orientation="landscape" r:id="rId1"/>
  <ignoredErrors>
    <ignoredError sqref="F10" formula="1"/>
    <ignoredError sqref="F11:F19 L17" formula="1" formulaRange="1"/>
    <ignoredError sqref="L11:L16 L18:L19" formulaRange="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81"/>
  <sheetViews>
    <sheetView showGridLines="0" tabSelected="1" zoomScale="85" zoomScaleNormal="85" zoomScaleSheetLayoutView="85" workbookViewId="0">
      <pane ySplit="11" topLeftCell="A12" activePane="bottomLeft" state="frozen"/>
      <selection pane="bottomLeft" activeCell="A12" sqref="A12"/>
    </sheetView>
  </sheetViews>
  <sheetFormatPr baseColWidth="10" defaultColWidth="11.42578125" defaultRowHeight="15" x14ac:dyDescent="0.25"/>
  <cols>
    <col min="1" max="1" width="7" style="81" customWidth="1"/>
    <col min="2" max="2" width="51.28515625" style="81" customWidth="1"/>
    <col min="3" max="9" width="22.7109375" style="81" customWidth="1"/>
    <col min="10" max="10" width="38.5703125" style="81" bestFit="1" customWidth="1"/>
    <col min="11" max="11" width="55.7109375" style="81" customWidth="1"/>
    <col min="12" max="12" width="20.140625" style="81" bestFit="1" customWidth="1"/>
    <col min="13" max="258" width="11.5703125" style="81"/>
    <col min="259" max="259" width="22.28515625" style="81" customWidth="1"/>
    <col min="260" max="260" width="17.28515625" style="81" customWidth="1"/>
    <col min="261" max="261" width="16.42578125" style="81" customWidth="1"/>
    <col min="262" max="262" width="18.5703125" style="81" customWidth="1"/>
    <col min="263" max="263" width="20.28515625" style="81" customWidth="1"/>
    <col min="264" max="264" width="17.7109375" style="81" customWidth="1"/>
    <col min="265" max="265" width="18.28515625" style="81" customWidth="1"/>
    <col min="266" max="514" width="11.5703125" style="81"/>
    <col min="515" max="515" width="22.28515625" style="81" customWidth="1"/>
    <col min="516" max="516" width="17.28515625" style="81" customWidth="1"/>
    <col min="517" max="517" width="16.42578125" style="81" customWidth="1"/>
    <col min="518" max="518" width="18.5703125" style="81" customWidth="1"/>
    <col min="519" max="519" width="20.28515625" style="81" customWidth="1"/>
    <col min="520" max="520" width="17.7109375" style="81" customWidth="1"/>
    <col min="521" max="521" width="18.28515625" style="81" customWidth="1"/>
    <col min="522" max="770" width="11.5703125" style="81"/>
    <col min="771" max="771" width="22.28515625" style="81" customWidth="1"/>
    <col min="772" max="772" width="17.28515625" style="81" customWidth="1"/>
    <col min="773" max="773" width="16.42578125" style="81" customWidth="1"/>
    <col min="774" max="774" width="18.5703125" style="81" customWidth="1"/>
    <col min="775" max="775" width="20.28515625" style="81" customWidth="1"/>
    <col min="776" max="776" width="17.7109375" style="81" customWidth="1"/>
    <col min="777" max="777" width="18.28515625" style="81" customWidth="1"/>
    <col min="778" max="1026" width="11.5703125" style="81"/>
    <col min="1027" max="1027" width="22.28515625" style="81" customWidth="1"/>
    <col min="1028" max="1028" width="17.28515625" style="81" customWidth="1"/>
    <col min="1029" max="1029" width="16.42578125" style="81" customWidth="1"/>
    <col min="1030" max="1030" width="18.5703125" style="81" customWidth="1"/>
    <col min="1031" max="1031" width="20.28515625" style="81" customWidth="1"/>
    <col min="1032" max="1032" width="17.7109375" style="81" customWidth="1"/>
    <col min="1033" max="1033" width="18.28515625" style="81" customWidth="1"/>
    <col min="1034" max="1282" width="11.5703125" style="81"/>
    <col min="1283" max="1283" width="22.28515625" style="81" customWidth="1"/>
    <col min="1284" max="1284" width="17.28515625" style="81" customWidth="1"/>
    <col min="1285" max="1285" width="16.42578125" style="81" customWidth="1"/>
    <col min="1286" max="1286" width="18.5703125" style="81" customWidth="1"/>
    <col min="1287" max="1287" width="20.28515625" style="81" customWidth="1"/>
    <col min="1288" max="1288" width="17.7109375" style="81" customWidth="1"/>
    <col min="1289" max="1289" width="18.28515625" style="81" customWidth="1"/>
    <col min="1290" max="1538" width="11.5703125" style="81"/>
    <col min="1539" max="1539" width="22.28515625" style="81" customWidth="1"/>
    <col min="1540" max="1540" width="17.28515625" style="81" customWidth="1"/>
    <col min="1541" max="1541" width="16.42578125" style="81" customWidth="1"/>
    <col min="1542" max="1542" width="18.5703125" style="81" customWidth="1"/>
    <col min="1543" max="1543" width="20.28515625" style="81" customWidth="1"/>
    <col min="1544" max="1544" width="17.7109375" style="81" customWidth="1"/>
    <col min="1545" max="1545" width="18.28515625" style="81" customWidth="1"/>
    <col min="1546" max="1794" width="11.5703125" style="81"/>
    <col min="1795" max="1795" width="22.28515625" style="81" customWidth="1"/>
    <col min="1796" max="1796" width="17.28515625" style="81" customWidth="1"/>
    <col min="1797" max="1797" width="16.42578125" style="81" customWidth="1"/>
    <col min="1798" max="1798" width="18.5703125" style="81" customWidth="1"/>
    <col min="1799" max="1799" width="20.28515625" style="81" customWidth="1"/>
    <col min="1800" max="1800" width="17.7109375" style="81" customWidth="1"/>
    <col min="1801" max="1801" width="18.28515625" style="81" customWidth="1"/>
    <col min="1802" max="2050" width="11.5703125" style="81"/>
    <col min="2051" max="2051" width="22.28515625" style="81" customWidth="1"/>
    <col min="2052" max="2052" width="17.28515625" style="81" customWidth="1"/>
    <col min="2053" max="2053" width="16.42578125" style="81" customWidth="1"/>
    <col min="2054" max="2054" width="18.5703125" style="81" customWidth="1"/>
    <col min="2055" max="2055" width="20.28515625" style="81" customWidth="1"/>
    <col min="2056" max="2056" width="17.7109375" style="81" customWidth="1"/>
    <col min="2057" max="2057" width="18.28515625" style="81" customWidth="1"/>
    <col min="2058" max="2306" width="11.5703125" style="81"/>
    <col min="2307" max="2307" width="22.28515625" style="81" customWidth="1"/>
    <col min="2308" max="2308" width="17.28515625" style="81" customWidth="1"/>
    <col min="2309" max="2309" width="16.42578125" style="81" customWidth="1"/>
    <col min="2310" max="2310" width="18.5703125" style="81" customWidth="1"/>
    <col min="2311" max="2311" width="20.28515625" style="81" customWidth="1"/>
    <col min="2312" max="2312" width="17.7109375" style="81" customWidth="1"/>
    <col min="2313" max="2313" width="18.28515625" style="81" customWidth="1"/>
    <col min="2314" max="2562" width="11.5703125" style="81"/>
    <col min="2563" max="2563" width="22.28515625" style="81" customWidth="1"/>
    <col min="2564" max="2564" width="17.28515625" style="81" customWidth="1"/>
    <col min="2565" max="2565" width="16.42578125" style="81" customWidth="1"/>
    <col min="2566" max="2566" width="18.5703125" style="81" customWidth="1"/>
    <col min="2567" max="2567" width="20.28515625" style="81" customWidth="1"/>
    <col min="2568" max="2568" width="17.7109375" style="81" customWidth="1"/>
    <col min="2569" max="2569" width="18.28515625" style="81" customWidth="1"/>
    <col min="2570" max="2818" width="11.5703125" style="81"/>
    <col min="2819" max="2819" width="22.28515625" style="81" customWidth="1"/>
    <col min="2820" max="2820" width="17.28515625" style="81" customWidth="1"/>
    <col min="2821" max="2821" width="16.42578125" style="81" customWidth="1"/>
    <col min="2822" max="2822" width="18.5703125" style="81" customWidth="1"/>
    <col min="2823" max="2823" width="20.28515625" style="81" customWidth="1"/>
    <col min="2824" max="2824" width="17.7109375" style="81" customWidth="1"/>
    <col min="2825" max="2825" width="18.28515625" style="81" customWidth="1"/>
    <col min="2826" max="3074" width="11.5703125" style="81"/>
    <col min="3075" max="3075" width="22.28515625" style="81" customWidth="1"/>
    <col min="3076" max="3076" width="17.28515625" style="81" customWidth="1"/>
    <col min="3077" max="3077" width="16.42578125" style="81" customWidth="1"/>
    <col min="3078" max="3078" width="18.5703125" style="81" customWidth="1"/>
    <col min="3079" max="3079" width="20.28515625" style="81" customWidth="1"/>
    <col min="3080" max="3080" width="17.7109375" style="81" customWidth="1"/>
    <col min="3081" max="3081" width="18.28515625" style="81" customWidth="1"/>
    <col min="3082" max="3330" width="11.5703125" style="81"/>
    <col min="3331" max="3331" width="22.28515625" style="81" customWidth="1"/>
    <col min="3332" max="3332" width="17.28515625" style="81" customWidth="1"/>
    <col min="3333" max="3333" width="16.42578125" style="81" customWidth="1"/>
    <col min="3334" max="3334" width="18.5703125" style="81" customWidth="1"/>
    <col min="3335" max="3335" width="20.28515625" style="81" customWidth="1"/>
    <col min="3336" max="3336" width="17.7109375" style="81" customWidth="1"/>
    <col min="3337" max="3337" width="18.28515625" style="81" customWidth="1"/>
    <col min="3338" max="3586" width="11.5703125" style="81"/>
    <col min="3587" max="3587" width="22.28515625" style="81" customWidth="1"/>
    <col min="3588" max="3588" width="17.28515625" style="81" customWidth="1"/>
    <col min="3589" max="3589" width="16.42578125" style="81" customWidth="1"/>
    <col min="3590" max="3590" width="18.5703125" style="81" customWidth="1"/>
    <col min="3591" max="3591" width="20.28515625" style="81" customWidth="1"/>
    <col min="3592" max="3592" width="17.7109375" style="81" customWidth="1"/>
    <col min="3593" max="3593" width="18.28515625" style="81" customWidth="1"/>
    <col min="3594" max="3842" width="11.5703125" style="81"/>
    <col min="3843" max="3843" width="22.28515625" style="81" customWidth="1"/>
    <col min="3844" max="3844" width="17.28515625" style="81" customWidth="1"/>
    <col min="3845" max="3845" width="16.42578125" style="81" customWidth="1"/>
    <col min="3846" max="3846" width="18.5703125" style="81" customWidth="1"/>
    <col min="3847" max="3847" width="20.28515625" style="81" customWidth="1"/>
    <col min="3848" max="3848" width="17.7109375" style="81" customWidth="1"/>
    <col min="3849" max="3849" width="18.28515625" style="81" customWidth="1"/>
    <col min="3850" max="4098" width="11.5703125" style="81"/>
    <col min="4099" max="4099" width="22.28515625" style="81" customWidth="1"/>
    <col min="4100" max="4100" width="17.28515625" style="81" customWidth="1"/>
    <col min="4101" max="4101" width="16.42578125" style="81" customWidth="1"/>
    <col min="4102" max="4102" width="18.5703125" style="81" customWidth="1"/>
    <col min="4103" max="4103" width="20.28515625" style="81" customWidth="1"/>
    <col min="4104" max="4104" width="17.7109375" style="81" customWidth="1"/>
    <col min="4105" max="4105" width="18.28515625" style="81" customWidth="1"/>
    <col min="4106" max="4354" width="11.5703125" style="81"/>
    <col min="4355" max="4355" width="22.28515625" style="81" customWidth="1"/>
    <col min="4356" max="4356" width="17.28515625" style="81" customWidth="1"/>
    <col min="4357" max="4357" width="16.42578125" style="81" customWidth="1"/>
    <col min="4358" max="4358" width="18.5703125" style="81" customWidth="1"/>
    <col min="4359" max="4359" width="20.28515625" style="81" customWidth="1"/>
    <col min="4360" max="4360" width="17.7109375" style="81" customWidth="1"/>
    <col min="4361" max="4361" width="18.28515625" style="81" customWidth="1"/>
    <col min="4362" max="4610" width="11.5703125" style="81"/>
    <col min="4611" max="4611" width="22.28515625" style="81" customWidth="1"/>
    <col min="4612" max="4612" width="17.28515625" style="81" customWidth="1"/>
    <col min="4613" max="4613" width="16.42578125" style="81" customWidth="1"/>
    <col min="4614" max="4614" width="18.5703125" style="81" customWidth="1"/>
    <col min="4615" max="4615" width="20.28515625" style="81" customWidth="1"/>
    <col min="4616" max="4616" width="17.7109375" style="81" customWidth="1"/>
    <col min="4617" max="4617" width="18.28515625" style="81" customWidth="1"/>
    <col min="4618" max="4866" width="11.5703125" style="81"/>
    <col min="4867" max="4867" width="22.28515625" style="81" customWidth="1"/>
    <col min="4868" max="4868" width="17.28515625" style="81" customWidth="1"/>
    <col min="4869" max="4869" width="16.42578125" style="81" customWidth="1"/>
    <col min="4870" max="4870" width="18.5703125" style="81" customWidth="1"/>
    <col min="4871" max="4871" width="20.28515625" style="81" customWidth="1"/>
    <col min="4872" max="4872" width="17.7109375" style="81" customWidth="1"/>
    <col min="4873" max="4873" width="18.28515625" style="81" customWidth="1"/>
    <col min="4874" max="5122" width="11.5703125" style="81"/>
    <col min="5123" max="5123" width="22.28515625" style="81" customWidth="1"/>
    <col min="5124" max="5124" width="17.28515625" style="81" customWidth="1"/>
    <col min="5125" max="5125" width="16.42578125" style="81" customWidth="1"/>
    <col min="5126" max="5126" width="18.5703125" style="81" customWidth="1"/>
    <col min="5127" max="5127" width="20.28515625" style="81" customWidth="1"/>
    <col min="5128" max="5128" width="17.7109375" style="81" customWidth="1"/>
    <col min="5129" max="5129" width="18.28515625" style="81" customWidth="1"/>
    <col min="5130" max="5378" width="11.5703125" style="81"/>
    <col min="5379" max="5379" width="22.28515625" style="81" customWidth="1"/>
    <col min="5380" max="5380" width="17.28515625" style="81" customWidth="1"/>
    <col min="5381" max="5381" width="16.42578125" style="81" customWidth="1"/>
    <col min="5382" max="5382" width="18.5703125" style="81" customWidth="1"/>
    <col min="5383" max="5383" width="20.28515625" style="81" customWidth="1"/>
    <col min="5384" max="5384" width="17.7109375" style="81" customWidth="1"/>
    <col min="5385" max="5385" width="18.28515625" style="81" customWidth="1"/>
    <col min="5386" max="5634" width="11.5703125" style="81"/>
    <col min="5635" max="5635" width="22.28515625" style="81" customWidth="1"/>
    <col min="5636" max="5636" width="17.28515625" style="81" customWidth="1"/>
    <col min="5637" max="5637" width="16.42578125" style="81" customWidth="1"/>
    <col min="5638" max="5638" width="18.5703125" style="81" customWidth="1"/>
    <col min="5639" max="5639" width="20.28515625" style="81" customWidth="1"/>
    <col min="5640" max="5640" width="17.7109375" style="81" customWidth="1"/>
    <col min="5641" max="5641" width="18.28515625" style="81" customWidth="1"/>
    <col min="5642" max="5890" width="11.5703125" style="81"/>
    <col min="5891" max="5891" width="22.28515625" style="81" customWidth="1"/>
    <col min="5892" max="5892" width="17.28515625" style="81" customWidth="1"/>
    <col min="5893" max="5893" width="16.42578125" style="81" customWidth="1"/>
    <col min="5894" max="5894" width="18.5703125" style="81" customWidth="1"/>
    <col min="5895" max="5895" width="20.28515625" style="81" customWidth="1"/>
    <col min="5896" max="5896" width="17.7109375" style="81" customWidth="1"/>
    <col min="5897" max="5897" width="18.28515625" style="81" customWidth="1"/>
    <col min="5898" max="6146" width="11.5703125" style="81"/>
    <col min="6147" max="6147" width="22.28515625" style="81" customWidth="1"/>
    <col min="6148" max="6148" width="17.28515625" style="81" customWidth="1"/>
    <col min="6149" max="6149" width="16.42578125" style="81" customWidth="1"/>
    <col min="6150" max="6150" width="18.5703125" style="81" customWidth="1"/>
    <col min="6151" max="6151" width="20.28515625" style="81" customWidth="1"/>
    <col min="6152" max="6152" width="17.7109375" style="81" customWidth="1"/>
    <col min="6153" max="6153" width="18.28515625" style="81" customWidth="1"/>
    <col min="6154" max="6402" width="11.5703125" style="81"/>
    <col min="6403" max="6403" width="22.28515625" style="81" customWidth="1"/>
    <col min="6404" max="6404" width="17.28515625" style="81" customWidth="1"/>
    <col min="6405" max="6405" width="16.42578125" style="81" customWidth="1"/>
    <col min="6406" max="6406" width="18.5703125" style="81" customWidth="1"/>
    <col min="6407" max="6407" width="20.28515625" style="81" customWidth="1"/>
    <col min="6408" max="6408" width="17.7109375" style="81" customWidth="1"/>
    <col min="6409" max="6409" width="18.28515625" style="81" customWidth="1"/>
    <col min="6410" max="6658" width="11.5703125" style="81"/>
    <col min="6659" max="6659" width="22.28515625" style="81" customWidth="1"/>
    <col min="6660" max="6660" width="17.28515625" style="81" customWidth="1"/>
    <col min="6661" max="6661" width="16.42578125" style="81" customWidth="1"/>
    <col min="6662" max="6662" width="18.5703125" style="81" customWidth="1"/>
    <col min="6663" max="6663" width="20.28515625" style="81" customWidth="1"/>
    <col min="6664" max="6664" width="17.7109375" style="81" customWidth="1"/>
    <col min="6665" max="6665" width="18.28515625" style="81" customWidth="1"/>
    <col min="6666" max="6914" width="11.5703125" style="81"/>
    <col min="6915" max="6915" width="22.28515625" style="81" customWidth="1"/>
    <col min="6916" max="6916" width="17.28515625" style="81" customWidth="1"/>
    <col min="6917" max="6917" width="16.42578125" style="81" customWidth="1"/>
    <col min="6918" max="6918" width="18.5703125" style="81" customWidth="1"/>
    <col min="6919" max="6919" width="20.28515625" style="81" customWidth="1"/>
    <col min="6920" max="6920" width="17.7109375" style="81" customWidth="1"/>
    <col min="6921" max="6921" width="18.28515625" style="81" customWidth="1"/>
    <col min="6922" max="7170" width="11.5703125" style="81"/>
    <col min="7171" max="7171" width="22.28515625" style="81" customWidth="1"/>
    <col min="7172" max="7172" width="17.28515625" style="81" customWidth="1"/>
    <col min="7173" max="7173" width="16.42578125" style="81" customWidth="1"/>
    <col min="7174" max="7174" width="18.5703125" style="81" customWidth="1"/>
    <col min="7175" max="7175" width="20.28515625" style="81" customWidth="1"/>
    <col min="7176" max="7176" width="17.7109375" style="81" customWidth="1"/>
    <col min="7177" max="7177" width="18.28515625" style="81" customWidth="1"/>
    <col min="7178" max="7426" width="11.5703125" style="81"/>
    <col min="7427" max="7427" width="22.28515625" style="81" customWidth="1"/>
    <col min="7428" max="7428" width="17.28515625" style="81" customWidth="1"/>
    <col min="7429" max="7429" width="16.42578125" style="81" customWidth="1"/>
    <col min="7430" max="7430" width="18.5703125" style="81" customWidth="1"/>
    <col min="7431" max="7431" width="20.28515625" style="81" customWidth="1"/>
    <col min="7432" max="7432" width="17.7109375" style="81" customWidth="1"/>
    <col min="7433" max="7433" width="18.28515625" style="81" customWidth="1"/>
    <col min="7434" max="7682" width="11.5703125" style="81"/>
    <col min="7683" max="7683" width="22.28515625" style="81" customWidth="1"/>
    <col min="7684" max="7684" width="17.28515625" style="81" customWidth="1"/>
    <col min="7685" max="7685" width="16.42578125" style="81" customWidth="1"/>
    <col min="7686" max="7686" width="18.5703125" style="81" customWidth="1"/>
    <col min="7687" max="7687" width="20.28515625" style="81" customWidth="1"/>
    <col min="7688" max="7688" width="17.7109375" style="81" customWidth="1"/>
    <col min="7689" max="7689" width="18.28515625" style="81" customWidth="1"/>
    <col min="7690" max="7938" width="11.5703125" style="81"/>
    <col min="7939" max="7939" width="22.28515625" style="81" customWidth="1"/>
    <col min="7940" max="7940" width="17.28515625" style="81" customWidth="1"/>
    <col min="7941" max="7941" width="16.42578125" style="81" customWidth="1"/>
    <col min="7942" max="7942" width="18.5703125" style="81" customWidth="1"/>
    <col min="7943" max="7943" width="20.28515625" style="81" customWidth="1"/>
    <col min="7944" max="7944" width="17.7109375" style="81" customWidth="1"/>
    <col min="7945" max="7945" width="18.28515625" style="81" customWidth="1"/>
    <col min="7946" max="8194" width="11.5703125" style="81"/>
    <col min="8195" max="8195" width="22.28515625" style="81" customWidth="1"/>
    <col min="8196" max="8196" width="17.28515625" style="81" customWidth="1"/>
    <col min="8197" max="8197" width="16.42578125" style="81" customWidth="1"/>
    <col min="8198" max="8198" width="18.5703125" style="81" customWidth="1"/>
    <col min="8199" max="8199" width="20.28515625" style="81" customWidth="1"/>
    <col min="8200" max="8200" width="17.7109375" style="81" customWidth="1"/>
    <col min="8201" max="8201" width="18.28515625" style="81" customWidth="1"/>
    <col min="8202" max="8450" width="11.5703125" style="81"/>
    <col min="8451" max="8451" width="22.28515625" style="81" customWidth="1"/>
    <col min="8452" max="8452" width="17.28515625" style="81" customWidth="1"/>
    <col min="8453" max="8453" width="16.42578125" style="81" customWidth="1"/>
    <col min="8454" max="8454" width="18.5703125" style="81" customWidth="1"/>
    <col min="8455" max="8455" width="20.28515625" style="81" customWidth="1"/>
    <col min="8456" max="8456" width="17.7109375" style="81" customWidth="1"/>
    <col min="8457" max="8457" width="18.28515625" style="81" customWidth="1"/>
    <col min="8458" max="8706" width="11.5703125" style="81"/>
    <col min="8707" max="8707" width="22.28515625" style="81" customWidth="1"/>
    <col min="8708" max="8708" width="17.28515625" style="81" customWidth="1"/>
    <col min="8709" max="8709" width="16.42578125" style="81" customWidth="1"/>
    <col min="8710" max="8710" width="18.5703125" style="81" customWidth="1"/>
    <col min="8711" max="8711" width="20.28515625" style="81" customWidth="1"/>
    <col min="8712" max="8712" width="17.7109375" style="81" customWidth="1"/>
    <col min="8713" max="8713" width="18.28515625" style="81" customWidth="1"/>
    <col min="8714" max="8962" width="11.5703125" style="81"/>
    <col min="8963" max="8963" width="22.28515625" style="81" customWidth="1"/>
    <col min="8964" max="8964" width="17.28515625" style="81" customWidth="1"/>
    <col min="8965" max="8965" width="16.42578125" style="81" customWidth="1"/>
    <col min="8966" max="8966" width="18.5703125" style="81" customWidth="1"/>
    <col min="8967" max="8967" width="20.28515625" style="81" customWidth="1"/>
    <col min="8968" max="8968" width="17.7109375" style="81" customWidth="1"/>
    <col min="8969" max="8969" width="18.28515625" style="81" customWidth="1"/>
    <col min="8970" max="9218" width="11.5703125" style="81"/>
    <col min="9219" max="9219" width="22.28515625" style="81" customWidth="1"/>
    <col min="9220" max="9220" width="17.28515625" style="81" customWidth="1"/>
    <col min="9221" max="9221" width="16.42578125" style="81" customWidth="1"/>
    <col min="9222" max="9222" width="18.5703125" style="81" customWidth="1"/>
    <col min="9223" max="9223" width="20.28515625" style="81" customWidth="1"/>
    <col min="9224" max="9224" width="17.7109375" style="81" customWidth="1"/>
    <col min="9225" max="9225" width="18.28515625" style="81" customWidth="1"/>
    <col min="9226" max="9474" width="11.5703125" style="81"/>
    <col min="9475" max="9475" width="22.28515625" style="81" customWidth="1"/>
    <col min="9476" max="9476" width="17.28515625" style="81" customWidth="1"/>
    <col min="9477" max="9477" width="16.42578125" style="81" customWidth="1"/>
    <col min="9478" max="9478" width="18.5703125" style="81" customWidth="1"/>
    <col min="9479" max="9479" width="20.28515625" style="81" customWidth="1"/>
    <col min="9480" max="9480" width="17.7109375" style="81" customWidth="1"/>
    <col min="9481" max="9481" width="18.28515625" style="81" customWidth="1"/>
    <col min="9482" max="9730" width="11.5703125" style="81"/>
    <col min="9731" max="9731" width="22.28515625" style="81" customWidth="1"/>
    <col min="9732" max="9732" width="17.28515625" style="81" customWidth="1"/>
    <col min="9733" max="9733" width="16.42578125" style="81" customWidth="1"/>
    <col min="9734" max="9734" width="18.5703125" style="81" customWidth="1"/>
    <col min="9735" max="9735" width="20.28515625" style="81" customWidth="1"/>
    <col min="9736" max="9736" width="17.7109375" style="81" customWidth="1"/>
    <col min="9737" max="9737" width="18.28515625" style="81" customWidth="1"/>
    <col min="9738" max="9986" width="11.5703125" style="81"/>
    <col min="9987" max="9987" width="22.28515625" style="81" customWidth="1"/>
    <col min="9988" max="9988" width="17.28515625" style="81" customWidth="1"/>
    <col min="9989" max="9989" width="16.42578125" style="81" customWidth="1"/>
    <col min="9990" max="9990" width="18.5703125" style="81" customWidth="1"/>
    <col min="9991" max="9991" width="20.28515625" style="81" customWidth="1"/>
    <col min="9992" max="9992" width="17.7109375" style="81" customWidth="1"/>
    <col min="9993" max="9993" width="18.28515625" style="81" customWidth="1"/>
    <col min="9994" max="10242" width="11.5703125" style="81"/>
    <col min="10243" max="10243" width="22.28515625" style="81" customWidth="1"/>
    <col min="10244" max="10244" width="17.28515625" style="81" customWidth="1"/>
    <col min="10245" max="10245" width="16.42578125" style="81" customWidth="1"/>
    <col min="10246" max="10246" width="18.5703125" style="81" customWidth="1"/>
    <col min="10247" max="10247" width="20.28515625" style="81" customWidth="1"/>
    <col min="10248" max="10248" width="17.7109375" style="81" customWidth="1"/>
    <col min="10249" max="10249" width="18.28515625" style="81" customWidth="1"/>
    <col min="10250" max="10498" width="11.5703125" style="81"/>
    <col min="10499" max="10499" width="22.28515625" style="81" customWidth="1"/>
    <col min="10500" max="10500" width="17.28515625" style="81" customWidth="1"/>
    <col min="10501" max="10501" width="16.42578125" style="81" customWidth="1"/>
    <col min="10502" max="10502" width="18.5703125" style="81" customWidth="1"/>
    <col min="10503" max="10503" width="20.28515625" style="81" customWidth="1"/>
    <col min="10504" max="10504" width="17.7109375" style="81" customWidth="1"/>
    <col min="10505" max="10505" width="18.28515625" style="81" customWidth="1"/>
    <col min="10506" max="10754" width="11.5703125" style="81"/>
    <col min="10755" max="10755" width="22.28515625" style="81" customWidth="1"/>
    <col min="10756" max="10756" width="17.28515625" style="81" customWidth="1"/>
    <col min="10757" max="10757" width="16.42578125" style="81" customWidth="1"/>
    <col min="10758" max="10758" width="18.5703125" style="81" customWidth="1"/>
    <col min="10759" max="10759" width="20.28515625" style="81" customWidth="1"/>
    <col min="10760" max="10760" width="17.7109375" style="81" customWidth="1"/>
    <col min="10761" max="10761" width="18.28515625" style="81" customWidth="1"/>
    <col min="10762" max="11010" width="11.5703125" style="81"/>
    <col min="11011" max="11011" width="22.28515625" style="81" customWidth="1"/>
    <col min="11012" max="11012" width="17.28515625" style="81" customWidth="1"/>
    <col min="11013" max="11013" width="16.42578125" style="81" customWidth="1"/>
    <col min="11014" max="11014" width="18.5703125" style="81" customWidth="1"/>
    <col min="11015" max="11015" width="20.28515625" style="81" customWidth="1"/>
    <col min="11016" max="11016" width="17.7109375" style="81" customWidth="1"/>
    <col min="11017" max="11017" width="18.28515625" style="81" customWidth="1"/>
    <col min="11018" max="11266" width="11.5703125" style="81"/>
    <col min="11267" max="11267" width="22.28515625" style="81" customWidth="1"/>
    <col min="11268" max="11268" width="17.28515625" style="81" customWidth="1"/>
    <col min="11269" max="11269" width="16.42578125" style="81" customWidth="1"/>
    <col min="11270" max="11270" width="18.5703125" style="81" customWidth="1"/>
    <col min="11271" max="11271" width="20.28515625" style="81" customWidth="1"/>
    <col min="11272" max="11272" width="17.7109375" style="81" customWidth="1"/>
    <col min="11273" max="11273" width="18.28515625" style="81" customWidth="1"/>
    <col min="11274" max="11522" width="11.5703125" style="81"/>
    <col min="11523" max="11523" width="22.28515625" style="81" customWidth="1"/>
    <col min="11524" max="11524" width="17.28515625" style="81" customWidth="1"/>
    <col min="11525" max="11525" width="16.42578125" style="81" customWidth="1"/>
    <col min="11526" max="11526" width="18.5703125" style="81" customWidth="1"/>
    <col min="11527" max="11527" width="20.28515625" style="81" customWidth="1"/>
    <col min="11528" max="11528" width="17.7109375" style="81" customWidth="1"/>
    <col min="11529" max="11529" width="18.28515625" style="81" customWidth="1"/>
    <col min="11530" max="11778" width="11.5703125" style="81"/>
    <col min="11779" max="11779" width="22.28515625" style="81" customWidth="1"/>
    <col min="11780" max="11780" width="17.28515625" style="81" customWidth="1"/>
    <col min="11781" max="11781" width="16.42578125" style="81" customWidth="1"/>
    <col min="11782" max="11782" width="18.5703125" style="81" customWidth="1"/>
    <col min="11783" max="11783" width="20.28515625" style="81" customWidth="1"/>
    <col min="11784" max="11784" width="17.7109375" style="81" customWidth="1"/>
    <col min="11785" max="11785" width="18.28515625" style="81" customWidth="1"/>
    <col min="11786" max="12034" width="11.5703125" style="81"/>
    <col min="12035" max="12035" width="22.28515625" style="81" customWidth="1"/>
    <col min="12036" max="12036" width="17.28515625" style="81" customWidth="1"/>
    <col min="12037" max="12037" width="16.42578125" style="81" customWidth="1"/>
    <col min="12038" max="12038" width="18.5703125" style="81" customWidth="1"/>
    <col min="12039" max="12039" width="20.28515625" style="81" customWidth="1"/>
    <col min="12040" max="12040" width="17.7109375" style="81" customWidth="1"/>
    <col min="12041" max="12041" width="18.28515625" style="81" customWidth="1"/>
    <col min="12042" max="12290" width="11.5703125" style="81"/>
    <col min="12291" max="12291" width="22.28515625" style="81" customWidth="1"/>
    <col min="12292" max="12292" width="17.28515625" style="81" customWidth="1"/>
    <col min="12293" max="12293" width="16.42578125" style="81" customWidth="1"/>
    <col min="12294" max="12294" width="18.5703125" style="81" customWidth="1"/>
    <col min="12295" max="12295" width="20.28515625" style="81" customWidth="1"/>
    <col min="12296" max="12296" width="17.7109375" style="81" customWidth="1"/>
    <col min="12297" max="12297" width="18.28515625" style="81" customWidth="1"/>
    <col min="12298" max="12546" width="11.5703125" style="81"/>
    <col min="12547" max="12547" width="22.28515625" style="81" customWidth="1"/>
    <col min="12548" max="12548" width="17.28515625" style="81" customWidth="1"/>
    <col min="12549" max="12549" width="16.42578125" style="81" customWidth="1"/>
    <col min="12550" max="12550" width="18.5703125" style="81" customWidth="1"/>
    <col min="12551" max="12551" width="20.28515625" style="81" customWidth="1"/>
    <col min="12552" max="12552" width="17.7109375" style="81" customWidth="1"/>
    <col min="12553" max="12553" width="18.28515625" style="81" customWidth="1"/>
    <col min="12554" max="12802" width="11.5703125" style="81"/>
    <col min="12803" max="12803" width="22.28515625" style="81" customWidth="1"/>
    <col min="12804" max="12804" width="17.28515625" style="81" customWidth="1"/>
    <col min="12805" max="12805" width="16.42578125" style="81" customWidth="1"/>
    <col min="12806" max="12806" width="18.5703125" style="81" customWidth="1"/>
    <col min="12807" max="12807" width="20.28515625" style="81" customWidth="1"/>
    <col min="12808" max="12808" width="17.7109375" style="81" customWidth="1"/>
    <col min="12809" max="12809" width="18.28515625" style="81" customWidth="1"/>
    <col min="12810" max="13058" width="11.5703125" style="81"/>
    <col min="13059" max="13059" width="22.28515625" style="81" customWidth="1"/>
    <col min="13060" max="13060" width="17.28515625" style="81" customWidth="1"/>
    <col min="13061" max="13061" width="16.42578125" style="81" customWidth="1"/>
    <col min="13062" max="13062" width="18.5703125" style="81" customWidth="1"/>
    <col min="13063" max="13063" width="20.28515625" style="81" customWidth="1"/>
    <col min="13064" max="13064" width="17.7109375" style="81" customWidth="1"/>
    <col min="13065" max="13065" width="18.28515625" style="81" customWidth="1"/>
    <col min="13066" max="13314" width="11.5703125" style="81"/>
    <col min="13315" max="13315" width="22.28515625" style="81" customWidth="1"/>
    <col min="13316" max="13316" width="17.28515625" style="81" customWidth="1"/>
    <col min="13317" max="13317" width="16.42578125" style="81" customWidth="1"/>
    <col min="13318" max="13318" width="18.5703125" style="81" customWidth="1"/>
    <col min="13319" max="13319" width="20.28515625" style="81" customWidth="1"/>
    <col min="13320" max="13320" width="17.7109375" style="81" customWidth="1"/>
    <col min="13321" max="13321" width="18.28515625" style="81" customWidth="1"/>
    <col min="13322" max="13570" width="11.5703125" style="81"/>
    <col min="13571" max="13571" width="22.28515625" style="81" customWidth="1"/>
    <col min="13572" max="13572" width="17.28515625" style="81" customWidth="1"/>
    <col min="13573" max="13573" width="16.42578125" style="81" customWidth="1"/>
    <col min="13574" max="13574" width="18.5703125" style="81" customWidth="1"/>
    <col min="13575" max="13575" width="20.28515625" style="81" customWidth="1"/>
    <col min="13576" max="13576" width="17.7109375" style="81" customWidth="1"/>
    <col min="13577" max="13577" width="18.28515625" style="81" customWidth="1"/>
    <col min="13578" max="13826" width="11.5703125" style="81"/>
    <col min="13827" max="13827" width="22.28515625" style="81" customWidth="1"/>
    <col min="13828" max="13828" width="17.28515625" style="81" customWidth="1"/>
    <col min="13829" max="13829" width="16.42578125" style="81" customWidth="1"/>
    <col min="13830" max="13830" width="18.5703125" style="81" customWidth="1"/>
    <col min="13831" max="13831" width="20.28515625" style="81" customWidth="1"/>
    <col min="13832" max="13832" width="17.7109375" style="81" customWidth="1"/>
    <col min="13833" max="13833" width="18.28515625" style="81" customWidth="1"/>
    <col min="13834" max="14082" width="11.5703125" style="81"/>
    <col min="14083" max="14083" width="22.28515625" style="81" customWidth="1"/>
    <col min="14084" max="14084" width="17.28515625" style="81" customWidth="1"/>
    <col min="14085" max="14085" width="16.42578125" style="81" customWidth="1"/>
    <col min="14086" max="14086" width="18.5703125" style="81" customWidth="1"/>
    <col min="14087" max="14087" width="20.28515625" style="81" customWidth="1"/>
    <col min="14088" max="14088" width="17.7109375" style="81" customWidth="1"/>
    <col min="14089" max="14089" width="18.28515625" style="81" customWidth="1"/>
    <col min="14090" max="14338" width="11.5703125" style="81"/>
    <col min="14339" max="14339" width="22.28515625" style="81" customWidth="1"/>
    <col min="14340" max="14340" width="17.28515625" style="81" customWidth="1"/>
    <col min="14341" max="14341" width="16.42578125" style="81" customWidth="1"/>
    <col min="14342" max="14342" width="18.5703125" style="81" customWidth="1"/>
    <col min="14343" max="14343" width="20.28515625" style="81" customWidth="1"/>
    <col min="14344" max="14344" width="17.7109375" style="81" customWidth="1"/>
    <col min="14345" max="14345" width="18.28515625" style="81" customWidth="1"/>
    <col min="14346" max="14594" width="11.5703125" style="81"/>
    <col min="14595" max="14595" width="22.28515625" style="81" customWidth="1"/>
    <col min="14596" max="14596" width="17.28515625" style="81" customWidth="1"/>
    <col min="14597" max="14597" width="16.42578125" style="81" customWidth="1"/>
    <col min="14598" max="14598" width="18.5703125" style="81" customWidth="1"/>
    <col min="14599" max="14599" width="20.28515625" style="81" customWidth="1"/>
    <col min="14600" max="14600" width="17.7109375" style="81" customWidth="1"/>
    <col min="14601" max="14601" width="18.28515625" style="81" customWidth="1"/>
    <col min="14602" max="14850" width="11.5703125" style="81"/>
    <col min="14851" max="14851" width="22.28515625" style="81" customWidth="1"/>
    <col min="14852" max="14852" width="17.28515625" style="81" customWidth="1"/>
    <col min="14853" max="14853" width="16.42578125" style="81" customWidth="1"/>
    <col min="14854" max="14854" width="18.5703125" style="81" customWidth="1"/>
    <col min="14855" max="14855" width="20.28515625" style="81" customWidth="1"/>
    <col min="14856" max="14856" width="17.7109375" style="81" customWidth="1"/>
    <col min="14857" max="14857" width="18.28515625" style="81" customWidth="1"/>
    <col min="14858" max="15106" width="11.5703125" style="81"/>
    <col min="15107" max="15107" width="22.28515625" style="81" customWidth="1"/>
    <col min="15108" max="15108" width="17.28515625" style="81" customWidth="1"/>
    <col min="15109" max="15109" width="16.42578125" style="81" customWidth="1"/>
    <col min="15110" max="15110" width="18.5703125" style="81" customWidth="1"/>
    <col min="15111" max="15111" width="20.28515625" style="81" customWidth="1"/>
    <col min="15112" max="15112" width="17.7109375" style="81" customWidth="1"/>
    <col min="15113" max="15113" width="18.28515625" style="81" customWidth="1"/>
    <col min="15114" max="15362" width="11.5703125" style="81"/>
    <col min="15363" max="15363" width="22.28515625" style="81" customWidth="1"/>
    <col min="15364" max="15364" width="17.28515625" style="81" customWidth="1"/>
    <col min="15365" max="15365" width="16.42578125" style="81" customWidth="1"/>
    <col min="15366" max="15366" width="18.5703125" style="81" customWidth="1"/>
    <col min="15367" max="15367" width="20.28515625" style="81" customWidth="1"/>
    <col min="15368" max="15368" width="17.7109375" style="81" customWidth="1"/>
    <col min="15369" max="15369" width="18.28515625" style="81" customWidth="1"/>
    <col min="15370" max="15618" width="11.5703125" style="81"/>
    <col min="15619" max="15619" width="22.28515625" style="81" customWidth="1"/>
    <col min="15620" max="15620" width="17.28515625" style="81" customWidth="1"/>
    <col min="15621" max="15621" width="16.42578125" style="81" customWidth="1"/>
    <col min="15622" max="15622" width="18.5703125" style="81" customWidth="1"/>
    <col min="15623" max="15623" width="20.28515625" style="81" customWidth="1"/>
    <col min="15624" max="15624" width="17.7109375" style="81" customWidth="1"/>
    <col min="15625" max="15625" width="18.28515625" style="81" customWidth="1"/>
    <col min="15626" max="15874" width="11.5703125" style="81"/>
    <col min="15875" max="15875" width="22.28515625" style="81" customWidth="1"/>
    <col min="15876" max="15876" width="17.28515625" style="81" customWidth="1"/>
    <col min="15877" max="15877" width="16.42578125" style="81" customWidth="1"/>
    <col min="15878" max="15878" width="18.5703125" style="81" customWidth="1"/>
    <col min="15879" max="15879" width="20.28515625" style="81" customWidth="1"/>
    <col min="15880" max="15880" width="17.7109375" style="81" customWidth="1"/>
    <col min="15881" max="15881" width="18.28515625" style="81" customWidth="1"/>
    <col min="15882" max="16130" width="11.5703125" style="81"/>
    <col min="16131" max="16131" width="22.28515625" style="81" customWidth="1"/>
    <col min="16132" max="16132" width="17.28515625" style="81" customWidth="1"/>
    <col min="16133" max="16133" width="16.42578125" style="81" customWidth="1"/>
    <col min="16134" max="16134" width="18.5703125" style="81" customWidth="1"/>
    <col min="16135" max="16135" width="20.28515625" style="81" customWidth="1"/>
    <col min="16136" max="16136" width="17.7109375" style="81" customWidth="1"/>
    <col min="16137" max="16137" width="18.28515625" style="81" customWidth="1"/>
    <col min="16138" max="16384" width="11.5703125" style="81"/>
  </cols>
  <sheetData>
    <row r="1" spans="1:12" x14ac:dyDescent="0.25">
      <c r="B1" s="122" t="s">
        <v>38</v>
      </c>
      <c r="C1" s="122"/>
      <c r="D1" s="122"/>
      <c r="E1" s="122"/>
      <c r="F1" s="122"/>
      <c r="G1" s="122"/>
      <c r="H1" s="122"/>
      <c r="I1" s="122"/>
      <c r="J1" s="122"/>
      <c r="K1" s="122"/>
      <c r="L1" s="82"/>
    </row>
    <row r="2" spans="1:12" x14ac:dyDescent="0.25">
      <c r="B2" s="123" t="s">
        <v>39</v>
      </c>
      <c r="C2" s="123"/>
      <c r="D2" s="123"/>
      <c r="E2" s="123"/>
      <c r="F2" s="123"/>
      <c r="G2" s="123"/>
      <c r="H2" s="123"/>
      <c r="I2" s="123"/>
      <c r="J2" s="123"/>
      <c r="K2" s="123"/>
      <c r="L2" s="82"/>
    </row>
    <row r="3" spans="1:12" x14ac:dyDescent="0.25">
      <c r="B3" s="172" t="s">
        <v>67</v>
      </c>
      <c r="C3" s="124"/>
      <c r="D3" s="124"/>
      <c r="E3" s="124"/>
      <c r="F3" s="124"/>
      <c r="G3" s="124"/>
      <c r="H3" s="124"/>
      <c r="I3" s="124"/>
      <c r="J3" s="124"/>
      <c r="K3" s="124"/>
      <c r="L3" s="82"/>
    </row>
    <row r="4" spans="1:12" x14ac:dyDescent="0.25">
      <c r="B4" s="125"/>
      <c r="C4" s="125"/>
      <c r="D4" s="125"/>
      <c r="E4" s="125"/>
      <c r="F4" s="125"/>
      <c r="G4" s="125"/>
      <c r="H4" s="125"/>
      <c r="I4" s="125"/>
      <c r="J4" s="125"/>
      <c r="K4" s="125"/>
      <c r="L4" s="82"/>
    </row>
    <row r="5" spans="1:12" x14ac:dyDescent="0.25">
      <c r="B5" s="117" t="str">
        <f>'1. Oferentes 1 a 8'!P23</f>
        <v>FDLU-CMA-027-2025 (143212)</v>
      </c>
      <c r="C5" s="118"/>
      <c r="D5" s="118"/>
      <c r="E5" s="82"/>
      <c r="F5" s="82"/>
      <c r="G5" s="82"/>
      <c r="H5" s="82"/>
      <c r="I5" s="82"/>
      <c r="J5" s="82"/>
      <c r="K5" s="82"/>
      <c r="L5" s="82"/>
    </row>
    <row r="6" spans="1:12" ht="58.15" customHeight="1" x14ac:dyDescent="0.25">
      <c r="B6" s="121" t="str">
        <f>'1. Oferentes 1 a 8'!B6</f>
        <v>OBJETO: “REALIZAR LA INTERVENTORIA TÉCNICA, ADMINISTRATIVA, FINANCIERA, SISO, JURÍDICA, AMBIENTAL Y CONTABLE A LA EJECUCION DEL CONTRATO DE OBRA PUBLICA QUE CELEBRE EL FONDO DE DESARROLLO LOCAL DE USME COMO RESULTADO DE LA ADJUDICACION DE 
LA LICITACION PUBLICA QUE TIENE POR OBJETO "REALIZAR LAS OBRAS DE CONSERVACIÓN DE LA MALLA VIAL Y ESPACIO PÚBLICO ASOCIADO EN LA LOCALIDAD DE USME, BOGOTÁ, D.C. A TRAVÉS DEL SISTEMA DE PRECIOS UNITARIOS FIJOS Y A MONTO AGOTABLE”</v>
      </c>
      <c r="C6" s="121"/>
      <c r="D6" s="121"/>
      <c r="E6" s="121"/>
      <c r="F6" s="121"/>
      <c r="G6" s="121"/>
      <c r="H6" s="121"/>
      <c r="I6" s="121"/>
      <c r="J6" s="121"/>
      <c r="K6" s="121"/>
      <c r="L6" s="82"/>
    </row>
    <row r="7" spans="1:12" x14ac:dyDescent="0.25">
      <c r="B7" s="136" t="s">
        <v>40</v>
      </c>
      <c r="C7" s="134">
        <f>'1. Oferentes 1 a 8'!P22</f>
        <v>344857484</v>
      </c>
      <c r="D7" s="133"/>
      <c r="E7" s="82"/>
      <c r="F7" s="82"/>
      <c r="G7" s="82"/>
      <c r="H7" s="82"/>
      <c r="I7" s="82"/>
      <c r="J7" s="82"/>
      <c r="K7" s="82"/>
      <c r="L7" s="82"/>
    </row>
    <row r="8" spans="1:12" x14ac:dyDescent="0.25">
      <c r="B8" s="137" t="s">
        <v>41</v>
      </c>
      <c r="C8" s="135">
        <v>45657</v>
      </c>
      <c r="E8" s="82"/>
      <c r="G8" s="82"/>
      <c r="H8" s="82"/>
      <c r="I8" s="82"/>
      <c r="J8" s="82"/>
      <c r="K8" s="82"/>
      <c r="L8" s="82"/>
    </row>
    <row r="9" spans="1:12" x14ac:dyDescent="0.25">
      <c r="B9" s="137" t="s">
        <v>42</v>
      </c>
      <c r="C9" s="135">
        <f>'1. Oferentes 1 a 8'!C71</f>
        <v>46006</v>
      </c>
      <c r="D9" s="82"/>
      <c r="E9" s="82"/>
      <c r="G9" s="82"/>
      <c r="H9" s="82"/>
      <c r="I9" s="82"/>
      <c r="J9" s="82"/>
      <c r="K9" s="82"/>
      <c r="L9" s="82"/>
    </row>
    <row r="10" spans="1:12" x14ac:dyDescent="0.25">
      <c r="B10" s="233" t="s">
        <v>43</v>
      </c>
      <c r="C10" s="234"/>
      <c r="D10" s="235"/>
      <c r="E10" s="235"/>
      <c r="F10" s="235"/>
      <c r="G10" s="235"/>
      <c r="H10" s="236"/>
      <c r="I10" s="83" t="s">
        <v>44</v>
      </c>
      <c r="J10" s="237" t="s">
        <v>45</v>
      </c>
      <c r="K10" s="238" t="s">
        <v>46</v>
      </c>
      <c r="L10" s="239" t="s">
        <v>64</v>
      </c>
    </row>
    <row r="11" spans="1:12" ht="25.5" x14ac:dyDescent="0.25">
      <c r="B11" s="84" t="s">
        <v>47</v>
      </c>
      <c r="C11" s="84" t="s">
        <v>48</v>
      </c>
      <c r="D11" s="84" t="s">
        <v>49</v>
      </c>
      <c r="E11" s="84" t="s">
        <v>50</v>
      </c>
      <c r="F11" s="84" t="s">
        <v>51</v>
      </c>
      <c r="G11" s="84" t="s">
        <v>52</v>
      </c>
      <c r="H11" s="84" t="s">
        <v>53</v>
      </c>
      <c r="I11" s="87" t="s">
        <v>54</v>
      </c>
      <c r="J11" s="237"/>
      <c r="K11" s="238"/>
      <c r="L11" s="240"/>
    </row>
    <row r="12" spans="1:12" ht="73.5" customHeight="1" x14ac:dyDescent="0.25">
      <c r="A12" s="85">
        <v>1</v>
      </c>
      <c r="B12" s="178" t="str" cm="1">
        <f t="array" aca="1" ref="B12" ca="1">_xlfn.XLOOKUP(A12,INDIRECT("'" &amp; L12 &amp; "'!8:8"),INDIRECT("'" &amp; L12 &amp; "'!7:7"))</f>
        <v>OSAC S.A.S NIT: 860033402 1</v>
      </c>
      <c r="C12" s="86" t="str" cm="1">
        <f t="array" aca="1" ref="C12" ca="1">_xlfn.XLOOKUP(A12,INDIRECT("'" &amp; L12 &amp; "'!8:8"),INDIRECT("'" &amp; L12 &amp; "'!27:27"))</f>
        <v>CUMPLE</v>
      </c>
      <c r="D12" s="86" t="str" cm="1">
        <f t="array" aca="1" ref="D12" ca="1">_xlfn.XLOOKUP(A12,INDIRECT("'" &amp; L12 &amp; "'!8:8"),INDIRECT("'" &amp; L12 &amp; "'!29:29"))</f>
        <v>CUMPLE</v>
      </c>
      <c r="E12" s="86" t="str" cm="1">
        <f t="array" aca="1" ref="E12" ca="1">_xlfn.XLOOKUP(A12,INDIRECT("'" &amp; L12 &amp; "'!8:8"),INDIRECT("'" &amp; L12 &amp; "'!31:31"))</f>
        <v>CUMPLE</v>
      </c>
      <c r="F12" s="86" t="str" cm="1">
        <f t="array" aca="1" ref="F12" ca="1">_xlfn.XLOOKUP(A12,INDIRECT("'" &amp; L12 &amp; "'!8:8"),INDIRECT("'" &amp; L12 &amp; "'!33:33"))</f>
        <v>CUMPLE</v>
      </c>
      <c r="G12" s="86" t="str" cm="1">
        <f t="array" aca="1" ref="G12" ca="1">_xlfn.XLOOKUP(A12,INDIRECT("'" &amp; L12 &amp; "'!8:8"),INDIRECT("'" &amp; L12 &amp; "'!37:37"))</f>
        <v>CUMPLE</v>
      </c>
      <c r="H12" s="86" t="str" cm="1">
        <f t="array" aca="1" ref="H12" ca="1">_xlfn.XLOOKUP(A12,INDIRECT("'" &amp; L12 &amp; "'!8:8"),INDIRECT("'" &amp; L12 &amp; "'!39:39"))</f>
        <v>CUMPLE</v>
      </c>
      <c r="I12" s="86" t="str" cm="1">
        <f t="array" aca="1" ref="I12" ca="1">_xlfn.XLOOKUP(A12,INDIRECT("'" &amp; L12 &amp; "'!8:8"),INDIRECT("'" &amp; L12 &amp; "'!10:10"))</f>
        <v>CUMPLE</v>
      </c>
      <c r="J12" s="177" t="str" cm="1">
        <f t="array" aca="1" ref="J12" ca="1">_xlfn.XLOOKUP(A12,INDIRECT("'" &amp; L12 &amp; "'!8:8"),INDIRECT("'" &amp; L12 &amp; "'!41:41"))</f>
        <v>HABILITADO</v>
      </c>
      <c r="K12" s="126" t="s">
        <v>56</v>
      </c>
      <c r="L12" s="207" t="s">
        <v>80</v>
      </c>
    </row>
    <row r="13" spans="1:12" ht="73.5" customHeight="1" x14ac:dyDescent="0.25">
      <c r="A13" s="85">
        <f t="shared" ref="A13:A57" si="0">A12+1</f>
        <v>2</v>
      </c>
      <c r="B13" s="178" t="str" cm="1">
        <f t="array" aca="1" ref="B13" ca="1">_xlfn.XLOOKUP(A13,INDIRECT("'" &amp; L13 &amp; "'!8:8"),INDIRECT("'" &amp; L13 &amp; "'!7:7"))</f>
        <v>PROYECTO SANABRIA SAS N.I.T: 901.633.148-6</v>
      </c>
      <c r="C13" s="86" t="str" cm="1">
        <f t="array" aca="1" ref="C13" ca="1">_xlfn.XLOOKUP(A13,INDIRECT("'" &amp; L13 &amp; "'!8:8"),INDIRECT("'" &amp; L13 &amp; "'!27:27"))</f>
        <v>CUMPLE</v>
      </c>
      <c r="D13" s="86" t="str" cm="1">
        <f t="array" aca="1" ref="D13" ca="1">_xlfn.XLOOKUP(A13,INDIRECT("'" &amp; L13 &amp; "'!8:8"),INDIRECT("'" &amp; L13 &amp; "'!29:29"))</f>
        <v>CUMPLE</v>
      </c>
      <c r="E13" s="86" t="str" cm="1">
        <f t="array" aca="1" ref="E13" ca="1">_xlfn.XLOOKUP(A13,INDIRECT("'" &amp; L13 &amp; "'!8:8"),INDIRECT("'" &amp; L13 &amp; "'!31:31"))</f>
        <v>CUMPLE</v>
      </c>
      <c r="F13" s="86" t="str" cm="1">
        <f t="array" aca="1" ref="F13" ca="1">_xlfn.XLOOKUP(A13,INDIRECT("'" &amp; L13 &amp; "'!8:8"),INDIRECT("'" &amp; L13 &amp; "'!33:33"))</f>
        <v>CUMPLE</v>
      </c>
      <c r="G13" s="86" t="str" cm="1">
        <f t="array" aca="1" ref="G13" ca="1">_xlfn.XLOOKUP(A13,INDIRECT("'" &amp; L13 &amp; "'!8:8"),INDIRECT("'" &amp; L13 &amp; "'!37:37"))</f>
        <v>CUMPLE</v>
      </c>
      <c r="H13" s="86" t="str" cm="1">
        <f t="array" aca="1" ref="H13" ca="1">_xlfn.XLOOKUP(A13,INDIRECT("'" &amp; L13 &amp; "'!8:8"),INDIRECT("'" &amp; L13 &amp; "'!39:39"))</f>
        <v>CUMPLE</v>
      </c>
      <c r="I13" s="86" t="str" cm="1">
        <f t="array" aca="1" ref="I13" ca="1">_xlfn.XLOOKUP(A13,INDIRECT("'" &amp; L13 &amp; "'!8:8"),INDIRECT("'" &amp; L13 &amp; "'!10:10"))</f>
        <v>CUMPLE</v>
      </c>
      <c r="J13" s="177" t="str" cm="1">
        <f t="array" aca="1" ref="J13" ca="1">_xlfn.XLOOKUP(A13,INDIRECT("'" &amp; L13 &amp; "'!8:8"),INDIRECT("'" &amp; L13 &amp; "'!41:41"))</f>
        <v>HABILITADO</v>
      </c>
      <c r="K13" s="181" t="s">
        <v>56</v>
      </c>
      <c r="L13" s="207" t="s">
        <v>80</v>
      </c>
    </row>
    <row r="14" spans="1:12" ht="73.5" customHeight="1" x14ac:dyDescent="0.25">
      <c r="A14" s="85">
        <f t="shared" si="0"/>
        <v>3</v>
      </c>
      <c r="B14" s="178" t="str" cm="1">
        <f t="array" aca="1" ref="B14" ca="1">_xlfn.XLOOKUP(A14,INDIRECT("'" &amp; L14 &amp; "'!8:8"),INDIRECT("'" &amp; L14 &amp; "'!7:7"))</f>
        <v>MAVECA INGENIERIA SAS NIT:901646981-1</v>
      </c>
      <c r="C14" s="86" t="str" cm="1">
        <f t="array" aca="1" ref="C14" ca="1">_xlfn.XLOOKUP(A14,INDIRECT("'" &amp; L14 &amp; "'!8:8"),INDIRECT("'" &amp; L14 &amp; "'!27:27"))</f>
        <v>CUMPLE</v>
      </c>
      <c r="D14" s="86" t="str" cm="1">
        <f t="array" aca="1" ref="D14" ca="1">_xlfn.XLOOKUP(A14,INDIRECT("'" &amp; L14 &amp; "'!8:8"),INDIRECT("'" &amp; L14 &amp; "'!29:29"))</f>
        <v>CUMPLE</v>
      </c>
      <c r="E14" s="86" t="str" cm="1">
        <f t="array" aca="1" ref="E14" ca="1">_xlfn.XLOOKUP(A14,INDIRECT("'" &amp; L14 &amp; "'!8:8"),INDIRECT("'" &amp; L14 &amp; "'!31:31"))</f>
        <v>CUMPLE</v>
      </c>
      <c r="F14" s="86" t="str" cm="1">
        <f t="array" aca="1" ref="F14" ca="1">_xlfn.XLOOKUP(A14,INDIRECT("'" &amp; L14 &amp; "'!8:8"),INDIRECT("'" &amp; L14 &amp; "'!33:33"))</f>
        <v>CUMPLE</v>
      </c>
      <c r="G14" s="86" t="str" cm="1">
        <f t="array" aca="1" ref="G14" ca="1">_xlfn.XLOOKUP(A14,INDIRECT("'" &amp; L14 &amp; "'!8:8"),INDIRECT("'" &amp; L14 &amp; "'!37:37"))</f>
        <v>CUMPLE</v>
      </c>
      <c r="H14" s="86" t="str" cm="1">
        <f t="array" aca="1" ref="H14" ca="1">_xlfn.XLOOKUP(A14,INDIRECT("'" &amp; L14 &amp; "'!8:8"),INDIRECT("'" &amp; L14 &amp; "'!39:39"))</f>
        <v>CUMPLE</v>
      </c>
      <c r="I14" s="86" t="str" cm="1">
        <f t="array" aca="1" ref="I14" ca="1">_xlfn.XLOOKUP(A14,INDIRECT("'" &amp; L14 &amp; "'!8:8"),INDIRECT("'" &amp; L14 &amp; "'!10:10"))</f>
        <v>CUMPLE</v>
      </c>
      <c r="J14" s="177" t="str" cm="1">
        <f t="array" aca="1" ref="J14" ca="1">_xlfn.XLOOKUP(A14,INDIRECT("'" &amp; L14 &amp; "'!8:8"),INDIRECT("'" &amp; L14 &amp; "'!41:41"))</f>
        <v>HABILITADO</v>
      </c>
      <c r="K14" s="181" t="s">
        <v>56</v>
      </c>
      <c r="L14" s="207" t="s">
        <v>80</v>
      </c>
    </row>
    <row r="15" spans="1:12" ht="73.5" customHeight="1" x14ac:dyDescent="0.25">
      <c r="A15" s="85">
        <f t="shared" si="0"/>
        <v>4</v>
      </c>
      <c r="B15" s="178" t="str" cm="1">
        <f t="array" aca="1" ref="B15" ca="1">_xlfn.XLOOKUP(A15,INDIRECT("'" &amp; L15 &amp; "'!8:8"),INDIRECT("'" &amp; L15 &amp; "'!7:7"))</f>
        <v>GRUPO METRO COLOMBIA S.A.S NIT: 830010109 8</v>
      </c>
      <c r="C15" s="86" t="str" cm="1">
        <f t="array" aca="1" ref="C15" ca="1">_xlfn.XLOOKUP(A15,INDIRECT("'" &amp; L15 &amp; "'!8:8"),INDIRECT("'" &amp; L15 &amp; "'!27:27"))</f>
        <v>CUMPLE</v>
      </c>
      <c r="D15" s="86" t="str" cm="1">
        <f t="array" aca="1" ref="D15" ca="1">_xlfn.XLOOKUP(A15,INDIRECT("'" &amp; L15 &amp; "'!8:8"),INDIRECT("'" &amp; L15 &amp; "'!29:29"))</f>
        <v>CUMPLE</v>
      </c>
      <c r="E15" s="86" t="str" cm="1">
        <f t="array" aca="1" ref="E15" ca="1">_xlfn.XLOOKUP(A15,INDIRECT("'" &amp; L15 &amp; "'!8:8"),INDIRECT("'" &amp; L15 &amp; "'!31:31"))</f>
        <v>CUMPLE</v>
      </c>
      <c r="F15" s="86" t="str" cm="1">
        <f t="array" aca="1" ref="F15" ca="1">_xlfn.XLOOKUP(A15,INDIRECT("'" &amp; L15 &amp; "'!8:8"),INDIRECT("'" &amp; L15 &amp; "'!33:33"))</f>
        <v>CUMPLE</v>
      </c>
      <c r="G15" s="86" t="str" cm="1">
        <f t="array" aca="1" ref="G15" ca="1">_xlfn.XLOOKUP(A15,INDIRECT("'" &amp; L15 &amp; "'!8:8"),INDIRECT("'" &amp; L15 &amp; "'!37:37"))</f>
        <v>CUMPLE</v>
      </c>
      <c r="H15" s="86" t="str" cm="1">
        <f t="array" aca="1" ref="H15" ca="1">_xlfn.XLOOKUP(A15,INDIRECT("'" &amp; L15 &amp; "'!8:8"),INDIRECT("'" &amp; L15 &amp; "'!39:39"))</f>
        <v>CUMPLE</v>
      </c>
      <c r="I15" s="86" t="str" cm="1">
        <f t="array" aca="1" ref="I15" ca="1">_xlfn.XLOOKUP(A15,INDIRECT("'" &amp; L15 &amp; "'!8:8"),INDIRECT("'" &amp; L15 &amp; "'!10:10"))</f>
        <v>CUMPLE</v>
      </c>
      <c r="J15" s="177" t="str" cm="1">
        <f t="array" aca="1" ref="J15" ca="1">_xlfn.XLOOKUP(A15,INDIRECT("'" &amp; L15 &amp; "'!8:8"),INDIRECT("'" &amp; L15 &amp; "'!41:41"))</f>
        <v>HABILITADO</v>
      </c>
      <c r="K15" s="181" t="s">
        <v>56</v>
      </c>
      <c r="L15" s="207" t="s">
        <v>80</v>
      </c>
    </row>
    <row r="16" spans="1:12" ht="73.5" customHeight="1" x14ac:dyDescent="0.25">
      <c r="A16" s="85">
        <f t="shared" si="0"/>
        <v>5</v>
      </c>
      <c r="B16" s="178" t="str" cm="1">
        <f t="array" aca="1" ref="B16" ca="1">_xlfn.XLOOKUP(A16,INDIRECT("'" &amp; L16 &amp; "'!8:8"),INDIRECT("'" &amp; L16 &amp; "'!7:7"))</f>
        <v>SOLUCIONES AVANZADAS DE INGENIERA Y CONSTRUCCION S A S NIT: 900641841 2</v>
      </c>
      <c r="C16" s="86" t="str" cm="1">
        <f t="array" aca="1" ref="C16" ca="1">_xlfn.XLOOKUP(A16,INDIRECT("'" &amp; L16 &amp; "'!8:8"),INDIRECT("'" &amp; L16 &amp; "'!27:27"))</f>
        <v>CUMPLE</v>
      </c>
      <c r="D16" s="86" t="str" cm="1">
        <f t="array" aca="1" ref="D16" ca="1">_xlfn.XLOOKUP(A16,INDIRECT("'" &amp; L16 &amp; "'!8:8"),INDIRECT("'" &amp; L16 &amp; "'!29:29"))</f>
        <v>CUMPLE</v>
      </c>
      <c r="E16" s="86" t="str" cm="1">
        <f t="array" aca="1" ref="E16" ca="1">_xlfn.XLOOKUP(A16,INDIRECT("'" &amp; L16 &amp; "'!8:8"),INDIRECT("'" &amp; L16 &amp; "'!31:31"))</f>
        <v>CUMPLE</v>
      </c>
      <c r="F16" s="86" t="str" cm="1">
        <f t="array" aca="1" ref="F16" ca="1">_xlfn.XLOOKUP(A16,INDIRECT("'" &amp; L16 &amp; "'!8:8"),INDIRECT("'" &amp; L16 &amp; "'!33:33"))</f>
        <v>CUMPLE</v>
      </c>
      <c r="G16" s="86" t="str" cm="1">
        <f t="array" aca="1" ref="G16" ca="1">_xlfn.XLOOKUP(A16,INDIRECT("'" &amp; L16 &amp; "'!8:8"),INDIRECT("'" &amp; L16 &amp; "'!37:37"))</f>
        <v>CUMPLE</v>
      </c>
      <c r="H16" s="86" t="str" cm="1">
        <f t="array" aca="1" ref="H16" ca="1">_xlfn.XLOOKUP(A16,INDIRECT("'" &amp; L16 &amp; "'!8:8"),INDIRECT("'" &amp; L16 &amp; "'!39:39"))</f>
        <v>CUMPLE</v>
      </c>
      <c r="I16" s="86" t="str" cm="1">
        <f t="array" aca="1" ref="I16" ca="1">_xlfn.XLOOKUP(A16,INDIRECT("'" &amp; L16 &amp; "'!8:8"),INDIRECT("'" &amp; L16 &amp; "'!10:10"))</f>
        <v>CUMPLE</v>
      </c>
      <c r="J16" s="177" t="str" cm="1">
        <f t="array" aca="1" ref="J16" ca="1">_xlfn.XLOOKUP(A16,INDIRECT("'" &amp; L16 &amp; "'!8:8"),INDIRECT("'" &amp; L16 &amp; "'!41:41"))</f>
        <v>HABILITADO</v>
      </c>
      <c r="K16" s="181" t="s">
        <v>56</v>
      </c>
      <c r="L16" s="207" t="s">
        <v>80</v>
      </c>
    </row>
    <row r="17" spans="1:12" ht="73.5" customHeight="1" x14ac:dyDescent="0.25">
      <c r="A17" s="85">
        <f t="shared" si="0"/>
        <v>6</v>
      </c>
      <c r="B17" s="178" t="str" cm="1">
        <f t="array" aca="1" ref="B17" ca="1">_xlfn.XLOOKUP(A17,INDIRECT("'" &amp; L17 &amp; "'!8:8"),INDIRECT("'" &amp; L17 &amp; "'!7:7"))</f>
        <v>CONSORCIO USMINIA</v>
      </c>
      <c r="C17" s="86" t="str" cm="1">
        <f t="array" aca="1" ref="C17" ca="1">_xlfn.XLOOKUP(A17,INDIRECT("'" &amp; L17 &amp; "'!8:8"),INDIRECT("'" &amp; L17 &amp; "'!27:27"))</f>
        <v>CUMPLE</v>
      </c>
      <c r="D17" s="86" t="str" cm="1">
        <f t="array" aca="1" ref="D17" ca="1">_xlfn.XLOOKUP(A17,INDIRECT("'" &amp; L17 &amp; "'!8:8"),INDIRECT("'" &amp; L17 &amp; "'!29:29"))</f>
        <v>CUMPLE</v>
      </c>
      <c r="E17" s="86" t="str" cm="1">
        <f t="array" aca="1" ref="E17" ca="1">_xlfn.XLOOKUP(A17,INDIRECT("'" &amp; L17 &amp; "'!8:8"),INDIRECT("'" &amp; L17 &amp; "'!31:31"))</f>
        <v>CUMPLE</v>
      </c>
      <c r="F17" s="86" t="str" cm="1">
        <f t="array" aca="1" ref="F17" ca="1">_xlfn.XLOOKUP(A17,INDIRECT("'" &amp; L17 &amp; "'!8:8"),INDIRECT("'" &amp; L17 &amp; "'!33:33"))</f>
        <v>CUMPLE</v>
      </c>
      <c r="G17" s="86" t="str" cm="1">
        <f t="array" aca="1" ref="G17" ca="1">_xlfn.XLOOKUP(A17,INDIRECT("'" &amp; L17 &amp; "'!8:8"),INDIRECT("'" &amp; L17 &amp; "'!37:37"))</f>
        <v>CUMPLE</v>
      </c>
      <c r="H17" s="86" t="str" cm="1">
        <f t="array" aca="1" ref="H17" ca="1">_xlfn.XLOOKUP(A17,INDIRECT("'" &amp; L17 &amp; "'!8:8"),INDIRECT("'" &amp; L17 &amp; "'!39:39"))</f>
        <v>CUMPLE</v>
      </c>
      <c r="I17" s="176" t="str" cm="1">
        <f t="array" aca="1" ref="I17" ca="1">_xlfn.XLOOKUP(A17,INDIRECT("'" &amp; L17 &amp; "'!8:8"),INDIRECT("'" &amp; L17 &amp; "'!10:10"))</f>
        <v>CUMPLE</v>
      </c>
      <c r="J17" s="177" t="str" cm="1">
        <f t="array" aca="1" ref="J17" ca="1">_xlfn.XLOOKUP(A17,INDIRECT("'" &amp; L17 &amp; "'!8:8"),INDIRECT("'" &amp; L17 &amp; "'!41:41"))</f>
        <v>HABILITADO</v>
      </c>
      <c r="K17" s="181" t="s">
        <v>56</v>
      </c>
      <c r="L17" s="207" t="s">
        <v>80</v>
      </c>
    </row>
    <row r="18" spans="1:12" ht="73.5" customHeight="1" x14ac:dyDescent="0.25">
      <c r="A18" s="85">
        <f t="shared" si="0"/>
        <v>7</v>
      </c>
      <c r="B18" s="178" t="str" cm="1">
        <f t="array" aca="1" ref="B18" ca="1">_xlfn.XLOOKUP(A18,INDIRECT("'" &amp; L18 &amp; "'!8:8"),INDIRECT("'" &amp; L18 &amp; "'!7:7"))</f>
        <v>CONSORCIO HUPK INTERVIAL USME</v>
      </c>
      <c r="C18" s="86" t="str" cm="1">
        <f t="array" aca="1" ref="C18" ca="1">_xlfn.XLOOKUP(A18,INDIRECT("'" &amp; L18 &amp; "'!8:8"),INDIRECT("'" &amp; L18 &amp; "'!27:27"))</f>
        <v>CUMPLE</v>
      </c>
      <c r="D18" s="86" t="str" cm="1">
        <f t="array" aca="1" ref="D18" ca="1">_xlfn.XLOOKUP(A18,INDIRECT("'" &amp; L18 &amp; "'!8:8"),INDIRECT("'" &amp; L18 &amp; "'!29:29"))</f>
        <v>CUMPLE</v>
      </c>
      <c r="E18" s="86" t="str" cm="1">
        <f t="array" aca="1" ref="E18" ca="1">_xlfn.XLOOKUP(A18,INDIRECT("'" &amp; L18 &amp; "'!8:8"),INDIRECT("'" &amp; L18 &amp; "'!31:31"))</f>
        <v>CUMPLE</v>
      </c>
      <c r="F18" s="86" t="str" cm="1">
        <f t="array" aca="1" ref="F18" ca="1">_xlfn.XLOOKUP(A18,INDIRECT("'" &amp; L18 &amp; "'!8:8"),INDIRECT("'" &amp; L18 &amp; "'!33:33"))</f>
        <v>CUMPLE</v>
      </c>
      <c r="G18" s="86" t="str" cm="1">
        <f t="array" aca="1" ref="G18" ca="1">_xlfn.XLOOKUP(A18,INDIRECT("'" &amp; L18 &amp; "'!8:8"),INDIRECT("'" &amp; L18 &amp; "'!37:37"))</f>
        <v>CUMPLE</v>
      </c>
      <c r="H18" s="86" t="str" cm="1">
        <f t="array" aca="1" ref="H18" ca="1">_xlfn.XLOOKUP(A18,INDIRECT("'" &amp; L18 &amp; "'!8:8"),INDIRECT("'" &amp; L18 &amp; "'!39:39"))</f>
        <v>CUMPLE</v>
      </c>
      <c r="I18" s="86" t="str" cm="1">
        <f t="array" aca="1" ref="I18" ca="1">_xlfn.XLOOKUP(A18,INDIRECT("'" &amp; L18 &amp; "'!8:8"),INDIRECT("'" &amp; L18 &amp; "'!10:10"))</f>
        <v>CUMPLE</v>
      </c>
      <c r="J18" s="177" t="str" cm="1">
        <f t="array" aca="1" ref="J18" ca="1">_xlfn.XLOOKUP(A18,INDIRECT("'" &amp; L18 &amp; "'!8:8"),INDIRECT("'" &amp; L18 &amp; "'!41:41"))</f>
        <v>HABILITADO</v>
      </c>
      <c r="K18" s="181" t="s">
        <v>56</v>
      </c>
      <c r="L18" s="207" t="s">
        <v>80</v>
      </c>
    </row>
    <row r="19" spans="1:12" ht="73.5" customHeight="1" x14ac:dyDescent="0.25">
      <c r="A19" s="85">
        <f t="shared" si="0"/>
        <v>8</v>
      </c>
      <c r="B19" s="178" t="str" cm="1">
        <f t="array" aca="1" ref="B19" ca="1">_xlfn.XLOOKUP(A19,INDIRECT("'" &amp; L19 &amp; "'!8:8"),INDIRECT("'" &amp; L19 &amp; "'!7:7"))</f>
        <v>INGENIEROS CONSTRUCTORES Y ASESORES SAS NIT: 900104908 4</v>
      </c>
      <c r="C19" s="86" t="str" cm="1">
        <f t="array" aca="1" ref="C19" ca="1">_xlfn.XLOOKUP(A19,INDIRECT("'" &amp; L19 &amp; "'!8:8"),INDIRECT("'" &amp; L19 &amp; "'!27:27"))</f>
        <v>CUMPLE</v>
      </c>
      <c r="D19" s="86" t="str" cm="1">
        <f t="array" aca="1" ref="D19" ca="1">_xlfn.XLOOKUP(A19,INDIRECT("'" &amp; L19 &amp; "'!8:8"),INDIRECT("'" &amp; L19 &amp; "'!29:29"))</f>
        <v>CUMPLE</v>
      </c>
      <c r="E19" s="86" t="str" cm="1">
        <f t="array" aca="1" ref="E19" ca="1">_xlfn.XLOOKUP(A19,INDIRECT("'" &amp; L19 &amp; "'!8:8"),INDIRECT("'" &amp; L19 &amp; "'!31:31"))</f>
        <v>CUMPLE</v>
      </c>
      <c r="F19" s="86" t="str" cm="1">
        <f t="array" aca="1" ref="F19" ca="1">_xlfn.XLOOKUP(A19,INDIRECT("'" &amp; L19 &amp; "'!8:8"),INDIRECT("'" &amp; L19 &amp; "'!33:33"))</f>
        <v>CUMPLE</v>
      </c>
      <c r="G19" s="86" t="str" cm="1">
        <f t="array" aca="1" ref="G19" ca="1">_xlfn.XLOOKUP(A19,INDIRECT("'" &amp; L19 &amp; "'!8:8"),INDIRECT("'" &amp; L19 &amp; "'!37:37"))</f>
        <v>CUMPLE</v>
      </c>
      <c r="H19" s="86" t="str" cm="1">
        <f t="array" aca="1" ref="H19" ca="1">_xlfn.XLOOKUP(A19,INDIRECT("'" &amp; L19 &amp; "'!8:8"),INDIRECT("'" &amp; L19 &amp; "'!39:39"))</f>
        <v>CUMPLE</v>
      </c>
      <c r="I19" s="86" t="str" cm="1">
        <f t="array" aca="1" ref="I19" ca="1">_xlfn.XLOOKUP(A19,INDIRECT("'" &amp; L19 &amp; "'!8:8"),INDIRECT("'" &amp; L19 &amp; "'!10:10"))</f>
        <v>CUMPLE</v>
      </c>
      <c r="J19" s="177" t="str" cm="1">
        <f t="array" aca="1" ref="J19" ca="1">_xlfn.XLOOKUP(A19,INDIRECT("'" &amp; L19 &amp; "'!8:8"),INDIRECT("'" &amp; L19 &amp; "'!41:41"))</f>
        <v>HABILITADO</v>
      </c>
      <c r="K19" s="181" t="s">
        <v>56</v>
      </c>
      <c r="L19" s="207" t="s">
        <v>80</v>
      </c>
    </row>
    <row r="20" spans="1:12" ht="73.5" customHeight="1" x14ac:dyDescent="0.25">
      <c r="A20" s="85">
        <f t="shared" si="0"/>
        <v>9</v>
      </c>
      <c r="B20" s="178" t="str" cm="1">
        <f t="array" aca="1" ref="B20" ca="1">_xlfn.XLOOKUP(A20,INDIRECT("'" &amp; L20 &amp; "'!8:8"),INDIRECT("'" &amp; L20 &amp; "'!7:7"))</f>
        <v>CONSORCIO 3871 USME</v>
      </c>
      <c r="C20" s="86" t="str" cm="1">
        <f t="array" aca="1" ref="C20" ca="1">_xlfn.XLOOKUP(A20,INDIRECT("'" &amp; L20 &amp; "'!8:8"),INDIRECT("'" &amp; L20 &amp; "'!27:27"))</f>
        <v>CUMPLE</v>
      </c>
      <c r="D20" s="86" t="str" cm="1">
        <f t="array" aca="1" ref="D20" ca="1">_xlfn.XLOOKUP(A20,INDIRECT("'" &amp; L20 &amp; "'!8:8"),INDIRECT("'" &amp; L20 &amp; "'!29:29"))</f>
        <v>CUMPLE</v>
      </c>
      <c r="E20" s="86" t="str" cm="1">
        <f t="array" aca="1" ref="E20" ca="1">_xlfn.XLOOKUP(A20,INDIRECT("'" &amp; L20 &amp; "'!8:8"),INDIRECT("'" &amp; L20 &amp; "'!31:31"))</f>
        <v>CUMPLE</v>
      </c>
      <c r="F20" s="86" t="str" cm="1">
        <f t="array" aca="1" ref="F20" ca="1">_xlfn.XLOOKUP(A20,INDIRECT("'" &amp; L20 &amp; "'!8:8"),INDIRECT("'" &amp; L20 &amp; "'!33:33"))</f>
        <v>CUMPLE</v>
      </c>
      <c r="G20" s="86" t="str" cm="1">
        <f t="array" aca="1" ref="G20" ca="1">_xlfn.XLOOKUP(A20,INDIRECT("'" &amp; L20 &amp; "'!8:8"),INDIRECT("'" &amp; L20 &amp; "'!37:37"))</f>
        <v>CUMPLE</v>
      </c>
      <c r="H20" s="86" t="str" cm="1">
        <f t="array" aca="1" ref="H20" ca="1">_xlfn.XLOOKUP(A20,INDIRECT("'" &amp; L20 &amp; "'!8:8"),INDIRECT("'" &amp; L20 &amp; "'!39:39"))</f>
        <v>CUMPLE</v>
      </c>
      <c r="I20" s="86" t="str" cm="1">
        <f t="array" aca="1" ref="I20" ca="1">_xlfn.XLOOKUP(A20,INDIRECT("'" &amp; L20 &amp; "'!8:8"),INDIRECT("'" &amp; L20 &amp; "'!10:10"))</f>
        <v>CUMPLE</v>
      </c>
      <c r="J20" s="177" t="str" cm="1">
        <f t="array" aca="1" ref="J20" ca="1">_xlfn.XLOOKUP(A20,INDIRECT("'" &amp; L20 &amp; "'!8:8"),INDIRECT("'" &amp; L20 &amp; "'!41:41"))</f>
        <v>HABILITADO</v>
      </c>
      <c r="K20" s="181" t="s">
        <v>56</v>
      </c>
      <c r="L20" s="207" t="s">
        <v>81</v>
      </c>
    </row>
    <row r="21" spans="1:12" ht="73.5" customHeight="1" x14ac:dyDescent="0.25">
      <c r="A21" s="85">
        <f t="shared" si="0"/>
        <v>10</v>
      </c>
      <c r="B21" s="178" t="str" cm="1">
        <f t="array" aca="1" ref="B21" ca="1">_xlfn.XLOOKUP(A21,INDIRECT("'" &amp; L21 &amp; "'!8:8"),INDIRECT("'" &amp; L21 &amp; "'!7:7"))</f>
        <v>CONSORCIO INTERVIAL AMC</v>
      </c>
      <c r="C21" s="86" t="str" cm="1">
        <f t="array" aca="1" ref="C21" ca="1">_xlfn.XLOOKUP(A21,INDIRECT("'" &amp; L21 &amp; "'!8:8"),INDIRECT("'" &amp; L21 &amp; "'!27:27"))</f>
        <v>CUMPLE</v>
      </c>
      <c r="D21" s="86" t="str" cm="1">
        <f t="array" aca="1" ref="D21" ca="1">_xlfn.XLOOKUP(A21,INDIRECT("'" &amp; L21 &amp; "'!8:8"),INDIRECT("'" &amp; L21 &amp; "'!29:29"))</f>
        <v>CUMPLE</v>
      </c>
      <c r="E21" s="86" t="str" cm="1">
        <f t="array" aca="1" ref="E21" ca="1">_xlfn.XLOOKUP(A21,INDIRECT("'" &amp; L21 &amp; "'!8:8"),INDIRECT("'" &amp; L21 &amp; "'!31:31"))</f>
        <v>CUMPLE</v>
      </c>
      <c r="F21" s="86" t="str" cm="1">
        <f t="array" aca="1" ref="F21" ca="1">_xlfn.XLOOKUP(A21,INDIRECT("'" &amp; L21 &amp; "'!8:8"),INDIRECT("'" &amp; L21 &amp; "'!33:33"))</f>
        <v>CUMPLE</v>
      </c>
      <c r="G21" s="86" t="str" cm="1">
        <f t="array" aca="1" ref="G21" ca="1">_xlfn.XLOOKUP(A21,INDIRECT("'" &amp; L21 &amp; "'!8:8"),INDIRECT("'" &amp; L21 &amp; "'!37:37"))</f>
        <v>CUMPLE</v>
      </c>
      <c r="H21" s="86" t="str" cm="1">
        <f t="array" aca="1" ref="H21" ca="1">_xlfn.XLOOKUP(A21,INDIRECT("'" &amp; L21 &amp; "'!8:8"),INDIRECT("'" &amp; L21 &amp; "'!39:39"))</f>
        <v>CUMPLE</v>
      </c>
      <c r="I21" s="86" t="str" cm="1">
        <f t="array" aca="1" ref="I21" ca="1">_xlfn.XLOOKUP(A21,INDIRECT("'" &amp; L21 &amp; "'!8:8"),INDIRECT("'" &amp; L21 &amp; "'!10:10"))</f>
        <v>CUMPLE</v>
      </c>
      <c r="J21" s="177" t="str" cm="1">
        <f t="array" aca="1" ref="J21" ca="1">_xlfn.XLOOKUP(A21,INDIRECT("'" &amp; L21 &amp; "'!8:8"),INDIRECT("'" &amp; L21 &amp; "'!41:41"))</f>
        <v>HABILITADO</v>
      </c>
      <c r="K21" s="181" t="s">
        <v>56</v>
      </c>
      <c r="L21" s="207" t="s">
        <v>81</v>
      </c>
    </row>
    <row r="22" spans="1:12" ht="73.5" customHeight="1" x14ac:dyDescent="0.25">
      <c r="A22" s="85">
        <f t="shared" si="0"/>
        <v>11</v>
      </c>
      <c r="B22" s="178" t="str" cm="1">
        <f t="array" aca="1" ref="B22" ca="1">_xlfn.XLOOKUP(A22,INDIRECT("'" &amp; L22 &amp; "'!8:8"),INDIRECT("'" &amp; L22 &amp; "'!7:7"))</f>
        <v>CONSORCIO VIAL</v>
      </c>
      <c r="C22" s="86" t="str" cm="1">
        <f t="array" aca="1" ref="C22" ca="1">_xlfn.XLOOKUP(A22,INDIRECT("'" &amp; L22 &amp; "'!8:8"),INDIRECT("'" &amp; L22 &amp; "'!27:27"))</f>
        <v>CUMPLE</v>
      </c>
      <c r="D22" s="86" t="str" cm="1">
        <f t="array" aca="1" ref="D22" ca="1">_xlfn.XLOOKUP(A22,INDIRECT("'" &amp; L22 &amp; "'!8:8"),INDIRECT("'" &amp; L22 &amp; "'!29:29"))</f>
        <v>CUMPLE</v>
      </c>
      <c r="E22" s="86" t="str" cm="1">
        <f t="array" aca="1" ref="E22" ca="1">_xlfn.XLOOKUP(A22,INDIRECT("'" &amp; L22 &amp; "'!8:8"),INDIRECT("'" &amp; L22 &amp; "'!31:31"))</f>
        <v>CUMPLE</v>
      </c>
      <c r="F22" s="86" t="str" cm="1">
        <f t="array" aca="1" ref="F22" ca="1">_xlfn.XLOOKUP(A22,INDIRECT("'" &amp; L22 &amp; "'!8:8"),INDIRECT("'" &amp; L22 &amp; "'!33:33"))</f>
        <v>CUMPLE</v>
      </c>
      <c r="G22" s="86" t="str" cm="1">
        <f t="array" aca="1" ref="G22" ca="1">_xlfn.XLOOKUP(A22,INDIRECT("'" &amp; L22 &amp; "'!8:8"),INDIRECT("'" &amp; L22 &amp; "'!37:37"))</f>
        <v>CUMPLE</v>
      </c>
      <c r="H22" s="86" t="str" cm="1">
        <f t="array" aca="1" ref="H22" ca="1">_xlfn.XLOOKUP(A22,INDIRECT("'" &amp; L22 &amp; "'!8:8"),INDIRECT("'" &amp; L22 &amp; "'!39:39"))</f>
        <v>CUMPLE</v>
      </c>
      <c r="I22" s="86" t="str" cm="1">
        <f t="array" aca="1" ref="I22" ca="1">_xlfn.XLOOKUP(A22,INDIRECT("'" &amp; L22 &amp; "'!8:8"),INDIRECT("'" &amp; L22 &amp; "'!10:10"))</f>
        <v>CUMPLE</v>
      </c>
      <c r="J22" s="177" t="str" cm="1">
        <f t="array" aca="1" ref="J22" ca="1">_xlfn.XLOOKUP(A22,INDIRECT("'" &amp; L22 &amp; "'!8:8"),INDIRECT("'" &amp; L22 &amp; "'!41:41"))</f>
        <v>HABILITADO</v>
      </c>
      <c r="K22" s="181" t="s">
        <v>56</v>
      </c>
      <c r="L22" s="207" t="s">
        <v>81</v>
      </c>
    </row>
    <row r="23" spans="1:12" ht="73.5" customHeight="1" x14ac:dyDescent="0.25">
      <c r="A23" s="85">
        <f t="shared" si="0"/>
        <v>12</v>
      </c>
      <c r="B23" s="178" t="str" cm="1">
        <f t="array" aca="1" ref="B23" ca="1">_xlfn.XLOOKUP(A23,INDIRECT("'" &amp; L23 &amp; "'!8:8"),INDIRECT("'" &amp; L23 &amp; "'!7:7"))</f>
        <v>INGENIEROS CONSULTORES Y CONSTRUCTORES ARG SAS NIT: 900008687 0</v>
      </c>
      <c r="C23" s="86" t="str" cm="1">
        <f t="array" aca="1" ref="C23" ca="1">_xlfn.XLOOKUP(A23,INDIRECT("'" &amp; L23 &amp; "'!8:8"),INDIRECT("'" &amp; L23 &amp; "'!27:27"))</f>
        <v>CUMPLE</v>
      </c>
      <c r="D23" s="86" t="str" cm="1">
        <f t="array" aca="1" ref="D23" ca="1">_xlfn.XLOOKUP(A23,INDIRECT("'" &amp; L23 &amp; "'!8:8"),INDIRECT("'" &amp; L23 &amp; "'!29:29"))</f>
        <v>CUMPLE</v>
      </c>
      <c r="E23" s="86" t="str" cm="1">
        <f t="array" aca="1" ref="E23" ca="1">_xlfn.XLOOKUP(A23,INDIRECT("'" &amp; L23 &amp; "'!8:8"),INDIRECT("'" &amp; L23 &amp; "'!31:31"))</f>
        <v>CUMPLE</v>
      </c>
      <c r="F23" s="86" t="str" cm="1">
        <f t="array" aca="1" ref="F23" ca="1">_xlfn.XLOOKUP(A23,INDIRECT("'" &amp; L23 &amp; "'!8:8"),INDIRECT("'" &amp; L23 &amp; "'!33:33"))</f>
        <v>CUMPLE</v>
      </c>
      <c r="G23" s="86" t="str" cm="1">
        <f t="array" aca="1" ref="G23" ca="1">_xlfn.XLOOKUP(A23,INDIRECT("'" &amp; L23 &amp; "'!8:8"),INDIRECT("'" &amp; L23 &amp; "'!37:37"))</f>
        <v>CUMPLE</v>
      </c>
      <c r="H23" s="86" t="str" cm="1">
        <f t="array" aca="1" ref="H23" ca="1">_xlfn.XLOOKUP(A23,INDIRECT("'" &amp; L23 &amp; "'!8:8"),INDIRECT("'" &amp; L23 &amp; "'!39:39"))</f>
        <v>CUMPLE</v>
      </c>
      <c r="I23" s="86" t="str" cm="1">
        <f t="array" aca="1" ref="I23" ca="1">_xlfn.XLOOKUP(A23,INDIRECT("'" &amp; L23 &amp; "'!8:8"),INDIRECT("'" &amp; L23 &amp; "'!10:10"))</f>
        <v>CUMPLE</v>
      </c>
      <c r="J23" s="177" t="str" cm="1">
        <f t="array" aca="1" ref="J23" ca="1">_xlfn.XLOOKUP(A23,INDIRECT("'" &amp; L23 &amp; "'!8:8"),INDIRECT("'" &amp; L23 &amp; "'!41:41"))</f>
        <v>HABILITADO</v>
      </c>
      <c r="K23" s="181" t="s">
        <v>56</v>
      </c>
      <c r="L23" s="207" t="s">
        <v>81</v>
      </c>
    </row>
    <row r="24" spans="1:12" ht="73.5" customHeight="1" x14ac:dyDescent="0.25">
      <c r="A24" s="85">
        <f t="shared" si="0"/>
        <v>13</v>
      </c>
      <c r="B24" s="178" t="str" cm="1">
        <f t="array" aca="1" ref="B24" ca="1">_xlfn.XLOOKUP(A24,INDIRECT("'" &amp; L24 &amp; "'!8:8"),INDIRECT("'" &amp; L24 &amp; "'!7:7"))</f>
        <v>CONSORCIO VIAL TAED 027-USME</v>
      </c>
      <c r="C24" s="86" t="str" cm="1">
        <f t="array" aca="1" ref="C24" ca="1">_xlfn.XLOOKUP(A24,INDIRECT("'" &amp; L24 &amp; "'!8:8"),INDIRECT("'" &amp; L24 &amp; "'!27:27"))</f>
        <v>CUMPLE</v>
      </c>
      <c r="D24" s="86" t="str" cm="1">
        <f t="array" aca="1" ref="D24" ca="1">_xlfn.XLOOKUP(A24,INDIRECT("'" &amp; L24 &amp; "'!8:8"),INDIRECT("'" &amp; L24 &amp; "'!29:29"))</f>
        <v>CUMPLE</v>
      </c>
      <c r="E24" s="86" t="str" cm="1">
        <f t="array" aca="1" ref="E24" ca="1">_xlfn.XLOOKUP(A24,INDIRECT("'" &amp; L24 &amp; "'!8:8"),INDIRECT("'" &amp; L24 &amp; "'!31:31"))</f>
        <v>CUMPLE</v>
      </c>
      <c r="F24" s="86" t="str" cm="1">
        <f t="array" aca="1" ref="F24" ca="1">_xlfn.XLOOKUP(A24,INDIRECT("'" &amp; L24 &amp; "'!8:8"),INDIRECT("'" &amp; L24 &amp; "'!33:33"))</f>
        <v>CUMPLE</v>
      </c>
      <c r="G24" s="86" t="str" cm="1">
        <f t="array" aca="1" ref="G24" ca="1">_xlfn.XLOOKUP(A24,INDIRECT("'" &amp; L24 &amp; "'!8:8"),INDIRECT("'" &amp; L24 &amp; "'!37:37"))</f>
        <v>CUMPLE</v>
      </c>
      <c r="H24" s="86" t="str" cm="1">
        <f t="array" aca="1" ref="H24" ca="1">_xlfn.XLOOKUP(A24,INDIRECT("'" &amp; L24 &amp; "'!8:8"),INDIRECT("'" &amp; L24 &amp; "'!39:39"))</f>
        <v>CUMPLE</v>
      </c>
      <c r="I24" s="86" t="str" cm="1">
        <f t="array" aca="1" ref="I24" ca="1">_xlfn.XLOOKUP(A24,INDIRECT("'" &amp; L24 &amp; "'!8:8"),INDIRECT("'" &amp; L24 &amp; "'!10:10"))</f>
        <v>CUMPLE</v>
      </c>
      <c r="J24" s="177" t="s">
        <v>184</v>
      </c>
      <c r="K24" s="221" t="s">
        <v>185</v>
      </c>
      <c r="L24" s="207" t="s">
        <v>81</v>
      </c>
    </row>
    <row r="25" spans="1:12" ht="73.5" customHeight="1" x14ac:dyDescent="0.25">
      <c r="A25" s="85">
        <f t="shared" si="0"/>
        <v>14</v>
      </c>
      <c r="B25" s="178" t="str" cm="1">
        <f t="array" aca="1" ref="B25" ca="1">_xlfn.XLOOKUP(A25,INDIRECT("'" &amp; L25 &amp; "'!8:8"),INDIRECT("'" &amp; L25 &amp; "'!7:7"))</f>
        <v>HR INGENIERIA SAS NIT: 830133073 1</v>
      </c>
      <c r="C25" s="86" t="str" cm="1">
        <f t="array" aca="1" ref="C25" ca="1">_xlfn.XLOOKUP(A25,INDIRECT("'" &amp; L25 &amp; "'!8:8"),INDIRECT("'" &amp; L25 &amp; "'!27:27"))</f>
        <v>CUMPLE</v>
      </c>
      <c r="D25" s="86" t="str" cm="1">
        <f t="array" aca="1" ref="D25" ca="1">_xlfn.XLOOKUP(A25,INDIRECT("'" &amp; L25 &amp; "'!8:8"),INDIRECT("'" &amp; L25 &amp; "'!29:29"))</f>
        <v>CUMPLE</v>
      </c>
      <c r="E25" s="86" t="str" cm="1">
        <f t="array" aca="1" ref="E25" ca="1">_xlfn.XLOOKUP(A25,INDIRECT("'" &amp; L25 &amp; "'!8:8"),INDIRECT("'" &amp; L25 &amp; "'!31:31"))</f>
        <v>CUMPLE</v>
      </c>
      <c r="F25" s="86" t="str" cm="1">
        <f t="array" aca="1" ref="F25" ca="1">_xlfn.XLOOKUP(A25,INDIRECT("'" &amp; L25 &amp; "'!8:8"),INDIRECT("'" &amp; L25 &amp; "'!33:33"))</f>
        <v>CUMPLE</v>
      </c>
      <c r="G25" s="86" t="str" cm="1">
        <f t="array" aca="1" ref="G25" ca="1">_xlfn.XLOOKUP(A25,INDIRECT("'" &amp; L25 &amp; "'!8:8"),INDIRECT("'" &amp; L25 &amp; "'!37:37"))</f>
        <v>CUMPLE</v>
      </c>
      <c r="H25" s="86" t="str" cm="1">
        <f t="array" aca="1" ref="H25" ca="1">_xlfn.XLOOKUP(A25,INDIRECT("'" &amp; L25 &amp; "'!8:8"),INDIRECT("'" &amp; L25 &amp; "'!39:39"))</f>
        <v>CUMPLE</v>
      </c>
      <c r="I25" s="86" t="str" cm="1">
        <f t="array" aca="1" ref="I25" ca="1">_xlfn.XLOOKUP(A25,INDIRECT("'" &amp; L25 &amp; "'!8:8"),INDIRECT("'" &amp; L25 &amp; "'!10:10"))</f>
        <v>CUMPLE</v>
      </c>
      <c r="J25" s="177" t="str" cm="1">
        <f t="array" aca="1" ref="J25" ca="1">_xlfn.XLOOKUP(A25,INDIRECT("'" &amp; L25 &amp; "'!8:8"),INDIRECT("'" &amp; L25 &amp; "'!41:41"))</f>
        <v>HABILITADO</v>
      </c>
      <c r="K25" s="181" t="s">
        <v>56</v>
      </c>
      <c r="L25" s="207" t="s">
        <v>82</v>
      </c>
    </row>
    <row r="26" spans="1:12" ht="73.5" customHeight="1" x14ac:dyDescent="0.25">
      <c r="A26" s="85">
        <f t="shared" si="0"/>
        <v>15</v>
      </c>
      <c r="B26" s="178" t="str" cm="1">
        <f t="array" aca="1" ref="B26" ca="1">_xlfn.XLOOKUP(A26,INDIRECT("'" &amp; L26 &amp; "'!8:8"),INDIRECT("'" &amp; L26 &amp; "'!7:7"))</f>
        <v>CONSORCIO INTEROBRAS USME</v>
      </c>
      <c r="C26" s="86" t="str" cm="1">
        <f t="array" aca="1" ref="C26" ca="1">_xlfn.XLOOKUP(A26,INDIRECT("'" &amp; L26 &amp; "'!8:8"),INDIRECT("'" &amp; L26 &amp; "'!27:27"))</f>
        <v>CUMPLE</v>
      </c>
      <c r="D26" s="86" t="str" cm="1">
        <f t="array" aca="1" ref="D26" ca="1">_xlfn.XLOOKUP(A26,INDIRECT("'" &amp; L26 &amp; "'!8:8"),INDIRECT("'" &amp; L26 &amp; "'!29:29"))</f>
        <v>CUMPLE</v>
      </c>
      <c r="E26" s="86" t="str" cm="1">
        <f t="array" aca="1" ref="E26" ca="1">_xlfn.XLOOKUP(A26,INDIRECT("'" &amp; L26 &amp; "'!8:8"),INDIRECT("'" &amp; L26 &amp; "'!31:31"))</f>
        <v>CUMPLE</v>
      </c>
      <c r="F26" s="86" t="str" cm="1">
        <f t="array" aca="1" ref="F26" ca="1">_xlfn.XLOOKUP(A26,INDIRECT("'" &amp; L26 &amp; "'!8:8"),INDIRECT("'" &amp; L26 &amp; "'!33:33"))</f>
        <v>CUMPLE</v>
      </c>
      <c r="G26" s="86" t="str" cm="1">
        <f t="array" aca="1" ref="G26" ca="1">_xlfn.XLOOKUP(A26,INDIRECT("'" &amp; L26 &amp; "'!8:8"),INDIRECT("'" &amp; L26 &amp; "'!37:37"))</f>
        <v>CUMPLE</v>
      </c>
      <c r="H26" s="86" t="str" cm="1">
        <f t="array" aca="1" ref="H26" ca="1">_xlfn.XLOOKUP(A26,INDIRECT("'" &amp; L26 &amp; "'!8:8"),INDIRECT("'" &amp; L26 &amp; "'!39:39"))</f>
        <v>CUMPLE</v>
      </c>
      <c r="I26" s="86" t="str" cm="1">
        <f t="array" aca="1" ref="I26" ca="1">_xlfn.XLOOKUP(A26,INDIRECT("'" &amp; L26 &amp; "'!8:8"),INDIRECT("'" &amp; L26 &amp; "'!10:10"))</f>
        <v>CUMPLE</v>
      </c>
      <c r="J26" s="177" t="str" cm="1">
        <f t="array" aca="1" ref="J26" ca="1">_xlfn.XLOOKUP(A26,INDIRECT("'" &amp; L26 &amp; "'!8:8"),INDIRECT("'" &amp; L26 &amp; "'!41:41"))</f>
        <v>HABILITADO</v>
      </c>
      <c r="K26" s="181" t="s">
        <v>56</v>
      </c>
      <c r="L26" s="207" t="s">
        <v>82</v>
      </c>
    </row>
    <row r="27" spans="1:12" ht="73.5" customHeight="1" x14ac:dyDescent="0.25">
      <c r="A27" s="85">
        <f t="shared" si="0"/>
        <v>16</v>
      </c>
      <c r="B27" s="178" t="str" cm="1">
        <f t="array" aca="1" ref="B27" ca="1">_xlfn.XLOOKUP(A27,INDIRECT("'" &amp; L27 &amp; "'!8:8"),INDIRECT("'" &amp; L27 &amp; "'!7:7"))</f>
        <v>CONSORCIO INTER USME</v>
      </c>
      <c r="C27" s="86" t="str" cm="1">
        <f t="array" aca="1" ref="C27" ca="1">_xlfn.XLOOKUP(A27,INDIRECT("'" &amp; L27 &amp; "'!8:8"),INDIRECT("'" &amp; L27 &amp; "'!27:27"))</f>
        <v>CUMPLE</v>
      </c>
      <c r="D27" s="86" t="str" cm="1">
        <f t="array" aca="1" ref="D27" ca="1">_xlfn.XLOOKUP(A27,INDIRECT("'" &amp; L27 &amp; "'!8:8"),INDIRECT("'" &amp; L27 &amp; "'!29:29"))</f>
        <v>CUMPLE</v>
      </c>
      <c r="E27" s="86" t="str" cm="1">
        <f t="array" aca="1" ref="E27" ca="1">_xlfn.XLOOKUP(A27,INDIRECT("'" &amp; L27 &amp; "'!8:8"),INDIRECT("'" &amp; L27 &amp; "'!31:31"))</f>
        <v>CUMPLE</v>
      </c>
      <c r="F27" s="86" t="str" cm="1">
        <f t="array" aca="1" ref="F27" ca="1">_xlfn.XLOOKUP(A27,INDIRECT("'" &amp; L27 &amp; "'!8:8"),INDIRECT("'" &amp; L27 &amp; "'!33:33"))</f>
        <v>CUMPLE</v>
      </c>
      <c r="G27" s="86" t="str" cm="1">
        <f t="array" aca="1" ref="G27" ca="1">_xlfn.XLOOKUP(A27,INDIRECT("'" &amp; L27 &amp; "'!8:8"),INDIRECT("'" &amp; L27 &amp; "'!37:37"))</f>
        <v>CUMPLE</v>
      </c>
      <c r="H27" s="86" t="str" cm="1">
        <f t="array" aca="1" ref="H27" ca="1">_xlfn.XLOOKUP(A27,INDIRECT("'" &amp; L27 &amp; "'!8:8"),INDIRECT("'" &amp; L27 &amp; "'!39:39"))</f>
        <v>CUMPLE</v>
      </c>
      <c r="I27" s="86" t="str" cm="1">
        <f t="array" aca="1" ref="I27" ca="1">_xlfn.XLOOKUP(A27,INDIRECT("'" &amp; L27 &amp; "'!8:8"),INDIRECT("'" &amp; L27 &amp; "'!10:10"))</f>
        <v>CUMPLE</v>
      </c>
      <c r="J27" s="177" t="str" cm="1">
        <f t="array" aca="1" ref="J27" ca="1">_xlfn.XLOOKUP(A27,INDIRECT("'" &amp; L27 &amp; "'!8:8"),INDIRECT("'" &amp; L27 &amp; "'!41:41"))</f>
        <v>HABILITADO</v>
      </c>
      <c r="K27" s="181" t="s">
        <v>56</v>
      </c>
      <c r="L27" s="207" t="s">
        <v>82</v>
      </c>
    </row>
    <row r="28" spans="1:12" ht="73.5" customHeight="1" x14ac:dyDescent="0.25">
      <c r="A28" s="85">
        <f t="shared" si="0"/>
        <v>17</v>
      </c>
      <c r="B28" s="178" t="str" cm="1">
        <f t="array" aca="1" ref="B28" ca="1">_xlfn.XLOOKUP(A28,INDIRECT("'" &amp; L28 &amp; "'!8:8"),INDIRECT("'" &amp; L28 &amp; "'!7:7"))</f>
        <v>CONSORCIO VIAS PJ</v>
      </c>
      <c r="C28" s="86" t="str" cm="1">
        <f t="array" aca="1" ref="C28" ca="1">_xlfn.XLOOKUP(A28,INDIRECT("'" &amp; L28 &amp; "'!8:8"),INDIRECT("'" &amp; L28 &amp; "'!27:27"))</f>
        <v>CUMPLE</v>
      </c>
      <c r="D28" s="86" t="str" cm="1">
        <f t="array" aca="1" ref="D28" ca="1">_xlfn.XLOOKUP(A28,INDIRECT("'" &amp; L28 &amp; "'!8:8"),INDIRECT("'" &amp; L28 &amp; "'!29:29"))</f>
        <v>CUMPLE</v>
      </c>
      <c r="E28" s="86" t="str" cm="1">
        <f t="array" aca="1" ref="E28" ca="1">_xlfn.XLOOKUP(A28,INDIRECT("'" &amp; L28 &amp; "'!8:8"),INDIRECT("'" &amp; L28 &amp; "'!31:31"))</f>
        <v>CUMPLE</v>
      </c>
      <c r="F28" s="86" t="str" cm="1">
        <f t="array" aca="1" ref="F28" ca="1">_xlfn.XLOOKUP(A28,INDIRECT("'" &amp; L28 &amp; "'!8:8"),INDIRECT("'" &amp; L28 &amp; "'!33:33"))</f>
        <v>CUMPLE</v>
      </c>
      <c r="G28" s="86" t="str" cm="1">
        <f t="array" aca="1" ref="G28" ca="1">_xlfn.XLOOKUP(A28,INDIRECT("'" &amp; L28 &amp; "'!8:8"),INDIRECT("'" &amp; L28 &amp; "'!37:37"))</f>
        <v>CUMPLE</v>
      </c>
      <c r="H28" s="86" t="str" cm="1">
        <f t="array" aca="1" ref="H28" ca="1">_xlfn.XLOOKUP(A28,INDIRECT("'" &amp; L28 &amp; "'!8:8"),INDIRECT("'" &amp; L28 &amp; "'!39:39"))</f>
        <v>CUMPLE</v>
      </c>
      <c r="I28" s="86" t="str" cm="1">
        <f t="array" aca="1" ref="I28" ca="1">_xlfn.XLOOKUP(A28,INDIRECT("'" &amp; L28 &amp; "'!8:8"),INDIRECT("'" &amp; L28 &amp; "'!10:10"))</f>
        <v>CUMPLE</v>
      </c>
      <c r="J28" s="177" t="str" cm="1">
        <f t="array" aca="1" ref="J28" ca="1">_xlfn.XLOOKUP(A28,INDIRECT("'" &amp; L28 &amp; "'!8:8"),INDIRECT("'" &amp; L28 &amp; "'!41:41"))</f>
        <v>HABILITADO</v>
      </c>
      <c r="K28" s="181" t="s">
        <v>56</v>
      </c>
      <c r="L28" s="207" t="s">
        <v>82</v>
      </c>
    </row>
    <row r="29" spans="1:12" ht="73.5" customHeight="1" x14ac:dyDescent="0.25">
      <c r="A29" s="85">
        <f t="shared" si="0"/>
        <v>18</v>
      </c>
      <c r="B29" s="178" t="str" cm="1">
        <f t="array" aca="1" ref="B29" ca="1">_xlfn.XLOOKUP(A29,INDIRECT("'" &amp; L29 &amp; "'!8:8"),INDIRECT("'" &amp; L29 &amp; "'!7:7"))</f>
        <v>GRUPO IRT S.A.S. NIT: 901.291.784 - 1</v>
      </c>
      <c r="C29" s="86" t="str" cm="1">
        <f t="array" aca="1" ref="C29" ca="1">_xlfn.XLOOKUP(A29,INDIRECT("'" &amp; L29 &amp; "'!8:8"),INDIRECT("'" &amp; L29 &amp; "'!27:27"))</f>
        <v>CUMPLE</v>
      </c>
      <c r="D29" s="86" t="str" cm="1">
        <f t="array" aca="1" ref="D29" ca="1">_xlfn.XLOOKUP(A29,INDIRECT("'" &amp; L29 &amp; "'!8:8"),INDIRECT("'" &amp; L29 &amp; "'!29:29"))</f>
        <v>CUMPLE</v>
      </c>
      <c r="E29" s="86" t="str" cm="1">
        <f t="array" aca="1" ref="E29" ca="1">_xlfn.XLOOKUP(A29,INDIRECT("'" &amp; L29 &amp; "'!8:8"),INDIRECT("'" &amp; L29 &amp; "'!31:31"))</f>
        <v>CUMPLE</v>
      </c>
      <c r="F29" s="86" t="str" cm="1">
        <f t="array" aca="1" ref="F29" ca="1">_xlfn.XLOOKUP(A29,INDIRECT("'" &amp; L29 &amp; "'!8:8"),INDIRECT("'" &amp; L29 &amp; "'!33:33"))</f>
        <v>CUMPLE</v>
      </c>
      <c r="G29" s="86" t="str" cm="1">
        <f t="array" aca="1" ref="G29" ca="1">_xlfn.XLOOKUP(A29,INDIRECT("'" &amp; L29 &amp; "'!8:8"),INDIRECT("'" &amp; L29 &amp; "'!37:37"))</f>
        <v>CUMPLE</v>
      </c>
      <c r="H29" s="86" t="str" cm="1">
        <f t="array" aca="1" ref="H29" ca="1">_xlfn.XLOOKUP(A29,INDIRECT("'" &amp; L29 &amp; "'!8:8"),INDIRECT("'" &amp; L29 &amp; "'!39:39"))</f>
        <v>CUMPLE</v>
      </c>
      <c r="I29" s="86" t="str" cm="1">
        <f t="array" aca="1" ref="I29" ca="1">_xlfn.XLOOKUP(A29,INDIRECT("'" &amp; L29 &amp; "'!8:8"),INDIRECT("'" &amp; L29 &amp; "'!10:10"))</f>
        <v>CUMPLE</v>
      </c>
      <c r="J29" s="177" t="str" cm="1">
        <f t="array" aca="1" ref="J29" ca="1">_xlfn.XLOOKUP(A29,INDIRECT("'" &amp; L29 &amp; "'!8:8"),INDIRECT("'" &amp; L29 &amp; "'!41:41"))</f>
        <v>HABILITADO</v>
      </c>
      <c r="K29" s="181" t="s">
        <v>56</v>
      </c>
      <c r="L29" s="207" t="s">
        <v>82</v>
      </c>
    </row>
    <row r="30" spans="1:12" ht="73.5" customHeight="1" x14ac:dyDescent="0.25">
      <c r="A30" s="85">
        <f t="shared" si="0"/>
        <v>19</v>
      </c>
      <c r="B30" s="178" t="str" cm="1">
        <f t="array" aca="1" ref="B30" ca="1">_xlfn.XLOOKUP(A30,INDIRECT("'" &amp; L30 &amp; "'!8:8"),INDIRECT("'" &amp; L30 &amp; "'!7:7"))</f>
        <v>CONSORCIO SPL INFRAESTRUCTURA 027</v>
      </c>
      <c r="C30" s="86" t="str" cm="1">
        <f t="array" aca="1" ref="C30" ca="1">_xlfn.XLOOKUP(A30,INDIRECT("'" &amp; L30 &amp; "'!8:8"),INDIRECT("'" &amp; L30 &amp; "'!27:27"))</f>
        <v>CUMPLE</v>
      </c>
      <c r="D30" s="86" t="str" cm="1">
        <f t="array" aca="1" ref="D30" ca="1">_xlfn.XLOOKUP(A30,INDIRECT("'" &amp; L30 &amp; "'!8:8"),INDIRECT("'" &amp; L30 &amp; "'!29:29"))</f>
        <v>CUMPLE</v>
      </c>
      <c r="E30" s="86" t="str" cm="1">
        <f t="array" aca="1" ref="E30" ca="1">_xlfn.XLOOKUP(A30,INDIRECT("'" &amp; L30 &amp; "'!8:8"),INDIRECT("'" &amp; L30 &amp; "'!31:31"))</f>
        <v>CUMPLE</v>
      </c>
      <c r="F30" s="86" t="str" cm="1">
        <f t="array" aca="1" ref="F30" ca="1">_xlfn.XLOOKUP(A30,INDIRECT("'" &amp; L30 &amp; "'!8:8"),INDIRECT("'" &amp; L30 &amp; "'!33:33"))</f>
        <v>CUMPLE</v>
      </c>
      <c r="G30" s="86" t="str" cm="1">
        <f t="array" aca="1" ref="G30" ca="1">_xlfn.XLOOKUP(A30,INDIRECT("'" &amp; L30 &amp; "'!8:8"),INDIRECT("'" &amp; L30 &amp; "'!37:37"))</f>
        <v>CUMPLE</v>
      </c>
      <c r="H30" s="86" t="str" cm="1">
        <f t="array" aca="1" ref="H30" ca="1">_xlfn.XLOOKUP(A30,INDIRECT("'" &amp; L30 &amp; "'!8:8"),INDIRECT("'" &amp; L30 &amp; "'!39:39"))</f>
        <v>CUMPLE</v>
      </c>
      <c r="I30" s="86" t="str" cm="1">
        <f t="array" aca="1" ref="I30" ca="1">_xlfn.XLOOKUP(A30,INDIRECT("'" &amp; L30 &amp; "'!8:8"),INDIRECT("'" &amp; L30 &amp; "'!10:10"))</f>
        <v>CUMPLE</v>
      </c>
      <c r="J30" s="177" t="str" cm="1">
        <f t="array" aca="1" ref="J30" ca="1">_xlfn.XLOOKUP(A30,INDIRECT("'" &amp; L30 &amp; "'!8:8"),INDIRECT("'" &amp; L30 &amp; "'!41:41"))</f>
        <v>HABILITADO</v>
      </c>
      <c r="K30" s="181" t="s">
        <v>56</v>
      </c>
      <c r="L30" s="207" t="s">
        <v>82</v>
      </c>
    </row>
    <row r="31" spans="1:12" ht="73.5" customHeight="1" x14ac:dyDescent="0.25">
      <c r="A31" s="85">
        <f t="shared" si="0"/>
        <v>20</v>
      </c>
      <c r="B31" s="178" t="str" cm="1">
        <f t="array" aca="1" ref="B31" ca="1">_xlfn.XLOOKUP(A31,INDIRECT("'" &amp; L31 &amp; "'!8:8"),INDIRECT("'" &amp; L31 &amp; "'!7:7"))</f>
        <v>INVESTMENT &amp; CONSTRUCTION SAS NIT: 900224218 5</v>
      </c>
      <c r="C31" s="86" t="str" cm="1">
        <f t="array" aca="1" ref="C31" ca="1">_xlfn.XLOOKUP(A31,INDIRECT("'" &amp; L31 &amp; "'!8:8"),INDIRECT("'" &amp; L31 &amp; "'!27:27"))</f>
        <v>CUMPLE</v>
      </c>
      <c r="D31" s="86" t="str" cm="1">
        <f t="array" aca="1" ref="D31" ca="1">_xlfn.XLOOKUP(A31,INDIRECT("'" &amp; L31 &amp; "'!8:8"),INDIRECT("'" &amp; L31 &amp; "'!29:29"))</f>
        <v>CUMPLE</v>
      </c>
      <c r="E31" s="86" t="str" cm="1">
        <f t="array" aca="1" ref="E31" ca="1">_xlfn.XLOOKUP(A31,INDIRECT("'" &amp; L31 &amp; "'!8:8"),INDIRECT("'" &amp; L31 &amp; "'!31:31"))</f>
        <v>CUMPLE</v>
      </c>
      <c r="F31" s="86" t="str" cm="1">
        <f t="array" aca="1" ref="F31" ca="1">_xlfn.XLOOKUP(A31,INDIRECT("'" &amp; L31 &amp; "'!8:8"),INDIRECT("'" &amp; L31 &amp; "'!33:33"))</f>
        <v>CUMPLE</v>
      </c>
      <c r="G31" s="86" t="str" cm="1">
        <f t="array" aca="1" ref="G31" ca="1">_xlfn.XLOOKUP(A31,INDIRECT("'" &amp; L31 &amp; "'!8:8"),INDIRECT("'" &amp; L31 &amp; "'!37:37"))</f>
        <v>CUMPLE</v>
      </c>
      <c r="H31" s="86" t="str" cm="1">
        <f t="array" aca="1" ref="H31" ca="1">_xlfn.XLOOKUP(A31,INDIRECT("'" &amp; L31 &amp; "'!8:8"),INDIRECT("'" &amp; L31 &amp; "'!39:39"))</f>
        <v>CUMPLE</v>
      </c>
      <c r="I31" s="86" t="str" cm="1">
        <f t="array" aca="1" ref="I31" ca="1">_xlfn.XLOOKUP(A31,INDIRECT("'" &amp; L31 &amp; "'!8:8"),INDIRECT("'" &amp; L31 &amp; "'!10:10"))</f>
        <v>CUMPLE</v>
      </c>
      <c r="J31" s="177" t="str" cm="1">
        <f t="array" aca="1" ref="J31" ca="1">_xlfn.XLOOKUP(A31,INDIRECT("'" &amp; L31 &amp; "'!8:8"),INDIRECT("'" &amp; L31 &amp; "'!41:41"))</f>
        <v>HABILITADO</v>
      </c>
      <c r="K31" s="181" t="s">
        <v>56</v>
      </c>
      <c r="L31" s="207" t="s">
        <v>83</v>
      </c>
    </row>
    <row r="32" spans="1:12" ht="73.5" customHeight="1" x14ac:dyDescent="0.25">
      <c r="A32" s="85">
        <f t="shared" si="0"/>
        <v>21</v>
      </c>
      <c r="B32" s="178" t="str" cm="1">
        <f t="array" aca="1" ref="B32" ca="1">_xlfn.XLOOKUP(A32,INDIRECT("'" &amp; L32 &amp; "'!8:8"),INDIRECT("'" &amp; L32 &amp; "'!7:7"))</f>
        <v>CONSORCIO VÍAS URBANAS P&amp;C U-027</v>
      </c>
      <c r="C32" s="86" t="str" cm="1">
        <f t="array" aca="1" ref="C32" ca="1">_xlfn.XLOOKUP(A32,INDIRECT("'" &amp; L32 &amp; "'!8:8"),INDIRECT("'" &amp; L32 &amp; "'!27:27"))</f>
        <v>CUMPLE</v>
      </c>
      <c r="D32" s="86" t="str" cm="1">
        <f t="array" aca="1" ref="D32" ca="1">_xlfn.XLOOKUP(A32,INDIRECT("'" &amp; L32 &amp; "'!8:8"),INDIRECT("'" &amp; L32 &amp; "'!29:29"))</f>
        <v>CUMPLE</v>
      </c>
      <c r="E32" s="86" t="str" cm="1">
        <f t="array" aca="1" ref="E32" ca="1">_xlfn.XLOOKUP(A32,INDIRECT("'" &amp; L32 &amp; "'!8:8"),INDIRECT("'" &amp; L32 &amp; "'!31:31"))</f>
        <v>CUMPLE</v>
      </c>
      <c r="F32" s="86" t="str" cm="1">
        <f t="array" aca="1" ref="F32" ca="1">_xlfn.XLOOKUP(A32,INDIRECT("'" &amp; L32 &amp; "'!8:8"),INDIRECT("'" &amp; L32 &amp; "'!33:33"))</f>
        <v>CUMPLE</v>
      </c>
      <c r="G32" s="86" t="str" cm="1">
        <f t="array" aca="1" ref="G32" ca="1">_xlfn.XLOOKUP(A32,INDIRECT("'" &amp; L32 &amp; "'!8:8"),INDIRECT("'" &amp; L32 &amp; "'!37:37"))</f>
        <v>CUMPLE</v>
      </c>
      <c r="H32" s="86" t="str" cm="1">
        <f t="array" aca="1" ref="H32" ca="1">_xlfn.XLOOKUP(A32,INDIRECT("'" &amp; L32 &amp; "'!8:8"),INDIRECT("'" &amp; L32 &amp; "'!39:39"))</f>
        <v>CUMPLE</v>
      </c>
      <c r="I32" s="86" t="str" cm="1">
        <f t="array" aca="1" ref="I32" ca="1">_xlfn.XLOOKUP(A32,INDIRECT("'" &amp; L32 &amp; "'!8:8"),INDIRECT("'" &amp; L32 &amp; "'!10:10"))</f>
        <v>CUMPLE</v>
      </c>
      <c r="J32" s="177" t="str" cm="1">
        <f t="array" aca="1" ref="J32" ca="1">_xlfn.XLOOKUP(A32,INDIRECT("'" &amp; L32 &amp; "'!8:8"),INDIRECT("'" &amp; L32 &amp; "'!41:41"))</f>
        <v>HABILITADO</v>
      </c>
      <c r="K32" s="181" t="s">
        <v>56</v>
      </c>
      <c r="L32" s="207" t="s">
        <v>83</v>
      </c>
    </row>
    <row r="33" spans="1:12" ht="73.5" customHeight="1" x14ac:dyDescent="0.25">
      <c r="A33" s="85">
        <f t="shared" si="0"/>
        <v>22</v>
      </c>
      <c r="B33" s="178" t="str" cm="1">
        <f t="array" aca="1" ref="B33" ca="1">_xlfn.XLOOKUP(A33,INDIRECT("'" &amp; L33 &amp; "'!8:8"),INDIRECT("'" &amp; L33 &amp; "'!7:7"))</f>
        <v>INTERVENTORIA Y CONSTRUCIVILES S.A.S NIT: 900107376 1</v>
      </c>
      <c r="C33" s="86" t="str" cm="1">
        <f t="array" aca="1" ref="C33" ca="1">_xlfn.XLOOKUP(A33,INDIRECT("'" &amp; L33 &amp; "'!8:8"),INDIRECT("'" &amp; L33 &amp; "'!27:27"))</f>
        <v>CUMPLE</v>
      </c>
      <c r="D33" s="86" t="str" cm="1">
        <f t="array" aca="1" ref="D33" ca="1">_xlfn.XLOOKUP(A33,INDIRECT("'" &amp; L33 &amp; "'!8:8"),INDIRECT("'" &amp; L33 &amp; "'!29:29"))</f>
        <v>CUMPLE</v>
      </c>
      <c r="E33" s="86" t="str" cm="1">
        <f t="array" aca="1" ref="E33" ca="1">_xlfn.XLOOKUP(A33,INDIRECT("'" &amp; L33 &amp; "'!8:8"),INDIRECT("'" &amp; L33 &amp; "'!31:31"))</f>
        <v>CUMPLE</v>
      </c>
      <c r="F33" s="86" t="str" cm="1">
        <f t="array" aca="1" ref="F33" ca="1">_xlfn.XLOOKUP(A33,INDIRECT("'" &amp; L33 &amp; "'!8:8"),INDIRECT("'" &amp; L33 &amp; "'!33:33"))</f>
        <v>CUMPLE</v>
      </c>
      <c r="G33" s="86" t="str" cm="1">
        <f t="array" aca="1" ref="G33" ca="1">_xlfn.XLOOKUP(A33,INDIRECT("'" &amp; L33 &amp; "'!8:8"),INDIRECT("'" &amp; L33 &amp; "'!37:37"))</f>
        <v>CUMPLE</v>
      </c>
      <c r="H33" s="86" t="str" cm="1">
        <f t="array" aca="1" ref="H33" ca="1">_xlfn.XLOOKUP(A33,INDIRECT("'" &amp; L33 &amp; "'!8:8"),INDIRECT("'" &amp; L33 &amp; "'!39:39"))</f>
        <v>CUMPLE</v>
      </c>
      <c r="I33" s="86" t="str" cm="1">
        <f t="array" aca="1" ref="I33" ca="1">_xlfn.XLOOKUP(A33,INDIRECT("'" &amp; L33 &amp; "'!8:8"),INDIRECT("'" &amp; L33 &amp; "'!10:10"))</f>
        <v>CUMPLE</v>
      </c>
      <c r="J33" s="177" t="str" cm="1">
        <f t="array" aca="1" ref="J33" ca="1">_xlfn.XLOOKUP(A33,INDIRECT("'" &amp; L33 &amp; "'!8:8"),INDIRECT("'" &amp; L33 &amp; "'!41:41"))</f>
        <v>HABILITADO</v>
      </c>
      <c r="K33" s="181" t="s">
        <v>56</v>
      </c>
      <c r="L33" s="207" t="s">
        <v>83</v>
      </c>
    </row>
    <row r="34" spans="1:12" ht="73.5" customHeight="1" x14ac:dyDescent="0.25">
      <c r="A34" s="85">
        <f t="shared" si="0"/>
        <v>23</v>
      </c>
      <c r="B34" s="178" t="str" cm="1">
        <f t="array" aca="1" ref="B34" ca="1">_xlfn.XLOOKUP(A34,INDIRECT("'" &amp; L34 &amp; "'!8:8"),INDIRECT("'" &amp; L34 &amp; "'!7:7"))</f>
        <v>EQUILATERO ARQUITECTURA E INGENIERÍA SAS NIT: 901272510-1</v>
      </c>
      <c r="C34" s="86" t="str" cm="1">
        <f t="array" aca="1" ref="C34" ca="1">_xlfn.XLOOKUP(A34,INDIRECT("'" &amp; L34 &amp; "'!8:8"),INDIRECT("'" &amp; L34 &amp; "'!27:27"))</f>
        <v>CUMPLE</v>
      </c>
      <c r="D34" s="86" t="str" cm="1">
        <f t="array" aca="1" ref="D34" ca="1">_xlfn.XLOOKUP(A34,INDIRECT("'" &amp; L34 &amp; "'!8:8"),INDIRECT("'" &amp; L34 &amp; "'!29:29"))</f>
        <v>CUMPLE</v>
      </c>
      <c r="E34" s="86" t="str" cm="1">
        <f t="array" aca="1" ref="E34" ca="1">_xlfn.XLOOKUP(A34,INDIRECT("'" &amp; L34 &amp; "'!8:8"),INDIRECT("'" &amp; L34 &amp; "'!31:31"))</f>
        <v>CUMPLE</v>
      </c>
      <c r="F34" s="86" t="str" cm="1">
        <f t="array" aca="1" ref="F34" ca="1">_xlfn.XLOOKUP(A34,INDIRECT("'" &amp; L34 &amp; "'!8:8"),INDIRECT("'" &amp; L34 &amp; "'!33:33"))</f>
        <v>CUMPLE</v>
      </c>
      <c r="G34" s="86" t="str" cm="1">
        <f t="array" aca="1" ref="G34" ca="1">_xlfn.XLOOKUP(A34,INDIRECT("'" &amp; L34 &amp; "'!8:8"),INDIRECT("'" &amp; L34 &amp; "'!37:37"))</f>
        <v>CUMPLE</v>
      </c>
      <c r="H34" s="86" t="str" cm="1">
        <f t="array" aca="1" ref="H34" ca="1">_xlfn.XLOOKUP(A34,INDIRECT("'" &amp; L34 &amp; "'!8:8"),INDIRECT("'" &amp; L34 &amp; "'!39:39"))</f>
        <v>CUMPLE</v>
      </c>
      <c r="I34" s="86" t="str" cm="1">
        <f t="array" aca="1" ref="I34" ca="1">_xlfn.XLOOKUP(A34,INDIRECT("'" &amp; L34 &amp; "'!8:8"),INDIRECT("'" &amp; L34 &amp; "'!10:10"))</f>
        <v>CUMPLE</v>
      </c>
      <c r="J34" s="177" t="str" cm="1">
        <f t="array" aca="1" ref="J34" ca="1">_xlfn.XLOOKUP(A34,INDIRECT("'" &amp; L34 &amp; "'!8:8"),INDIRECT("'" &amp; L34 &amp; "'!41:41"))</f>
        <v>HABILITADO</v>
      </c>
      <c r="K34" s="181" t="s">
        <v>56</v>
      </c>
      <c r="L34" s="207" t="s">
        <v>83</v>
      </c>
    </row>
    <row r="35" spans="1:12" ht="73.5" customHeight="1" x14ac:dyDescent="0.25">
      <c r="A35" s="85">
        <f t="shared" si="0"/>
        <v>24</v>
      </c>
      <c r="B35" s="178" t="str" cm="1">
        <f t="array" aca="1" ref="B35" ca="1">_xlfn.XLOOKUP(A35,INDIRECT("'" &amp; L35 &amp; "'!8:8"),INDIRECT("'" &amp; L35 &amp; "'!7:7"))</f>
        <v>MIRS LATINOAMERICA S A S NIT: 900241875 6</v>
      </c>
      <c r="C35" s="86" t="str" cm="1">
        <f t="array" aca="1" ref="C35" ca="1">_xlfn.XLOOKUP(A35,INDIRECT("'" &amp; L35 &amp; "'!8:8"),INDIRECT("'" &amp; L35 &amp; "'!27:27"))</f>
        <v>CUMPLE</v>
      </c>
      <c r="D35" s="86" t="str" cm="1">
        <f t="array" aca="1" ref="D35" ca="1">_xlfn.XLOOKUP(A35,INDIRECT("'" &amp; L35 &amp; "'!8:8"),INDIRECT("'" &amp; L35 &amp; "'!29:29"))</f>
        <v>CUMPLE</v>
      </c>
      <c r="E35" s="86" t="str" cm="1">
        <f t="array" aca="1" ref="E35" ca="1">_xlfn.XLOOKUP(A35,INDIRECT("'" &amp; L35 &amp; "'!8:8"),INDIRECT("'" &amp; L35 &amp; "'!31:31"))</f>
        <v>CUMPLE</v>
      </c>
      <c r="F35" s="86" t="str" cm="1">
        <f t="array" aca="1" ref="F35" ca="1">_xlfn.XLOOKUP(A35,INDIRECT("'" &amp; L35 &amp; "'!8:8"),INDIRECT("'" &amp; L35 &amp; "'!33:33"))</f>
        <v>CUMPLE</v>
      </c>
      <c r="G35" s="86" t="str" cm="1">
        <f t="array" aca="1" ref="G35" ca="1">_xlfn.XLOOKUP(A35,INDIRECT("'" &amp; L35 &amp; "'!8:8"),INDIRECT("'" &amp; L35 &amp; "'!37:37"))</f>
        <v>CUMPLE</v>
      </c>
      <c r="H35" s="86" t="str" cm="1">
        <f t="array" aca="1" ref="H35" ca="1">_xlfn.XLOOKUP(A35,INDIRECT("'" &amp; L35 &amp; "'!8:8"),INDIRECT("'" &amp; L35 &amp; "'!39:39"))</f>
        <v>CUMPLE</v>
      </c>
      <c r="I35" s="86" t="str" cm="1">
        <f t="array" aca="1" ref="I35" ca="1">_xlfn.XLOOKUP(A35,INDIRECT("'" &amp; L35 &amp; "'!8:8"),INDIRECT("'" &amp; L35 &amp; "'!10:10"))</f>
        <v>CUMPLE</v>
      </c>
      <c r="J35" s="177" t="str" cm="1">
        <f t="array" aca="1" ref="J35" ca="1">_xlfn.XLOOKUP(A35,INDIRECT("'" &amp; L35 &amp; "'!8:8"),INDIRECT("'" &amp; L35 &amp; "'!41:41"))</f>
        <v>HABILITADO</v>
      </c>
      <c r="K35" s="181" t="s">
        <v>56</v>
      </c>
      <c r="L35" s="207" t="s">
        <v>83</v>
      </c>
    </row>
    <row r="36" spans="1:12" ht="73.5" customHeight="1" x14ac:dyDescent="0.25">
      <c r="A36" s="85">
        <f t="shared" si="0"/>
        <v>25</v>
      </c>
      <c r="B36" s="178" t="str" cm="1">
        <f t="array" aca="1" ref="B36" ca="1">_xlfn.XLOOKUP(A36,INDIRECT("'" &amp; L36 &amp; "'!8:8"),INDIRECT("'" &amp; L36 &amp; "'!7:7"))</f>
        <v>R &amp; M CONSTRUCCIONES E INTERVENTORIAS S A S NIT: 830028126 2</v>
      </c>
      <c r="C36" s="86" t="str" cm="1">
        <f t="array" aca="1" ref="C36" ca="1">_xlfn.XLOOKUP(A36,INDIRECT("'" &amp; L36 &amp; "'!8:8"),INDIRECT("'" &amp; L36 &amp; "'!27:27"))</f>
        <v>CUMPLE</v>
      </c>
      <c r="D36" s="86" t="str" cm="1">
        <f t="array" aca="1" ref="D36" ca="1">_xlfn.XLOOKUP(A36,INDIRECT("'" &amp; L36 &amp; "'!8:8"),INDIRECT("'" &amp; L36 &amp; "'!29:29"))</f>
        <v>CUMPLE</v>
      </c>
      <c r="E36" s="86" t="str" cm="1">
        <f t="array" aca="1" ref="E36" ca="1">_xlfn.XLOOKUP(A36,INDIRECT("'" &amp; L36 &amp; "'!8:8"),INDIRECT("'" &amp; L36 &amp; "'!31:31"))</f>
        <v>CUMPLE</v>
      </c>
      <c r="F36" s="86" t="str" cm="1">
        <f t="array" aca="1" ref="F36" ca="1">_xlfn.XLOOKUP(A36,INDIRECT("'" &amp; L36 &amp; "'!8:8"),INDIRECT("'" &amp; L36 &amp; "'!33:33"))</f>
        <v>CUMPLE</v>
      </c>
      <c r="G36" s="86" t="str" cm="1">
        <f t="array" aca="1" ref="G36" ca="1">_xlfn.XLOOKUP(A36,INDIRECT("'" &amp; L36 &amp; "'!8:8"),INDIRECT("'" &amp; L36 &amp; "'!37:37"))</f>
        <v>CUMPLE</v>
      </c>
      <c r="H36" s="86" t="str" cm="1">
        <f t="array" aca="1" ref="H36" ca="1">_xlfn.XLOOKUP(A36,INDIRECT("'" &amp; L36 &amp; "'!8:8"),INDIRECT("'" &amp; L36 &amp; "'!39:39"))</f>
        <v>CUMPLE</v>
      </c>
      <c r="I36" s="86" t="str" cm="1">
        <f t="array" aca="1" ref="I36" ca="1">_xlfn.XLOOKUP(A36,INDIRECT("'" &amp; L36 &amp; "'!8:8"),INDIRECT("'" &amp; L36 &amp; "'!10:10"))</f>
        <v>CUMPLE</v>
      </c>
      <c r="J36" s="177" t="str" cm="1">
        <f t="array" aca="1" ref="J36" ca="1">_xlfn.XLOOKUP(A36,INDIRECT("'" &amp; L36 &amp; "'!8:8"),INDIRECT("'" &amp; L36 &amp; "'!41:41"))</f>
        <v>HABILITADO</v>
      </c>
      <c r="K36" s="181" t="s">
        <v>56</v>
      </c>
      <c r="L36" s="207" t="s">
        <v>83</v>
      </c>
    </row>
    <row r="37" spans="1:12" ht="73.5" customHeight="1" x14ac:dyDescent="0.25">
      <c r="A37" s="85">
        <f t="shared" si="0"/>
        <v>26</v>
      </c>
      <c r="B37" s="178" t="str" cm="1">
        <f t="array" aca="1" ref="B37" ca="1">_xlfn.XLOOKUP(A37,INDIRECT("'" &amp; L37 &amp; "'!8:8"),INDIRECT("'" &amp; L37 &amp; "'!7:7"))</f>
        <v>KONSTRUCCIONES Y KONSULTORIAS S.A.S SIGLA:KONKON S.A.S NIT:901839938-3</v>
      </c>
      <c r="C37" s="86" t="str" cm="1">
        <f t="array" aca="1" ref="C37" ca="1">_xlfn.XLOOKUP(A37,INDIRECT("'" &amp; L37 &amp; "'!8:8"),INDIRECT("'" &amp; L37 &amp; "'!27:27"))</f>
        <v>CUMPLE</v>
      </c>
      <c r="D37" s="86" t="str" cm="1">
        <f t="array" aca="1" ref="D37" ca="1">_xlfn.XLOOKUP(A37,INDIRECT("'" &amp; L37 &amp; "'!8:8"),INDIRECT("'" &amp; L37 &amp; "'!29:29"))</f>
        <v>CUMPLE</v>
      </c>
      <c r="E37" s="86" t="str" cm="1">
        <f t="array" aca="1" ref="E37" ca="1">_xlfn.XLOOKUP(A37,INDIRECT("'" &amp; L37 &amp; "'!8:8"),INDIRECT("'" &amp; L37 &amp; "'!31:31"))</f>
        <v>CUMPLE</v>
      </c>
      <c r="F37" s="86" t="str" cm="1">
        <f t="array" aca="1" ref="F37" ca="1">_xlfn.XLOOKUP(A37,INDIRECT("'" &amp; L37 &amp; "'!8:8"),INDIRECT("'" &amp; L37 &amp; "'!33:33"))</f>
        <v>CUMPLE</v>
      </c>
      <c r="G37" s="86" t="str" cm="1">
        <f t="array" aca="1" ref="G37" ca="1">_xlfn.XLOOKUP(A37,INDIRECT("'" &amp; L37 &amp; "'!8:8"),INDIRECT("'" &amp; L37 &amp; "'!37:37"))</f>
        <v>CUMPLE</v>
      </c>
      <c r="H37" s="86" t="str" cm="1">
        <f t="array" aca="1" ref="H37" ca="1">_xlfn.XLOOKUP(A37,INDIRECT("'" &amp; L37 &amp; "'!8:8"),INDIRECT("'" &amp; L37 &amp; "'!39:39"))</f>
        <v>CUMPLE</v>
      </c>
      <c r="I37" s="86" t="str" cm="1">
        <f t="array" aca="1" ref="I37" ca="1">_xlfn.XLOOKUP(A37,INDIRECT("'" &amp; L37 &amp; "'!8:8"),INDIRECT("'" &amp; L37 &amp; "'!10:10"))</f>
        <v>CUMPLE</v>
      </c>
      <c r="J37" s="177" t="str" cm="1">
        <f t="array" aca="1" ref="J37" ca="1">_xlfn.XLOOKUP(A37,INDIRECT("'" &amp; L37 &amp; "'!8:8"),INDIRECT("'" &amp; L37 &amp; "'!41:41"))</f>
        <v>HABILITADO</v>
      </c>
      <c r="K37" s="181" t="s">
        <v>56</v>
      </c>
      <c r="L37" s="207" t="s">
        <v>83</v>
      </c>
    </row>
    <row r="38" spans="1:12" ht="73.5" customHeight="1" x14ac:dyDescent="0.25">
      <c r="A38" s="85">
        <f t="shared" si="0"/>
        <v>27</v>
      </c>
      <c r="B38" s="178" t="str" cm="1">
        <f t="array" aca="1" ref="B38" ca="1">_xlfn.XLOOKUP(A38,INDIRECT("'" &amp; L38 &amp; "'!8:8"),INDIRECT("'" &amp; L38 &amp; "'!7:7"))</f>
        <v>CONSORCIO INT VUM 25</v>
      </c>
      <c r="C38" s="86" t="str" cm="1">
        <f t="array" aca="1" ref="C38" ca="1">_xlfn.XLOOKUP(A38,INDIRECT("'" &amp; L38 &amp; "'!8:8"),INDIRECT("'" &amp; L38 &amp; "'!27:27"))</f>
        <v>CUMPLE</v>
      </c>
      <c r="D38" s="86" t="str" cm="1">
        <f t="array" aca="1" ref="D38" ca="1">_xlfn.XLOOKUP(A38,INDIRECT("'" &amp; L38 &amp; "'!8:8"),INDIRECT("'" &amp; L38 &amp; "'!29:29"))</f>
        <v>CUMPLE</v>
      </c>
      <c r="E38" s="86" t="str" cm="1">
        <f t="array" aca="1" ref="E38" ca="1">_xlfn.XLOOKUP(A38,INDIRECT("'" &amp; L38 &amp; "'!8:8"),INDIRECT("'" &amp; L38 &amp; "'!31:31"))</f>
        <v>CUMPLE</v>
      </c>
      <c r="F38" s="86" t="str" cm="1">
        <f t="array" aca="1" ref="F38" ca="1">_xlfn.XLOOKUP(A38,INDIRECT("'" &amp; L38 &amp; "'!8:8"),INDIRECT("'" &amp; L38 &amp; "'!33:33"))</f>
        <v>CUMPLE</v>
      </c>
      <c r="G38" s="86" t="str" cm="1">
        <f t="array" aca="1" ref="G38" ca="1">_xlfn.XLOOKUP(A38,INDIRECT("'" &amp; L38 &amp; "'!8:8"),INDIRECT("'" &amp; L38 &amp; "'!37:37"))</f>
        <v>CUMPLE</v>
      </c>
      <c r="H38" s="86" t="str" cm="1">
        <f t="array" aca="1" ref="H38" ca="1">_xlfn.XLOOKUP(A38,INDIRECT("'" &amp; L38 &amp; "'!8:8"),INDIRECT("'" &amp; L38 &amp; "'!39:39"))</f>
        <v>CUMPLE</v>
      </c>
      <c r="I38" s="86" t="str" cm="1">
        <f t="array" aca="1" ref="I38" ca="1">_xlfn.XLOOKUP(A38,INDIRECT("'" &amp; L38 &amp; "'!8:8"),INDIRECT("'" &amp; L38 &amp; "'!10:10"))</f>
        <v>CUMPLE</v>
      </c>
      <c r="J38" s="177" t="str" cm="1">
        <f t="array" aca="1" ref="J38" ca="1">_xlfn.XLOOKUP(A38,INDIRECT("'" &amp; L38 &amp; "'!8:8"),INDIRECT("'" &amp; L38 &amp; "'!41:41"))</f>
        <v>HABILITADO</v>
      </c>
      <c r="K38" s="181" t="s">
        <v>56</v>
      </c>
      <c r="L38" s="207" t="s">
        <v>83</v>
      </c>
    </row>
    <row r="39" spans="1:12" ht="73.5" customHeight="1" x14ac:dyDescent="0.25">
      <c r="A39" s="85">
        <f t="shared" si="0"/>
        <v>28</v>
      </c>
      <c r="B39" s="178" t="str" cm="1">
        <f t="array" aca="1" ref="B39" ca="1">_xlfn.XLOOKUP(A39,INDIRECT("'" &amp; L39 &amp; "'!8:8"),INDIRECT("'" &amp; L39 &amp; "'!7:7"))</f>
        <v>CONSORCIO INTER VIAS USME 2025</v>
      </c>
      <c r="C39" s="86" t="str" cm="1">
        <f t="array" aca="1" ref="C39" ca="1">_xlfn.XLOOKUP(A39,INDIRECT("'" &amp; L39 &amp; "'!8:8"),INDIRECT("'" &amp; L39 &amp; "'!27:27"))</f>
        <v>CUMPLE</v>
      </c>
      <c r="D39" s="86" t="str" cm="1">
        <f t="array" aca="1" ref="D39" ca="1">_xlfn.XLOOKUP(A39,INDIRECT("'" &amp; L39 &amp; "'!8:8"),INDIRECT("'" &amp; L39 &amp; "'!29:29"))</f>
        <v>CUMPLE</v>
      </c>
      <c r="E39" s="86" t="str" cm="1">
        <f t="array" aca="1" ref="E39" ca="1">_xlfn.XLOOKUP(A39,INDIRECT("'" &amp; L39 &amp; "'!8:8"),INDIRECT("'" &amp; L39 &amp; "'!31:31"))</f>
        <v>CUMPLE</v>
      </c>
      <c r="F39" s="86" t="str" cm="1">
        <f t="array" aca="1" ref="F39" ca="1">_xlfn.XLOOKUP(A39,INDIRECT("'" &amp; L39 &amp; "'!8:8"),INDIRECT("'" &amp; L39 &amp; "'!33:33"))</f>
        <v>CUMPLE</v>
      </c>
      <c r="G39" s="86" t="str" cm="1">
        <f t="array" aca="1" ref="G39" ca="1">_xlfn.XLOOKUP(A39,INDIRECT("'" &amp; L39 &amp; "'!8:8"),INDIRECT("'" &amp; L39 &amp; "'!37:37"))</f>
        <v>CUMPLE</v>
      </c>
      <c r="H39" s="86" t="str" cm="1">
        <f t="array" aca="1" ref="H39" ca="1">_xlfn.XLOOKUP(A39,INDIRECT("'" &amp; L39 &amp; "'!8:8"),INDIRECT("'" &amp; L39 &amp; "'!39:39"))</f>
        <v>CUMPLE</v>
      </c>
      <c r="I39" s="86" t="str" cm="1">
        <f t="array" aca="1" ref="I39" ca="1">_xlfn.XLOOKUP(A39,INDIRECT("'" &amp; L39 &amp; "'!8:8"),INDIRECT("'" &amp; L39 &amp; "'!10:10"))</f>
        <v>CUMPLE</v>
      </c>
      <c r="J39" s="177" t="str" cm="1">
        <f t="array" aca="1" ref="J39" ca="1">_xlfn.XLOOKUP(A39,INDIRECT("'" &amp; L39 &amp; "'!8:8"),INDIRECT("'" &amp; L39 &amp; "'!41:41"))</f>
        <v>HABILITADO</v>
      </c>
      <c r="K39" s="181" t="s">
        <v>56</v>
      </c>
      <c r="L39" s="207" t="s">
        <v>84</v>
      </c>
    </row>
    <row r="40" spans="1:12" ht="73.5" customHeight="1" x14ac:dyDescent="0.25">
      <c r="A40" s="85">
        <f t="shared" si="0"/>
        <v>29</v>
      </c>
      <c r="B40" s="178" t="str" cm="1">
        <f t="array" aca="1" ref="B40" ca="1">_xlfn.XLOOKUP(A40,INDIRECT("'" &amp; L40 &amp; "'!8:8"),INDIRECT("'" &amp; L40 &amp; "'!7:7"))</f>
        <v>SOLUCIONES PARA LA INGENIERIA S.A.S NIT: 900389180 2</v>
      </c>
      <c r="C40" s="86" t="str" cm="1">
        <f t="array" aca="1" ref="C40" ca="1">_xlfn.XLOOKUP(A40,INDIRECT("'" &amp; L40 &amp; "'!8:8"),INDIRECT("'" &amp; L40 &amp; "'!27:27"))</f>
        <v>CUMPLE</v>
      </c>
      <c r="D40" s="86" t="str" cm="1">
        <f t="array" aca="1" ref="D40" ca="1">_xlfn.XLOOKUP(A40,INDIRECT("'" &amp; L40 &amp; "'!8:8"),INDIRECT("'" &amp; L40 &amp; "'!29:29"))</f>
        <v>CUMPLE</v>
      </c>
      <c r="E40" s="86" t="str" cm="1">
        <f t="array" aca="1" ref="E40" ca="1">_xlfn.XLOOKUP(A40,INDIRECT("'" &amp; L40 &amp; "'!8:8"),INDIRECT("'" &amp; L40 &amp; "'!31:31"))</f>
        <v>CUMPLE</v>
      </c>
      <c r="F40" s="86" t="str" cm="1">
        <f t="array" aca="1" ref="F40" ca="1">_xlfn.XLOOKUP(A40,INDIRECT("'" &amp; L40 &amp; "'!8:8"),INDIRECT("'" &amp; L40 &amp; "'!33:33"))</f>
        <v>CUMPLE</v>
      </c>
      <c r="G40" s="86" t="str" cm="1">
        <f t="array" aca="1" ref="G40" ca="1">_xlfn.XLOOKUP(A40,INDIRECT("'" &amp; L40 &amp; "'!8:8"),INDIRECT("'" &amp; L40 &amp; "'!37:37"))</f>
        <v>CUMPLE</v>
      </c>
      <c r="H40" s="86" t="str" cm="1">
        <f t="array" aca="1" ref="H40" ca="1">_xlfn.XLOOKUP(A40,INDIRECT("'" &amp; L40 &amp; "'!8:8"),INDIRECT("'" &amp; L40 &amp; "'!39:39"))</f>
        <v>CUMPLE</v>
      </c>
      <c r="I40" s="86" t="str" cm="1">
        <f t="array" aca="1" ref="I40" ca="1">_xlfn.XLOOKUP(A40,INDIRECT("'" &amp; L40 &amp; "'!8:8"),INDIRECT("'" &amp; L40 &amp; "'!10:10"))</f>
        <v>CUMPLE</v>
      </c>
      <c r="J40" s="177" t="str" cm="1">
        <f t="array" aca="1" ref="J40" ca="1">_xlfn.XLOOKUP(A40,INDIRECT("'" &amp; L40 &amp; "'!8:8"),INDIRECT("'" &amp; L40 &amp; "'!41:41"))</f>
        <v>HABILITADO</v>
      </c>
      <c r="K40" s="181" t="s">
        <v>56</v>
      </c>
      <c r="L40" s="207" t="s">
        <v>84</v>
      </c>
    </row>
    <row r="41" spans="1:12" ht="73.5" customHeight="1" x14ac:dyDescent="0.25">
      <c r="A41" s="85">
        <f t="shared" si="0"/>
        <v>30</v>
      </c>
      <c r="B41" s="178" t="str" cm="1">
        <f t="array" aca="1" ref="B41" ca="1">_xlfn.XLOOKUP(A41,INDIRECT("'" &amp; L41 &amp; "'!8:8"),INDIRECT("'" &amp; L41 &amp; "'!7:7"))</f>
        <v>CB INGENIEROS S.A.S NIT: 860509943 7</v>
      </c>
      <c r="C41" s="86" t="str" cm="1">
        <f t="array" aca="1" ref="C41" ca="1">_xlfn.XLOOKUP(A41,INDIRECT("'" &amp; L41 &amp; "'!8:8"),INDIRECT("'" &amp; L41 &amp; "'!27:27"))</f>
        <v>CUMPLE</v>
      </c>
      <c r="D41" s="86" t="str" cm="1">
        <f t="array" aca="1" ref="D41" ca="1">_xlfn.XLOOKUP(A41,INDIRECT("'" &amp; L41 &amp; "'!8:8"),INDIRECT("'" &amp; L41 &amp; "'!29:29"))</f>
        <v>CUMPLE</v>
      </c>
      <c r="E41" s="86" t="str" cm="1">
        <f t="array" aca="1" ref="E41" ca="1">_xlfn.XLOOKUP(A41,INDIRECT("'" &amp; L41 &amp; "'!8:8"),INDIRECT("'" &amp; L41 &amp; "'!31:31"))</f>
        <v>CUMPLE</v>
      </c>
      <c r="F41" s="86" t="str" cm="1">
        <f t="array" aca="1" ref="F41" ca="1">_xlfn.XLOOKUP(A41,INDIRECT("'" &amp; L41 &amp; "'!8:8"),INDIRECT("'" &amp; L41 &amp; "'!33:33"))</f>
        <v>CUMPLE</v>
      </c>
      <c r="G41" s="86" t="str" cm="1">
        <f t="array" aca="1" ref="G41" ca="1">_xlfn.XLOOKUP(A41,INDIRECT("'" &amp; L41 &amp; "'!8:8"),INDIRECT("'" &amp; L41 &amp; "'!37:37"))</f>
        <v>CUMPLE</v>
      </c>
      <c r="H41" s="86" t="str" cm="1">
        <f t="array" aca="1" ref="H41" ca="1">_xlfn.XLOOKUP(A41,INDIRECT("'" &amp; L41 &amp; "'!8:8"),INDIRECT("'" &amp; L41 &amp; "'!39:39"))</f>
        <v>CUMPLE</v>
      </c>
      <c r="I41" s="86" t="str" cm="1">
        <f t="array" aca="1" ref="I41" ca="1">_xlfn.XLOOKUP(A41,INDIRECT("'" &amp; L41 &amp; "'!8:8"),INDIRECT("'" &amp; L41 &amp; "'!10:10"))</f>
        <v>CUMPLE</v>
      </c>
      <c r="J41" s="177" t="str" cm="1">
        <f t="array" aca="1" ref="J41" ca="1">_xlfn.XLOOKUP(A41,INDIRECT("'" &amp; L41 &amp; "'!8:8"),INDIRECT("'" &amp; L41 &amp; "'!41:41"))</f>
        <v>HABILITADO</v>
      </c>
      <c r="K41" s="181" t="s">
        <v>56</v>
      </c>
      <c r="L41" s="207" t="s">
        <v>84</v>
      </c>
    </row>
    <row r="42" spans="1:12" ht="73.5" customHeight="1" x14ac:dyDescent="0.25">
      <c r="A42" s="85">
        <f t="shared" si="0"/>
        <v>31</v>
      </c>
      <c r="B42" s="178" t="str" cm="1">
        <f t="array" aca="1" ref="B42" ca="1">_xlfn.XLOOKUP(A42,INDIRECT("'" &amp; L42 &amp; "'!8:8"),INDIRECT("'" &amp; L42 &amp; "'!7:7"))</f>
        <v>CONSORCIO INTERVIAS USME 2025</v>
      </c>
      <c r="C42" s="86" t="str" cm="1">
        <f t="array" aca="1" ref="C42" ca="1">_xlfn.XLOOKUP(A42,INDIRECT("'" &amp; L42 &amp; "'!8:8"),INDIRECT("'" &amp; L42 &amp; "'!27:27"))</f>
        <v>CUMPLE</v>
      </c>
      <c r="D42" s="86" t="str" cm="1">
        <f t="array" aca="1" ref="D42" ca="1">_xlfn.XLOOKUP(A42,INDIRECT("'" &amp; L42 &amp; "'!8:8"),INDIRECT("'" &amp; L42 &amp; "'!29:29"))</f>
        <v>CUMPLE</v>
      </c>
      <c r="E42" s="86" t="str" cm="1">
        <f t="array" aca="1" ref="E42" ca="1">_xlfn.XLOOKUP(A42,INDIRECT("'" &amp; L42 &amp; "'!8:8"),INDIRECT("'" &amp; L42 &amp; "'!31:31"))</f>
        <v>CUMPLE</v>
      </c>
      <c r="F42" s="86" t="str" cm="1">
        <f t="array" aca="1" ref="F42" ca="1">_xlfn.XLOOKUP(A42,INDIRECT("'" &amp; L42 &amp; "'!8:8"),INDIRECT("'" &amp; L42 &amp; "'!33:33"))</f>
        <v>CUMPLE</v>
      </c>
      <c r="G42" s="86" t="str" cm="1">
        <f t="array" aca="1" ref="G42" ca="1">_xlfn.XLOOKUP(A42,INDIRECT("'" &amp; L42 &amp; "'!8:8"),INDIRECT("'" &amp; L42 &amp; "'!37:37"))</f>
        <v>CUMPLE</v>
      </c>
      <c r="H42" s="86" t="str" cm="1">
        <f t="array" aca="1" ref="H42" ca="1">_xlfn.XLOOKUP(A42,INDIRECT("'" &amp; L42 &amp; "'!8:8"),INDIRECT("'" &amp; L42 &amp; "'!39:39"))</f>
        <v>CUMPLE</v>
      </c>
      <c r="I42" s="86" t="str" cm="1">
        <f t="array" aca="1" ref="I42" ca="1">_xlfn.XLOOKUP(A42,INDIRECT("'" &amp; L42 &amp; "'!8:8"),INDIRECT("'" &amp; L42 &amp; "'!10:10"))</f>
        <v>CUMPLE</v>
      </c>
      <c r="J42" s="177" t="str" cm="1">
        <f t="array" aca="1" ref="J42" ca="1">_xlfn.XLOOKUP(A42,INDIRECT("'" &amp; L42 &amp; "'!8:8"),INDIRECT("'" &amp; L42 &amp; "'!41:41"))</f>
        <v>HABILITADO</v>
      </c>
      <c r="K42" s="181" t="s">
        <v>56</v>
      </c>
      <c r="L42" s="207" t="s">
        <v>84</v>
      </c>
    </row>
    <row r="43" spans="1:12" ht="73.5" customHeight="1" x14ac:dyDescent="0.25">
      <c r="A43" s="85">
        <f t="shared" si="0"/>
        <v>32</v>
      </c>
      <c r="B43" s="178" t="str" cm="1">
        <f t="array" aca="1" ref="B43" ca="1">_xlfn.XLOOKUP(A43,INDIRECT("'" &amp; L43 &amp; "'!8:8"),INDIRECT("'" &amp; L43 &amp; "'!7:7"))</f>
        <v>INGENIEROS CIVILES ESPECIALISTAS S.A.S. NIT: 802.008.390 - 3</v>
      </c>
      <c r="C43" s="86" t="str" cm="1">
        <f t="array" aca="1" ref="C43" ca="1">_xlfn.XLOOKUP(A43,INDIRECT("'" &amp; L43 &amp; "'!8:8"),INDIRECT("'" &amp; L43 &amp; "'!27:27"))</f>
        <v>CUMPLE</v>
      </c>
      <c r="D43" s="86" t="str" cm="1">
        <f t="array" aca="1" ref="D43" ca="1">_xlfn.XLOOKUP(A43,INDIRECT("'" &amp; L43 &amp; "'!8:8"),INDIRECT("'" &amp; L43 &amp; "'!29:29"))</f>
        <v>CUMPLE</v>
      </c>
      <c r="E43" s="86" t="str" cm="1">
        <f t="array" aca="1" ref="E43" ca="1">_xlfn.XLOOKUP(A43,INDIRECT("'" &amp; L43 &amp; "'!8:8"),INDIRECT("'" &amp; L43 &amp; "'!31:31"))</f>
        <v>CUMPLE</v>
      </c>
      <c r="F43" s="86" t="str" cm="1">
        <f t="array" aca="1" ref="F43" ca="1">_xlfn.XLOOKUP(A43,INDIRECT("'" &amp; L43 &amp; "'!8:8"),INDIRECT("'" &amp; L43 &amp; "'!33:33"))</f>
        <v>CUMPLE</v>
      </c>
      <c r="G43" s="86" t="str" cm="1">
        <f t="array" aca="1" ref="G43" ca="1">_xlfn.XLOOKUP(A43,INDIRECT("'" &amp; L43 &amp; "'!8:8"),INDIRECT("'" &amp; L43 &amp; "'!37:37"))</f>
        <v>CUMPLE</v>
      </c>
      <c r="H43" s="86" t="str" cm="1">
        <f t="array" aca="1" ref="H43" ca="1">_xlfn.XLOOKUP(A43,INDIRECT("'" &amp; L43 &amp; "'!8:8"),INDIRECT("'" &amp; L43 &amp; "'!39:39"))</f>
        <v>CUMPLE</v>
      </c>
      <c r="I43" s="86" t="str" cm="1">
        <f t="array" aca="1" ref="I43" ca="1">_xlfn.XLOOKUP(A43,INDIRECT("'" &amp; L43 &amp; "'!8:8"),INDIRECT("'" &amp; L43 &amp; "'!10:10"))</f>
        <v>CUMPLE</v>
      </c>
      <c r="J43" s="177" t="str" cm="1">
        <f t="array" aca="1" ref="J43" ca="1">_xlfn.XLOOKUP(A43,INDIRECT("'" &amp; L43 &amp; "'!8:8"),INDIRECT("'" &amp; L43 &amp; "'!41:41"))</f>
        <v>HABILITADO</v>
      </c>
      <c r="K43" s="181" t="s">
        <v>56</v>
      </c>
      <c r="L43" s="207" t="s">
        <v>84</v>
      </c>
    </row>
    <row r="44" spans="1:12" ht="73.5" customHeight="1" x14ac:dyDescent="0.25">
      <c r="A44" s="85">
        <f t="shared" si="0"/>
        <v>33</v>
      </c>
      <c r="B44" s="178" t="str" cm="1">
        <f t="array" aca="1" ref="B44" ca="1">_xlfn.XLOOKUP(A44,INDIRECT("'" &amp; L44 &amp; "'!8:8"),INDIRECT("'" &amp; L44 &amp; "'!7:7"))</f>
        <v>CONSORCIO INTER USME 2026</v>
      </c>
      <c r="C44" s="86" t="str" cm="1">
        <f t="array" aca="1" ref="C44" ca="1">_xlfn.XLOOKUP(A44,INDIRECT("'" &amp; L44 &amp; "'!8:8"),INDIRECT("'" &amp; L44 &amp; "'!27:27"))</f>
        <v>CUMPLE</v>
      </c>
      <c r="D44" s="86" t="str" cm="1">
        <f t="array" aca="1" ref="D44" ca="1">_xlfn.XLOOKUP(A44,INDIRECT("'" &amp; L44 &amp; "'!8:8"),INDIRECT("'" &amp; L44 &amp; "'!29:29"))</f>
        <v>CUMPLE</v>
      </c>
      <c r="E44" s="86" t="str" cm="1">
        <f t="array" aca="1" ref="E44" ca="1">_xlfn.XLOOKUP(A44,INDIRECT("'" &amp; L44 &amp; "'!8:8"),INDIRECT("'" &amp; L44 &amp; "'!31:31"))</f>
        <v>CUMPLE</v>
      </c>
      <c r="F44" s="86" t="str" cm="1">
        <f t="array" aca="1" ref="F44" ca="1">_xlfn.XLOOKUP(A44,INDIRECT("'" &amp; L44 &amp; "'!8:8"),INDIRECT("'" &amp; L44 &amp; "'!33:33"))</f>
        <v>CUMPLE</v>
      </c>
      <c r="G44" s="86" t="str" cm="1">
        <f t="array" aca="1" ref="G44" ca="1">_xlfn.XLOOKUP(A44,INDIRECT("'" &amp; L44 &amp; "'!8:8"),INDIRECT("'" &amp; L44 &amp; "'!37:37"))</f>
        <v>CUMPLE</v>
      </c>
      <c r="H44" s="86" t="str" cm="1">
        <f t="array" aca="1" ref="H44" ca="1">_xlfn.XLOOKUP(A44,INDIRECT("'" &amp; L44 &amp; "'!8:8"),INDIRECT("'" &amp; L44 &amp; "'!39:39"))</f>
        <v>CUMPLE</v>
      </c>
      <c r="I44" s="86" t="str" cm="1">
        <f t="array" aca="1" ref="I44" ca="1">_xlfn.XLOOKUP(A44,INDIRECT("'" &amp; L44 &amp; "'!8:8"),INDIRECT("'" &amp; L44 &amp; "'!10:10"))</f>
        <v>CUMPLE</v>
      </c>
      <c r="J44" s="177" t="str" cm="1">
        <f t="array" aca="1" ref="J44" ca="1">_xlfn.XLOOKUP(A44,INDIRECT("'" &amp; L44 &amp; "'!8:8"),INDIRECT("'" &amp; L44 &amp; "'!41:41"))</f>
        <v>HABILITADO</v>
      </c>
      <c r="K44" s="221" t="s">
        <v>183</v>
      </c>
      <c r="L44" s="207" t="s">
        <v>84</v>
      </c>
    </row>
    <row r="45" spans="1:12" ht="73.5" customHeight="1" x14ac:dyDescent="0.25">
      <c r="A45" s="85">
        <f t="shared" si="0"/>
        <v>34</v>
      </c>
      <c r="B45" s="178" t="str" cm="1">
        <f t="array" aca="1" ref="B45" ca="1">_xlfn.XLOOKUP(A45,INDIRECT("'" &amp; L45 &amp; "'!8:8"),INDIRECT("'" &amp; L45 &amp; "'!7:7"))</f>
        <v>CONSORCIO INTERVIAL USME027 PCP-PC</v>
      </c>
      <c r="C45" s="86" t="str" cm="1">
        <f t="array" aca="1" ref="C45" ca="1">_xlfn.XLOOKUP(A45,INDIRECT("'" &amp; L45 &amp; "'!8:8"),INDIRECT("'" &amp; L45 &amp; "'!27:27"))</f>
        <v>CUMPLE</v>
      </c>
      <c r="D45" s="86" t="str" cm="1">
        <f t="array" aca="1" ref="D45" ca="1">_xlfn.XLOOKUP(A45,INDIRECT("'" &amp; L45 &amp; "'!8:8"),INDIRECT("'" &amp; L45 &amp; "'!29:29"))</f>
        <v>CUMPLE</v>
      </c>
      <c r="E45" s="86" t="str" cm="1">
        <f t="array" aca="1" ref="E45" ca="1">_xlfn.XLOOKUP(A45,INDIRECT("'" &amp; L45 &amp; "'!8:8"),INDIRECT("'" &amp; L45 &amp; "'!31:31"))</f>
        <v>CUMPLE</v>
      </c>
      <c r="F45" s="86" t="str" cm="1">
        <f t="array" aca="1" ref="F45" ca="1">_xlfn.XLOOKUP(A45,INDIRECT("'" &amp; L45 &amp; "'!8:8"),INDIRECT("'" &amp; L45 &amp; "'!33:33"))</f>
        <v>CUMPLE</v>
      </c>
      <c r="G45" s="86" t="str" cm="1">
        <f t="array" aca="1" ref="G45" ca="1">_xlfn.XLOOKUP(A45,INDIRECT("'" &amp; L45 &amp; "'!8:8"),INDIRECT("'" &amp; L45 &amp; "'!37:37"))</f>
        <v>CUMPLE</v>
      </c>
      <c r="H45" s="86" t="str" cm="1">
        <f t="array" aca="1" ref="H45" ca="1">_xlfn.XLOOKUP(A45,INDIRECT("'" &amp; L45 &amp; "'!8:8"),INDIRECT("'" &amp; L45 &amp; "'!39:39"))</f>
        <v>CUMPLE</v>
      </c>
      <c r="I45" s="86" t="str" cm="1">
        <f t="array" aca="1" ref="I45" ca="1">_xlfn.XLOOKUP(A45,INDIRECT("'" &amp; L45 &amp; "'!8:8"),INDIRECT("'" &amp; L45 &amp; "'!10:10"))</f>
        <v>CUMPLE</v>
      </c>
      <c r="J45" s="177" t="str" cm="1">
        <f t="array" aca="1" ref="J45" ca="1">_xlfn.XLOOKUP(A45,INDIRECT("'" &amp; L45 &amp; "'!8:8"),INDIRECT("'" &amp; L45 &amp; "'!41:41"))</f>
        <v>HABILITADO</v>
      </c>
      <c r="K45" s="181" t="s">
        <v>56</v>
      </c>
      <c r="L45" s="207" t="s">
        <v>85</v>
      </c>
    </row>
    <row r="46" spans="1:12" ht="73.5" customHeight="1" x14ac:dyDescent="0.25">
      <c r="A46" s="85">
        <f t="shared" si="0"/>
        <v>35</v>
      </c>
      <c r="B46" s="178" t="str" cm="1">
        <f t="array" aca="1" ref="B46" ca="1">_xlfn.XLOOKUP(A46,INDIRECT("'" &amp; L46 &amp; "'!8:8"),INDIRECT("'" &amp; L46 &amp; "'!7:7"))</f>
        <v>CONSORCIO INTERVENTORIA LUCIA</v>
      </c>
      <c r="C46" s="86" t="str" cm="1">
        <f t="array" aca="1" ref="C46" ca="1">_xlfn.XLOOKUP(A46,INDIRECT("'" &amp; L46 &amp; "'!8:8"),INDIRECT("'" &amp; L46 &amp; "'!27:27"))</f>
        <v>CUMPLE</v>
      </c>
      <c r="D46" s="86" t="str" cm="1">
        <f t="array" aca="1" ref="D46" ca="1">_xlfn.XLOOKUP(A46,INDIRECT("'" &amp; L46 &amp; "'!8:8"),INDIRECT("'" &amp; L46 &amp; "'!29:29"))</f>
        <v>CUMPLE</v>
      </c>
      <c r="E46" s="86" t="str" cm="1">
        <f t="array" aca="1" ref="E46" ca="1">_xlfn.XLOOKUP(A46,INDIRECT("'" &amp; L46 &amp; "'!8:8"),INDIRECT("'" &amp; L46 &amp; "'!31:31"))</f>
        <v>CUMPLE</v>
      </c>
      <c r="F46" s="86" t="str" cm="1">
        <f t="array" aca="1" ref="F46" ca="1">_xlfn.XLOOKUP(A46,INDIRECT("'" &amp; L46 &amp; "'!8:8"),INDIRECT("'" &amp; L46 &amp; "'!33:33"))</f>
        <v>CUMPLE</v>
      </c>
      <c r="G46" s="86" t="str" cm="1">
        <f t="array" aca="1" ref="G46" ca="1">_xlfn.XLOOKUP(A46,INDIRECT("'" &amp; L46 &amp; "'!8:8"),INDIRECT("'" &amp; L46 &amp; "'!37:37"))</f>
        <v>CUMPLE</v>
      </c>
      <c r="H46" s="86" t="str" cm="1">
        <f t="array" aca="1" ref="H46" ca="1">_xlfn.XLOOKUP(A46,INDIRECT("'" &amp; L46 &amp; "'!8:8"),INDIRECT("'" &amp; L46 &amp; "'!39:39"))</f>
        <v>CUMPLE</v>
      </c>
      <c r="I46" s="86" t="str" cm="1">
        <f t="array" aca="1" ref="I46" ca="1">_xlfn.XLOOKUP(A46,INDIRECT("'" &amp; L46 &amp; "'!8:8"),INDIRECT("'" &amp; L46 &amp; "'!10:10"))</f>
        <v>CUMPLE</v>
      </c>
      <c r="J46" s="177" t="str" cm="1">
        <f t="array" aca="1" ref="J46" ca="1">_xlfn.XLOOKUP(A46,INDIRECT("'" &amp; L46 &amp; "'!8:8"),INDIRECT("'" &amp; L46 &amp; "'!41:41"))</f>
        <v>HABILITADO</v>
      </c>
      <c r="K46" s="181" t="s">
        <v>56</v>
      </c>
      <c r="L46" s="207" t="s">
        <v>85</v>
      </c>
    </row>
    <row r="47" spans="1:12" ht="73.5" customHeight="1" x14ac:dyDescent="0.25">
      <c r="A47" s="85">
        <f t="shared" si="0"/>
        <v>36</v>
      </c>
      <c r="B47" s="178" t="str" cm="1">
        <f t="array" aca="1" ref="B47" ca="1">_xlfn.XLOOKUP(A47,INDIRECT("'" &amp; L47 &amp; "'!8:8"),INDIRECT("'" &amp; L47 &amp; "'!7:7"))</f>
        <v>CONSORCIO CRAM 056 DE 2025</v>
      </c>
      <c r="C47" s="86" t="str" cm="1">
        <f t="array" aca="1" ref="C47" ca="1">_xlfn.XLOOKUP(A47,INDIRECT("'" &amp; L47 &amp; "'!8:8"),INDIRECT("'" &amp; L47 &amp; "'!27:27"))</f>
        <v>CUMPLE</v>
      </c>
      <c r="D47" s="86" t="str" cm="1">
        <f t="array" aca="1" ref="D47" ca="1">_xlfn.XLOOKUP(A47,INDIRECT("'" &amp; L47 &amp; "'!8:8"),INDIRECT("'" &amp; L47 &amp; "'!29:29"))</f>
        <v>CUMPLE</v>
      </c>
      <c r="E47" s="86" t="str" cm="1">
        <f t="array" aca="1" ref="E47" ca="1">_xlfn.XLOOKUP(A47,INDIRECT("'" &amp; L47 &amp; "'!8:8"),INDIRECT("'" &amp; L47 &amp; "'!31:31"))</f>
        <v>CUMPLE</v>
      </c>
      <c r="F47" s="86" t="str" cm="1">
        <f t="array" aca="1" ref="F47" ca="1">_xlfn.XLOOKUP(A47,INDIRECT("'" &amp; L47 &amp; "'!8:8"),INDIRECT("'" &amp; L47 &amp; "'!33:33"))</f>
        <v>CUMPLE</v>
      </c>
      <c r="G47" s="86" t="str" cm="1">
        <f t="array" aca="1" ref="G47" ca="1">_xlfn.XLOOKUP(A47,INDIRECT("'" &amp; L47 &amp; "'!8:8"),INDIRECT("'" &amp; L47 &amp; "'!37:37"))</f>
        <v>CUMPLE</v>
      </c>
      <c r="H47" s="86" t="str" cm="1">
        <f t="array" aca="1" ref="H47" ca="1">_xlfn.XLOOKUP(A47,INDIRECT("'" &amp; L47 &amp; "'!8:8"),INDIRECT("'" &amp; L47 &amp; "'!39:39"))</f>
        <v>CUMPLE</v>
      </c>
      <c r="I47" s="86" t="str" cm="1">
        <f t="array" aca="1" ref="I47" ca="1">_xlfn.XLOOKUP(A47,INDIRECT("'" &amp; L47 &amp; "'!8:8"),INDIRECT("'" &amp; L47 &amp; "'!10:10"))</f>
        <v>CUMPLE</v>
      </c>
      <c r="J47" s="177" t="str" cm="1">
        <f t="array" aca="1" ref="J47" ca="1">_xlfn.XLOOKUP(A47,INDIRECT("'" &amp; L47 &amp; "'!8:8"),INDIRECT("'" &amp; L47 &amp; "'!41:41"))</f>
        <v>HABILITADO</v>
      </c>
      <c r="K47" s="181" t="s">
        <v>56</v>
      </c>
      <c r="L47" s="207" t="s">
        <v>85</v>
      </c>
    </row>
    <row r="48" spans="1:12" ht="73.5" customHeight="1" x14ac:dyDescent="0.25">
      <c r="A48" s="85">
        <f t="shared" si="0"/>
        <v>37</v>
      </c>
      <c r="B48" s="178" t="str" cm="1">
        <f t="array" aca="1" ref="B48" ca="1">_xlfn.XLOOKUP(A48,INDIRECT("'" &amp; L48 &amp; "'!8:8"),INDIRECT("'" &amp; L48 &amp; "'!7:7"))</f>
        <v>ALMA INTERVENTORÍA &amp; CONSULTORÍA SAS NIT: 901573477 6</v>
      </c>
      <c r="C48" s="86" t="str" cm="1">
        <f t="array" aca="1" ref="C48" ca="1">_xlfn.XLOOKUP(A48,INDIRECT("'" &amp; L48 &amp; "'!8:8"),INDIRECT("'" &amp; L48 &amp; "'!27:27"))</f>
        <v>CUMPLE</v>
      </c>
      <c r="D48" s="86" t="str" cm="1">
        <f t="array" aca="1" ref="D48" ca="1">_xlfn.XLOOKUP(A48,INDIRECT("'" &amp; L48 &amp; "'!8:8"),INDIRECT("'" &amp; L48 &amp; "'!29:29"))</f>
        <v>CUMPLE</v>
      </c>
      <c r="E48" s="86" t="str" cm="1">
        <f t="array" aca="1" ref="E48" ca="1">_xlfn.XLOOKUP(A48,INDIRECT("'" &amp; L48 &amp; "'!8:8"),INDIRECT("'" &amp; L48 &amp; "'!31:31"))</f>
        <v>CUMPLE</v>
      </c>
      <c r="F48" s="86" t="str" cm="1">
        <f t="array" aca="1" ref="F48" ca="1">_xlfn.XLOOKUP(A48,INDIRECT("'" &amp; L48 &amp; "'!8:8"),INDIRECT("'" &amp; L48 &amp; "'!33:33"))</f>
        <v>CUMPLE</v>
      </c>
      <c r="G48" s="86" t="str" cm="1">
        <f t="array" aca="1" ref="G48" ca="1">_xlfn.XLOOKUP(A48,INDIRECT("'" &amp; L48 &amp; "'!8:8"),INDIRECT("'" &amp; L48 &amp; "'!37:37"))</f>
        <v>CUMPLE</v>
      </c>
      <c r="H48" s="86" t="str" cm="1">
        <f t="array" aca="1" ref="H48" ca="1">_xlfn.XLOOKUP(A48,INDIRECT("'" &amp; L48 &amp; "'!8:8"),INDIRECT("'" &amp; L48 &amp; "'!39:39"))</f>
        <v>CUMPLE</v>
      </c>
      <c r="I48" s="86" t="str" cm="1">
        <f t="array" aca="1" ref="I48" ca="1">_xlfn.XLOOKUP(A48,INDIRECT("'" &amp; L48 &amp; "'!8:8"),INDIRECT("'" &amp; L48 &amp; "'!10:10"))</f>
        <v>CUMPLE</v>
      </c>
      <c r="J48" s="177" t="str" cm="1">
        <f t="array" aca="1" ref="J48" ca="1">_xlfn.XLOOKUP(A48,INDIRECT("'" &amp; L48 &amp; "'!8:8"),INDIRECT("'" &amp; L48 &amp; "'!41:41"))</f>
        <v>HABILITADO</v>
      </c>
      <c r="K48" s="181" t="s">
        <v>56</v>
      </c>
      <c r="L48" s="207" t="s">
        <v>85</v>
      </c>
    </row>
    <row r="49" spans="1:12" ht="73.5" customHeight="1" x14ac:dyDescent="0.25">
      <c r="A49" s="85">
        <f t="shared" si="0"/>
        <v>38</v>
      </c>
      <c r="B49" s="178" t="str" cm="1">
        <f t="array" aca="1" ref="B49" ca="1">_xlfn.XLOOKUP(A49,INDIRECT("'" &amp; L49 &amp; "'!8:8"),INDIRECT("'" &amp; L49 &amp; "'!7:7"))</f>
        <v>CONSORCIO INTER VIAS IM</v>
      </c>
      <c r="C49" s="86" t="str" cm="1">
        <f t="array" aca="1" ref="C49" ca="1">_xlfn.XLOOKUP(A49,INDIRECT("'" &amp; L49 &amp; "'!8:8"),INDIRECT("'" &amp; L49 &amp; "'!27:27"))</f>
        <v>CUMPLE</v>
      </c>
      <c r="D49" s="86" t="str" cm="1">
        <f t="array" aca="1" ref="D49" ca="1">_xlfn.XLOOKUP(A49,INDIRECT("'" &amp; L49 &amp; "'!8:8"),INDIRECT("'" &amp; L49 &amp; "'!29:29"))</f>
        <v>CUMPLE</v>
      </c>
      <c r="E49" s="86" t="str" cm="1">
        <f t="array" aca="1" ref="E49" ca="1">_xlfn.XLOOKUP(A49,INDIRECT("'" &amp; L49 &amp; "'!8:8"),INDIRECT("'" &amp; L49 &amp; "'!31:31"))</f>
        <v>CUMPLE</v>
      </c>
      <c r="F49" s="86" t="str" cm="1">
        <f t="array" aca="1" ref="F49" ca="1">_xlfn.XLOOKUP(A49,INDIRECT("'" &amp; L49 &amp; "'!8:8"),INDIRECT("'" &amp; L49 &amp; "'!33:33"))</f>
        <v>CUMPLE</v>
      </c>
      <c r="G49" s="86" t="str" cm="1">
        <f t="array" aca="1" ref="G49" ca="1">_xlfn.XLOOKUP(A49,INDIRECT("'" &amp; L49 &amp; "'!8:8"),INDIRECT("'" &amp; L49 &amp; "'!37:37"))</f>
        <v>CUMPLE</v>
      </c>
      <c r="H49" s="86" t="str" cm="1">
        <f t="array" aca="1" ref="H49" ca="1">_xlfn.XLOOKUP(A49,INDIRECT("'" &amp; L49 &amp; "'!8:8"),INDIRECT("'" &amp; L49 &amp; "'!39:39"))</f>
        <v>CUMPLE</v>
      </c>
      <c r="I49" s="86" t="str" cm="1">
        <f t="array" aca="1" ref="I49" ca="1">_xlfn.XLOOKUP(A49,INDIRECT("'" &amp; L49 &amp; "'!8:8"),INDIRECT("'" &amp; L49 &amp; "'!10:10"))</f>
        <v>CUMPLE</v>
      </c>
      <c r="J49" s="177" t="str" cm="1">
        <f t="array" aca="1" ref="J49" ca="1">_xlfn.XLOOKUP(A49,INDIRECT("'" &amp; L49 &amp; "'!8:8"),INDIRECT("'" &amp; L49 &amp; "'!41:41"))</f>
        <v>HABILITADO</v>
      </c>
      <c r="K49" s="181" t="s">
        <v>56</v>
      </c>
      <c r="L49" s="207" t="s">
        <v>85</v>
      </c>
    </row>
    <row r="50" spans="1:12" ht="73.5" customHeight="1" x14ac:dyDescent="0.25">
      <c r="A50" s="85">
        <f t="shared" si="0"/>
        <v>39</v>
      </c>
      <c r="B50" s="178" t="str" cm="1">
        <f t="array" aca="1" ref="B50" ca="1">_xlfn.XLOOKUP(A50,INDIRECT("'" &amp; L50 &amp; "'!8:8"),INDIRECT("'" &amp; L50 &amp; "'!7:7"))</f>
        <v>INCOPLAN IN S.A.S NIT: 901472564 5</v>
      </c>
      <c r="C50" s="86" t="str" cm="1">
        <f t="array" aca="1" ref="C50" ca="1">_xlfn.XLOOKUP(A50,INDIRECT("'" &amp; L50 &amp; "'!8:8"),INDIRECT("'" &amp; L50 &amp; "'!27:27"))</f>
        <v>CUMPLE</v>
      </c>
      <c r="D50" s="86" t="str" cm="1">
        <f t="array" aca="1" ref="D50" ca="1">_xlfn.XLOOKUP(A50,INDIRECT("'" &amp; L50 &amp; "'!8:8"),INDIRECT("'" &amp; L50 &amp; "'!29:29"))</f>
        <v>CUMPLE</v>
      </c>
      <c r="E50" s="86" t="str" cm="1">
        <f t="array" aca="1" ref="E50" ca="1">_xlfn.XLOOKUP(A50,INDIRECT("'" &amp; L50 &amp; "'!8:8"),INDIRECT("'" &amp; L50 &amp; "'!31:31"))</f>
        <v>CUMPLE</v>
      </c>
      <c r="F50" s="86" t="str" cm="1">
        <f t="array" aca="1" ref="F50" ca="1">_xlfn.XLOOKUP(A50,INDIRECT("'" &amp; L50 &amp; "'!8:8"),INDIRECT("'" &amp; L50 &amp; "'!33:33"))</f>
        <v>CUMPLE</v>
      </c>
      <c r="G50" s="86" t="str" cm="1">
        <f t="array" aca="1" ref="G50" ca="1">_xlfn.XLOOKUP(A50,INDIRECT("'" &amp; L50 &amp; "'!8:8"),INDIRECT("'" &amp; L50 &amp; "'!37:37"))</f>
        <v>CUMPLE</v>
      </c>
      <c r="H50" s="86" t="str" cm="1">
        <f t="array" aca="1" ref="H50" ca="1">_xlfn.XLOOKUP(A50,INDIRECT("'" &amp; L50 &amp; "'!8:8"),INDIRECT("'" &amp; L50 &amp; "'!39:39"))</f>
        <v>CUMPLE</v>
      </c>
      <c r="I50" s="86" t="str" cm="1">
        <f t="array" aca="1" ref="I50" ca="1">_xlfn.XLOOKUP(A50,INDIRECT("'" &amp; L50 &amp; "'!8:8"),INDIRECT("'" &amp; L50 &amp; "'!10:10"))</f>
        <v>CUMPLE</v>
      </c>
      <c r="J50" s="177" t="str" cm="1">
        <f t="array" aca="1" ref="J50" ca="1">_xlfn.XLOOKUP(A50,INDIRECT("'" &amp; L50 &amp; "'!8:8"),INDIRECT("'" &amp; L50 &amp; "'!41:41"))</f>
        <v>HABILITADO</v>
      </c>
      <c r="K50" s="181" t="s">
        <v>56</v>
      </c>
      <c r="L50" s="207" t="s">
        <v>86</v>
      </c>
    </row>
    <row r="51" spans="1:12" ht="73.5" customHeight="1" x14ac:dyDescent="0.25">
      <c r="A51" s="85">
        <f t="shared" si="0"/>
        <v>40</v>
      </c>
      <c r="B51" s="178" t="str" cm="1">
        <f t="array" aca="1" ref="B51" ca="1">_xlfn.XLOOKUP(A51,INDIRECT("'" &amp; L51 &amp; "'!8:8"),INDIRECT("'" &amp; L51 &amp; "'!7:7"))</f>
        <v>CONSORCIO VAZER USME</v>
      </c>
      <c r="C51" s="86" t="str" cm="1">
        <f t="array" aca="1" ref="C51" ca="1">_xlfn.XLOOKUP(A51,INDIRECT("'" &amp; L51 &amp; "'!8:8"),INDIRECT("'" &amp; L51 &amp; "'!27:27"))</f>
        <v>CUMPLE</v>
      </c>
      <c r="D51" s="86" t="str" cm="1">
        <f t="array" aca="1" ref="D51" ca="1">_xlfn.XLOOKUP(A51,INDIRECT("'" &amp; L51 &amp; "'!8:8"),INDIRECT("'" &amp; L51 &amp; "'!29:29"))</f>
        <v>CUMPLE</v>
      </c>
      <c r="E51" s="86" t="str" cm="1">
        <f t="array" aca="1" ref="E51" ca="1">_xlfn.XLOOKUP(A51,INDIRECT("'" &amp; L51 &amp; "'!8:8"),INDIRECT("'" &amp; L51 &amp; "'!31:31"))</f>
        <v>CUMPLE</v>
      </c>
      <c r="F51" s="86" t="str" cm="1">
        <f t="array" aca="1" ref="F51" ca="1">_xlfn.XLOOKUP(A51,INDIRECT("'" &amp; L51 &amp; "'!8:8"),INDIRECT("'" &amp; L51 &amp; "'!33:33"))</f>
        <v>CUMPLE</v>
      </c>
      <c r="G51" s="86" t="str" cm="1">
        <f t="array" aca="1" ref="G51" ca="1">_xlfn.XLOOKUP(A51,INDIRECT("'" &amp; L51 &amp; "'!8:8"),INDIRECT("'" &amp; L51 &amp; "'!37:37"))</f>
        <v>CUMPLE</v>
      </c>
      <c r="H51" s="86" t="str" cm="1">
        <f t="array" aca="1" ref="H51" ca="1">_xlfn.XLOOKUP(A51,INDIRECT("'" &amp; L51 &amp; "'!8:8"),INDIRECT("'" &amp; L51 &amp; "'!39:39"))</f>
        <v>CUMPLE</v>
      </c>
      <c r="I51" s="86" t="str" cm="1">
        <f t="array" aca="1" ref="I51" ca="1">_xlfn.XLOOKUP(A51,INDIRECT("'" &amp; L51 &amp; "'!8:8"),INDIRECT("'" &amp; L51 &amp; "'!10:10"))</f>
        <v>CUMPLE</v>
      </c>
      <c r="J51" s="177" t="str" cm="1">
        <f t="array" aca="1" ref="J51" ca="1">_xlfn.XLOOKUP(A51,INDIRECT("'" &amp; L51 &amp; "'!8:8"),INDIRECT("'" &amp; L51 &amp; "'!41:41"))</f>
        <v>HABILITADO</v>
      </c>
      <c r="K51" s="181" t="s">
        <v>56</v>
      </c>
      <c r="L51" s="207" t="s">
        <v>86</v>
      </c>
    </row>
    <row r="52" spans="1:12" ht="73.5" customHeight="1" x14ac:dyDescent="0.25">
      <c r="A52" s="85">
        <f t="shared" si="0"/>
        <v>41</v>
      </c>
      <c r="B52" s="178" t="str" cm="1">
        <f t="array" aca="1" ref="B52" ca="1">_xlfn.XLOOKUP(A52,INDIRECT("'" &amp; L52 &amp; "'!8:8"),INDIRECT("'" &amp; L52 &amp; "'!7:7"))</f>
        <v>GERMAN RAMIREZ BARBOSA NIT: 19342296 1</v>
      </c>
      <c r="C52" s="86" t="str" cm="1">
        <f t="array" aca="1" ref="C52" ca="1">_xlfn.XLOOKUP(A52,INDIRECT("'" &amp; L52 &amp; "'!8:8"),INDIRECT("'" &amp; L52 &amp; "'!27:27"))</f>
        <v>CUMPLE</v>
      </c>
      <c r="D52" s="86" t="str" cm="1">
        <f t="array" aca="1" ref="D52" ca="1">_xlfn.XLOOKUP(A52,INDIRECT("'" &amp; L52 &amp; "'!8:8"),INDIRECT("'" &amp; L52 &amp; "'!29:29"))</f>
        <v>CUMPLE</v>
      </c>
      <c r="E52" s="86" t="str" cm="1">
        <f t="array" aca="1" ref="E52" ca="1">_xlfn.XLOOKUP(A52,INDIRECT("'" &amp; L52 &amp; "'!8:8"),INDIRECT("'" &amp; L52 &amp; "'!31:31"))</f>
        <v>CUMPLE</v>
      </c>
      <c r="F52" s="86" t="str" cm="1">
        <f t="array" aca="1" ref="F52" ca="1">_xlfn.XLOOKUP(A52,INDIRECT("'" &amp; L52 &amp; "'!8:8"),INDIRECT("'" &amp; L52 &amp; "'!33:33"))</f>
        <v>CUMPLE</v>
      </c>
      <c r="G52" s="86" t="str" cm="1">
        <f t="array" aca="1" ref="G52" ca="1">_xlfn.XLOOKUP(A52,INDIRECT("'" &amp; L52 &amp; "'!8:8"),INDIRECT("'" &amp; L52 &amp; "'!37:37"))</f>
        <v>CUMPLE</v>
      </c>
      <c r="H52" s="86" t="str" cm="1">
        <f t="array" aca="1" ref="H52" ca="1">_xlfn.XLOOKUP(A52,INDIRECT("'" &amp; L52 &amp; "'!8:8"),INDIRECT("'" &amp; L52 &amp; "'!39:39"))</f>
        <v>CUMPLE</v>
      </c>
      <c r="I52" s="86" t="str" cm="1">
        <f t="array" aca="1" ref="I52" ca="1">_xlfn.XLOOKUP(A52,INDIRECT("'" &amp; L52 &amp; "'!8:8"),INDIRECT("'" &amp; L52 &amp; "'!10:10"))</f>
        <v>CUMPLE</v>
      </c>
      <c r="J52" s="177" t="str" cm="1">
        <f t="array" aca="1" ref="J52" ca="1">_xlfn.XLOOKUP(A52,INDIRECT("'" &amp; L52 &amp; "'!8:8"),INDIRECT("'" &amp; L52 &amp; "'!41:41"))</f>
        <v>HABILITADO</v>
      </c>
      <c r="K52" s="181" t="s">
        <v>56</v>
      </c>
      <c r="L52" s="207" t="s">
        <v>86</v>
      </c>
    </row>
    <row r="53" spans="1:12" ht="73.5" customHeight="1" x14ac:dyDescent="0.25">
      <c r="A53" s="85">
        <f t="shared" si="0"/>
        <v>42</v>
      </c>
      <c r="B53" s="178" t="str" cm="1">
        <f t="array" aca="1" ref="B53" ca="1">_xlfn.XLOOKUP(A53,INDIRECT("'" &amp; L53 &amp; "'!8:8"),INDIRECT("'" &amp; L53 &amp; "'!7:7"))</f>
        <v>LEMOINE RIVERA INGENIEROS ASOCIADOS SAS NIT:800175083-4</v>
      </c>
      <c r="C53" s="86" t="str" cm="1">
        <f t="array" aca="1" ref="C53" ca="1">_xlfn.XLOOKUP(A53,INDIRECT("'" &amp; L53 &amp; "'!8:8"),INDIRECT("'" &amp; L53 &amp; "'!27:27"))</f>
        <v>CUMPLE</v>
      </c>
      <c r="D53" s="86" t="str" cm="1">
        <f t="array" aca="1" ref="D53" ca="1">_xlfn.XLOOKUP(A53,INDIRECT("'" &amp; L53 &amp; "'!8:8"),INDIRECT("'" &amp; L53 &amp; "'!29:29"))</f>
        <v>CUMPLE</v>
      </c>
      <c r="E53" s="86" t="str" cm="1">
        <f t="array" aca="1" ref="E53" ca="1">_xlfn.XLOOKUP(A53,INDIRECT("'" &amp; L53 &amp; "'!8:8"),INDIRECT("'" &amp; L53 &amp; "'!31:31"))</f>
        <v>CUMPLE</v>
      </c>
      <c r="F53" s="86" t="str" cm="1">
        <f t="array" aca="1" ref="F53" ca="1">_xlfn.XLOOKUP(A53,INDIRECT("'" &amp; L53 &amp; "'!8:8"),INDIRECT("'" &amp; L53 &amp; "'!33:33"))</f>
        <v>CUMPLE</v>
      </c>
      <c r="G53" s="86" t="str" cm="1">
        <f t="array" aca="1" ref="G53" ca="1">_xlfn.XLOOKUP(A53,INDIRECT("'" &amp; L53 &amp; "'!8:8"),INDIRECT("'" &amp; L53 &amp; "'!37:37"))</f>
        <v>CUMPLE</v>
      </c>
      <c r="H53" s="86" t="str" cm="1">
        <f t="array" aca="1" ref="H53" ca="1">_xlfn.XLOOKUP(A53,INDIRECT("'" &amp; L53 &amp; "'!8:8"),INDIRECT("'" &amp; L53 &amp; "'!39:39"))</f>
        <v>CUMPLE</v>
      </c>
      <c r="I53" s="86" t="str" cm="1">
        <f t="array" aca="1" ref="I53" ca="1">_xlfn.XLOOKUP(A53,INDIRECT("'" &amp; L53 &amp; "'!8:8"),INDIRECT("'" &amp; L53 &amp; "'!10:10"))</f>
        <v>CUMPLE</v>
      </c>
      <c r="J53" s="177" t="str" cm="1">
        <f t="array" aca="1" ref="J53" ca="1">_xlfn.XLOOKUP(A53,INDIRECT("'" &amp; L53 &amp; "'!8:8"),INDIRECT("'" &amp; L53 &amp; "'!41:41"))</f>
        <v>HABILITADO</v>
      </c>
      <c r="K53" s="181" t="s">
        <v>56</v>
      </c>
      <c r="L53" s="207" t="s">
        <v>86</v>
      </c>
    </row>
    <row r="54" spans="1:12" ht="73.5" customHeight="1" x14ac:dyDescent="0.25">
      <c r="A54" s="85">
        <f t="shared" si="0"/>
        <v>43</v>
      </c>
      <c r="B54" s="178" t="str" cm="1">
        <f t="array" aca="1" ref="B54" ca="1">_xlfn.XLOOKUP(A54,INDIRECT("'" &amp; L54 &amp; "'!8:8"),INDIRECT("'" &amp; L54 &amp; "'!7:7"))</f>
        <v>PROYECTOS DESARROLLO E INFRAESTRUCTURA COLOMBIA SAS NIT: 900578931 8</v>
      </c>
      <c r="C54" s="86" t="str" cm="1">
        <f t="array" aca="1" ref="C54" ca="1">_xlfn.XLOOKUP(A54,INDIRECT("'" &amp; L54 &amp; "'!8:8"),INDIRECT("'" &amp; L54 &amp; "'!27:27"))</f>
        <v>CUMPLE</v>
      </c>
      <c r="D54" s="86" t="str" cm="1">
        <f t="array" aca="1" ref="D54" ca="1">_xlfn.XLOOKUP(A54,INDIRECT("'" &amp; L54 &amp; "'!8:8"),INDIRECT("'" &amp; L54 &amp; "'!29:29"))</f>
        <v>CUMPLE</v>
      </c>
      <c r="E54" s="86" t="str" cm="1">
        <f t="array" aca="1" ref="E54" ca="1">_xlfn.XLOOKUP(A54,INDIRECT("'" &amp; L54 &amp; "'!8:8"),INDIRECT("'" &amp; L54 &amp; "'!31:31"))</f>
        <v>CUMPLE</v>
      </c>
      <c r="F54" s="86" t="str" cm="1">
        <f t="array" aca="1" ref="F54" ca="1">_xlfn.XLOOKUP(A54,INDIRECT("'" &amp; L54 &amp; "'!8:8"),INDIRECT("'" &amp; L54 &amp; "'!33:33"))</f>
        <v>CUMPLE</v>
      </c>
      <c r="G54" s="86" t="str" cm="1">
        <f t="array" aca="1" ref="G54" ca="1">_xlfn.XLOOKUP(A54,INDIRECT("'" &amp; L54 &amp; "'!8:8"),INDIRECT("'" &amp; L54 &amp; "'!37:37"))</f>
        <v>CUMPLE</v>
      </c>
      <c r="H54" s="86" t="str" cm="1">
        <f t="array" aca="1" ref="H54" ca="1">_xlfn.XLOOKUP(A54,INDIRECT("'" &amp; L54 &amp; "'!8:8"),INDIRECT("'" &amp; L54 &amp; "'!39:39"))</f>
        <v>CUMPLE</v>
      </c>
      <c r="I54" s="86" t="str" cm="1">
        <f t="array" aca="1" ref="I54" ca="1">_xlfn.XLOOKUP(A54,INDIRECT("'" &amp; L54 &amp; "'!8:8"),INDIRECT("'" &amp; L54 &amp; "'!10:10"))</f>
        <v>CUMPLE</v>
      </c>
      <c r="J54" s="177" t="str" cm="1">
        <f t="array" aca="1" ref="J54" ca="1">_xlfn.XLOOKUP(A54,INDIRECT("'" &amp; L54 &amp; "'!8:8"),INDIRECT("'" &amp; L54 &amp; "'!41:41"))</f>
        <v>HABILITADO</v>
      </c>
      <c r="K54" s="181" t="s">
        <v>56</v>
      </c>
      <c r="L54" s="207" t="s">
        <v>86</v>
      </c>
    </row>
    <row r="55" spans="1:12" ht="73.5" customHeight="1" x14ac:dyDescent="0.25">
      <c r="A55" s="85">
        <f t="shared" si="0"/>
        <v>44</v>
      </c>
      <c r="B55" s="178" t="str" cm="1">
        <f t="array" aca="1" ref="B55" ca="1">_xlfn.XLOOKUP(A55,INDIRECT("'" &amp; L55 &amp; "'!8:8"),INDIRECT("'" &amp; L55 &amp; "'!7:7"))</f>
        <v>CONSORCIO PERSEVERAR VIAL USME</v>
      </c>
      <c r="C55" s="86" t="str" cm="1">
        <f t="array" aca="1" ref="C55" ca="1">_xlfn.XLOOKUP(A55,INDIRECT("'" &amp; L55 &amp; "'!8:8"),INDIRECT("'" &amp; L55 &amp; "'!27:27"))</f>
        <v>CUMPLE</v>
      </c>
      <c r="D55" s="86" t="str" cm="1">
        <f t="array" aca="1" ref="D55" ca="1">_xlfn.XLOOKUP(A55,INDIRECT("'" &amp; L55 &amp; "'!8:8"),INDIRECT("'" &amp; L55 &amp; "'!29:29"))</f>
        <v>CUMPLE</v>
      </c>
      <c r="E55" s="86" t="str" cm="1">
        <f t="array" aca="1" ref="E55" ca="1">_xlfn.XLOOKUP(A55,INDIRECT("'" &amp; L55 &amp; "'!8:8"),INDIRECT("'" &amp; L55 &amp; "'!31:31"))</f>
        <v>CUMPLE</v>
      </c>
      <c r="F55" s="86" t="str" cm="1">
        <f t="array" aca="1" ref="F55" ca="1">_xlfn.XLOOKUP(A55,INDIRECT("'" &amp; L55 &amp; "'!8:8"),INDIRECT("'" &amp; L55 &amp; "'!33:33"))</f>
        <v>CUMPLE</v>
      </c>
      <c r="G55" s="86" t="str" cm="1">
        <f t="array" aca="1" ref="G55" ca="1">_xlfn.XLOOKUP(A55,INDIRECT("'" &amp; L55 &amp; "'!8:8"),INDIRECT("'" &amp; L55 &amp; "'!37:37"))</f>
        <v>CUMPLE</v>
      </c>
      <c r="H55" s="86" t="str" cm="1">
        <f t="array" aca="1" ref="H55" ca="1">_xlfn.XLOOKUP(A55,INDIRECT("'" &amp; L55 &amp; "'!8:8"),INDIRECT("'" &amp; L55 &amp; "'!39:39"))</f>
        <v>CUMPLE</v>
      </c>
      <c r="I55" s="86" t="str" cm="1">
        <f t="array" aca="1" ref="I55" ca="1">_xlfn.XLOOKUP(A55,INDIRECT("'" &amp; L55 &amp; "'!8:8"),INDIRECT("'" &amp; L55 &amp; "'!10:10"))</f>
        <v>CUMPLE</v>
      </c>
      <c r="J55" s="177" t="str" cm="1">
        <f t="array" aca="1" ref="J55" ca="1">_xlfn.XLOOKUP(A55,INDIRECT("'" &amp; L55 &amp; "'!8:8"),INDIRECT("'" &amp; L55 &amp; "'!41:41"))</f>
        <v>HABILITADO</v>
      </c>
      <c r="K55" s="181" t="s">
        <v>56</v>
      </c>
      <c r="L55" s="207" t="s">
        <v>86</v>
      </c>
    </row>
    <row r="56" spans="1:12" ht="73.5" customHeight="1" x14ac:dyDescent="0.25">
      <c r="A56" s="85">
        <f t="shared" si="0"/>
        <v>45</v>
      </c>
      <c r="B56" s="178" t="str" cm="1">
        <f t="array" aca="1" ref="B56" ca="1">_xlfn.XLOOKUP(A56,INDIRECT("'" &amp; L56 &amp; "'!8:8"),INDIRECT("'" &amp; L56 &amp; "'!7:7"))</f>
        <v>LITORAL CONSULTING S.A.S. NIT : 901499397 - 9</v>
      </c>
      <c r="C56" s="86" t="str" cm="1">
        <f t="array" aca="1" ref="C56" ca="1">_xlfn.XLOOKUP(A56,INDIRECT("'" &amp; L56 &amp; "'!8:8"),INDIRECT("'" &amp; L56 &amp; "'!27:27"))</f>
        <v>CUMPLE</v>
      </c>
      <c r="D56" s="86" t="str" cm="1">
        <f t="array" aca="1" ref="D56" ca="1">_xlfn.XLOOKUP(A56,INDIRECT("'" &amp; L56 &amp; "'!8:8"),INDIRECT("'" &amp; L56 &amp; "'!29:29"))</f>
        <v>CUMPLE</v>
      </c>
      <c r="E56" s="86" t="str" cm="1">
        <f t="array" aca="1" ref="E56" ca="1">_xlfn.XLOOKUP(A56,INDIRECT("'" &amp; L56 &amp; "'!8:8"),INDIRECT("'" &amp; L56 &amp; "'!31:31"))</f>
        <v>CUMPLE</v>
      </c>
      <c r="F56" s="86" t="str" cm="1">
        <f t="array" aca="1" ref="F56" ca="1">_xlfn.XLOOKUP(A56,INDIRECT("'" &amp; L56 &amp; "'!8:8"),INDIRECT("'" &amp; L56 &amp; "'!33:33"))</f>
        <v>CUMPLE</v>
      </c>
      <c r="G56" s="86" t="str" cm="1">
        <f t="array" aca="1" ref="G56" ca="1">_xlfn.XLOOKUP(A56,INDIRECT("'" &amp; L56 &amp; "'!8:8"),INDIRECT("'" &amp; L56 &amp; "'!37:37"))</f>
        <v>CUMPLE</v>
      </c>
      <c r="H56" s="86" t="str" cm="1">
        <f t="array" aca="1" ref="H56" ca="1">_xlfn.XLOOKUP(A56,INDIRECT("'" &amp; L56 &amp; "'!8:8"),INDIRECT("'" &amp; L56 &amp; "'!39:39"))</f>
        <v>CUMPLE</v>
      </c>
      <c r="I56" s="86" t="str" cm="1">
        <f t="array" aca="1" ref="I56" ca="1">_xlfn.XLOOKUP(A56,INDIRECT("'" &amp; L56 &amp; "'!8:8"),INDIRECT("'" &amp; L56 &amp; "'!10:10"))</f>
        <v>CUMPLE</v>
      </c>
      <c r="J56" s="177" t="str" cm="1">
        <f t="array" aca="1" ref="J56" ca="1">_xlfn.XLOOKUP(A56,INDIRECT("'" &amp; L56 &amp; "'!8:8"),INDIRECT("'" &amp; L56 &amp; "'!41:41"))</f>
        <v>HABILITADO</v>
      </c>
      <c r="K56" s="181" t="s">
        <v>56</v>
      </c>
      <c r="L56" s="207" t="s">
        <v>86</v>
      </c>
    </row>
    <row r="57" spans="1:12" ht="97.5" customHeight="1" x14ac:dyDescent="0.25">
      <c r="A57" s="85">
        <f t="shared" si="0"/>
        <v>46</v>
      </c>
      <c r="B57" s="178" t="str" cm="1">
        <f t="array" aca="1" ref="B57" ca="1">_xlfn.XLOOKUP(A57,INDIRECT("'" &amp; L57 &amp; "'!8:8"),INDIRECT("'" &amp; L57 &amp; "'!7:7"))</f>
        <v>TECNOLOGIA DE NUEVAS MEDICIONES COLOMBIA S A S NIT: 830018821 0</v>
      </c>
      <c r="C57" s="86" t="str" cm="1">
        <f t="array" aca="1" ref="C57" ca="1">_xlfn.XLOOKUP(A57,INDIRECT("'" &amp; L57 &amp; "'!8:8"),INDIRECT("'" &amp; L57 &amp; "'!27:27"))</f>
        <v>CUMPLE</v>
      </c>
      <c r="D57" s="86" t="str" cm="1">
        <f t="array" aca="1" ref="D57" ca="1">_xlfn.XLOOKUP(A57,INDIRECT("'" &amp; L57 &amp; "'!8:8"),INDIRECT("'" &amp; L57 &amp; "'!29:29"))</f>
        <v>CUMPLE</v>
      </c>
      <c r="E57" s="86" t="str" cm="1">
        <f t="array" aca="1" ref="E57" ca="1">_xlfn.XLOOKUP(A57,INDIRECT("'" &amp; L57 &amp; "'!8:8"),INDIRECT("'" &amp; L57 &amp; "'!31:31"))</f>
        <v>CUMPLE</v>
      </c>
      <c r="F57" s="86" t="str" cm="1">
        <f t="array" aca="1" ref="F57" ca="1">_xlfn.XLOOKUP(A57,INDIRECT("'" &amp; L57 &amp; "'!8:8"),INDIRECT("'" &amp; L57 &amp; "'!33:33"))</f>
        <v>CUMPLE</v>
      </c>
      <c r="G57" s="86" t="str" cm="1">
        <f t="array" aca="1" ref="G57" ca="1">_xlfn.XLOOKUP(A57,INDIRECT("'" &amp; L57 &amp; "'!8:8"),INDIRECT("'" &amp; L57 &amp; "'!37:37"))</f>
        <v>CUMPLE</v>
      </c>
      <c r="H57" s="86" t="str" cm="1">
        <f t="array" aca="1" ref="H57" ca="1">_xlfn.XLOOKUP(A57,INDIRECT("'" &amp; L57 &amp; "'!8:8"),INDIRECT("'" &amp; L57 &amp; "'!39:39"))</f>
        <v>CUMPLE</v>
      </c>
      <c r="I57" s="86" t="str" cm="1">
        <f t="array" aca="1" ref="I57" ca="1">_xlfn.XLOOKUP(A57,INDIRECT("'" &amp; L57 &amp; "'!8:8"),INDIRECT("'" &amp; L57 &amp; "'!10:10"))</f>
        <v>CUMPLE</v>
      </c>
      <c r="J57" s="177" t="str" cm="1">
        <f t="array" aca="1" ref="J57" ca="1">_xlfn.XLOOKUP(A57,INDIRECT("'" &amp; L57 &amp; "'!8:8"),INDIRECT("'" &amp; L57 &amp; "'!41:41"))</f>
        <v>HABILITADO</v>
      </c>
      <c r="K57" s="181" t="s">
        <v>56</v>
      </c>
      <c r="L57" s="207" t="s">
        <v>86</v>
      </c>
    </row>
    <row r="58" spans="1:12" x14ac:dyDescent="0.25">
      <c r="A58" s="138"/>
      <c r="B58" s="139"/>
      <c r="C58" s="139"/>
      <c r="D58" s="139"/>
      <c r="E58" s="139"/>
      <c r="F58" s="139"/>
      <c r="G58" s="139"/>
      <c r="H58" s="139"/>
      <c r="I58" s="139"/>
      <c r="J58" s="144" t="str">
        <f ca="1">"de las ("&amp;COUNTA(J12:J57)&amp;") empresas evaluadas, ("&amp;COUNTIF(J12:J57,"HABILITADO")&amp;") empresas están habilitadas."</f>
        <v>de las (46) empresas evaluadas, (45) empresas están habilitadas.</v>
      </c>
      <c r="K58" s="140"/>
    </row>
    <row r="59" spans="1:12" x14ac:dyDescent="0.25">
      <c r="A59" s="141" t="s">
        <v>57</v>
      </c>
      <c r="K59" s="142"/>
    </row>
    <row r="60" spans="1:12" x14ac:dyDescent="0.25">
      <c r="A60" s="141"/>
      <c r="K60" s="142"/>
    </row>
    <row r="61" spans="1:12" x14ac:dyDescent="0.25">
      <c r="A61" s="141"/>
      <c r="B61" s="143">
        <v>46020</v>
      </c>
      <c r="K61" s="142"/>
    </row>
    <row r="62" spans="1:12" ht="15.75" x14ac:dyDescent="0.25">
      <c r="A62" s="141"/>
      <c r="D62" s="34"/>
      <c r="E62" s="34"/>
      <c r="F62" s="34"/>
      <c r="G62" s="34"/>
      <c r="H62" s="34"/>
      <c r="I62" s="34"/>
      <c r="J62" s="34"/>
      <c r="K62" s="185"/>
    </row>
    <row r="63" spans="1:12" ht="15.75" x14ac:dyDescent="0.25">
      <c r="A63" s="141"/>
      <c r="D63" s="34"/>
      <c r="E63" s="34"/>
      <c r="F63" s="34"/>
      <c r="G63" s="34"/>
      <c r="H63" s="34"/>
      <c r="I63" s="34"/>
      <c r="J63" s="34"/>
      <c r="K63" s="185"/>
    </row>
    <row r="64" spans="1:12" x14ac:dyDescent="0.25">
      <c r="A64" s="141"/>
      <c r="D64" s="3"/>
      <c r="E64" s="3"/>
      <c r="F64" s="3"/>
      <c r="G64" s="3"/>
      <c r="H64" s="3"/>
      <c r="I64" s="3"/>
      <c r="J64" s="3"/>
      <c r="K64" s="186"/>
    </row>
    <row r="65" spans="1:11" ht="15.75" x14ac:dyDescent="0.25">
      <c r="A65" s="141"/>
      <c r="D65" s="64"/>
      <c r="E65" s="64"/>
      <c r="F65" s="64"/>
      <c r="G65" s="64"/>
      <c r="H65" s="64"/>
      <c r="I65" s="64"/>
      <c r="J65" s="64"/>
      <c r="K65" s="187"/>
    </row>
    <row r="66" spans="1:11" ht="15.75" x14ac:dyDescent="0.25">
      <c r="A66" s="141"/>
      <c r="D66" s="65"/>
      <c r="E66" s="65"/>
      <c r="F66" s="65"/>
      <c r="G66" s="65"/>
      <c r="H66" s="65"/>
      <c r="I66" s="65"/>
      <c r="J66" s="65"/>
      <c r="K66" s="188"/>
    </row>
    <row r="67" spans="1:11" ht="15.75" x14ac:dyDescent="0.25">
      <c r="A67" s="141"/>
      <c r="B67" s="120"/>
      <c r="D67" s="120" t="s">
        <v>28</v>
      </c>
      <c r="E67" s="3"/>
      <c r="F67" s="120"/>
      <c r="G67" s="120"/>
      <c r="H67" s="120"/>
      <c r="I67" s="3"/>
      <c r="J67" s="120"/>
      <c r="K67" s="189"/>
    </row>
    <row r="68" spans="1:11" ht="15.75" x14ac:dyDescent="0.25">
      <c r="A68" s="145"/>
      <c r="B68" s="65"/>
      <c r="C68" s="146"/>
      <c r="D68" s="65" t="s">
        <v>66</v>
      </c>
      <c r="E68" s="1"/>
      <c r="F68" s="65"/>
      <c r="G68" s="65"/>
      <c r="H68" s="65"/>
      <c r="I68" s="1"/>
      <c r="J68" s="65"/>
      <c r="K68" s="188"/>
    </row>
    <row r="69" spans="1:11" ht="15.75" x14ac:dyDescent="0.25">
      <c r="A69" s="145"/>
      <c r="B69" s="65"/>
      <c r="C69" s="146"/>
      <c r="D69" s="65" t="s">
        <v>30</v>
      </c>
      <c r="E69" s="1"/>
      <c r="F69" s="65"/>
      <c r="G69" s="65"/>
      <c r="H69" s="65"/>
      <c r="I69" s="1"/>
      <c r="J69" s="65"/>
      <c r="K69" s="188"/>
    </row>
    <row r="70" spans="1:11" x14ac:dyDescent="0.25">
      <c r="A70" s="147"/>
      <c r="B70" s="148"/>
      <c r="C70" s="148"/>
      <c r="D70" s="148"/>
      <c r="E70" s="148"/>
      <c r="F70" s="148"/>
      <c r="G70" s="148"/>
      <c r="H70" s="148"/>
      <c r="I70" s="148"/>
      <c r="J70" s="148"/>
      <c r="K70" s="149"/>
    </row>
    <row r="74" spans="1:11" x14ac:dyDescent="0.25">
      <c r="K74" s="81" t="s">
        <v>65</v>
      </c>
    </row>
    <row r="79" spans="1:11" x14ac:dyDescent="0.25">
      <c r="K79" s="180"/>
    </row>
    <row r="80" spans="1:11" x14ac:dyDescent="0.25">
      <c r="K80" s="179"/>
    </row>
    <row r="81" spans="11:11" x14ac:dyDescent="0.25">
      <c r="K81" s="179"/>
    </row>
  </sheetData>
  <mergeCells count="4">
    <mergeCell ref="B10:H10"/>
    <mergeCell ref="J10:J11"/>
    <mergeCell ref="K10:K11"/>
    <mergeCell ref="L10:L11"/>
  </mergeCells>
  <conditionalFormatting sqref="B12:B57">
    <cfRule type="duplicateValues" dxfId="3" priority="94"/>
  </conditionalFormatting>
  <conditionalFormatting sqref="C12:I57">
    <cfRule type="expression" dxfId="2" priority="3">
      <formula>C12="NO CUMPLE"</formula>
    </cfRule>
  </conditionalFormatting>
  <conditionalFormatting sqref="J12:J57">
    <cfRule type="expression" dxfId="1" priority="1">
      <formula>J12="DEBE SUBSANAR"</formula>
    </cfRule>
    <cfRule type="expression" dxfId="0" priority="2">
      <formula>J12="NO HABILITADO"</formula>
    </cfRule>
  </conditionalFormatting>
  <pageMargins left="0.7" right="0.7" top="0.75" bottom="0.75" header="0.3" footer="0.3"/>
  <pageSetup scale="34" orientation="portrait" r:id="rId1"/>
  <colBreaks count="1" manualBreakCount="1">
    <brk id="11"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36985065-0bc4-479e-ab2b-6381272006b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90EB4104526A864C946D0BAA81374C40" ma:contentTypeVersion="16" ma:contentTypeDescription="Crear nuevo documento." ma:contentTypeScope="" ma:versionID="10f27a8221d134307960145ba78f9082">
  <xsd:schema xmlns:xsd="http://www.w3.org/2001/XMLSchema" xmlns:xs="http://www.w3.org/2001/XMLSchema" xmlns:p="http://schemas.microsoft.com/office/2006/metadata/properties" xmlns:ns3="36985065-0bc4-479e-ab2b-6381272006b9" xmlns:ns4="3290c76a-daa5-4924-b66c-4e9f4f72189d" targetNamespace="http://schemas.microsoft.com/office/2006/metadata/properties" ma:root="true" ma:fieldsID="eb45ad2f144208f29ae575d4cf4802f9" ns3:_="" ns4:_="">
    <xsd:import namespace="36985065-0bc4-479e-ab2b-6381272006b9"/>
    <xsd:import namespace="3290c76a-daa5-4924-b66c-4e9f4f72189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OCR" minOccurs="0"/>
                <xsd:element ref="ns3:_activity" minOccurs="0"/>
                <xsd:element ref="ns3:MediaServiceObjectDetectorVersions" minOccurs="0"/>
                <xsd:element ref="ns3:MediaServiceDateTaken" minOccurs="0"/>
                <xsd:element ref="ns3:MediaServiceLocation" minOccurs="0"/>
                <xsd:element ref="ns3:MediaServiceSystemTags" minOccurs="0"/>
                <xsd:element ref="ns3:MediaLengthInSecond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6985065-0bc4-479e-ab2b-6381272006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_activity" ma:index="17" nillable="true" ma:displayName="_activity" ma:hidden="true" ma:internalName="_activity">
      <xsd:simpleType>
        <xsd:restriction base="dms:Note"/>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element name="MediaLengthInSeconds" ma:index="22" nillable="true" ma:displayName="MediaLengthInSeconds" ma:hidden="true" ma:internalName="MediaLengthInSeconds" ma:readOnly="true">
      <xsd:simpleType>
        <xsd:restriction base="dms:Unknown"/>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290c76a-daa5-4924-b66c-4e9f4f72189d"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SharingHintHash" ma:index="15"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730A1E2-9171-48CF-A208-2C83E8E94235}">
  <ds:schemaRefs>
    <ds:schemaRef ds:uri="http://schemas.microsoft.com/sharepoint/v3/contenttype/forms"/>
  </ds:schemaRefs>
</ds:datastoreItem>
</file>

<file path=customXml/itemProps2.xml><?xml version="1.0" encoding="utf-8"?>
<ds:datastoreItem xmlns:ds="http://schemas.openxmlformats.org/officeDocument/2006/customXml" ds:itemID="{453C6EE6-E5B2-4CE8-B523-4B2ED91D23E4}">
  <ds:schemaRefs>
    <ds:schemaRef ds:uri="http://schemas.microsoft.com/office/2006/metadata/properties"/>
    <ds:schemaRef ds:uri="http://schemas.microsoft.com/office/infopath/2007/PartnerControls"/>
    <ds:schemaRef ds:uri="36985065-0bc4-479e-ab2b-6381272006b9"/>
  </ds:schemaRefs>
</ds:datastoreItem>
</file>

<file path=customXml/itemProps3.xml><?xml version="1.0" encoding="utf-8"?>
<ds:datastoreItem xmlns:ds="http://schemas.openxmlformats.org/officeDocument/2006/customXml" ds:itemID="{3AD97960-83C5-4E81-AD3E-9EC128892EE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6985065-0bc4-479e-ab2b-6381272006b9"/>
    <ds:schemaRef ds:uri="3290c76a-daa5-4924-b66c-4e9f4f72189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1. Oferentes 1 a 8</vt:lpstr>
      <vt:lpstr>2. Oferentes 9 a 13</vt:lpstr>
      <vt:lpstr>3. Oferentes 14 a 19</vt:lpstr>
      <vt:lpstr>4. Oferentes 20 a 27</vt:lpstr>
      <vt:lpstr>5. Oferentes 28 a 33</vt:lpstr>
      <vt:lpstr>6. Oferentes 34 a 38</vt:lpstr>
      <vt:lpstr>7. Oferentes 39 a 46</vt:lpstr>
      <vt:lpstr>Consolidado 1 a 9</vt:lpstr>
      <vt:lpstr>'1. Oferentes 1 a 8'!Área_de_impresión</vt:lpstr>
      <vt:lpstr>'2. Oferentes 9 a 13'!Área_de_impresión</vt:lpstr>
      <vt:lpstr>'3. Oferentes 14 a 19'!Área_de_impresión</vt:lpstr>
      <vt:lpstr>'4. Oferentes 20 a 27'!Área_de_impresión</vt:lpstr>
      <vt:lpstr>'5. Oferentes 28 a 33'!Área_de_impresión</vt:lpstr>
      <vt:lpstr>'6. Oferentes 34 a 38'!Área_de_impresión</vt:lpstr>
      <vt:lpstr>'7. Oferentes 39 a 46'!Área_de_impresión</vt:lpstr>
      <vt:lpstr>'Consolidado 1 a 9'!Área_de_impresión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Edison Guiovanni Clavijo Martinez</dc:creator>
  <cp:keywords/>
  <dc:description/>
  <cp:lastModifiedBy>Miguel Angel Granados Gutierrez</cp:lastModifiedBy>
  <cp:revision/>
  <dcterms:created xsi:type="dcterms:W3CDTF">2018-04-20T15:23:46Z</dcterms:created>
  <dcterms:modified xsi:type="dcterms:W3CDTF">2025-12-30T16:10:32Z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0x01010090EB4104526A864C946D0BAA81374C40</vt:lpwstr>
  </property>
</Properties>
</file>