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e11aad3bio10aa\d\2. VIGILANCIA\CONTRATO N°4785-2024 DINAPOWER LTDA\SECOP II\CONTROL INTERNO MENSUAL\19. NOVIEMBRE 2025\"/>
    </mc:Choice>
  </mc:AlternateContent>
  <bookViews>
    <workbookView xWindow="0" yWindow="0" windowWidth="20490" windowHeight="6360" firstSheet="1" activeTab="1"/>
  </bookViews>
  <sheets>
    <sheet name="Hoja2" sheetId="9" state="hidden" r:id="rId1"/>
    <sheet name="DISPOSITIVO OCTUBRE " sheetId="18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1" hidden="1">'DISPOSITIVO OCTUBRE '!$B$7:$P$150</definedName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Print_Area" localSheetId="1">'DISPOSITIVO OCTUBRE '!$A$1:$P$162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Titles" localSheetId="1">'DISPOSITIVO OCTUBRE '!$3:$7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</definedNames>
  <calcPr calcId="162913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7" i="18" l="1"/>
  <c r="R31" i="18"/>
  <c r="R90" i="18" l="1"/>
  <c r="R84" i="18"/>
  <c r="R30" i="18" l="1"/>
  <c r="R93" i="18"/>
  <c r="R94" i="18"/>
  <c r="R95" i="18"/>
  <c r="R96" i="18"/>
  <c r="R97" i="18"/>
  <c r="R98" i="18"/>
  <c r="R99" i="18"/>
  <c r="R100" i="18"/>
  <c r="R101" i="18"/>
  <c r="R102" i="18"/>
  <c r="R103" i="18"/>
  <c r="R104" i="18"/>
  <c r="R105" i="18"/>
  <c r="R106" i="18"/>
  <c r="R107" i="18"/>
  <c r="R92" i="18"/>
  <c r="R89" i="18"/>
  <c r="R122" i="18" l="1"/>
  <c r="J145" i="18" l="1"/>
  <c r="L145" i="18" s="1"/>
  <c r="J144" i="18"/>
  <c r="L144" i="18" s="1"/>
  <c r="M144" i="18" s="1"/>
  <c r="M145" i="18" l="1"/>
  <c r="N144" i="18"/>
  <c r="O144" i="18" s="1"/>
  <c r="P144" i="18" s="1"/>
  <c r="S144" i="18" s="1"/>
  <c r="J143" i="18"/>
  <c r="N145" i="18" l="1"/>
  <c r="O145" i="18" s="1"/>
  <c r="P145" i="18" s="1"/>
  <c r="S145" i="18" s="1"/>
  <c r="L143" i="18"/>
  <c r="M143" i="18" s="1"/>
  <c r="N143" i="18" l="1"/>
  <c r="O143" i="18" s="1"/>
  <c r="P143" i="18" s="1"/>
  <c r="S143" i="18" s="1"/>
  <c r="J142" i="18" l="1"/>
  <c r="L142" i="18" l="1"/>
  <c r="M142" i="18" s="1"/>
  <c r="E147" i="18"/>
  <c r="N142" i="18" l="1"/>
  <c r="O142" i="18" s="1"/>
  <c r="P142" i="18" s="1"/>
  <c r="S142" i="18" s="1"/>
  <c r="J8" i="18"/>
  <c r="J11" i="18"/>
  <c r="J67" i="18" l="1"/>
  <c r="J19" i="18"/>
  <c r="J141" i="18"/>
  <c r="J129" i="18"/>
  <c r="J15" i="18"/>
  <c r="J59" i="18"/>
  <c r="J148" i="18"/>
  <c r="J27" i="18"/>
  <c r="J135" i="18"/>
  <c r="J40" i="18" l="1"/>
  <c r="J80" i="18" l="1"/>
  <c r="J68" i="18"/>
  <c r="L68" i="18" s="1"/>
  <c r="L11" i="18"/>
  <c r="L80" i="18" l="1"/>
  <c r="M80" i="18" s="1"/>
  <c r="M68" i="18"/>
  <c r="M11" i="18"/>
  <c r="N80" i="18" l="1"/>
  <c r="O80" i="18" s="1"/>
  <c r="P80" i="18" s="1"/>
  <c r="S80" i="18" s="1"/>
  <c r="N68" i="18"/>
  <c r="O68" i="18" s="1"/>
  <c r="P68" i="18" s="1"/>
  <c r="S68" i="18" s="1"/>
  <c r="N11" i="18"/>
  <c r="O11" i="18" s="1"/>
  <c r="P11" i="18" s="1"/>
  <c r="S11" i="18" s="1"/>
  <c r="J146" i="18" l="1"/>
  <c r="J140" i="18"/>
  <c r="J139" i="18"/>
  <c r="J138" i="18"/>
  <c r="J137" i="18"/>
  <c r="J136" i="18"/>
  <c r="J134" i="18"/>
  <c r="J133" i="18"/>
  <c r="J132" i="18"/>
  <c r="J131" i="18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79" i="18"/>
  <c r="J78" i="18"/>
  <c r="J77" i="18"/>
  <c r="J76" i="18"/>
  <c r="J75" i="18"/>
  <c r="J74" i="18"/>
  <c r="J73" i="18"/>
  <c r="J72" i="18"/>
  <c r="J71" i="18"/>
  <c r="J70" i="18"/>
  <c r="J69" i="18"/>
  <c r="J66" i="18"/>
  <c r="J65" i="18"/>
  <c r="J64" i="18"/>
  <c r="J63" i="18"/>
  <c r="J62" i="18"/>
  <c r="J61" i="18"/>
  <c r="J60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39" i="18"/>
  <c r="J38" i="18"/>
  <c r="J37" i="18"/>
  <c r="J36" i="18"/>
  <c r="J35" i="18"/>
  <c r="J34" i="18"/>
  <c r="J33" i="18"/>
  <c r="J32" i="18"/>
  <c r="J31" i="18"/>
  <c r="J30" i="18"/>
  <c r="J29" i="18"/>
  <c r="J26" i="18"/>
  <c r="J25" i="18"/>
  <c r="J24" i="18"/>
  <c r="J23" i="18"/>
  <c r="J22" i="18"/>
  <c r="J21" i="18"/>
  <c r="J20" i="18"/>
  <c r="J18" i="18"/>
  <c r="J17" i="18"/>
  <c r="J16" i="18"/>
  <c r="J14" i="18"/>
  <c r="J13" i="18"/>
  <c r="J12" i="18"/>
  <c r="J10" i="18"/>
  <c r="J9" i="18"/>
  <c r="R147" i="18" l="1"/>
  <c r="Q110" i="18"/>
  <c r="Q150" i="18"/>
  <c r="R150" i="18"/>
  <c r="Q147" i="18"/>
  <c r="Q130" i="18"/>
  <c r="Q28" i="18"/>
  <c r="L91" i="18"/>
  <c r="M91" i="18" s="1"/>
  <c r="Q152" i="18" l="1"/>
  <c r="N91" i="18"/>
  <c r="O91" i="18" s="1"/>
  <c r="P91" i="18" s="1"/>
  <c r="S91" i="18" l="1"/>
  <c r="L40" i="18" l="1"/>
  <c r="M40" i="18" s="1"/>
  <c r="L39" i="18"/>
  <c r="M39" i="18" s="1"/>
  <c r="L38" i="18"/>
  <c r="M38" i="18" s="1"/>
  <c r="N40" i="18" l="1"/>
  <c r="O40" i="18" s="1"/>
  <c r="P40" i="18" s="1"/>
  <c r="N39" i="18"/>
  <c r="O39" i="18" s="1"/>
  <c r="P39" i="18" s="1"/>
  <c r="S39" i="18" s="1"/>
  <c r="N38" i="18"/>
  <c r="O38" i="18" s="1"/>
  <c r="P38" i="18" s="1"/>
  <c r="S38" i="18" s="1"/>
  <c r="L18" i="18" l="1"/>
  <c r="M18" i="18" s="1"/>
  <c r="L67" i="18"/>
  <c r="M67" i="18" s="1"/>
  <c r="L63" i="18"/>
  <c r="L148" i="18"/>
  <c r="M148" i="18" s="1"/>
  <c r="G147" i="18"/>
  <c r="L141" i="18"/>
  <c r="M141" i="18" s="1"/>
  <c r="L139" i="18"/>
  <c r="M139" i="18" s="1"/>
  <c r="N139" i="18" s="1"/>
  <c r="O139" i="18" s="1"/>
  <c r="P139" i="18" s="1"/>
  <c r="S139" i="18" s="1"/>
  <c r="L138" i="18"/>
  <c r="L137" i="18"/>
  <c r="L135" i="18"/>
  <c r="L133" i="18"/>
  <c r="M133" i="18" s="1"/>
  <c r="L131" i="18"/>
  <c r="G130" i="18"/>
  <c r="E130" i="18"/>
  <c r="L128" i="18"/>
  <c r="M128" i="18" s="1"/>
  <c r="L126" i="18"/>
  <c r="M126" i="18" s="1"/>
  <c r="L125" i="18"/>
  <c r="L124" i="18"/>
  <c r="M124" i="18" s="1"/>
  <c r="L122" i="18"/>
  <c r="M122" i="18" s="1"/>
  <c r="L121" i="18"/>
  <c r="L120" i="18"/>
  <c r="M120" i="18" s="1"/>
  <c r="L118" i="18"/>
  <c r="L117" i="18"/>
  <c r="L116" i="18"/>
  <c r="M116" i="18" s="1"/>
  <c r="L114" i="18"/>
  <c r="L112" i="18"/>
  <c r="M112" i="18" s="1"/>
  <c r="G110" i="18"/>
  <c r="E110" i="18"/>
  <c r="L109" i="18"/>
  <c r="M109" i="18" s="1"/>
  <c r="L108" i="18"/>
  <c r="M108" i="18" s="1"/>
  <c r="L105" i="18"/>
  <c r="M105" i="18" s="1"/>
  <c r="L104" i="18"/>
  <c r="M104" i="18" s="1"/>
  <c r="N104" i="18" s="1"/>
  <c r="O104" i="18" s="1"/>
  <c r="P104" i="18" s="1"/>
  <c r="S104" i="18" s="1"/>
  <c r="L102" i="18"/>
  <c r="L101" i="18"/>
  <c r="M101" i="18" s="1"/>
  <c r="N101" i="18" s="1"/>
  <c r="O101" i="18" s="1"/>
  <c r="L100" i="18"/>
  <c r="M100" i="18" s="1"/>
  <c r="N100" i="18" s="1"/>
  <c r="O100" i="18" s="1"/>
  <c r="L99" i="18"/>
  <c r="M99" i="18" s="1"/>
  <c r="L96" i="18"/>
  <c r="L95" i="18"/>
  <c r="M95" i="18" s="1"/>
  <c r="L94" i="18"/>
  <c r="M94" i="18" s="1"/>
  <c r="N94" i="18" s="1"/>
  <c r="O94" i="18" s="1"/>
  <c r="L90" i="18"/>
  <c r="L88" i="18"/>
  <c r="M88" i="18" s="1"/>
  <c r="L87" i="18"/>
  <c r="L85" i="18"/>
  <c r="M85" i="18" s="1"/>
  <c r="L81" i="18"/>
  <c r="M81" i="18" s="1"/>
  <c r="L79" i="18"/>
  <c r="M79" i="18" s="1"/>
  <c r="L77" i="18"/>
  <c r="L75" i="18"/>
  <c r="L73" i="18"/>
  <c r="L71" i="18"/>
  <c r="M71" i="18" s="1"/>
  <c r="L69" i="18"/>
  <c r="L65" i="18"/>
  <c r="L61" i="18"/>
  <c r="L58" i="18"/>
  <c r="L57" i="18"/>
  <c r="L55" i="18"/>
  <c r="M55" i="18" s="1"/>
  <c r="L54" i="18"/>
  <c r="M54" i="18" s="1"/>
  <c r="L51" i="18"/>
  <c r="L50" i="18"/>
  <c r="L48" i="18"/>
  <c r="L47" i="18"/>
  <c r="L46" i="18"/>
  <c r="L44" i="18"/>
  <c r="M44" i="18" s="1"/>
  <c r="L43" i="18"/>
  <c r="L42" i="18"/>
  <c r="M42" i="18" s="1"/>
  <c r="L37" i="18"/>
  <c r="M37" i="18" s="1"/>
  <c r="L36" i="18"/>
  <c r="L33" i="18"/>
  <c r="M33" i="18" s="1"/>
  <c r="L32" i="18"/>
  <c r="G28" i="18"/>
  <c r="E28" i="18"/>
  <c r="L27" i="18"/>
  <c r="L25" i="18"/>
  <c r="M25" i="18" s="1"/>
  <c r="L24" i="18"/>
  <c r="M24" i="18" s="1"/>
  <c r="L22" i="18"/>
  <c r="L21" i="18"/>
  <c r="M21" i="18" s="1"/>
  <c r="L20" i="18"/>
  <c r="L19" i="18"/>
  <c r="M19" i="18" s="1"/>
  <c r="L16" i="18"/>
  <c r="L15" i="18"/>
  <c r="L14" i="18"/>
  <c r="M14" i="18" s="1"/>
  <c r="L12" i="18"/>
  <c r="L8" i="18"/>
  <c r="S40" i="18" l="1"/>
  <c r="N18" i="18"/>
  <c r="O18" i="18" s="1"/>
  <c r="P18" i="18" s="1"/>
  <c r="S18" i="18" s="1"/>
  <c r="M65" i="18"/>
  <c r="N65" i="18" s="1"/>
  <c r="O65" i="18" s="1"/>
  <c r="M118" i="18"/>
  <c r="N118" i="18" s="1"/>
  <c r="O118" i="18" s="1"/>
  <c r="P118" i="18" s="1"/>
  <c r="S118" i="18" s="1"/>
  <c r="M12" i="18"/>
  <c r="N12" i="18" s="1"/>
  <c r="O12" i="18" s="1"/>
  <c r="M61" i="18"/>
  <c r="N61" i="18" s="1"/>
  <c r="O61" i="18" s="1"/>
  <c r="M114" i="18"/>
  <c r="N114" i="18" s="1"/>
  <c r="O114" i="18" s="1"/>
  <c r="P114" i="18" s="1"/>
  <c r="S114" i="18" s="1"/>
  <c r="J28" i="18"/>
  <c r="E152" i="18"/>
  <c r="M69" i="18"/>
  <c r="N69" i="18" s="1"/>
  <c r="O69" i="18" s="1"/>
  <c r="P69" i="18" s="1"/>
  <c r="S69" i="18" s="1"/>
  <c r="M75" i="18"/>
  <c r="N75" i="18" s="1"/>
  <c r="O75" i="18" s="1"/>
  <c r="P75" i="18" s="1"/>
  <c r="S75" i="18" s="1"/>
  <c r="M96" i="18"/>
  <c r="N96" i="18" s="1"/>
  <c r="O96" i="18" s="1"/>
  <c r="P96" i="18" s="1"/>
  <c r="S96" i="18" s="1"/>
  <c r="M131" i="18"/>
  <c r="N131" i="18" s="1"/>
  <c r="O131" i="18" s="1"/>
  <c r="M135" i="18"/>
  <c r="N135" i="18" s="1"/>
  <c r="O135" i="18" s="1"/>
  <c r="P135" i="18" s="1"/>
  <c r="S135" i="18" s="1"/>
  <c r="M73" i="18"/>
  <c r="N73" i="18" s="1"/>
  <c r="O73" i="18" s="1"/>
  <c r="P73" i="18" s="1"/>
  <c r="S73" i="18" s="1"/>
  <c r="L103" i="18"/>
  <c r="M103" i="18" s="1"/>
  <c r="N103" i="18" s="1"/>
  <c r="O103" i="18" s="1"/>
  <c r="P103" i="18" s="1"/>
  <c r="S103" i="18" s="1"/>
  <c r="M137" i="18"/>
  <c r="N137" i="18" s="1"/>
  <c r="O137" i="18" s="1"/>
  <c r="P137" i="18" s="1"/>
  <c r="S137" i="18" s="1"/>
  <c r="M47" i="18"/>
  <c r="N47" i="18" s="1"/>
  <c r="O47" i="18" s="1"/>
  <c r="P47" i="18" s="1"/>
  <c r="R47" i="18" s="1"/>
  <c r="L59" i="18"/>
  <c r="M59" i="18" s="1"/>
  <c r="M77" i="18"/>
  <c r="N77" i="18" s="1"/>
  <c r="O77" i="18" s="1"/>
  <c r="M48" i="18"/>
  <c r="N48" i="18" s="1"/>
  <c r="O48" i="18" s="1"/>
  <c r="M22" i="18"/>
  <c r="N22" i="18" s="1"/>
  <c r="O22" i="18" s="1"/>
  <c r="P22" i="18" s="1"/>
  <c r="S22" i="18" s="1"/>
  <c r="M57" i="18"/>
  <c r="N57" i="18" s="1"/>
  <c r="O57" i="18" s="1"/>
  <c r="P57" i="18" s="1"/>
  <c r="L84" i="18"/>
  <c r="M84" i="18" s="1"/>
  <c r="N84" i="18" s="1"/>
  <c r="O84" i="18" s="1"/>
  <c r="P84" i="18" s="1"/>
  <c r="S84" i="18" s="1"/>
  <c r="N54" i="18"/>
  <c r="O54" i="18" s="1"/>
  <c r="P54" i="18" s="1"/>
  <c r="S54" i="18" s="1"/>
  <c r="N42" i="18"/>
  <c r="O42" i="18" s="1"/>
  <c r="P42" i="18" s="1"/>
  <c r="S42" i="18" s="1"/>
  <c r="N55" i="18"/>
  <c r="O55" i="18" s="1"/>
  <c r="P55" i="18" s="1"/>
  <c r="S55" i="18" s="1"/>
  <c r="N71" i="18"/>
  <c r="O71" i="18" s="1"/>
  <c r="P71" i="18" s="1"/>
  <c r="S71" i="18" s="1"/>
  <c r="N112" i="18"/>
  <c r="O112" i="18" s="1"/>
  <c r="P112" i="18" s="1"/>
  <c r="S112" i="18" s="1"/>
  <c r="N126" i="18"/>
  <c r="O126" i="18" s="1"/>
  <c r="P126" i="18" s="1"/>
  <c r="N95" i="18"/>
  <c r="O95" i="18" s="1"/>
  <c r="P95" i="18" s="1"/>
  <c r="S95" i="18" s="1"/>
  <c r="N19" i="18"/>
  <c r="O19" i="18" s="1"/>
  <c r="P19" i="18" s="1"/>
  <c r="S19" i="18" s="1"/>
  <c r="N33" i="18"/>
  <c r="O33" i="18" s="1"/>
  <c r="P33" i="18" s="1"/>
  <c r="S33" i="18" s="1"/>
  <c r="N128" i="18"/>
  <c r="O128" i="18" s="1"/>
  <c r="P128" i="18" s="1"/>
  <c r="S128" i="18" s="1"/>
  <c r="N44" i="18"/>
  <c r="O44" i="18" s="1"/>
  <c r="P44" i="18" s="1"/>
  <c r="S44" i="18" s="1"/>
  <c r="N67" i="18"/>
  <c r="O67" i="18" s="1"/>
  <c r="P67" i="18" s="1"/>
  <c r="S67" i="18" s="1"/>
  <c r="N14" i="18"/>
  <c r="O14" i="18" s="1"/>
  <c r="P14" i="18" s="1"/>
  <c r="S14" i="18" s="1"/>
  <c r="N79" i="18"/>
  <c r="O79" i="18" s="1"/>
  <c r="P79" i="18" s="1"/>
  <c r="S79" i="18" s="1"/>
  <c r="N21" i="18"/>
  <c r="O21" i="18" s="1"/>
  <c r="P21" i="18" s="1"/>
  <c r="S21" i="18" s="1"/>
  <c r="N37" i="18"/>
  <c r="O37" i="18" s="1"/>
  <c r="P37" i="18" s="1"/>
  <c r="S37" i="18" s="1"/>
  <c r="N99" i="18"/>
  <c r="O99" i="18" s="1"/>
  <c r="P99" i="18" s="1"/>
  <c r="S99" i="18" s="1"/>
  <c r="L64" i="18"/>
  <c r="M64" i="18" s="1"/>
  <c r="L119" i="18"/>
  <c r="M119" i="18" s="1"/>
  <c r="L83" i="18"/>
  <c r="M83" i="18" s="1"/>
  <c r="N122" i="18"/>
  <c r="O122" i="18" s="1"/>
  <c r="P122" i="18" s="1"/>
  <c r="S122" i="18" s="1"/>
  <c r="L9" i="18"/>
  <c r="M9" i="18" s="1"/>
  <c r="M16" i="18"/>
  <c r="L30" i="18"/>
  <c r="M30" i="18" s="1"/>
  <c r="L35" i="18"/>
  <c r="M35" i="18" s="1"/>
  <c r="M43" i="18"/>
  <c r="M50" i="18"/>
  <c r="N105" i="18"/>
  <c r="O105" i="18" s="1"/>
  <c r="P105" i="18" s="1"/>
  <c r="S105" i="18" s="1"/>
  <c r="M117" i="18"/>
  <c r="J130" i="18"/>
  <c r="M87" i="18"/>
  <c r="L132" i="18"/>
  <c r="J147" i="18"/>
  <c r="L26" i="18"/>
  <c r="M26" i="18" s="1"/>
  <c r="L53" i="18"/>
  <c r="M53" i="18" s="1"/>
  <c r="M32" i="18"/>
  <c r="L140" i="18"/>
  <c r="M140" i="18" s="1"/>
  <c r="P94" i="18"/>
  <c r="S94" i="18" s="1"/>
  <c r="N116" i="18"/>
  <c r="O116" i="18" s="1"/>
  <c r="P116" i="18" s="1"/>
  <c r="S116" i="18" s="1"/>
  <c r="N141" i="18"/>
  <c r="O141" i="18" s="1"/>
  <c r="P141" i="18" s="1"/>
  <c r="S141" i="18" s="1"/>
  <c r="N148" i="18"/>
  <c r="N24" i="18"/>
  <c r="O24" i="18" s="1"/>
  <c r="P24" i="18" s="1"/>
  <c r="S24" i="18" s="1"/>
  <c r="L76" i="18"/>
  <c r="M76" i="18" s="1"/>
  <c r="L45" i="18"/>
  <c r="M45" i="18" s="1"/>
  <c r="N109" i="18"/>
  <c r="O109" i="18" s="1"/>
  <c r="P109" i="18" s="1"/>
  <c r="N25" i="18"/>
  <c r="O25" i="18" s="1"/>
  <c r="P25" i="18" s="1"/>
  <c r="S25" i="18" s="1"/>
  <c r="M90" i="18"/>
  <c r="L107" i="18"/>
  <c r="M107" i="18" s="1"/>
  <c r="N133" i="18"/>
  <c r="O133" i="18" s="1"/>
  <c r="P133" i="18" s="1"/>
  <c r="S133" i="18" s="1"/>
  <c r="L136" i="18"/>
  <c r="M136" i="18" s="1"/>
  <c r="L17" i="18"/>
  <c r="M17" i="18" s="1"/>
  <c r="M20" i="18"/>
  <c r="M46" i="18"/>
  <c r="P100" i="18"/>
  <c r="S100" i="18" s="1"/>
  <c r="L134" i="18"/>
  <c r="M134" i="18" s="1"/>
  <c r="L34" i="18"/>
  <c r="M34" i="18" s="1"/>
  <c r="L56" i="18"/>
  <c r="M56" i="18" s="1"/>
  <c r="L13" i="18"/>
  <c r="M13" i="18" s="1"/>
  <c r="L23" i="18"/>
  <c r="M23" i="18" s="1"/>
  <c r="L62" i="18"/>
  <c r="M62" i="18" s="1"/>
  <c r="N88" i="18"/>
  <c r="O88" i="18" s="1"/>
  <c r="P88" i="18" s="1"/>
  <c r="M15" i="18"/>
  <c r="L41" i="18"/>
  <c r="M41" i="18" s="1"/>
  <c r="M51" i="18"/>
  <c r="L10" i="18"/>
  <c r="M27" i="18"/>
  <c r="L31" i="18"/>
  <c r="M31" i="18" s="1"/>
  <c r="M36" i="18"/>
  <c r="L60" i="18"/>
  <c r="M60" i="18" s="1"/>
  <c r="M63" i="18"/>
  <c r="L72" i="18"/>
  <c r="M72" i="18" s="1"/>
  <c r="N81" i="18"/>
  <c r="O81" i="18" s="1"/>
  <c r="P81" i="18" s="1"/>
  <c r="S81" i="18" s="1"/>
  <c r="N108" i="18"/>
  <c r="O108" i="18" s="1"/>
  <c r="P108" i="18" s="1"/>
  <c r="S108" i="18" s="1"/>
  <c r="N124" i="18"/>
  <c r="O124" i="18" s="1"/>
  <c r="P124" i="18" s="1"/>
  <c r="S124" i="18" s="1"/>
  <c r="L49" i="18"/>
  <c r="M49" i="18" s="1"/>
  <c r="M58" i="18"/>
  <c r="N85" i="18"/>
  <c r="O85" i="18" s="1"/>
  <c r="P85" i="18" s="1"/>
  <c r="S85" i="18" s="1"/>
  <c r="L93" i="18"/>
  <c r="M93" i="18" s="1"/>
  <c r="P101" i="18"/>
  <c r="S101" i="18" s="1"/>
  <c r="L86" i="18"/>
  <c r="M86" i="18" s="1"/>
  <c r="N120" i="18"/>
  <c r="O120" i="18" s="1"/>
  <c r="P120" i="18" s="1"/>
  <c r="S120" i="18" s="1"/>
  <c r="L89" i="18"/>
  <c r="M89" i="18" s="1"/>
  <c r="L106" i="18"/>
  <c r="M106" i="18" s="1"/>
  <c r="M121" i="18"/>
  <c r="L123" i="18"/>
  <c r="M123" i="18" s="1"/>
  <c r="M138" i="18"/>
  <c r="L146" i="18"/>
  <c r="M146" i="18" s="1"/>
  <c r="L115" i="18"/>
  <c r="M115" i="18" s="1"/>
  <c r="G152" i="18"/>
  <c r="L66" i="18"/>
  <c r="M66" i="18" s="1"/>
  <c r="L70" i="18"/>
  <c r="M70" i="18" s="1"/>
  <c r="L74" i="18"/>
  <c r="M74" i="18" s="1"/>
  <c r="L78" i="18"/>
  <c r="M78" i="18" s="1"/>
  <c r="L113" i="18"/>
  <c r="M113" i="18" s="1"/>
  <c r="L129" i="18"/>
  <c r="M129" i="18" s="1"/>
  <c r="J110" i="18"/>
  <c r="M8" i="18"/>
  <c r="L29" i="18"/>
  <c r="L52" i="18"/>
  <c r="L82" i="18"/>
  <c r="M82" i="18" s="1"/>
  <c r="L98" i="18"/>
  <c r="M98" i="18" s="1"/>
  <c r="M102" i="18"/>
  <c r="L111" i="18"/>
  <c r="M111" i="18" s="1"/>
  <c r="M125" i="18"/>
  <c r="L127" i="18"/>
  <c r="M127" i="18" s="1"/>
  <c r="L150" i="18"/>
  <c r="L92" i="18"/>
  <c r="M92" i="18" s="1"/>
  <c r="L97" i="18"/>
  <c r="M97" i="18" s="1"/>
  <c r="J150" i="18"/>
  <c r="R57" i="18" l="1"/>
  <c r="S57" i="18" s="1"/>
  <c r="S109" i="18"/>
  <c r="S88" i="18"/>
  <c r="S47" i="18"/>
  <c r="S126" i="18"/>
  <c r="P65" i="18"/>
  <c r="S65" i="18" s="1"/>
  <c r="P12" i="18"/>
  <c r="S12" i="18" s="1"/>
  <c r="P77" i="18"/>
  <c r="S77" i="18" s="1"/>
  <c r="P61" i="18"/>
  <c r="S61" i="18" s="1"/>
  <c r="L28" i="18"/>
  <c r="N59" i="18"/>
  <c r="O59" i="18" s="1"/>
  <c r="P59" i="18" s="1"/>
  <c r="S59" i="18" s="1"/>
  <c r="P48" i="18"/>
  <c r="S48" i="18" s="1"/>
  <c r="J152" i="18"/>
  <c r="N26" i="18"/>
  <c r="O26" i="18" s="1"/>
  <c r="P26" i="18" s="1"/>
  <c r="S26" i="18" s="1"/>
  <c r="N13" i="18"/>
  <c r="O13" i="18" s="1"/>
  <c r="P13" i="18" s="1"/>
  <c r="S13" i="18" s="1"/>
  <c r="N45" i="18"/>
  <c r="O45" i="18" s="1"/>
  <c r="P45" i="18" s="1"/>
  <c r="R45" i="18" s="1"/>
  <c r="N34" i="18"/>
  <c r="O34" i="18" s="1"/>
  <c r="P34" i="18" s="1"/>
  <c r="S34" i="18" s="1"/>
  <c r="N41" i="18"/>
  <c r="O41" i="18" s="1"/>
  <c r="P41" i="18" s="1"/>
  <c r="N107" i="18"/>
  <c r="O107" i="18" s="1"/>
  <c r="P107" i="18" s="1"/>
  <c r="S107" i="18" s="1"/>
  <c r="N30" i="18"/>
  <c r="O30" i="18" s="1"/>
  <c r="P30" i="18" s="1"/>
  <c r="S30" i="18" s="1"/>
  <c r="N74" i="18"/>
  <c r="O74" i="18" s="1"/>
  <c r="P74" i="18" s="1"/>
  <c r="S74" i="18" s="1"/>
  <c r="N146" i="18"/>
  <c r="O146" i="18" s="1"/>
  <c r="P146" i="18" s="1"/>
  <c r="S146" i="18" s="1"/>
  <c r="N119" i="18"/>
  <c r="O119" i="18" s="1"/>
  <c r="P119" i="18" s="1"/>
  <c r="N98" i="18"/>
  <c r="O98" i="18" s="1"/>
  <c r="P98" i="18" s="1"/>
  <c r="S98" i="18" s="1"/>
  <c r="N23" i="18"/>
  <c r="O23" i="18" s="1"/>
  <c r="P23" i="18" s="1"/>
  <c r="S23" i="18" s="1"/>
  <c r="N64" i="18"/>
  <c r="O64" i="18" s="1"/>
  <c r="P64" i="18" s="1"/>
  <c r="S64" i="18" s="1"/>
  <c r="N82" i="18"/>
  <c r="O82" i="18" s="1"/>
  <c r="P82" i="18" s="1"/>
  <c r="S82" i="18" s="1"/>
  <c r="N72" i="18"/>
  <c r="O72" i="18" s="1"/>
  <c r="P72" i="18" s="1"/>
  <c r="S72" i="18" s="1"/>
  <c r="N127" i="18"/>
  <c r="O127" i="18" s="1"/>
  <c r="P127" i="18" s="1"/>
  <c r="N60" i="18"/>
  <c r="O60" i="18" s="1"/>
  <c r="P60" i="18" s="1"/>
  <c r="S60" i="18" s="1"/>
  <c r="N76" i="18"/>
  <c r="O76" i="18" s="1"/>
  <c r="P76" i="18" s="1"/>
  <c r="S76" i="18" s="1"/>
  <c r="N140" i="18"/>
  <c r="O140" i="18" s="1"/>
  <c r="P140" i="18" s="1"/>
  <c r="S140" i="18" s="1"/>
  <c r="N115" i="18"/>
  <c r="O115" i="18" s="1"/>
  <c r="P115" i="18" s="1"/>
  <c r="S115" i="18" s="1"/>
  <c r="N70" i="18"/>
  <c r="O70" i="18" s="1"/>
  <c r="P70" i="18" s="1"/>
  <c r="S70" i="18" s="1"/>
  <c r="N89" i="18"/>
  <c r="O89" i="18" s="1"/>
  <c r="P89" i="18" s="1"/>
  <c r="S89" i="18" s="1"/>
  <c r="N49" i="18"/>
  <c r="O49" i="18" s="1"/>
  <c r="P49" i="18" s="1"/>
  <c r="R49" i="18" s="1"/>
  <c r="N97" i="18"/>
  <c r="O97" i="18" s="1"/>
  <c r="P97" i="18" s="1"/>
  <c r="S97" i="18" s="1"/>
  <c r="N123" i="18"/>
  <c r="O123" i="18" s="1"/>
  <c r="P123" i="18" s="1"/>
  <c r="S123" i="18" s="1"/>
  <c r="N78" i="18"/>
  <c r="O78" i="18" s="1"/>
  <c r="P78" i="18" s="1"/>
  <c r="S78" i="18" s="1"/>
  <c r="N86" i="18"/>
  <c r="O86" i="18" s="1"/>
  <c r="P86" i="18" s="1"/>
  <c r="S86" i="18" s="1"/>
  <c r="N17" i="18"/>
  <c r="O17" i="18" s="1"/>
  <c r="P17" i="18" s="1"/>
  <c r="S17" i="18" s="1"/>
  <c r="N53" i="18"/>
  <c r="O53" i="18" s="1"/>
  <c r="P53" i="18" s="1"/>
  <c r="S53" i="18" s="1"/>
  <c r="N83" i="18"/>
  <c r="O83" i="18" s="1"/>
  <c r="P83" i="18" s="1"/>
  <c r="S83" i="18" s="1"/>
  <c r="N27" i="18"/>
  <c r="O27" i="18" s="1"/>
  <c r="P27" i="18" s="1"/>
  <c r="S27" i="18" s="1"/>
  <c r="N31" i="18"/>
  <c r="O31" i="18" s="1"/>
  <c r="P31" i="18" s="1"/>
  <c r="S31" i="18" s="1"/>
  <c r="N58" i="18"/>
  <c r="O58" i="18" s="1"/>
  <c r="P58" i="18" s="1"/>
  <c r="S58" i="18" s="1"/>
  <c r="N136" i="18"/>
  <c r="O136" i="18" s="1"/>
  <c r="P136" i="18" s="1"/>
  <c r="S136" i="18" s="1"/>
  <c r="N50" i="18"/>
  <c r="O50" i="18" s="1"/>
  <c r="P50" i="18" s="1"/>
  <c r="S50" i="18" s="1"/>
  <c r="N9" i="18"/>
  <c r="O9" i="18" s="1"/>
  <c r="P9" i="18" s="1"/>
  <c r="S9" i="18" s="1"/>
  <c r="N134" i="18"/>
  <c r="O134" i="18" s="1"/>
  <c r="P134" i="18" s="1"/>
  <c r="S134" i="18" s="1"/>
  <c r="N35" i="18"/>
  <c r="O35" i="18" s="1"/>
  <c r="P35" i="18" s="1"/>
  <c r="S35" i="18" s="1"/>
  <c r="M52" i="18"/>
  <c r="O148" i="18"/>
  <c r="L147" i="18"/>
  <c r="N102" i="18"/>
  <c r="O102" i="18" s="1"/>
  <c r="P102" i="18" s="1"/>
  <c r="S102" i="18" s="1"/>
  <c r="N66" i="18"/>
  <c r="O66" i="18" s="1"/>
  <c r="P66" i="18" s="1"/>
  <c r="S66" i="18" s="1"/>
  <c r="N129" i="18"/>
  <c r="O129" i="18" s="1"/>
  <c r="P129" i="18" s="1"/>
  <c r="S129" i="18" s="1"/>
  <c r="N62" i="18"/>
  <c r="O62" i="18" s="1"/>
  <c r="P62" i="18" s="1"/>
  <c r="S62" i="18" s="1"/>
  <c r="N43" i="18"/>
  <c r="O43" i="18" s="1"/>
  <c r="P43" i="18" s="1"/>
  <c r="S43" i="18" s="1"/>
  <c r="N51" i="18"/>
  <c r="O51" i="18" s="1"/>
  <c r="P51" i="18" s="1"/>
  <c r="S51" i="18" s="1"/>
  <c r="N46" i="18"/>
  <c r="O46" i="18" s="1"/>
  <c r="P46" i="18" s="1"/>
  <c r="S46" i="18" s="1"/>
  <c r="N106" i="18"/>
  <c r="O106" i="18" s="1"/>
  <c r="P106" i="18" s="1"/>
  <c r="S106" i="18" s="1"/>
  <c r="N63" i="18"/>
  <c r="O63" i="18" s="1"/>
  <c r="P63" i="18" s="1"/>
  <c r="S63" i="18" s="1"/>
  <c r="N20" i="18"/>
  <c r="O20" i="18" s="1"/>
  <c r="P20" i="18" s="1"/>
  <c r="S20" i="18" s="1"/>
  <c r="N121" i="18"/>
  <c r="O121" i="18" s="1"/>
  <c r="P121" i="18" s="1"/>
  <c r="S121" i="18" s="1"/>
  <c r="N15" i="18"/>
  <c r="O15" i="18" s="1"/>
  <c r="P15" i="18" s="1"/>
  <c r="S15" i="18" s="1"/>
  <c r="N32" i="18"/>
  <c r="O32" i="18" s="1"/>
  <c r="P32" i="18" s="1"/>
  <c r="S32" i="18" s="1"/>
  <c r="M132" i="18"/>
  <c r="N16" i="18"/>
  <c r="O16" i="18" s="1"/>
  <c r="P16" i="18" s="1"/>
  <c r="S16" i="18" s="1"/>
  <c r="M10" i="18"/>
  <c r="N138" i="18"/>
  <c r="O138" i="18" s="1"/>
  <c r="P138" i="18" s="1"/>
  <c r="S138" i="18" s="1"/>
  <c r="N92" i="18"/>
  <c r="O92" i="18" s="1"/>
  <c r="P92" i="18" s="1"/>
  <c r="S92" i="18" s="1"/>
  <c r="N125" i="18"/>
  <c r="O125" i="18" s="1"/>
  <c r="P125" i="18" s="1"/>
  <c r="S125" i="18" s="1"/>
  <c r="L110" i="18"/>
  <c r="M29" i="18"/>
  <c r="L130" i="18"/>
  <c r="N8" i="18"/>
  <c r="N36" i="18"/>
  <c r="O36" i="18" s="1"/>
  <c r="P36" i="18" s="1"/>
  <c r="S36" i="18" s="1"/>
  <c r="N90" i="18"/>
  <c r="O90" i="18" s="1"/>
  <c r="P90" i="18" s="1"/>
  <c r="S90" i="18" s="1"/>
  <c r="P131" i="18"/>
  <c r="S131" i="18" s="1"/>
  <c r="N87" i="18"/>
  <c r="O87" i="18" s="1"/>
  <c r="P87" i="18" s="1"/>
  <c r="N117" i="18"/>
  <c r="O117" i="18" s="1"/>
  <c r="P117" i="18" s="1"/>
  <c r="N93" i="18"/>
  <c r="O93" i="18" s="1"/>
  <c r="P93" i="18" s="1"/>
  <c r="S93" i="18" s="1"/>
  <c r="N113" i="18"/>
  <c r="O113" i="18" s="1"/>
  <c r="P113" i="18" s="1"/>
  <c r="S113" i="18" s="1"/>
  <c r="N111" i="18"/>
  <c r="M130" i="18"/>
  <c r="N56" i="18"/>
  <c r="O56" i="18" s="1"/>
  <c r="P56" i="18" s="1"/>
  <c r="R56" i="18" l="1"/>
  <c r="S56" i="18" s="1"/>
  <c r="R119" i="18"/>
  <c r="S119" i="18" s="1"/>
  <c r="R127" i="18"/>
  <c r="S127" i="18" s="1"/>
  <c r="S49" i="18"/>
  <c r="R130" i="18"/>
  <c r="S87" i="18"/>
  <c r="S45" i="18"/>
  <c r="L152" i="18"/>
  <c r="N10" i="18"/>
  <c r="O10" i="18" s="1"/>
  <c r="P10" i="18" s="1"/>
  <c r="R10" i="18" s="1"/>
  <c r="M150" i="18"/>
  <c r="O8" i="18"/>
  <c r="P148" i="18"/>
  <c r="S148" i="18" s="1"/>
  <c r="S150" i="18" s="1"/>
  <c r="N130" i="18"/>
  <c r="O111" i="18"/>
  <c r="M28" i="18"/>
  <c r="N132" i="18"/>
  <c r="M147" i="18"/>
  <c r="N29" i="18"/>
  <c r="M110" i="18"/>
  <c r="N52" i="18"/>
  <c r="S10" i="18" l="1"/>
  <c r="R28" i="18"/>
  <c r="S117" i="18"/>
  <c r="R110" i="18"/>
  <c r="S41" i="18"/>
  <c r="N28" i="18"/>
  <c r="O132" i="18"/>
  <c r="N147" i="18"/>
  <c r="O52" i="18"/>
  <c r="O130" i="18"/>
  <c r="P111" i="18"/>
  <c r="O28" i="18"/>
  <c r="P8" i="18"/>
  <c r="S8" i="18" s="1"/>
  <c r="S28" i="18" s="1"/>
  <c r="M152" i="18"/>
  <c r="N150" i="18"/>
  <c r="N110" i="18"/>
  <c r="O29" i="18"/>
  <c r="R152" i="18" l="1"/>
  <c r="P130" i="18"/>
  <c r="S111" i="18"/>
  <c r="S130" i="18" s="1"/>
  <c r="N152" i="18"/>
  <c r="P28" i="18"/>
  <c r="O110" i="18"/>
  <c r="P29" i="18"/>
  <c r="S29" i="18" s="1"/>
  <c r="O150" i="18"/>
  <c r="P150" i="18"/>
  <c r="P52" i="18"/>
  <c r="S52" i="18" s="1"/>
  <c r="O147" i="18"/>
  <c r="P132" i="18"/>
  <c r="S110" i="18" l="1"/>
  <c r="P147" i="18"/>
  <c r="S132" i="18"/>
  <c r="S147" i="18" s="1"/>
  <c r="O152" i="18"/>
  <c r="P110" i="18"/>
  <c r="S152" i="18" l="1"/>
  <c r="P152" i="18"/>
  <c r="S153" i="18" l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P72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169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<sst xmlns="http://schemas.openxmlformats.org/spreadsheetml/2006/main" count="1813" uniqueCount="325">
  <si>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</si>
  <si>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</si>
  <si>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</si>
  <si>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</si>
  <si>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</si>
  <si>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</si>
  <si>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</si>
  <si>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</si>
  <si>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</si>
  <si>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</si>
  <si>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</si>
  <si>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</si>
  <si>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</si>
  <si>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</si>
  <si>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</si>
  <si>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</si>
  <si>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</si>
  <si>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</si>
  <si>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</si>
  <si>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</si>
  <si>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</si>
  <si>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</si>
  <si>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</si>
  <si>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</si>
  <si>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</si>
  <si>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</si>
  <si>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</si>
  <si>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</si>
  <si>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</si>
  <si>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</si>
  <si>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</si>
  <si>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</si>
  <si>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</si>
  <si>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</si>
  <si>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</si>
  <si>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</si>
  <si>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</si>
  <si>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</si>
  <si>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</si>
  <si>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</si>
  <si>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</si>
  <si>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</si>
  <si>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</si>
  <si>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</si>
  <si>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</si>
  <si>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</si>
  <si>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</si>
  <si>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</si>
  <si>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</si>
  <si>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</si>
  <si>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</si>
  <si>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</si>
  <si>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</si>
  <si>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</si>
  <si>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</si>
  <si>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</si>
  <si>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</si>
  <si>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</si>
  <si>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</si>
  <si>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</si>
  <si>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</si>
  <si>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</si>
  <si>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</si>
  <si>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</si>
  <si>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</si>
  <si>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</si>
  <si>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</si>
  <si>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</si>
  <si>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</si>
  <si>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</si>
  <si>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</si>
  <si>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</si>
  <si>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</si>
  <si>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</si>
  <si>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</si>
  <si>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</si>
  <si>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</si>
  <si>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</si>
  <si>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</si>
  <si>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</si>
  <si>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</si>
  <si>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</si>
  <si>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</si>
  <si>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</si>
  <si>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</si>
  <si>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</si>
  <si>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</si>
  <si>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</si>
  <si>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</si>
  <si>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</si>
  <si>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</si>
  <si>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</si>
  <si>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</si>
  <si>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</si>
  <si>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</si>
  <si>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</si>
  <si>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</si>
  <si>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</si>
  <si>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</si>
  <si>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</si>
  <si>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</si>
  <si>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</si>
  <si>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</si>
  <si>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</si>
  <si>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</si>
  <si>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</si>
  <si>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</si>
  <si>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</si>
  <si>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</si>
  <si>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</si>
  <si>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</si>
  <si>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</si>
  <si>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</si>
  <si>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</si>
  <si>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</si>
  <si>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</si>
  <si>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</si>
  <si>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</si>
  <si>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</si>
  <si>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</si>
  <si>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</si>
  <si>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</si>
  <si>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</si>
  <si>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</si>
  <si>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</si>
  <si>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</si>
  <si>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</si>
  <si>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</si>
  <si>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</si>
  <si>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</si>
  <si>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</si>
  <si>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</si>
  <si>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</si>
  <si>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</si>
  <si>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</si>
  <si>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</si>
  <si>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</si>
  <si>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</si>
  <si>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</si>
  <si>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</si>
  <si>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</si>
  <si>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</si>
  <si>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</si>
  <si>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</si>
  <si>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</si>
  <si>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</si>
  <si>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</si>
  <si>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</si>
  <si>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</si>
  <si>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</si>
  <si>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</si>
  <si>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</si>
  <si>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</si>
  <si>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</si>
  <si>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</si>
  <si>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</si>
  <si>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</si>
  <si>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</si>
  <si>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</si>
  <si>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</si>
  <si>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</si>
  <si>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</si>
  <si>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</si>
  <si>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</si>
  <si>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</si>
  <si>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</si>
  <si>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</si>
  <si>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</si>
  <si>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</si>
  <si>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</si>
  <si>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</si>
  <si>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</si>
  <si>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</si>
  <si>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</si>
  <si>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</si>
  <si>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</si>
  <si>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</si>
  <si>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</si>
  <si>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</si>
  <si>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</si>
  <si>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</si>
  <si>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</si>
  <si>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</si>
  <si>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</si>
  <si>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</si>
  <si>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</si>
  <si>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</si>
  <si>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</si>
  <si>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</si>
  <si>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</si>
  <si>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</si>
  <si>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</si>
  <si>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</si>
  <si>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</si>
  <si>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</si>
  <si>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</si>
  <si>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</si>
  <si>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</si>
  <si>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</si>
  <si>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</si>
  <si>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</si>
  <si>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</si>
  <si>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</si>
  <si>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</si>
  <si>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</si>
  <si>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</si>
  <si>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</si>
  <si>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</si>
  <si>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 PUERTA PRINCIPAL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</si>
  <si>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</si>
  <si>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</si>
  <si>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</si>
  <si>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</si>
  <si>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</si>
  <si>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</si>
  <si>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</si>
  <si>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>APOYO PUERTA URGENCIAS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</si>
  <si>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</si>
  <si>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</si>
  <si>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</si>
  <si>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</si>
  <si>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</si>
  <si>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</si>
  <si>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</si>
  <si>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</si>
  <si>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</si>
  <si>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</si>
  <si>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</si>
  <si>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</si>
  <si>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</si>
  <si>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</si>
  <si>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</si>
  <si>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</si>
  <si>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</si>
  <si>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</si>
  <si>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</si>
  <si>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</si>
  <si>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</si>
  <si>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</si>
  <si>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</si>
  <si>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</si>
  <si>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</si>
  <si>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</si>
  <si>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</si>
  <si>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</si>
  <si>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</si>
  <si>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</si>
  <si>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</si>
  <si>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</si>
  <si>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</si>
  <si>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</si>
  <si>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</si>
  <si>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</si>
  <si>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</si>
  <si>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</si>
  <si>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>CDS 1 BOSTON PUERTA PRINCIPAL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</si>
  <si>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</si>
  <si>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</si>
  <si>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</si>
  <si>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</si>
  <si>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</si>
  <si>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</si>
  <si>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</si>
  <si>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</si>
  <si>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</si>
  <si>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</si>
  <si>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</si>
  <si>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</si>
  <si>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</si>
  <si>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</si>
  <si>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</si>
  <si>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</si>
  <si>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</si>
  <si>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CAPILLA 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</si>
  <si>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</si>
  <si>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</si>
  <si>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</si>
  <si>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</si>
  <si>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</si>
  <si>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</si>
  <si>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</si>
  <si>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</si>
  <si>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</si>
  <si>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</si>
  <si>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</si>
  <si>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</si>
  <si>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</si>
  <si>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</si>
  <si>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</si>
  <si>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</si>
  <si>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</si>
  <si>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</si>
  <si>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</si>
  <si>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</si>
  <si>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</si>
  <si>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</si>
  <si>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</si>
  <si>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</si>
  <si>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</si>
  <si>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</si>
  <si>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</si>
  <si>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</si>
  <si>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</si>
  <si>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</si>
  <si>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</si>
  <si>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</si>
  <si>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</si>
  <si>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</si>
  <si>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</si>
  <si>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</si>
  <si>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</si>
  <si>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</si>
  <si>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</si>
  <si>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</si>
  <si>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</si>
  <si>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</si>
  <si>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</si>
  <si>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>HOSPITAL PEDIATRICO TINTAL-CIRUGIA</t>
  </si>
  <si>
    <t xml:space="preserve">PABLO VI  - RECORREDOR PABLOVI-ADMINISTRATIVA-FARMACIA  </t>
  </si>
  <si>
    <t xml:space="preserve">CENTRO DE SALUD TINTAL- CDS RECORREDOR PISO </t>
  </si>
  <si>
    <t>CDS 29</t>
  </si>
  <si>
    <r>
      <t xml:space="preserve">HOSPITAL PEDIATRICO TINTAL-CIRUGIA </t>
    </r>
    <r>
      <rPr>
        <sz val="8"/>
        <color rgb="FFFF0000"/>
        <rFont val="Arial"/>
        <family val="2"/>
      </rPr>
      <t>(LUNES- MARTES -JUEVES (2-3-6-7-9-10-14-16-17-20-21-23-24-27-28-30-31)</t>
    </r>
  </si>
  <si>
    <t>PRESTACION SERVICIO DE VIGILANCIA A PARTIR DEL 1 DE  AL 30 DE  NOVIEMBRE DE 2025</t>
  </si>
  <si>
    <t>CARBONELL DESCANSOS GUARDA DE PLANTA DEL 25 AL 31 OTUBRE 2025 (6 NOCHES) (15-16-17 PERMISO REMUNERADO)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</si>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</sst>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_-;\-* #,##0.00_-;_-* &quot;-&quot;_-;_-@_-"/>
    <numFmt numFmtId="167" formatCode="_(&quot;$&quot;\ * #,##0_);_(&quot;$&quot;\ * \(#,##0\);_(&quot;$&quot;\ * &quot;-&quot;??_);_(@_)"/>
    <numFmt numFmtId="168" formatCode="_-* #,##0_-;\-* #,##0_-;_-* &quot;-&quot;??_-;_-@_-"/>
    <numFmt numFmtId="169" formatCode="_-&quot;$&quot;* #,##0_-;\-&quot;$&quot;* #,##0_-;_-&quot;$&quot;* &quot;-&quot;??_-;_-@_-"/>
    <numFmt numFmtId="170" formatCode="_-* #,##0.00_-;\-* #,##0.00_-;_-* &quot;-&quot;_-;_-@"/>
    <numFmt numFmtId="171" formatCode="&quot;$&quot;\ #,##0"/>
    <numFmt numFmtId="172" formatCode="_-* #,##0_-;\-* #,##0_-;_-* &quot;-&quot;_-;_-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7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6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7" fontId="5" fillId="3" borderId="3" xfId="2" applyNumberFormat="1" applyFont="1" applyFill="1" applyBorder="1" applyAlignment="1">
      <alignment horizontal="center" vertical="center"/>
    </xf>
    <xf numFmtId="166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7" fontId="0" fillId="0" borderId="0" xfId="0" applyNumberFormat="1"/>
    <xf numFmtId="41" fontId="0" fillId="0" borderId="0" xfId="1" applyFont="1"/>
    <xf numFmtId="41" fontId="0" fillId="0" borderId="0" xfId="0" applyNumberFormat="1"/>
    <xf numFmtId="0" fontId="4" fillId="2" borderId="7" xfId="0" applyFont="1" applyFill="1" applyBorder="1"/>
    <xf numFmtId="165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6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7" fontId="4" fillId="0" borderId="3" xfId="2" applyNumberFormat="1" applyFont="1" applyFill="1" applyBorder="1" applyAlignment="1">
      <alignment horizontal="center" vertical="center"/>
    </xf>
    <xf numFmtId="166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7" fontId="5" fillId="0" borderId="3" xfId="2" applyNumberFormat="1" applyFont="1" applyFill="1" applyBorder="1" applyAlignment="1">
      <alignment horizontal="center" vertical="center"/>
    </xf>
    <xf numFmtId="166" fontId="0" fillId="0" borderId="0" xfId="0" applyNumberFormat="1"/>
    <xf numFmtId="0" fontId="4" fillId="0" borderId="6" xfId="0" applyFont="1" applyBorder="1" applyAlignment="1">
      <alignment horizontal="center"/>
    </xf>
    <xf numFmtId="166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6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7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41" fontId="0" fillId="4" borderId="0" xfId="1" applyFont="1" applyFill="1"/>
    <xf numFmtId="43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6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7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8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43" fontId="0" fillId="0" borderId="0" xfId="4" applyFont="1"/>
    <xf numFmtId="168" fontId="0" fillId="0" borderId="0" xfId="0" applyNumberFormat="1"/>
    <xf numFmtId="0" fontId="4" fillId="0" borderId="0" xfId="0" applyFont="1" applyAlignment="1">
      <alignment horizontal="left"/>
    </xf>
    <xf numFmtId="168" fontId="0" fillId="0" borderId="0" xfId="4" applyNumberFormat="1" applyFont="1" applyFill="1" applyBorder="1"/>
    <xf numFmtId="41" fontId="0" fillId="5" borderId="0" xfId="1" applyFont="1" applyFill="1"/>
    <xf numFmtId="168" fontId="0" fillId="5" borderId="0" xfId="4" applyNumberFormat="1" applyFont="1" applyFill="1"/>
    <xf numFmtId="166" fontId="0" fillId="5" borderId="0" xfId="0" applyNumberFormat="1" applyFill="1"/>
    <xf numFmtId="43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6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7" fontId="5" fillId="5" borderId="3" xfId="2" applyNumberFormat="1" applyFont="1" applyFill="1" applyBorder="1" applyAlignment="1">
      <alignment horizontal="center" vertical="center"/>
    </xf>
    <xf numFmtId="41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6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7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7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43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6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69" fontId="0" fillId="0" borderId="0" xfId="2" applyNumberFormat="1" applyFont="1"/>
    <xf numFmtId="169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13" fillId="0" borderId="0" xfId="0" applyFont="1" applyFill="1"/>
    <xf numFmtId="0" fontId="14" fillId="0" borderId="1" xfId="0" applyFont="1" applyFill="1" applyBorder="1"/>
    <xf numFmtId="0" fontId="13" fillId="0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7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indent="1"/>
    </xf>
    <xf numFmtId="167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172" fontId="5" fillId="0" borderId="1" xfId="0" applyNumberFormat="1" applyFont="1" applyFill="1" applyBorder="1" applyAlignment="1">
      <alignment horizontal="left" vertical="center" indent="1"/>
    </xf>
    <xf numFmtId="167" fontId="8" fillId="0" borderId="0" xfId="0" applyNumberFormat="1" applyFont="1" applyFill="1" applyAlignment="1">
      <alignment horizontal="left" indent="1"/>
    </xf>
    <xf numFmtId="0" fontId="5" fillId="0" borderId="1" xfId="0" applyFont="1" applyFill="1" applyBorder="1" applyAlignment="1">
      <alignment horizontal="left" vertical="justify" wrapText="1" indent="1"/>
    </xf>
    <xf numFmtId="0" fontId="2" fillId="11" borderId="1" xfId="0" applyFont="1" applyFill="1" applyBorder="1" applyAlignment="1">
      <alignment horizontal="left" vertical="center" wrapText="1" indent="1"/>
    </xf>
    <xf numFmtId="167" fontId="2" fillId="11" borderId="1" xfId="0" applyNumberFormat="1" applyFont="1" applyFill="1" applyBorder="1" applyAlignment="1">
      <alignment horizontal="left" vertical="center" wrapText="1" indent="1"/>
    </xf>
    <xf numFmtId="172" fontId="4" fillId="0" borderId="1" xfId="0" applyNumberFormat="1" applyFont="1" applyFill="1" applyBorder="1" applyAlignment="1">
      <alignment horizontal="left" vertical="center" indent="1"/>
    </xf>
    <xf numFmtId="9" fontId="4" fillId="0" borderId="1" xfId="3" applyFont="1" applyFill="1" applyBorder="1" applyAlignment="1">
      <alignment horizontal="left" vertical="center" indent="1"/>
    </xf>
    <xf numFmtId="167" fontId="4" fillId="0" borderId="1" xfId="2" applyNumberFormat="1" applyFont="1" applyFill="1" applyBorder="1" applyAlignment="1">
      <alignment horizontal="left" vertical="center" indent="1"/>
    </xf>
    <xf numFmtId="169" fontId="8" fillId="0" borderId="1" xfId="2" applyNumberFormat="1" applyFont="1" applyFill="1" applyBorder="1" applyAlignment="1">
      <alignment horizontal="left" indent="1"/>
    </xf>
    <xf numFmtId="170" fontId="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wrapText="1" indent="1"/>
    </xf>
    <xf numFmtId="167" fontId="0" fillId="0" borderId="1" xfId="0" applyNumberFormat="1" applyFill="1" applyBorder="1" applyAlignment="1">
      <alignment horizontal="left" indent="1"/>
    </xf>
    <xf numFmtId="0" fontId="0" fillId="0" borderId="0" xfId="0" applyFill="1" applyAlignment="1">
      <alignment horizontal="left" indent="1"/>
    </xf>
    <xf numFmtId="0" fontId="8" fillId="0" borderId="1" xfId="0" applyFont="1" applyFill="1" applyBorder="1" applyAlignment="1">
      <alignment horizontal="left" wrapText="1" indent="1"/>
    </xf>
    <xf numFmtId="167" fontId="0" fillId="0" borderId="0" xfId="0" applyNumberFormat="1" applyAlignment="1">
      <alignment horizontal="left" indent="1"/>
    </xf>
    <xf numFmtId="0" fontId="0" fillId="0" borderId="1" xfId="0" applyFill="1" applyBorder="1" applyAlignment="1">
      <alignment horizontal="left" wrapText="1" indent="1"/>
    </xf>
    <xf numFmtId="0" fontId="14" fillId="0" borderId="1" xfId="0" applyFont="1" applyFill="1" applyBorder="1" applyAlignment="1">
      <alignment horizontal="left" wrapText="1" indent="1"/>
    </xf>
    <xf numFmtId="0" fontId="13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11" borderId="29" xfId="0" applyFont="1" applyFill="1" applyBorder="1" applyAlignment="1">
      <alignment horizontal="left" vertical="center" wrapText="1" indent="1"/>
    </xf>
    <xf numFmtId="164" fontId="2" fillId="11" borderId="1" xfId="0" applyNumberFormat="1" applyFont="1" applyFill="1" applyBorder="1" applyAlignment="1">
      <alignment horizontal="left" vertical="center" wrapText="1" indent="1"/>
    </xf>
    <xf numFmtId="16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Fill="1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7" fontId="2" fillId="11" borderId="2" xfId="0" applyNumberFormat="1" applyFont="1" applyFill="1" applyBorder="1" applyAlignment="1">
      <alignment horizontal="left" vertical="center" wrapText="1" indent="1"/>
    </xf>
    <xf numFmtId="167" fontId="2" fillId="11" borderId="28" xfId="0" applyNumberFormat="1" applyFont="1" applyFill="1" applyBorder="1" applyAlignment="1">
      <alignment horizontal="left" vertical="center" wrapText="1" indent="1"/>
    </xf>
    <xf numFmtId="167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7" fontId="2" fillId="0" borderId="0" xfId="0" applyNumberFormat="1" applyFont="1" applyAlignment="1">
      <alignment horizontal="left" vertical="center" wrapText="1" indent="1"/>
    </xf>
    <xf numFmtId="172" fontId="2" fillId="0" borderId="0" xfId="0" applyNumberFormat="1" applyFont="1" applyAlignment="1">
      <alignment horizontal="left" vertical="center" wrapText="1" indent="1"/>
    </xf>
    <xf numFmtId="167" fontId="12" fillId="0" borderId="0" xfId="0" applyNumberFormat="1" applyFont="1" applyAlignment="1">
      <alignment horizontal="left" vertical="center" wrapText="1" indent="1"/>
    </xf>
    <xf numFmtId="167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1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2" fontId="0" fillId="0" borderId="0" xfId="4" applyNumberFormat="1" applyFont="1" applyAlignment="1">
      <alignment horizontal="left" indent="1"/>
    </xf>
    <xf numFmtId="43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2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2" fillId="11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7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7" fontId="2" fillId="11" borderId="2" xfId="0" applyNumberFormat="1" applyFont="1" applyFill="1" applyBorder="1" applyAlignment="1">
      <alignment horizontal="center" vertical="center" wrapText="1"/>
    </xf>
    <xf numFmtId="167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 wrapText="1"/>
    </xf>
    <xf numFmtId="168" fontId="0" fillId="0" borderId="0" xfId="4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2" fillId="12" borderId="1" xfId="0" applyNumberFormat="1" applyFont="1" applyFill="1" applyBorder="1" applyAlignment="1">
      <alignment horizontal="center" vertical="center" wrapText="1"/>
    </xf>
    <xf numFmtId="169" fontId="4" fillId="0" borderId="1" xfId="2" applyNumberFormat="1" applyFont="1" applyFill="1" applyBorder="1" applyAlignment="1">
      <alignment horizontal="left" vertical="center" indent="1"/>
    </xf>
    <xf numFmtId="169" fontId="2" fillId="11" borderId="2" xfId="2" applyNumberFormat="1" applyFont="1" applyFill="1" applyBorder="1" applyAlignment="1">
      <alignment horizontal="left" vertical="center" wrapText="1" indent="1"/>
    </xf>
    <xf numFmtId="169" fontId="5" fillId="0" borderId="1" xfId="2" applyNumberFormat="1" applyFont="1" applyFill="1" applyBorder="1" applyAlignment="1">
      <alignment horizontal="left" vertical="center" indent="1"/>
    </xf>
    <xf numFmtId="169" fontId="2" fillId="11" borderId="1" xfId="2" applyNumberFormat="1" applyFont="1" applyFill="1" applyBorder="1" applyAlignment="1">
      <alignment horizontal="left" vertical="center" wrapText="1" indent="1"/>
    </xf>
    <xf numFmtId="169" fontId="0" fillId="0" borderId="0" xfId="2" applyNumberFormat="1" applyFont="1" applyAlignment="1">
      <alignment horizontal="left" indent="1"/>
    </xf>
    <xf numFmtId="169" fontId="2" fillId="0" borderId="0" xfId="2" applyNumberFormat="1" applyFont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center" vertical="center" wrapText="1"/>
    </xf>
    <xf numFmtId="169" fontId="2" fillId="11" borderId="2" xfId="2" applyNumberFormat="1" applyFont="1" applyFill="1" applyBorder="1" applyAlignment="1">
      <alignment horizontal="center" vertical="center" wrapText="1"/>
    </xf>
    <xf numFmtId="169" fontId="0" fillId="0" borderId="1" xfId="2" applyNumberFormat="1" applyFont="1" applyFill="1" applyBorder="1" applyAlignment="1">
      <alignment horizontal="left" indent="1"/>
    </xf>
    <xf numFmtId="169" fontId="2" fillId="12" borderId="1" xfId="2" applyNumberFormat="1" applyFont="1" applyFill="1" applyBorder="1" applyAlignment="1">
      <alignment horizontal="left" vertical="center" wrapText="1" indent="1"/>
    </xf>
    <xf numFmtId="0" fontId="0" fillId="4" borderId="0" xfId="0" applyFill="1"/>
    <xf numFmtId="0" fontId="5" fillId="4" borderId="1" xfId="0" applyFont="1" applyFill="1" applyBorder="1"/>
    <xf numFmtId="0" fontId="5" fillId="4" borderId="1" xfId="0" applyFont="1" applyFill="1" applyBorder="1" applyAlignment="1">
      <alignment horizontal="left" wrapText="1" indent="1"/>
    </xf>
    <xf numFmtId="0" fontId="5" fillId="4" borderId="1" xfId="0" applyFont="1" applyFill="1" applyBorder="1" applyAlignment="1">
      <alignment horizontal="center"/>
    </xf>
    <xf numFmtId="172" fontId="4" fillId="4" borderId="1" xfId="0" applyNumberFormat="1" applyFont="1" applyFill="1" applyBorder="1" applyAlignment="1">
      <alignment horizontal="left" vertical="center" indent="1"/>
    </xf>
    <xf numFmtId="9" fontId="4" fillId="4" borderId="1" xfId="3" applyFont="1" applyFill="1" applyBorder="1" applyAlignment="1">
      <alignment horizontal="left" vertical="center" indent="1"/>
    </xf>
    <xf numFmtId="169" fontId="4" fillId="4" borderId="1" xfId="2" applyNumberFormat="1" applyFont="1" applyFill="1" applyBorder="1" applyAlignment="1">
      <alignment horizontal="left" vertical="center" indent="1"/>
    </xf>
    <xf numFmtId="167" fontId="4" fillId="4" borderId="1" xfId="2" applyNumberFormat="1" applyFont="1" applyFill="1" applyBorder="1" applyAlignment="1">
      <alignment horizontal="left" vertical="center" indent="1"/>
    </xf>
    <xf numFmtId="167" fontId="5" fillId="4" borderId="1" xfId="2" applyNumberFormat="1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/>
    </xf>
    <xf numFmtId="169" fontId="8" fillId="4" borderId="1" xfId="2" applyNumberFormat="1" applyFont="1" applyFill="1" applyBorder="1" applyAlignment="1">
      <alignment horizontal="left" indent="1"/>
    </xf>
    <xf numFmtId="167" fontId="8" fillId="4" borderId="1" xfId="0" applyNumberFormat="1" applyFont="1" applyFill="1" applyBorder="1" applyAlignment="1">
      <alignment horizontal="left" indent="1"/>
    </xf>
    <xf numFmtId="0" fontId="8" fillId="4" borderId="0" xfId="0" applyFont="1" applyFill="1"/>
    <xf numFmtId="0" fontId="5" fillId="4" borderId="1" xfId="0" applyFont="1" applyFill="1" applyBorder="1" applyAlignment="1">
      <alignment horizontal="left" vertical="center" indent="1"/>
    </xf>
    <xf numFmtId="0" fontId="13" fillId="4" borderId="0" xfId="0" applyFont="1" applyFill="1"/>
    <xf numFmtId="0" fontId="14" fillId="4" borderId="1" xfId="0" applyFont="1" applyFill="1" applyBorder="1"/>
    <xf numFmtId="0" fontId="14" fillId="4" borderId="1" xfId="0" applyFont="1" applyFill="1" applyBorder="1" applyAlignment="1">
      <alignment horizontal="left" vertical="center" inden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172" fontId="14" fillId="4" borderId="1" xfId="0" applyNumberFormat="1" applyFont="1" applyFill="1" applyBorder="1" applyAlignment="1">
      <alignment horizontal="left" vertical="center" indent="1"/>
    </xf>
    <xf numFmtId="9" fontId="14" fillId="4" borderId="1" xfId="3" applyFont="1" applyFill="1" applyBorder="1" applyAlignment="1">
      <alignment horizontal="left" vertical="center" indent="1"/>
    </xf>
    <xf numFmtId="169" fontId="14" fillId="4" borderId="1" xfId="2" applyNumberFormat="1" applyFont="1" applyFill="1" applyBorder="1" applyAlignment="1">
      <alignment horizontal="left" vertical="center" indent="1"/>
    </xf>
    <xf numFmtId="167" fontId="14" fillId="4" borderId="1" xfId="2" applyNumberFormat="1" applyFont="1" applyFill="1" applyBorder="1" applyAlignment="1">
      <alignment horizontal="left" vertical="center" indent="1"/>
    </xf>
    <xf numFmtId="0" fontId="13" fillId="4" borderId="1" xfId="0" applyFont="1" applyFill="1" applyBorder="1" applyAlignment="1">
      <alignment horizontal="center"/>
    </xf>
    <xf numFmtId="169" fontId="13" fillId="4" borderId="1" xfId="2" applyNumberFormat="1" applyFont="1" applyFill="1" applyBorder="1" applyAlignment="1">
      <alignment horizontal="left" indent="1"/>
    </xf>
    <xf numFmtId="167" fontId="13" fillId="4" borderId="1" xfId="0" applyNumberFormat="1" applyFont="1" applyFill="1" applyBorder="1" applyAlignment="1">
      <alignment horizontal="left" inden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indent="1"/>
    </xf>
    <xf numFmtId="172" fontId="5" fillId="4" borderId="1" xfId="0" applyNumberFormat="1" applyFont="1" applyFill="1" applyBorder="1" applyAlignment="1">
      <alignment horizontal="left" vertical="center" indent="1"/>
    </xf>
    <xf numFmtId="9" fontId="5" fillId="4" borderId="1" xfId="3" applyFont="1" applyFill="1" applyBorder="1" applyAlignment="1">
      <alignment horizontal="left" vertical="center" indent="1"/>
    </xf>
    <xf numFmtId="169" fontId="5" fillId="4" borderId="1" xfId="2" applyNumberFormat="1" applyFont="1" applyFill="1" applyBorder="1" applyAlignment="1">
      <alignment horizontal="left" vertical="center" indent="1"/>
    </xf>
    <xf numFmtId="0" fontId="0" fillId="13" borderId="0" xfId="0" applyFill="1"/>
    <xf numFmtId="0" fontId="5" fillId="13" borderId="1" xfId="0" applyFont="1" applyFill="1" applyBorder="1"/>
    <xf numFmtId="0" fontId="8" fillId="13" borderId="1" xfId="0" applyFont="1" applyFill="1" applyBorder="1" applyAlignment="1">
      <alignment horizontal="left" wrapText="1" indent="1"/>
    </xf>
    <xf numFmtId="0" fontId="5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left" wrapText="1" indent="1"/>
    </xf>
    <xf numFmtId="172" fontId="4" fillId="13" borderId="1" xfId="0" applyNumberFormat="1" applyFont="1" applyFill="1" applyBorder="1" applyAlignment="1">
      <alignment horizontal="left" vertical="center" indent="1"/>
    </xf>
    <xf numFmtId="9" fontId="4" fillId="13" borderId="1" xfId="3" applyFont="1" applyFill="1" applyBorder="1" applyAlignment="1">
      <alignment horizontal="left" vertical="center" indent="1"/>
    </xf>
    <xf numFmtId="169" fontId="4" fillId="13" borderId="1" xfId="2" applyNumberFormat="1" applyFont="1" applyFill="1" applyBorder="1" applyAlignment="1">
      <alignment horizontal="left" vertical="center" indent="1"/>
    </xf>
    <xf numFmtId="167" fontId="4" fillId="13" borderId="1" xfId="2" applyNumberFormat="1" applyFont="1" applyFill="1" applyBorder="1" applyAlignment="1">
      <alignment horizontal="left" vertical="center" indent="1"/>
    </xf>
    <xf numFmtId="167" fontId="5" fillId="13" borderId="1" xfId="2" applyNumberFormat="1" applyFont="1" applyFill="1" applyBorder="1" applyAlignment="1">
      <alignment horizontal="left" vertical="center" indent="1"/>
    </xf>
    <xf numFmtId="0" fontId="8" fillId="13" borderId="1" xfId="0" applyFont="1" applyFill="1" applyBorder="1" applyAlignment="1">
      <alignment horizontal="center"/>
    </xf>
    <xf numFmtId="169" fontId="8" fillId="13" borderId="1" xfId="2" applyNumberFormat="1" applyFont="1" applyFill="1" applyBorder="1" applyAlignment="1">
      <alignment horizontal="left" indent="1"/>
    </xf>
    <xf numFmtId="167" fontId="8" fillId="13" borderId="1" xfId="0" applyNumberFormat="1" applyFont="1" applyFill="1" applyBorder="1" applyAlignment="1">
      <alignment horizontal="left" indent="1"/>
    </xf>
    <xf numFmtId="0" fontId="8" fillId="13" borderId="0" xfId="0" applyFont="1" applyFill="1"/>
    <xf numFmtId="172" fontId="5" fillId="13" borderId="1" xfId="0" applyNumberFormat="1" applyFont="1" applyFill="1" applyBorder="1" applyAlignment="1">
      <alignment horizontal="left" vertical="center" indent="1"/>
    </xf>
    <xf numFmtId="9" fontId="5" fillId="13" borderId="1" xfId="3" applyFont="1" applyFill="1" applyBorder="1" applyAlignment="1">
      <alignment horizontal="left" vertical="center" indent="1"/>
    </xf>
    <xf numFmtId="169" fontId="5" fillId="13" borderId="1" xfId="2" applyNumberFormat="1" applyFont="1" applyFill="1" applyBorder="1" applyAlignment="1">
      <alignment horizontal="left" vertical="center" indent="1"/>
    </xf>
    <xf numFmtId="0" fontId="0" fillId="14" borderId="0" xfId="0" applyFill="1"/>
    <xf numFmtId="0" fontId="5" fillId="14" borderId="1" xfId="0" applyFont="1" applyFill="1" applyBorder="1"/>
    <xf numFmtId="0" fontId="8" fillId="14" borderId="1" xfId="0" applyFont="1" applyFill="1" applyBorder="1" applyAlignment="1">
      <alignment horizontal="left" vertical="center" wrapText="1" indent="1"/>
    </xf>
    <xf numFmtId="0" fontId="5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left" wrapText="1" indent="1"/>
    </xf>
    <xf numFmtId="172" fontId="4" fillId="14" borderId="1" xfId="0" applyNumberFormat="1" applyFont="1" applyFill="1" applyBorder="1" applyAlignment="1">
      <alignment horizontal="left" vertical="center" indent="1"/>
    </xf>
    <xf numFmtId="9" fontId="4" fillId="14" borderId="1" xfId="3" applyFont="1" applyFill="1" applyBorder="1" applyAlignment="1">
      <alignment horizontal="left" vertical="center" indent="1"/>
    </xf>
    <xf numFmtId="169" fontId="4" fillId="14" borderId="1" xfId="2" applyNumberFormat="1" applyFont="1" applyFill="1" applyBorder="1" applyAlignment="1">
      <alignment horizontal="left" vertical="center" indent="1"/>
    </xf>
    <xf numFmtId="167" fontId="4" fillId="14" borderId="1" xfId="2" applyNumberFormat="1" applyFont="1" applyFill="1" applyBorder="1" applyAlignment="1">
      <alignment horizontal="left" vertical="center" indent="1"/>
    </xf>
    <xf numFmtId="167" fontId="5" fillId="14" borderId="1" xfId="2" applyNumberFormat="1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center"/>
    </xf>
    <xf numFmtId="169" fontId="8" fillId="14" borderId="1" xfId="2" applyNumberFormat="1" applyFont="1" applyFill="1" applyBorder="1" applyAlignment="1">
      <alignment horizontal="left" indent="1"/>
    </xf>
    <xf numFmtId="167" fontId="8" fillId="14" borderId="1" xfId="0" applyNumberFormat="1" applyFont="1" applyFill="1" applyBorder="1" applyAlignment="1">
      <alignment horizontal="left" indent="1"/>
    </xf>
    <xf numFmtId="0" fontId="8" fillId="14" borderId="0" xfId="0" applyFont="1" applyFill="1"/>
    <xf numFmtId="172" fontId="5" fillId="14" borderId="1" xfId="0" applyNumberFormat="1" applyFont="1" applyFill="1" applyBorder="1" applyAlignment="1">
      <alignment horizontal="left" vertical="center" indent="1"/>
    </xf>
    <xf numFmtId="9" fontId="5" fillId="14" borderId="1" xfId="3" applyFont="1" applyFill="1" applyBorder="1" applyAlignment="1">
      <alignment horizontal="left" vertical="center" indent="1"/>
    </xf>
    <xf numFmtId="169" fontId="5" fillId="14" borderId="1" xfId="2" applyNumberFormat="1" applyFont="1" applyFill="1" applyBorder="1" applyAlignment="1">
      <alignment horizontal="left" vertical="center" indent="1"/>
    </xf>
    <xf numFmtId="0" fontId="0" fillId="15" borderId="0" xfId="0" applyFill="1"/>
    <xf numFmtId="0" fontId="5" fillId="15" borderId="1" xfId="0" applyFont="1" applyFill="1" applyBorder="1"/>
    <xf numFmtId="0" fontId="5" fillId="15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left" wrapText="1" indent="1"/>
    </xf>
    <xf numFmtId="172" fontId="5" fillId="15" borderId="1" xfId="0" applyNumberFormat="1" applyFont="1" applyFill="1" applyBorder="1" applyAlignment="1">
      <alignment horizontal="left" vertical="center" indent="1"/>
    </xf>
    <xf numFmtId="9" fontId="5" fillId="15" borderId="1" xfId="3" applyFont="1" applyFill="1" applyBorder="1" applyAlignment="1">
      <alignment horizontal="left" vertical="center" indent="1"/>
    </xf>
    <xf numFmtId="169" fontId="5" fillId="15" borderId="1" xfId="2" applyNumberFormat="1" applyFont="1" applyFill="1" applyBorder="1" applyAlignment="1">
      <alignment horizontal="left" vertical="center" indent="1"/>
    </xf>
    <xf numFmtId="167" fontId="5" fillId="15" borderId="1" xfId="2" applyNumberFormat="1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center"/>
    </xf>
    <xf numFmtId="169" fontId="8" fillId="15" borderId="1" xfId="2" applyNumberFormat="1" applyFont="1" applyFill="1" applyBorder="1" applyAlignment="1">
      <alignment horizontal="left" indent="1"/>
    </xf>
    <xf numFmtId="167" fontId="8" fillId="15" borderId="1" xfId="0" applyNumberFormat="1" applyFont="1" applyFill="1" applyBorder="1" applyAlignment="1">
      <alignment horizontal="left" indent="1"/>
    </xf>
    <xf numFmtId="0" fontId="8" fillId="15" borderId="0" xfId="0" applyFont="1" applyFill="1"/>
    <xf numFmtId="0" fontId="0" fillId="16" borderId="0" xfId="0" applyFill="1"/>
    <xf numFmtId="0" fontId="5" fillId="16" borderId="1" xfId="0" applyFont="1" applyFill="1" applyBorder="1"/>
    <xf numFmtId="0" fontId="8" fillId="16" borderId="1" xfId="0" applyFont="1" applyFill="1" applyBorder="1" applyAlignment="1">
      <alignment horizontal="left" wrapText="1" indent="1"/>
    </xf>
    <xf numFmtId="0" fontId="5" fillId="16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left" wrapText="1" indent="1"/>
    </xf>
    <xf numFmtId="172" fontId="5" fillId="16" borderId="1" xfId="0" applyNumberFormat="1" applyFont="1" applyFill="1" applyBorder="1" applyAlignment="1">
      <alignment horizontal="left" vertical="center" indent="1"/>
    </xf>
    <xf numFmtId="9" fontId="5" fillId="16" borderId="1" xfId="3" applyFont="1" applyFill="1" applyBorder="1" applyAlignment="1">
      <alignment horizontal="left" vertical="center" indent="1"/>
    </xf>
    <xf numFmtId="169" fontId="5" fillId="16" borderId="1" xfId="2" applyNumberFormat="1" applyFont="1" applyFill="1" applyBorder="1" applyAlignment="1">
      <alignment horizontal="left" vertical="center" indent="1"/>
    </xf>
    <xf numFmtId="167" fontId="5" fillId="16" borderId="1" xfId="2" applyNumberFormat="1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center"/>
    </xf>
    <xf numFmtId="169" fontId="8" fillId="16" borderId="1" xfId="2" applyNumberFormat="1" applyFont="1" applyFill="1" applyBorder="1" applyAlignment="1">
      <alignment horizontal="left" indent="1"/>
    </xf>
    <xf numFmtId="167" fontId="8" fillId="16" borderId="1" xfId="0" applyNumberFormat="1" applyFont="1" applyFill="1" applyBorder="1" applyAlignment="1">
      <alignment horizontal="left" indent="1"/>
    </xf>
    <xf numFmtId="0" fontId="8" fillId="16" borderId="0" xfId="0" applyFont="1" applyFill="1"/>
    <xf numFmtId="172" fontId="4" fillId="15" borderId="1" xfId="0" applyNumberFormat="1" applyFont="1" applyFill="1" applyBorder="1" applyAlignment="1">
      <alignment horizontal="left" vertical="center" indent="1"/>
    </xf>
    <xf numFmtId="9" fontId="4" fillId="15" borderId="1" xfId="3" applyFont="1" applyFill="1" applyBorder="1" applyAlignment="1">
      <alignment horizontal="left" vertical="center" indent="1"/>
    </xf>
    <xf numFmtId="169" fontId="4" fillId="15" borderId="1" xfId="2" applyNumberFormat="1" applyFont="1" applyFill="1" applyBorder="1" applyAlignment="1">
      <alignment horizontal="left" vertical="center" indent="1"/>
    </xf>
    <xf numFmtId="167" fontId="4" fillId="15" borderId="1" xfId="2" applyNumberFormat="1" applyFont="1" applyFill="1" applyBorder="1" applyAlignment="1">
      <alignment horizontal="left" vertical="center" indent="1"/>
    </xf>
    <xf numFmtId="0" fontId="4" fillId="15" borderId="1" xfId="0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left" wrapText="1" indent="1"/>
    </xf>
    <xf numFmtId="0" fontId="0" fillId="15" borderId="1" xfId="0" applyFill="1" applyBorder="1" applyAlignment="1">
      <alignment horizontal="center"/>
    </xf>
    <xf numFmtId="167" fontId="0" fillId="15" borderId="1" xfId="0" applyNumberFormat="1" applyFill="1" applyBorder="1" applyAlignment="1">
      <alignment horizontal="left" indent="1"/>
    </xf>
    <xf numFmtId="0" fontId="5" fillId="15" borderId="1" xfId="0" applyFont="1" applyFill="1" applyBorder="1" applyAlignment="1">
      <alignment horizontal="left" wrapText="1"/>
    </xf>
    <xf numFmtId="0" fontId="5" fillId="15" borderId="1" xfId="0" applyFont="1" applyFill="1" applyBorder="1" applyAlignment="1">
      <alignment horizontal="left" indent="1"/>
    </xf>
    <xf numFmtId="0" fontId="5" fillId="17" borderId="1" xfId="0" applyFont="1" applyFill="1" applyBorder="1"/>
    <xf numFmtId="0" fontId="8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left" wrapText="1" indent="1"/>
    </xf>
    <xf numFmtId="0" fontId="5" fillId="17" borderId="1" xfId="0" applyFont="1" applyFill="1" applyBorder="1" applyAlignment="1">
      <alignment horizontal="center"/>
    </xf>
    <xf numFmtId="9" fontId="5" fillId="17" borderId="1" xfId="3" applyFont="1" applyFill="1" applyBorder="1" applyAlignment="1">
      <alignment horizontal="left" vertical="center" indent="1"/>
    </xf>
    <xf numFmtId="167" fontId="4" fillId="17" borderId="1" xfId="2" applyNumberFormat="1" applyFont="1" applyFill="1" applyBorder="1" applyAlignment="1">
      <alignment horizontal="left" vertical="center" indent="1"/>
    </xf>
    <xf numFmtId="167" fontId="5" fillId="17" borderId="1" xfId="2" applyNumberFormat="1" applyFont="1" applyFill="1" applyBorder="1" applyAlignment="1">
      <alignment horizontal="left" vertical="center" indent="1"/>
    </xf>
    <xf numFmtId="0" fontId="8" fillId="17" borderId="1" xfId="0" applyFont="1" applyFill="1" applyBorder="1" applyAlignment="1">
      <alignment horizontal="center"/>
    </xf>
    <xf numFmtId="169" fontId="8" fillId="17" borderId="1" xfId="2" applyNumberFormat="1" applyFont="1" applyFill="1" applyBorder="1" applyAlignment="1">
      <alignment horizontal="left" indent="1"/>
    </xf>
    <xf numFmtId="167" fontId="8" fillId="17" borderId="1" xfId="0" applyNumberFormat="1" applyFont="1" applyFill="1" applyBorder="1" applyAlignment="1">
      <alignment horizontal="left" indent="1"/>
    </xf>
    <xf numFmtId="0" fontId="8" fillId="17" borderId="0" xfId="0" applyFont="1" applyFill="1"/>
    <xf numFmtId="0" fontId="5" fillId="17" borderId="1" xfId="0" applyFont="1" applyFill="1" applyBorder="1" applyAlignment="1">
      <alignment horizontal="left" vertical="center" indent="1"/>
    </xf>
    <xf numFmtId="172" fontId="8" fillId="17" borderId="1" xfId="0" applyNumberFormat="1" applyFont="1" applyFill="1" applyBorder="1" applyAlignment="1">
      <alignment horizontal="left" vertical="center" wrapText="1" indent="1"/>
    </xf>
    <xf numFmtId="169" fontId="8" fillId="17" borderId="1" xfId="2" applyNumberFormat="1" applyFont="1" applyFill="1" applyBorder="1" applyAlignment="1">
      <alignment horizontal="left" vertical="center" wrapText="1" indent="1"/>
    </xf>
    <xf numFmtId="0" fontId="5" fillId="17" borderId="1" xfId="0" applyFont="1" applyFill="1" applyBorder="1" applyAlignment="1">
      <alignment horizontal="center" vertical="center"/>
    </xf>
    <xf numFmtId="172" fontId="5" fillId="17" borderId="1" xfId="0" applyNumberFormat="1" applyFont="1" applyFill="1" applyBorder="1" applyAlignment="1">
      <alignment horizontal="left" vertical="center" indent="1"/>
    </xf>
    <xf numFmtId="169" fontId="5" fillId="17" borderId="1" xfId="2" applyNumberFormat="1" applyFont="1" applyFill="1" applyBorder="1" applyAlignment="1">
      <alignment horizontal="left" vertical="center" indent="1"/>
    </xf>
    <xf numFmtId="0" fontId="8" fillId="17" borderId="1" xfId="0" applyFont="1" applyFill="1" applyBorder="1" applyAlignment="1">
      <alignment horizontal="left" wrapText="1" indent="1"/>
    </xf>
    <xf numFmtId="0" fontId="14" fillId="17" borderId="1" xfId="0" applyFont="1" applyFill="1" applyBorder="1"/>
    <xf numFmtId="0" fontId="13" fillId="17" borderId="1" xfId="0" applyFont="1" applyFill="1" applyBorder="1" applyAlignment="1">
      <alignment horizontal="left" vertical="center" wrapText="1" indent="1"/>
    </xf>
    <xf numFmtId="0" fontId="14" fillId="17" borderId="1" xfId="0" applyFont="1" applyFill="1" applyBorder="1" applyAlignment="1">
      <alignment horizontal="center"/>
    </xf>
    <xf numFmtId="0" fontId="14" fillId="17" borderId="1" xfId="0" applyFont="1" applyFill="1" applyBorder="1" applyAlignment="1">
      <alignment horizontal="left" wrapText="1" indent="1"/>
    </xf>
    <xf numFmtId="172" fontId="14" fillId="17" borderId="1" xfId="0" applyNumberFormat="1" applyFont="1" applyFill="1" applyBorder="1" applyAlignment="1">
      <alignment horizontal="left" vertical="center" indent="1"/>
    </xf>
    <xf numFmtId="9" fontId="14" fillId="17" borderId="1" xfId="3" applyFont="1" applyFill="1" applyBorder="1" applyAlignment="1">
      <alignment horizontal="left" vertical="center" indent="1"/>
    </xf>
    <xf numFmtId="169" fontId="14" fillId="17" borderId="1" xfId="2" applyNumberFormat="1" applyFont="1" applyFill="1" applyBorder="1" applyAlignment="1">
      <alignment horizontal="left" vertical="center" indent="1"/>
    </xf>
    <xf numFmtId="167" fontId="14" fillId="17" borderId="1" xfId="2" applyNumberFormat="1" applyFont="1" applyFill="1" applyBorder="1" applyAlignment="1">
      <alignment horizontal="left" vertical="center" indent="1"/>
    </xf>
    <xf numFmtId="0" fontId="13" fillId="17" borderId="1" xfId="0" applyFont="1" applyFill="1" applyBorder="1" applyAlignment="1">
      <alignment horizontal="center"/>
    </xf>
    <xf numFmtId="169" fontId="13" fillId="17" borderId="1" xfId="2" applyNumberFormat="1" applyFont="1" applyFill="1" applyBorder="1" applyAlignment="1">
      <alignment horizontal="left" indent="1"/>
    </xf>
    <xf numFmtId="167" fontId="13" fillId="17" borderId="1" xfId="0" applyNumberFormat="1" applyFont="1" applyFill="1" applyBorder="1" applyAlignment="1">
      <alignment horizontal="left" indent="1"/>
    </xf>
    <xf numFmtId="0" fontId="13" fillId="17" borderId="0" xfId="0" applyFont="1" applyFill="1"/>
    <xf numFmtId="169" fontId="8" fillId="0" borderId="0" xfId="2" applyNumberFormat="1" applyFont="1" applyFill="1" applyAlignment="1">
      <alignment horizontal="left" indent="1"/>
    </xf>
    <xf numFmtId="169" fontId="8" fillId="0" borderId="0" xfId="0" applyNumberFormat="1" applyFont="1" applyFill="1" applyAlignment="1">
      <alignment horizontal="left" indent="1"/>
    </xf>
    <xf numFmtId="167" fontId="0" fillId="0" borderId="0" xfId="0" applyNumberFormat="1" applyFill="1" applyAlignment="1">
      <alignment horizontal="left" indent="1"/>
    </xf>
    <xf numFmtId="0" fontId="13" fillId="0" borderId="1" xfId="0" applyFont="1" applyFill="1" applyBorder="1" applyAlignment="1">
      <alignment horizontal="left" wrapText="1" indent="1"/>
    </xf>
    <xf numFmtId="172" fontId="14" fillId="0" borderId="1" xfId="0" applyNumberFormat="1" applyFont="1" applyFill="1" applyBorder="1" applyAlignment="1">
      <alignment horizontal="left" vertical="center" indent="1"/>
    </xf>
    <xf numFmtId="9" fontId="14" fillId="0" borderId="1" xfId="3" applyFont="1" applyFill="1" applyBorder="1" applyAlignment="1">
      <alignment horizontal="left" vertical="center" indent="1"/>
    </xf>
    <xf numFmtId="169" fontId="14" fillId="0" borderId="1" xfId="2" applyNumberFormat="1" applyFont="1" applyFill="1" applyBorder="1" applyAlignment="1">
      <alignment horizontal="left" vertical="center" indent="1"/>
    </xf>
    <xf numFmtId="167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Fill="1" applyBorder="1" applyAlignment="1">
      <alignment horizontal="center"/>
    </xf>
    <xf numFmtId="169" fontId="13" fillId="0" borderId="1" xfId="2" applyNumberFormat="1" applyFont="1" applyFill="1" applyBorder="1" applyAlignment="1">
      <alignment horizontal="left" indent="1"/>
    </xf>
    <xf numFmtId="167" fontId="13" fillId="0" borderId="1" xfId="0" applyNumberFormat="1" applyFont="1" applyFill="1" applyBorder="1" applyAlignment="1">
      <alignment horizontal="left" indent="1"/>
    </xf>
    <xf numFmtId="0" fontId="8" fillId="15" borderId="1" xfId="0" applyFont="1" applyFill="1" applyBorder="1" applyAlignment="1">
      <alignment horizontal="left" vertical="center" wrapText="1" indent="1"/>
    </xf>
    <xf numFmtId="0" fontId="8" fillId="17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0" fillId="15" borderId="0" xfId="0" applyFont="1" applyFill="1"/>
    <xf numFmtId="0" fontId="0" fillId="17" borderId="0" xfId="0" applyFont="1" applyFill="1"/>
    <xf numFmtId="172" fontId="0" fillId="17" borderId="1" xfId="0" applyNumberFormat="1" applyFont="1" applyFill="1" applyBorder="1" applyAlignment="1">
      <alignment horizontal="left" vertical="center" wrapText="1" indent="1"/>
    </xf>
    <xf numFmtId="169" fontId="1" fillId="17" borderId="1" xfId="2" applyNumberFormat="1" applyFont="1" applyFill="1" applyBorder="1" applyAlignment="1">
      <alignment horizontal="left" vertical="center" wrapText="1" inden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17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4" fillId="15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2" fontId="2" fillId="11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00"/>
      <color rgb="FFFFFFCC"/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OORDINADOR%20BOGOTA/Downloads/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7">
      <sharedItems containsSemiMixedTypes="0" containsString="0" containsNumber="1" minValue="32520.191886222219" maxValue="59052336.168064013"/>
    </cacheField>
    <cacheField name="SUBTOTAL" numFmtId="167">
      <sharedItems containsSemiMixedTypes="0" containsString="0" containsNumber="1" minValue="439022.59046399995" maxValue="797206538.2688638"/>
    </cacheField>
    <cacheField name="BASE IVA" numFmtId="167">
      <sharedItems containsSemiMixedTypes="0" containsString="0" containsNumber="1" minValue="43902.259046399995" maxValue="79720653.82688646"/>
    </cacheField>
    <cacheField name="IVA 19%" numFmtId="167">
      <sharedItems containsSemiMixedTypes="0" containsString="0" containsNumber="1" minValue="8341.4292188159998" maxValue="15146924.227108426"/>
    </cacheField>
    <cacheField name="TOTAL" numFmtId="167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7" showAll="0"/>
    <pivotField numFmtId="167" showAll="0"/>
    <pivotField numFmtId="167" showAll="0"/>
    <pivotField numFmtId="167" showAll="0"/>
    <pivotField dataField="1" numFmtId="167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222</v>
      </c>
      <c r="B3" s="80" t="s">
        <v>225</v>
      </c>
      <c r="C3" s="80" t="s">
        <v>226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223</v>
      </c>
      <c r="B17" s="80">
        <v>1188432622.1009774</v>
      </c>
      <c r="C17" s="80">
        <v>1308102018.3665683</v>
      </c>
    </row>
    <row r="18" spans="1:3" x14ac:dyDescent="0.25">
      <c r="A18" s="122" t="s">
        <v>224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E0000"/>
    <pageSetUpPr fitToPage="1"/>
  </sheetPr>
  <dimension ref="A3:AC180"/>
  <sheetViews>
    <sheetView showGridLines="0" tabSelected="1" topLeftCell="B1" zoomScaleNormal="100" zoomScaleSheetLayoutView="80" workbookViewId="0">
      <selection activeCell="Q108" sqref="Q108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hidden="1" customWidth="1"/>
    <col min="4" max="4" width="40.85546875" style="188" customWidth="1"/>
    <col min="5" max="5" width="8" style="67" customWidth="1"/>
    <col min="6" max="6" width="44.7109375" style="188" customWidth="1"/>
    <col min="7" max="7" width="10.5703125" style="67" customWidth="1"/>
    <col min="8" max="8" width="12.42578125" style="67" customWidth="1"/>
    <col min="9" max="9" width="15.7109375" style="67" hidden="1" customWidth="1"/>
    <col min="10" max="10" width="16.85546875" style="178" hidden="1" customWidth="1"/>
    <col min="11" max="11" width="9.5703125" style="143" hidden="1" customWidth="1"/>
    <col min="12" max="12" width="17.7109375" style="225" hidden="1" customWidth="1"/>
    <col min="13" max="13" width="16.85546875" style="143" hidden="1" customWidth="1"/>
    <col min="14" max="14" width="15.42578125" style="143" hidden="1" customWidth="1"/>
    <col min="15" max="15" width="18" style="143" hidden="1" customWidth="1"/>
    <col min="16" max="16" width="17.140625" style="143" customWidth="1"/>
    <col min="17" max="17" width="15.140625" style="67" bestFit="1" customWidth="1"/>
    <col min="18" max="18" width="14.28515625" style="225" customWidth="1"/>
    <col min="19" max="19" width="21.7109375" style="143" customWidth="1"/>
    <col min="20" max="20" width="15.85546875" style="167" bestFit="1" customWidth="1"/>
    <col min="21" max="23" width="11.42578125" style="133"/>
    <col min="24" max="29" width="11.42578125" style="134"/>
  </cols>
  <sheetData>
    <row r="3" spans="2:29" ht="15" customHeight="1" x14ac:dyDescent="0.25">
      <c r="B3" s="396" t="s">
        <v>227</v>
      </c>
      <c r="C3" s="396"/>
      <c r="D3" s="396"/>
      <c r="E3" s="396"/>
      <c r="F3" s="396"/>
      <c r="G3" s="396"/>
      <c r="H3" s="396"/>
      <c r="I3" s="396"/>
      <c r="J3" s="397"/>
      <c r="K3" s="396"/>
      <c r="L3" s="396"/>
      <c r="M3" s="396"/>
      <c r="N3" s="396"/>
      <c r="O3" s="396"/>
      <c r="P3" s="396"/>
      <c r="Q3" s="394"/>
      <c r="R3" s="394"/>
      <c r="S3" s="394" t="s">
        <v>310</v>
      </c>
    </row>
    <row r="4" spans="2:29" ht="27" customHeight="1" x14ac:dyDescent="0.25">
      <c r="B4" s="396" t="s">
        <v>1</v>
      </c>
      <c r="C4" s="396"/>
      <c r="D4" s="396"/>
      <c r="E4" s="396"/>
      <c r="F4" s="396"/>
      <c r="G4" s="396"/>
      <c r="H4" s="396"/>
      <c r="I4" s="396"/>
      <c r="J4" s="397"/>
      <c r="K4" s="396"/>
      <c r="L4" s="396"/>
      <c r="M4" s="396"/>
      <c r="N4" s="396"/>
      <c r="O4" s="396"/>
      <c r="P4" s="396"/>
      <c r="Q4" s="395"/>
      <c r="R4" s="395"/>
      <c r="S4" s="395"/>
    </row>
    <row r="5" spans="2:29" x14ac:dyDescent="0.25">
      <c r="B5" s="396" t="s">
        <v>322</v>
      </c>
      <c r="C5" s="396"/>
      <c r="D5" s="396"/>
      <c r="E5" s="396"/>
      <c r="F5" s="396"/>
      <c r="G5" s="396"/>
      <c r="H5" s="396"/>
      <c r="I5" s="396"/>
      <c r="J5" s="397"/>
      <c r="K5" s="396"/>
      <c r="L5" s="396"/>
      <c r="M5" s="396"/>
      <c r="N5" s="396"/>
      <c r="O5" s="396"/>
      <c r="P5" s="396"/>
      <c r="Q5" s="394"/>
      <c r="R5" s="394"/>
      <c r="S5" s="394"/>
    </row>
    <row r="6" spans="2:29" x14ac:dyDescent="0.25">
      <c r="B6" s="124"/>
      <c r="C6" s="124"/>
      <c r="D6" s="144"/>
      <c r="E6" s="124"/>
      <c r="F6" s="144"/>
      <c r="G6" s="124"/>
      <c r="H6" s="124"/>
      <c r="I6" s="124"/>
      <c r="J6" s="145"/>
      <c r="K6" s="144"/>
      <c r="L6" s="222"/>
      <c r="M6" s="144"/>
      <c r="N6" s="144"/>
      <c r="O6" s="144"/>
      <c r="P6" s="144"/>
      <c r="Q6" s="124"/>
      <c r="R6" s="222"/>
      <c r="S6" s="144"/>
    </row>
    <row r="7" spans="2:29" s="67" customFormat="1" ht="24" customHeight="1" x14ac:dyDescent="0.25">
      <c r="B7" s="125" t="s">
        <v>2</v>
      </c>
      <c r="C7" s="125" t="s">
        <v>3</v>
      </c>
      <c r="D7" s="124" t="s">
        <v>4</v>
      </c>
      <c r="E7" s="198" t="s">
        <v>187</v>
      </c>
      <c r="F7" s="124" t="s">
        <v>6</v>
      </c>
      <c r="G7" s="124" t="s">
        <v>219</v>
      </c>
      <c r="H7" s="124" t="s">
        <v>180</v>
      </c>
      <c r="I7" s="124" t="s">
        <v>186</v>
      </c>
      <c r="J7" s="227" t="s">
        <v>8</v>
      </c>
      <c r="K7" s="124" t="s">
        <v>220</v>
      </c>
      <c r="L7" s="228" t="s">
        <v>221</v>
      </c>
      <c r="M7" s="124" t="s">
        <v>10</v>
      </c>
      <c r="N7" s="124" t="s">
        <v>11</v>
      </c>
      <c r="O7" s="124" t="s">
        <v>12</v>
      </c>
      <c r="P7" s="124" t="s">
        <v>13</v>
      </c>
      <c r="Q7" s="125" t="s">
        <v>311</v>
      </c>
      <c r="R7" s="228" t="s">
        <v>312</v>
      </c>
      <c r="S7" s="124" t="s">
        <v>313</v>
      </c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s="137" customFormat="1" x14ac:dyDescent="0.25">
      <c r="B8" s="381"/>
      <c r="C8" s="135" t="s">
        <v>227</v>
      </c>
      <c r="D8" s="216" t="s">
        <v>89</v>
      </c>
      <c r="E8" s="199">
        <v>1</v>
      </c>
      <c r="F8" s="148" t="s">
        <v>16</v>
      </c>
      <c r="G8" s="199">
        <v>1</v>
      </c>
      <c r="H8" s="199">
        <v>30</v>
      </c>
      <c r="I8" s="199">
        <v>30</v>
      </c>
      <c r="J8" s="154">
        <f>+(((((1423500*9.53+1659)*55.97%)/15*12)/30)*I8)*E8</f>
        <v>6075034.8446399998</v>
      </c>
      <c r="K8" s="149">
        <v>0.08</v>
      </c>
      <c r="L8" s="223">
        <f t="shared" ref="L8:L27" si="0">J8*K8</f>
        <v>486002.78757119999</v>
      </c>
      <c r="M8" s="150">
        <f t="shared" ref="M8:M27" si="1">J8+L8</f>
        <v>6561037.6322112</v>
      </c>
      <c r="N8" s="150">
        <f t="shared" ref="N8:N26" si="2">M8*10%</f>
        <v>656103.76322112</v>
      </c>
      <c r="O8" s="150">
        <f t="shared" ref="O8:O26" si="3">+N8*19%</f>
        <v>124659.71501201281</v>
      </c>
      <c r="P8" s="150">
        <f>M8+O8</f>
        <v>6685697.3472232129</v>
      </c>
      <c r="Q8" s="218"/>
      <c r="R8" s="162"/>
      <c r="S8" s="152">
        <f>P8-R8</f>
        <v>6685697.3472232129</v>
      </c>
      <c r="T8" s="153"/>
      <c r="U8" s="136"/>
      <c r="V8" s="136"/>
      <c r="W8" s="136"/>
    </row>
    <row r="9" spans="2:29" s="137" customFormat="1" x14ac:dyDescent="0.25">
      <c r="B9" s="381"/>
      <c r="C9" s="135" t="s">
        <v>227</v>
      </c>
      <c r="D9" s="148" t="s">
        <v>90</v>
      </c>
      <c r="E9" s="199">
        <v>1</v>
      </c>
      <c r="F9" s="148" t="s">
        <v>15</v>
      </c>
      <c r="G9" s="199">
        <v>1</v>
      </c>
      <c r="H9" s="199">
        <v>30</v>
      </c>
      <c r="I9" s="199">
        <v>30</v>
      </c>
      <c r="J9" s="154">
        <f>+(((1423500*9.53+1659)/30)*I9)*E9</f>
        <v>13567614</v>
      </c>
      <c r="K9" s="149">
        <v>0.08</v>
      </c>
      <c r="L9" s="223">
        <f t="shared" si="0"/>
        <v>1085409.1200000001</v>
      </c>
      <c r="M9" s="150">
        <f t="shared" si="1"/>
        <v>14653023.120000001</v>
      </c>
      <c r="N9" s="150">
        <f t="shared" si="2"/>
        <v>1465302.3120000002</v>
      </c>
      <c r="O9" s="150">
        <f t="shared" si="3"/>
        <v>278407.43928000005</v>
      </c>
      <c r="P9" s="150">
        <f t="shared" ref="P9:P26" si="4">M9+O9</f>
        <v>14931430.559280001</v>
      </c>
      <c r="Q9" s="218"/>
      <c r="R9" s="162"/>
      <c r="S9" s="152">
        <f t="shared" ref="S9:S73" si="5">P9-R9</f>
        <v>14931430.559280001</v>
      </c>
      <c r="T9" s="153"/>
      <c r="U9" s="136"/>
      <c r="V9" s="136"/>
      <c r="W9" s="136"/>
    </row>
    <row r="10" spans="2:29" s="137" customFormat="1" x14ac:dyDescent="0.25">
      <c r="B10" s="381"/>
      <c r="C10" s="135" t="s">
        <v>227</v>
      </c>
      <c r="D10" s="148" t="s">
        <v>122</v>
      </c>
      <c r="E10" s="199">
        <v>1</v>
      </c>
      <c r="F10" s="148" t="s">
        <v>16</v>
      </c>
      <c r="G10" s="199">
        <v>1</v>
      </c>
      <c r="H10" s="199">
        <v>30</v>
      </c>
      <c r="I10" s="199">
        <v>30</v>
      </c>
      <c r="J10" s="154">
        <f>+(((((1423500*9.53+1659)*55.97%)/15*12)/30)*I10)*E10</f>
        <v>6075034.8446399998</v>
      </c>
      <c r="K10" s="149">
        <v>0.08</v>
      </c>
      <c r="L10" s="223">
        <f t="shared" si="0"/>
        <v>486002.78757119999</v>
      </c>
      <c r="M10" s="150">
        <f t="shared" si="1"/>
        <v>6561037.6322112</v>
      </c>
      <c r="N10" s="150">
        <f t="shared" si="2"/>
        <v>656103.76322112</v>
      </c>
      <c r="O10" s="150">
        <f t="shared" si="3"/>
        <v>124659.71501201281</v>
      </c>
      <c r="P10" s="150">
        <f>M10+O10</f>
        <v>6685697.3472232129</v>
      </c>
      <c r="Q10" s="218">
        <v>6</v>
      </c>
      <c r="R10" s="162">
        <f>P10/30*Q10</f>
        <v>1337139.4694446425</v>
      </c>
      <c r="S10" s="152">
        <f t="shared" si="5"/>
        <v>5348557.8777785702</v>
      </c>
      <c r="T10" s="153"/>
      <c r="U10" s="136"/>
      <c r="V10" s="136"/>
      <c r="W10" s="136"/>
    </row>
    <row r="11" spans="2:29" s="137" customFormat="1" ht="29.25" customHeight="1" x14ac:dyDescent="0.25">
      <c r="B11" s="381"/>
      <c r="C11" s="135" t="s">
        <v>227</v>
      </c>
      <c r="D11" s="216" t="s">
        <v>316</v>
      </c>
      <c r="E11" s="199">
        <v>1</v>
      </c>
      <c r="F11" s="148" t="s">
        <v>17</v>
      </c>
      <c r="G11" s="199">
        <v>1</v>
      </c>
      <c r="H11" s="199">
        <v>30</v>
      </c>
      <c r="I11" s="199">
        <v>24</v>
      </c>
      <c r="J11" s="154">
        <f>+(((((1423500*9.53+1659)*55.97%)/15*12)/30)*I11)*E11</f>
        <v>4860027.8757119998</v>
      </c>
      <c r="K11" s="149">
        <v>0.08</v>
      </c>
      <c r="L11" s="223">
        <f t="shared" ref="L11" si="6">J11*K11</f>
        <v>388802.23005696002</v>
      </c>
      <c r="M11" s="150">
        <f t="shared" ref="M11" si="7">J11+L11</f>
        <v>5248830.10576896</v>
      </c>
      <c r="N11" s="150">
        <f t="shared" ref="N11" si="8">M11*10%</f>
        <v>524883.01057689602</v>
      </c>
      <c r="O11" s="150">
        <f t="shared" ref="O11" si="9">+N11*19%</f>
        <v>99727.772009610242</v>
      </c>
      <c r="P11" s="150">
        <f t="shared" ref="P11" si="10">M11+O11</f>
        <v>5348557.8777785702</v>
      </c>
      <c r="Q11" s="218"/>
      <c r="R11" s="162"/>
      <c r="S11" s="152">
        <f t="shared" ref="S11" si="11">P11-R11</f>
        <v>5348557.8777785702</v>
      </c>
      <c r="T11" s="155"/>
      <c r="U11" s="136"/>
      <c r="V11" s="136"/>
      <c r="W11" s="136"/>
    </row>
    <row r="12" spans="2:29" s="137" customFormat="1" x14ac:dyDescent="0.25">
      <c r="B12" s="381"/>
      <c r="C12" s="135" t="s">
        <v>227</v>
      </c>
      <c r="D12" s="148" t="s">
        <v>181</v>
      </c>
      <c r="E12" s="199">
        <v>1</v>
      </c>
      <c r="F12" s="148" t="s">
        <v>15</v>
      </c>
      <c r="G12" s="199">
        <v>1</v>
      </c>
      <c r="H12" s="199">
        <v>30</v>
      </c>
      <c r="I12" s="199">
        <v>30</v>
      </c>
      <c r="J12" s="154">
        <f>+(((1423500*9.53+1659)/30)*I12)*E12</f>
        <v>13567614</v>
      </c>
      <c r="K12" s="149">
        <v>0.08</v>
      </c>
      <c r="L12" s="223">
        <f t="shared" si="0"/>
        <v>1085409.1200000001</v>
      </c>
      <c r="M12" s="150">
        <f t="shared" si="1"/>
        <v>14653023.120000001</v>
      </c>
      <c r="N12" s="150">
        <f t="shared" si="2"/>
        <v>1465302.3120000002</v>
      </c>
      <c r="O12" s="150">
        <f t="shared" si="3"/>
        <v>278407.43928000005</v>
      </c>
      <c r="P12" s="150">
        <f t="shared" si="4"/>
        <v>14931430.559280001</v>
      </c>
      <c r="Q12" s="218"/>
      <c r="R12" s="162"/>
      <c r="S12" s="152">
        <f t="shared" si="5"/>
        <v>14931430.559280001</v>
      </c>
      <c r="T12" s="153"/>
      <c r="U12" s="136"/>
      <c r="V12" s="136"/>
      <c r="W12" s="136"/>
    </row>
    <row r="13" spans="2:29" s="137" customFormat="1" ht="26.25" x14ac:dyDescent="0.25">
      <c r="B13" s="381"/>
      <c r="C13" s="135" t="s">
        <v>227</v>
      </c>
      <c r="D13" s="148" t="s">
        <v>318</v>
      </c>
      <c r="E13" s="199">
        <v>1</v>
      </c>
      <c r="F13" s="148" t="s">
        <v>17</v>
      </c>
      <c r="G13" s="199">
        <v>1</v>
      </c>
      <c r="H13" s="199">
        <v>30</v>
      </c>
      <c r="I13" s="199">
        <v>24</v>
      </c>
      <c r="J13" s="154">
        <f>+(((((1423500*9.53+1659)*55.97%)/15*12)/30)*I13)*E13</f>
        <v>4860027.8757119998</v>
      </c>
      <c r="K13" s="149">
        <v>0.08</v>
      </c>
      <c r="L13" s="223">
        <f t="shared" si="0"/>
        <v>388802.23005696002</v>
      </c>
      <c r="M13" s="150">
        <f t="shared" si="1"/>
        <v>5248830.10576896</v>
      </c>
      <c r="N13" s="150">
        <f t="shared" si="2"/>
        <v>524883.01057689602</v>
      </c>
      <c r="O13" s="150">
        <f t="shared" si="3"/>
        <v>99727.772009610242</v>
      </c>
      <c r="P13" s="150">
        <f t="shared" si="4"/>
        <v>5348557.8777785702</v>
      </c>
      <c r="Q13" s="218"/>
      <c r="R13" s="162"/>
      <c r="S13" s="152">
        <f t="shared" si="5"/>
        <v>5348557.8777785702</v>
      </c>
      <c r="T13" s="153"/>
      <c r="U13" s="136"/>
      <c r="V13" s="136"/>
      <c r="W13" s="136"/>
    </row>
    <row r="14" spans="2:29" s="137" customFormat="1" x14ac:dyDescent="0.25">
      <c r="B14" s="381"/>
      <c r="C14" s="135" t="s">
        <v>227</v>
      </c>
      <c r="D14" s="382" t="s">
        <v>236</v>
      </c>
      <c r="E14" s="199">
        <v>1</v>
      </c>
      <c r="F14" s="148" t="s">
        <v>16</v>
      </c>
      <c r="G14" s="199">
        <v>1</v>
      </c>
      <c r="H14" s="199">
        <v>30</v>
      </c>
      <c r="I14" s="199">
        <v>30</v>
      </c>
      <c r="J14" s="154">
        <f>+(((((1423500*9.53+1659)*55.97%)/15*12)/30)*I14)*E14</f>
        <v>6075034.8446399998</v>
      </c>
      <c r="K14" s="149">
        <v>0.08</v>
      </c>
      <c r="L14" s="223">
        <f t="shared" si="0"/>
        <v>486002.78757119999</v>
      </c>
      <c r="M14" s="150">
        <f t="shared" si="1"/>
        <v>6561037.6322112</v>
      </c>
      <c r="N14" s="150">
        <f t="shared" si="2"/>
        <v>656103.76322112</v>
      </c>
      <c r="O14" s="150">
        <f t="shared" si="3"/>
        <v>124659.71501201281</v>
      </c>
      <c r="P14" s="150">
        <f>M14+O14</f>
        <v>6685697.3472232129</v>
      </c>
      <c r="Q14" s="218"/>
      <c r="R14" s="162"/>
      <c r="S14" s="152">
        <f t="shared" si="5"/>
        <v>6685697.3472232129</v>
      </c>
      <c r="T14" s="153"/>
      <c r="U14" s="136"/>
      <c r="V14" s="136"/>
      <c r="W14" s="136"/>
    </row>
    <row r="15" spans="2:29" s="137" customFormat="1" ht="26.25" x14ac:dyDescent="0.25">
      <c r="B15" s="381"/>
      <c r="C15" s="135" t="s">
        <v>227</v>
      </c>
      <c r="D15" s="382"/>
      <c r="E15" s="199">
        <v>1</v>
      </c>
      <c r="F15" s="148" t="s">
        <v>19</v>
      </c>
      <c r="G15" s="199">
        <v>1</v>
      </c>
      <c r="H15" s="199">
        <v>30</v>
      </c>
      <c r="I15" s="199">
        <v>24</v>
      </c>
      <c r="J15" s="154">
        <f>+(((((1423500*9.53+1659)*55.97%)/15*14)/30)*I15)*E15</f>
        <v>5670032.5216639992</v>
      </c>
      <c r="K15" s="149">
        <v>0.08</v>
      </c>
      <c r="L15" s="223">
        <f t="shared" si="0"/>
        <v>453602.60173311993</v>
      </c>
      <c r="M15" s="150">
        <f t="shared" si="1"/>
        <v>6123635.1233971193</v>
      </c>
      <c r="N15" s="150">
        <f t="shared" si="2"/>
        <v>612363.512339712</v>
      </c>
      <c r="O15" s="150">
        <f t="shared" si="3"/>
        <v>116349.06734454528</v>
      </c>
      <c r="P15" s="150">
        <f>M15+O15</f>
        <v>6239984.1907416647</v>
      </c>
      <c r="Q15" s="218"/>
      <c r="R15" s="162"/>
      <c r="S15" s="152">
        <f t="shared" si="5"/>
        <v>6239984.1907416647</v>
      </c>
      <c r="T15" s="153"/>
      <c r="U15" s="136"/>
      <c r="V15" s="136"/>
      <c r="W15" s="136"/>
    </row>
    <row r="16" spans="2:29" s="137" customFormat="1" x14ac:dyDescent="0.25">
      <c r="B16" s="381"/>
      <c r="C16" s="135" t="s">
        <v>227</v>
      </c>
      <c r="D16" s="156" t="s">
        <v>235</v>
      </c>
      <c r="E16" s="199">
        <v>1</v>
      </c>
      <c r="F16" s="148" t="s">
        <v>16</v>
      </c>
      <c r="G16" s="199">
        <v>1</v>
      </c>
      <c r="H16" s="199">
        <v>30</v>
      </c>
      <c r="I16" s="199">
        <v>30</v>
      </c>
      <c r="J16" s="154">
        <f>+(((((1423500*9.53+1659)*55.97%)/15*12)/30)*I16)*E16</f>
        <v>6075034.8446399998</v>
      </c>
      <c r="K16" s="149">
        <v>0.08</v>
      </c>
      <c r="L16" s="223">
        <f t="shared" si="0"/>
        <v>486002.78757119999</v>
      </c>
      <c r="M16" s="150">
        <f t="shared" si="1"/>
        <v>6561037.6322112</v>
      </c>
      <c r="N16" s="150">
        <f t="shared" si="2"/>
        <v>656103.76322112</v>
      </c>
      <c r="O16" s="150">
        <f t="shared" si="3"/>
        <v>124659.71501201281</v>
      </c>
      <c r="P16" s="150">
        <f t="shared" si="4"/>
        <v>6685697.3472232129</v>
      </c>
      <c r="Q16" s="218"/>
      <c r="R16" s="162"/>
      <c r="S16" s="152">
        <f t="shared" si="5"/>
        <v>6685697.3472232129</v>
      </c>
      <c r="T16" s="153"/>
      <c r="U16" s="136"/>
      <c r="V16" s="136"/>
      <c r="W16" s="136"/>
    </row>
    <row r="17" spans="1:29" s="137" customFormat="1" x14ac:dyDescent="0.25">
      <c r="B17" s="381"/>
      <c r="C17" s="135" t="s">
        <v>227</v>
      </c>
      <c r="D17" s="148" t="s">
        <v>233</v>
      </c>
      <c r="E17" s="199">
        <v>1</v>
      </c>
      <c r="F17" s="148" t="s">
        <v>16</v>
      </c>
      <c r="G17" s="199">
        <v>1</v>
      </c>
      <c r="H17" s="199">
        <v>30</v>
      </c>
      <c r="I17" s="199">
        <v>30</v>
      </c>
      <c r="J17" s="154">
        <f>+(((((1423500*9.53+1659)*55.97%)/15*12)/30)*I17)*E17</f>
        <v>6075034.8446399998</v>
      </c>
      <c r="K17" s="149">
        <v>0.08</v>
      </c>
      <c r="L17" s="223">
        <f t="shared" si="0"/>
        <v>486002.78757119999</v>
      </c>
      <c r="M17" s="150">
        <f t="shared" si="1"/>
        <v>6561037.6322112</v>
      </c>
      <c r="N17" s="150">
        <f t="shared" si="2"/>
        <v>656103.76322112</v>
      </c>
      <c r="O17" s="150">
        <f t="shared" si="3"/>
        <v>124659.71501201281</v>
      </c>
      <c r="P17" s="150">
        <f t="shared" si="4"/>
        <v>6685697.3472232129</v>
      </c>
      <c r="Q17" s="218"/>
      <c r="R17" s="162"/>
      <c r="S17" s="152">
        <f t="shared" si="5"/>
        <v>6685697.3472232129</v>
      </c>
      <c r="T17" s="153"/>
      <c r="U17" s="136"/>
      <c r="V17" s="136"/>
      <c r="W17" s="136"/>
    </row>
    <row r="18" spans="1:29" s="137" customFormat="1" x14ac:dyDescent="0.25">
      <c r="B18" s="381"/>
      <c r="C18" s="135" t="s">
        <v>227</v>
      </c>
      <c r="D18" s="382" t="s">
        <v>234</v>
      </c>
      <c r="E18" s="199">
        <v>1</v>
      </c>
      <c r="F18" s="148" t="s">
        <v>15</v>
      </c>
      <c r="G18" s="199">
        <v>1</v>
      </c>
      <c r="H18" s="199">
        <v>30</v>
      </c>
      <c r="I18" s="199">
        <v>30</v>
      </c>
      <c r="J18" s="154">
        <f>+(((1423500*9.53+1659)/30)*I18)*E18</f>
        <v>13567614</v>
      </c>
      <c r="K18" s="149">
        <v>0.08</v>
      </c>
      <c r="L18" s="223">
        <f t="shared" ref="L18" si="12">J18*K18</f>
        <v>1085409.1200000001</v>
      </c>
      <c r="M18" s="150">
        <f t="shared" ref="M18" si="13">J18+L18</f>
        <v>14653023.120000001</v>
      </c>
      <c r="N18" s="150">
        <f t="shared" ref="N18" si="14">M18*10%</f>
        <v>1465302.3120000002</v>
      </c>
      <c r="O18" s="150">
        <f t="shared" ref="O18" si="15">+N18*19%</f>
        <v>278407.43928000005</v>
      </c>
      <c r="P18" s="150">
        <f t="shared" ref="P18" si="16">M18+O18</f>
        <v>14931430.559280001</v>
      </c>
      <c r="Q18" s="218"/>
      <c r="R18" s="162"/>
      <c r="S18" s="152">
        <f t="shared" si="5"/>
        <v>14931430.559280001</v>
      </c>
      <c r="T18" s="153"/>
      <c r="U18" s="136"/>
      <c r="V18" s="136"/>
      <c r="W18" s="136"/>
    </row>
    <row r="19" spans="1:29" s="137" customFormat="1" ht="21.75" customHeight="1" x14ac:dyDescent="0.25">
      <c r="B19" s="381"/>
      <c r="C19" s="135" t="s">
        <v>227</v>
      </c>
      <c r="D19" s="382"/>
      <c r="E19" s="199">
        <v>1</v>
      </c>
      <c r="F19" s="148" t="s">
        <v>21</v>
      </c>
      <c r="G19" s="199">
        <v>1</v>
      </c>
      <c r="H19" s="199">
        <v>30</v>
      </c>
      <c r="I19" s="199">
        <v>24</v>
      </c>
      <c r="J19" s="154">
        <f>+(((((1423500*9.53+1659)*55.97%)/15*8)/30)*I19)*E19</f>
        <v>3240018.5838080002</v>
      </c>
      <c r="K19" s="149">
        <v>0.08</v>
      </c>
      <c r="L19" s="223">
        <f t="shared" si="0"/>
        <v>259201.48670464003</v>
      </c>
      <c r="M19" s="150">
        <f t="shared" si="1"/>
        <v>3499220.0705126403</v>
      </c>
      <c r="N19" s="150">
        <f t="shared" si="2"/>
        <v>349922.00705126405</v>
      </c>
      <c r="O19" s="150">
        <f t="shared" si="3"/>
        <v>66485.181339740171</v>
      </c>
      <c r="P19" s="150">
        <f t="shared" si="4"/>
        <v>3565705.2518523806</v>
      </c>
      <c r="Q19" s="218"/>
      <c r="R19" s="162"/>
      <c r="S19" s="152">
        <f t="shared" si="5"/>
        <v>3565705.2518523806</v>
      </c>
      <c r="T19" s="153"/>
      <c r="U19" s="136"/>
      <c r="V19" s="136"/>
      <c r="W19" s="136"/>
    </row>
    <row r="20" spans="1:29" s="137" customFormat="1" ht="26.25" x14ac:dyDescent="0.25">
      <c r="B20" s="381"/>
      <c r="C20" s="135" t="s">
        <v>227</v>
      </c>
      <c r="D20" s="148" t="s">
        <v>232</v>
      </c>
      <c r="E20" s="199">
        <v>1</v>
      </c>
      <c r="F20" s="148" t="s">
        <v>19</v>
      </c>
      <c r="G20" s="199">
        <v>1</v>
      </c>
      <c r="H20" s="199">
        <v>30</v>
      </c>
      <c r="I20" s="199">
        <v>24</v>
      </c>
      <c r="J20" s="154">
        <f>+(((((1423500*9.53+1659)*55.97%)/15*14)/30)*I20)*E20</f>
        <v>5670032.5216639992</v>
      </c>
      <c r="K20" s="149">
        <v>0.08</v>
      </c>
      <c r="L20" s="223">
        <f t="shared" si="0"/>
        <v>453602.60173311993</v>
      </c>
      <c r="M20" s="150">
        <f t="shared" si="1"/>
        <v>6123635.1233971193</v>
      </c>
      <c r="N20" s="150">
        <f t="shared" si="2"/>
        <v>612363.512339712</v>
      </c>
      <c r="O20" s="150">
        <f t="shared" si="3"/>
        <v>116349.06734454528</v>
      </c>
      <c r="P20" s="150">
        <f t="shared" si="4"/>
        <v>6239984.1907416647</v>
      </c>
      <c r="Q20" s="218"/>
      <c r="R20" s="162"/>
      <c r="S20" s="152">
        <f t="shared" si="5"/>
        <v>6239984.1907416647</v>
      </c>
      <c r="T20" s="153"/>
      <c r="U20" s="136"/>
      <c r="V20" s="136"/>
      <c r="W20" s="136"/>
    </row>
    <row r="21" spans="1:29" s="137" customFormat="1" x14ac:dyDescent="0.25">
      <c r="B21" s="381"/>
      <c r="C21" s="135" t="s">
        <v>227</v>
      </c>
      <c r="D21" s="148" t="s">
        <v>138</v>
      </c>
      <c r="E21" s="199">
        <v>1</v>
      </c>
      <c r="F21" s="148" t="s">
        <v>15</v>
      </c>
      <c r="G21" s="199">
        <v>1</v>
      </c>
      <c r="H21" s="199">
        <v>30</v>
      </c>
      <c r="I21" s="199">
        <v>30</v>
      </c>
      <c r="J21" s="154">
        <f>+(((1423500*9.53+1659)/30)*I21)*E21</f>
        <v>13567614</v>
      </c>
      <c r="K21" s="149">
        <v>0.08</v>
      </c>
      <c r="L21" s="223">
        <f t="shared" si="0"/>
        <v>1085409.1200000001</v>
      </c>
      <c r="M21" s="150">
        <f t="shared" si="1"/>
        <v>14653023.120000001</v>
      </c>
      <c r="N21" s="150">
        <f t="shared" si="2"/>
        <v>1465302.3120000002</v>
      </c>
      <c r="O21" s="150">
        <f t="shared" si="3"/>
        <v>278407.43928000005</v>
      </c>
      <c r="P21" s="150">
        <f t="shared" si="4"/>
        <v>14931430.559280001</v>
      </c>
      <c r="Q21" s="218"/>
      <c r="R21" s="162"/>
      <c r="S21" s="152">
        <f t="shared" si="5"/>
        <v>14931430.559280001</v>
      </c>
      <c r="T21" s="153"/>
      <c r="U21" s="136"/>
      <c r="V21" s="136"/>
      <c r="W21" s="136"/>
    </row>
    <row r="22" spans="1:29" s="137" customFormat="1" ht="25.5" x14ac:dyDescent="0.25">
      <c r="B22" s="381"/>
      <c r="C22" s="135" t="s">
        <v>227</v>
      </c>
      <c r="D22" s="216" t="s">
        <v>303</v>
      </c>
      <c r="E22" s="199">
        <v>1</v>
      </c>
      <c r="F22" s="148" t="s">
        <v>15</v>
      </c>
      <c r="G22" s="199">
        <v>1</v>
      </c>
      <c r="H22" s="199">
        <v>30</v>
      </c>
      <c r="I22" s="199">
        <v>30</v>
      </c>
      <c r="J22" s="154">
        <f>+(((1423500*9.53+1659)/30)*I22)*E22</f>
        <v>13567614</v>
      </c>
      <c r="K22" s="149">
        <v>0.08</v>
      </c>
      <c r="L22" s="223">
        <f t="shared" si="0"/>
        <v>1085409.1200000001</v>
      </c>
      <c r="M22" s="150">
        <f t="shared" si="1"/>
        <v>14653023.120000001</v>
      </c>
      <c r="N22" s="150">
        <f t="shared" si="2"/>
        <v>1465302.3120000002</v>
      </c>
      <c r="O22" s="150">
        <f t="shared" si="3"/>
        <v>278407.43928000005</v>
      </c>
      <c r="P22" s="150">
        <f t="shared" si="4"/>
        <v>14931430.559280001</v>
      </c>
      <c r="Q22" s="218"/>
      <c r="R22" s="162"/>
      <c r="S22" s="152">
        <f t="shared" si="5"/>
        <v>14931430.559280001</v>
      </c>
      <c r="T22" s="153"/>
      <c r="U22" s="136"/>
      <c r="V22" s="136"/>
      <c r="W22" s="136"/>
    </row>
    <row r="23" spans="1:29" s="137" customFormat="1" ht="25.5" x14ac:dyDescent="0.25">
      <c r="B23" s="381"/>
      <c r="C23" s="135" t="s">
        <v>227</v>
      </c>
      <c r="D23" s="216" t="s">
        <v>304</v>
      </c>
      <c r="E23" s="199">
        <v>1</v>
      </c>
      <c r="F23" s="148" t="s">
        <v>15</v>
      </c>
      <c r="G23" s="199">
        <v>1</v>
      </c>
      <c r="H23" s="199">
        <v>30</v>
      </c>
      <c r="I23" s="199">
        <v>30</v>
      </c>
      <c r="J23" s="154">
        <f>+(((1423500*9.53+1659)/30)*I23)*E23</f>
        <v>13567614</v>
      </c>
      <c r="K23" s="149">
        <v>0.08</v>
      </c>
      <c r="L23" s="223">
        <f t="shared" si="0"/>
        <v>1085409.1200000001</v>
      </c>
      <c r="M23" s="150">
        <f t="shared" si="1"/>
        <v>14653023.120000001</v>
      </c>
      <c r="N23" s="150">
        <f t="shared" si="2"/>
        <v>1465302.3120000002</v>
      </c>
      <c r="O23" s="150">
        <f t="shared" si="3"/>
        <v>278407.43928000005</v>
      </c>
      <c r="P23" s="150">
        <f t="shared" si="4"/>
        <v>14931430.559280001</v>
      </c>
      <c r="Q23" s="218"/>
      <c r="R23" s="162"/>
      <c r="S23" s="152">
        <f t="shared" si="5"/>
        <v>14931430.559280001</v>
      </c>
      <c r="T23" s="153"/>
      <c r="U23" s="136"/>
      <c r="V23" s="136"/>
      <c r="W23" s="136"/>
    </row>
    <row r="24" spans="1:29" s="137" customFormat="1" ht="25.5" x14ac:dyDescent="0.25">
      <c r="B24" s="381"/>
      <c r="C24" s="135" t="s">
        <v>227</v>
      </c>
      <c r="D24" s="216" t="s">
        <v>305</v>
      </c>
      <c r="E24" s="199">
        <v>1</v>
      </c>
      <c r="F24" s="148" t="s">
        <v>16</v>
      </c>
      <c r="G24" s="199">
        <v>1</v>
      </c>
      <c r="H24" s="199">
        <v>30</v>
      </c>
      <c r="I24" s="199">
        <v>30</v>
      </c>
      <c r="J24" s="154">
        <f>+(((((1423500*9.53+1659)*55.97%)/15*12)/30)*I24)*E24</f>
        <v>6075034.8446399998</v>
      </c>
      <c r="K24" s="149">
        <v>0.08</v>
      </c>
      <c r="L24" s="223">
        <f t="shared" si="0"/>
        <v>486002.78757119999</v>
      </c>
      <c r="M24" s="150">
        <f t="shared" si="1"/>
        <v>6561037.6322112</v>
      </c>
      <c r="N24" s="150">
        <f t="shared" si="2"/>
        <v>656103.76322112</v>
      </c>
      <c r="O24" s="150">
        <f t="shared" si="3"/>
        <v>124659.71501201281</v>
      </c>
      <c r="P24" s="150">
        <f t="shared" si="4"/>
        <v>6685697.3472232129</v>
      </c>
      <c r="Q24" s="218"/>
      <c r="R24" s="162"/>
      <c r="S24" s="152">
        <f t="shared" si="5"/>
        <v>6685697.3472232129</v>
      </c>
      <c r="T24" s="153"/>
      <c r="U24" s="136"/>
      <c r="V24" s="136"/>
      <c r="W24" s="136"/>
    </row>
    <row r="25" spans="1:29" s="137" customFormat="1" ht="29.25" customHeight="1" x14ac:dyDescent="0.25">
      <c r="B25" s="381"/>
      <c r="C25" s="135" t="s">
        <v>227</v>
      </c>
      <c r="D25" s="216" t="s">
        <v>306</v>
      </c>
      <c r="E25" s="199">
        <v>1</v>
      </c>
      <c r="F25" s="148" t="s">
        <v>17</v>
      </c>
      <c r="G25" s="199">
        <v>1</v>
      </c>
      <c r="H25" s="199">
        <v>30</v>
      </c>
      <c r="I25" s="199">
        <v>24</v>
      </c>
      <c r="J25" s="154">
        <f>+(((((1423500*9.53+1659)*55.97%)/15*12)/30)*I25)*E25</f>
        <v>4860027.8757119998</v>
      </c>
      <c r="K25" s="149">
        <v>0.08</v>
      </c>
      <c r="L25" s="223">
        <f t="shared" si="0"/>
        <v>388802.23005696002</v>
      </c>
      <c r="M25" s="150">
        <f t="shared" si="1"/>
        <v>5248830.10576896</v>
      </c>
      <c r="N25" s="150">
        <f t="shared" si="2"/>
        <v>524883.01057689602</v>
      </c>
      <c r="O25" s="150">
        <f t="shared" si="3"/>
        <v>99727.772009610242</v>
      </c>
      <c r="P25" s="150">
        <f t="shared" si="4"/>
        <v>5348557.8777785702</v>
      </c>
      <c r="Q25" s="218"/>
      <c r="R25" s="162"/>
      <c r="S25" s="152">
        <f t="shared" si="5"/>
        <v>5348557.8777785702</v>
      </c>
      <c r="T25" s="153"/>
      <c r="U25" s="136"/>
      <c r="V25" s="136"/>
      <c r="W25" s="136"/>
    </row>
    <row r="26" spans="1:29" s="137" customFormat="1" x14ac:dyDescent="0.25">
      <c r="B26" s="381"/>
      <c r="C26" s="135" t="s">
        <v>227</v>
      </c>
      <c r="D26" s="148" t="s">
        <v>116</v>
      </c>
      <c r="E26" s="199">
        <v>1</v>
      </c>
      <c r="F26" s="148" t="s">
        <v>15</v>
      </c>
      <c r="G26" s="199">
        <v>1</v>
      </c>
      <c r="H26" s="199">
        <v>30</v>
      </c>
      <c r="I26" s="199">
        <v>30</v>
      </c>
      <c r="J26" s="154">
        <f>+(((1423500*9.53+1659)/30)*I26)*E26</f>
        <v>13567614</v>
      </c>
      <c r="K26" s="149">
        <v>0.08</v>
      </c>
      <c r="L26" s="223">
        <f t="shared" si="0"/>
        <v>1085409.1200000001</v>
      </c>
      <c r="M26" s="150">
        <f t="shared" si="1"/>
        <v>14653023.120000001</v>
      </c>
      <c r="N26" s="150">
        <f t="shared" si="2"/>
        <v>1465302.3120000002</v>
      </c>
      <c r="O26" s="150">
        <f t="shared" si="3"/>
        <v>278407.43928000005</v>
      </c>
      <c r="P26" s="150">
        <f t="shared" si="4"/>
        <v>14931430.559280001</v>
      </c>
      <c r="Q26" s="218"/>
      <c r="R26" s="162"/>
      <c r="S26" s="152">
        <f t="shared" si="5"/>
        <v>14931430.559280001</v>
      </c>
      <c r="T26" s="153"/>
      <c r="U26" s="136"/>
      <c r="V26" s="136"/>
      <c r="W26" s="136"/>
    </row>
    <row r="27" spans="1:29" s="137" customFormat="1" ht="16.5" customHeight="1" x14ac:dyDescent="0.25">
      <c r="B27" s="215"/>
      <c r="C27" s="135" t="s">
        <v>227</v>
      </c>
      <c r="D27" s="216" t="s">
        <v>119</v>
      </c>
      <c r="E27" s="199">
        <v>1</v>
      </c>
      <c r="F27" s="148" t="s">
        <v>231</v>
      </c>
      <c r="G27" s="199">
        <v>1</v>
      </c>
      <c r="H27" s="199">
        <v>30</v>
      </c>
      <c r="I27" s="199">
        <v>30</v>
      </c>
      <c r="J27" s="154">
        <f>+((((((1423500*9.53+1659)*55.97%)/15*3)/30)*I27))+((((((1423500*9.53+1659)*44.03%)/9*9)/30*I27)))</f>
        <v>7492579.1553600002</v>
      </c>
      <c r="K27" s="149">
        <v>0.08</v>
      </c>
      <c r="L27" s="223">
        <f t="shared" si="0"/>
        <v>599406.33242880006</v>
      </c>
      <c r="M27" s="150">
        <f t="shared" si="1"/>
        <v>8091985.4877888002</v>
      </c>
      <c r="N27" s="150">
        <f>M27*10%</f>
        <v>809198.54877888004</v>
      </c>
      <c r="O27" s="150">
        <f>+N27*19%</f>
        <v>153747.72426798721</v>
      </c>
      <c r="P27" s="150">
        <f>M27+O27</f>
        <v>8245733.2120567877</v>
      </c>
      <c r="Q27" s="218"/>
      <c r="R27" s="162"/>
      <c r="S27" s="152">
        <f t="shared" si="5"/>
        <v>8245733.2120567877</v>
      </c>
      <c r="T27" s="155"/>
      <c r="U27" s="136"/>
      <c r="V27" s="136"/>
      <c r="W27" s="136"/>
    </row>
    <row r="28" spans="1:29" x14ac:dyDescent="0.25">
      <c r="B28" s="128"/>
      <c r="C28" s="130"/>
      <c r="D28" s="157"/>
      <c r="E28" s="200">
        <f>+SUM(E8:E27)</f>
        <v>20</v>
      </c>
      <c r="F28" s="157"/>
      <c r="G28" s="206">
        <f>SUM(G8:G27)</f>
        <v>20</v>
      </c>
      <c r="H28" s="206"/>
      <c r="I28" s="200"/>
      <c r="J28" s="158">
        <f>SUM(J8:J27)</f>
        <v>168076253.47747201</v>
      </c>
      <c r="K28" s="157"/>
      <c r="L28" s="224">
        <f>SUM(L8:L27)</f>
        <v>13446100.278197763</v>
      </c>
      <c r="M28" s="158">
        <f>SUM(M8:M27)</f>
        <v>181522353.75566977</v>
      </c>
      <c r="N28" s="158">
        <f>SUM(N8:N27)</f>
        <v>18152235.375566982</v>
      </c>
      <c r="O28" s="158">
        <f>SUM(O8:O27)</f>
        <v>3448924.721357726</v>
      </c>
      <c r="P28" s="158">
        <f>SUM(P8:P27)</f>
        <v>184971278.47702748</v>
      </c>
      <c r="Q28" s="206">
        <f t="shared" ref="Q28:S28" si="17">SUM(Q8:Q27)</f>
        <v>6</v>
      </c>
      <c r="R28" s="224">
        <f>SUM(R8:R27)</f>
        <v>1337139.4694446425</v>
      </c>
      <c r="S28" s="158">
        <f t="shared" si="17"/>
        <v>183634139.00758284</v>
      </c>
    </row>
    <row r="29" spans="1:29" s="243" customFormat="1" ht="30.75" customHeight="1" x14ac:dyDescent="0.25">
      <c r="A29" s="231"/>
      <c r="B29" s="388" t="s">
        <v>81</v>
      </c>
      <c r="C29" s="232" t="s">
        <v>227</v>
      </c>
      <c r="D29" s="233" t="s">
        <v>290</v>
      </c>
      <c r="E29" s="234">
        <v>1</v>
      </c>
      <c r="F29" s="233" t="s">
        <v>15</v>
      </c>
      <c r="G29" s="234">
        <v>1</v>
      </c>
      <c r="H29" s="234">
        <v>30</v>
      </c>
      <c r="I29" s="234">
        <v>30</v>
      </c>
      <c r="J29" s="235">
        <f t="shared" ref="J29:J39" si="18">+(((1423500*9.53+1659)/30)*I29)*E29</f>
        <v>13567614</v>
      </c>
      <c r="K29" s="236">
        <v>0.08</v>
      </c>
      <c r="L29" s="237">
        <f t="shared" ref="L29:L93" si="19">J29*K29</f>
        <v>1085409.1200000001</v>
      </c>
      <c r="M29" s="238">
        <f t="shared" ref="M29:M93" si="20">J29+L29</f>
        <v>14653023.120000001</v>
      </c>
      <c r="N29" s="238">
        <f>M29*10%</f>
        <v>1465302.3120000002</v>
      </c>
      <c r="O29" s="238">
        <f t="shared" ref="O29:O67" si="21">+N29*19%</f>
        <v>278407.43928000005</v>
      </c>
      <c r="P29" s="239">
        <f t="shared" ref="P29:P67" si="22">M29+O29</f>
        <v>14931430.559280001</v>
      </c>
      <c r="Q29" s="240"/>
      <c r="R29" s="241"/>
      <c r="S29" s="242">
        <f t="shared" si="5"/>
        <v>14931430.559280001</v>
      </c>
      <c r="T29" s="153"/>
      <c r="U29" s="136"/>
      <c r="V29" s="136"/>
      <c r="W29" s="136"/>
      <c r="X29" s="137"/>
      <c r="Y29" s="137"/>
      <c r="Z29" s="137"/>
      <c r="AA29" s="137"/>
      <c r="AB29" s="137"/>
      <c r="AC29" s="137"/>
    </row>
    <row r="30" spans="1:29" s="243" customFormat="1" ht="26.25" x14ac:dyDescent="0.25">
      <c r="A30" s="231"/>
      <c r="B30" s="385"/>
      <c r="C30" s="232" t="s">
        <v>227</v>
      </c>
      <c r="D30" s="233" t="s">
        <v>291</v>
      </c>
      <c r="E30" s="234">
        <v>1</v>
      </c>
      <c r="F30" s="233" t="s">
        <v>15</v>
      </c>
      <c r="G30" s="234">
        <v>1</v>
      </c>
      <c r="H30" s="234">
        <v>30</v>
      </c>
      <c r="I30" s="234">
        <v>30</v>
      </c>
      <c r="J30" s="235">
        <f t="shared" si="18"/>
        <v>13567614</v>
      </c>
      <c r="K30" s="236">
        <v>0.08</v>
      </c>
      <c r="L30" s="237">
        <f t="shared" si="19"/>
        <v>1085409.1200000001</v>
      </c>
      <c r="M30" s="238">
        <f t="shared" si="20"/>
        <v>14653023.120000001</v>
      </c>
      <c r="N30" s="238">
        <f t="shared" ref="N30:N67" si="23">M30*10%</f>
        <v>1465302.3120000002</v>
      </c>
      <c r="O30" s="238">
        <f t="shared" si="21"/>
        <v>278407.43928000005</v>
      </c>
      <c r="P30" s="239">
        <f t="shared" si="22"/>
        <v>14931430.559280001</v>
      </c>
      <c r="Q30" s="240">
        <v>5</v>
      </c>
      <c r="R30" s="241">
        <f>8245733/30*Q30</f>
        <v>1374288.8333333333</v>
      </c>
      <c r="S30" s="242">
        <f t="shared" si="5"/>
        <v>13557141.725946667</v>
      </c>
      <c r="T30" s="153"/>
      <c r="U30" s="136"/>
      <c r="V30" s="136"/>
      <c r="W30" s="136"/>
      <c r="X30" s="137"/>
      <c r="Y30" s="137"/>
      <c r="Z30" s="137"/>
      <c r="AA30" s="137"/>
      <c r="AB30" s="137"/>
      <c r="AC30" s="137"/>
    </row>
    <row r="31" spans="1:29" s="243" customFormat="1" ht="26.25" x14ac:dyDescent="0.25">
      <c r="A31" s="231"/>
      <c r="B31" s="385"/>
      <c r="C31" s="232" t="s">
        <v>227</v>
      </c>
      <c r="D31" s="233" t="s">
        <v>292</v>
      </c>
      <c r="E31" s="234">
        <v>1</v>
      </c>
      <c r="F31" s="233" t="s">
        <v>15</v>
      </c>
      <c r="G31" s="234">
        <v>1</v>
      </c>
      <c r="H31" s="234">
        <v>30</v>
      </c>
      <c r="I31" s="234">
        <v>30</v>
      </c>
      <c r="J31" s="235">
        <f t="shared" si="18"/>
        <v>13567614</v>
      </c>
      <c r="K31" s="236">
        <v>0.08</v>
      </c>
      <c r="L31" s="237">
        <f t="shared" si="19"/>
        <v>1085409.1200000001</v>
      </c>
      <c r="M31" s="238">
        <f t="shared" si="20"/>
        <v>14653023.120000001</v>
      </c>
      <c r="N31" s="238">
        <f t="shared" si="23"/>
        <v>1465302.3120000002</v>
      </c>
      <c r="O31" s="238">
        <f t="shared" si="21"/>
        <v>278407.43928000005</v>
      </c>
      <c r="P31" s="239">
        <f t="shared" si="22"/>
        <v>14931430.559280001</v>
      </c>
      <c r="Q31" s="240">
        <v>2</v>
      </c>
      <c r="R31" s="241">
        <f>6685697/30*Q31</f>
        <v>445713.13333333336</v>
      </c>
      <c r="S31" s="242">
        <f t="shared" si="5"/>
        <v>14485717.425946668</v>
      </c>
      <c r="T31" s="153"/>
      <c r="U31" s="136"/>
      <c r="V31" s="136"/>
      <c r="W31" s="136"/>
      <c r="X31" s="137"/>
      <c r="Y31" s="137"/>
      <c r="Z31" s="137"/>
      <c r="AA31" s="137"/>
      <c r="AB31" s="137"/>
      <c r="AC31" s="137"/>
    </row>
    <row r="32" spans="1:29" s="243" customFormat="1" ht="26.25" x14ac:dyDescent="0.25">
      <c r="A32" s="231"/>
      <c r="B32" s="385"/>
      <c r="C32" s="232" t="s">
        <v>227</v>
      </c>
      <c r="D32" s="233" t="s">
        <v>293</v>
      </c>
      <c r="E32" s="234">
        <v>1</v>
      </c>
      <c r="F32" s="233" t="s">
        <v>15</v>
      </c>
      <c r="G32" s="234">
        <v>1</v>
      </c>
      <c r="H32" s="234">
        <v>30</v>
      </c>
      <c r="I32" s="234">
        <v>30</v>
      </c>
      <c r="J32" s="235">
        <f t="shared" si="18"/>
        <v>13567614</v>
      </c>
      <c r="K32" s="236">
        <v>0.08</v>
      </c>
      <c r="L32" s="237">
        <f t="shared" si="19"/>
        <v>1085409.1200000001</v>
      </c>
      <c r="M32" s="238">
        <f t="shared" si="20"/>
        <v>14653023.120000001</v>
      </c>
      <c r="N32" s="238">
        <f t="shared" si="23"/>
        <v>1465302.3120000002</v>
      </c>
      <c r="O32" s="238">
        <f t="shared" si="21"/>
        <v>278407.43928000005</v>
      </c>
      <c r="P32" s="239">
        <f t="shared" si="22"/>
        <v>14931430.559280001</v>
      </c>
      <c r="Q32" s="240"/>
      <c r="R32" s="241"/>
      <c r="S32" s="242">
        <f t="shared" si="5"/>
        <v>14931430.559280001</v>
      </c>
      <c r="T32" s="153"/>
      <c r="U32" s="136"/>
      <c r="V32" s="136"/>
      <c r="W32" s="136"/>
      <c r="X32" s="137"/>
      <c r="Y32" s="137"/>
      <c r="Z32" s="137"/>
      <c r="AA32" s="137"/>
      <c r="AB32" s="137"/>
      <c r="AC32" s="137"/>
    </row>
    <row r="33" spans="1:29" s="243" customFormat="1" ht="26.25" x14ac:dyDescent="0.25">
      <c r="A33" s="231"/>
      <c r="B33" s="385"/>
      <c r="C33" s="232" t="s">
        <v>227</v>
      </c>
      <c r="D33" s="233" t="s">
        <v>294</v>
      </c>
      <c r="E33" s="234">
        <v>1</v>
      </c>
      <c r="F33" s="233" t="s">
        <v>15</v>
      </c>
      <c r="G33" s="234">
        <v>1</v>
      </c>
      <c r="H33" s="234">
        <v>30</v>
      </c>
      <c r="I33" s="234">
        <v>30</v>
      </c>
      <c r="J33" s="235">
        <f t="shared" si="18"/>
        <v>13567614</v>
      </c>
      <c r="K33" s="236">
        <v>0.08</v>
      </c>
      <c r="L33" s="237">
        <f t="shared" si="19"/>
        <v>1085409.1200000001</v>
      </c>
      <c r="M33" s="238">
        <f t="shared" si="20"/>
        <v>14653023.120000001</v>
      </c>
      <c r="N33" s="238">
        <f t="shared" si="23"/>
        <v>1465302.3120000002</v>
      </c>
      <c r="O33" s="238">
        <f t="shared" si="21"/>
        <v>278407.43928000005</v>
      </c>
      <c r="P33" s="239">
        <f t="shared" si="22"/>
        <v>14931430.559280001</v>
      </c>
      <c r="Q33" s="240"/>
      <c r="R33" s="241"/>
      <c r="S33" s="242">
        <f t="shared" si="5"/>
        <v>14931430.559280001</v>
      </c>
      <c r="T33" s="153"/>
      <c r="U33" s="136"/>
      <c r="V33" s="136"/>
      <c r="W33" s="136"/>
      <c r="X33" s="137"/>
      <c r="Y33" s="137"/>
      <c r="Z33" s="137"/>
      <c r="AA33" s="137"/>
      <c r="AB33" s="137"/>
      <c r="AC33" s="137"/>
    </row>
    <row r="34" spans="1:29" s="243" customFormat="1" ht="26.25" x14ac:dyDescent="0.25">
      <c r="A34" s="231"/>
      <c r="B34" s="385"/>
      <c r="C34" s="232" t="s">
        <v>227</v>
      </c>
      <c r="D34" s="233" t="s">
        <v>295</v>
      </c>
      <c r="E34" s="234">
        <v>1</v>
      </c>
      <c r="F34" s="233" t="s">
        <v>15</v>
      </c>
      <c r="G34" s="234">
        <v>1</v>
      </c>
      <c r="H34" s="234">
        <v>30</v>
      </c>
      <c r="I34" s="234">
        <v>30</v>
      </c>
      <c r="J34" s="235">
        <f t="shared" si="18"/>
        <v>13567614</v>
      </c>
      <c r="K34" s="236">
        <v>0.08</v>
      </c>
      <c r="L34" s="237">
        <f t="shared" si="19"/>
        <v>1085409.1200000001</v>
      </c>
      <c r="M34" s="238">
        <f t="shared" si="20"/>
        <v>14653023.120000001</v>
      </c>
      <c r="N34" s="238">
        <f t="shared" si="23"/>
        <v>1465302.3120000002</v>
      </c>
      <c r="O34" s="238">
        <f t="shared" si="21"/>
        <v>278407.43928000005</v>
      </c>
      <c r="P34" s="239">
        <f t="shared" si="22"/>
        <v>14931430.559280001</v>
      </c>
      <c r="Q34" s="240"/>
      <c r="R34" s="241"/>
      <c r="S34" s="242">
        <f t="shared" si="5"/>
        <v>14931430.559280001</v>
      </c>
      <c r="T34" s="153"/>
      <c r="U34" s="136"/>
      <c r="V34" s="136"/>
      <c r="W34" s="136"/>
      <c r="X34" s="137"/>
      <c r="Y34" s="137"/>
      <c r="Z34" s="137"/>
      <c r="AA34" s="137"/>
      <c r="AB34" s="137"/>
      <c r="AC34" s="137"/>
    </row>
    <row r="35" spans="1:29" s="243" customFormat="1" ht="26.25" x14ac:dyDescent="0.25">
      <c r="A35" s="231"/>
      <c r="B35" s="385"/>
      <c r="C35" s="232" t="s">
        <v>227</v>
      </c>
      <c r="D35" s="233" t="s">
        <v>296</v>
      </c>
      <c r="E35" s="234">
        <v>1</v>
      </c>
      <c r="F35" s="233" t="s">
        <v>15</v>
      </c>
      <c r="G35" s="234">
        <v>1</v>
      </c>
      <c r="H35" s="234">
        <v>30</v>
      </c>
      <c r="I35" s="234">
        <v>30</v>
      </c>
      <c r="J35" s="235">
        <f t="shared" si="18"/>
        <v>13567614</v>
      </c>
      <c r="K35" s="236">
        <v>0.08</v>
      </c>
      <c r="L35" s="237">
        <f t="shared" si="19"/>
        <v>1085409.1200000001</v>
      </c>
      <c r="M35" s="238">
        <f t="shared" si="20"/>
        <v>14653023.120000001</v>
      </c>
      <c r="N35" s="238">
        <f t="shared" si="23"/>
        <v>1465302.3120000002</v>
      </c>
      <c r="O35" s="238">
        <f t="shared" si="21"/>
        <v>278407.43928000005</v>
      </c>
      <c r="P35" s="239">
        <f t="shared" si="22"/>
        <v>14931430.559280001</v>
      </c>
      <c r="Q35" s="240"/>
      <c r="R35" s="241"/>
      <c r="S35" s="242">
        <f t="shared" si="5"/>
        <v>14931430.559280001</v>
      </c>
      <c r="T35" s="153"/>
      <c r="U35" s="136"/>
      <c r="V35" s="136"/>
      <c r="W35" s="136"/>
      <c r="X35" s="137"/>
      <c r="Y35" s="137"/>
      <c r="Z35" s="137"/>
      <c r="AA35" s="137"/>
      <c r="AB35" s="137"/>
      <c r="AC35" s="137"/>
    </row>
    <row r="36" spans="1:29" s="243" customFormat="1" ht="26.25" x14ac:dyDescent="0.25">
      <c r="A36" s="231"/>
      <c r="B36" s="385"/>
      <c r="C36" s="232" t="s">
        <v>227</v>
      </c>
      <c r="D36" s="233" t="s">
        <v>297</v>
      </c>
      <c r="E36" s="234">
        <v>1</v>
      </c>
      <c r="F36" s="233" t="s">
        <v>15</v>
      </c>
      <c r="G36" s="234">
        <v>1</v>
      </c>
      <c r="H36" s="234">
        <v>30</v>
      </c>
      <c r="I36" s="234">
        <v>30</v>
      </c>
      <c r="J36" s="235">
        <f t="shared" si="18"/>
        <v>13567614</v>
      </c>
      <c r="K36" s="236">
        <v>0.08</v>
      </c>
      <c r="L36" s="237">
        <f t="shared" si="19"/>
        <v>1085409.1200000001</v>
      </c>
      <c r="M36" s="238">
        <f t="shared" si="20"/>
        <v>14653023.120000001</v>
      </c>
      <c r="N36" s="238">
        <f t="shared" si="23"/>
        <v>1465302.3120000002</v>
      </c>
      <c r="O36" s="238">
        <f t="shared" si="21"/>
        <v>278407.43928000005</v>
      </c>
      <c r="P36" s="239">
        <f t="shared" si="22"/>
        <v>14931430.559280001</v>
      </c>
      <c r="Q36" s="240"/>
      <c r="R36" s="241"/>
      <c r="S36" s="242">
        <f t="shared" si="5"/>
        <v>14931430.559280001</v>
      </c>
      <c r="T36" s="153"/>
      <c r="U36" s="136"/>
      <c r="V36" s="136"/>
      <c r="W36" s="136"/>
      <c r="X36" s="137"/>
      <c r="Y36" s="137"/>
      <c r="Z36" s="137"/>
      <c r="AA36" s="137"/>
      <c r="AB36" s="137"/>
      <c r="AC36" s="137"/>
    </row>
    <row r="37" spans="1:29" s="243" customFormat="1" ht="26.25" x14ac:dyDescent="0.25">
      <c r="A37" s="231"/>
      <c r="B37" s="385"/>
      <c r="C37" s="232" t="s">
        <v>227</v>
      </c>
      <c r="D37" s="233" t="s">
        <v>298</v>
      </c>
      <c r="E37" s="234">
        <v>1</v>
      </c>
      <c r="F37" s="233" t="s">
        <v>15</v>
      </c>
      <c r="G37" s="234">
        <v>1</v>
      </c>
      <c r="H37" s="234">
        <v>30</v>
      </c>
      <c r="I37" s="234">
        <v>30</v>
      </c>
      <c r="J37" s="235">
        <f t="shared" si="18"/>
        <v>13567614</v>
      </c>
      <c r="K37" s="236">
        <v>0.08</v>
      </c>
      <c r="L37" s="237">
        <f t="shared" si="19"/>
        <v>1085409.1200000001</v>
      </c>
      <c r="M37" s="238">
        <f t="shared" si="20"/>
        <v>14653023.120000001</v>
      </c>
      <c r="N37" s="238">
        <f t="shared" si="23"/>
        <v>1465302.3120000002</v>
      </c>
      <c r="O37" s="238">
        <f t="shared" si="21"/>
        <v>278407.43928000005</v>
      </c>
      <c r="P37" s="239">
        <f t="shared" si="22"/>
        <v>14931430.559280001</v>
      </c>
      <c r="Q37" s="240"/>
      <c r="R37" s="241"/>
      <c r="S37" s="242">
        <f t="shared" si="5"/>
        <v>14931430.559280001</v>
      </c>
      <c r="T37" s="153"/>
      <c r="U37" s="136"/>
      <c r="V37" s="136"/>
      <c r="W37" s="136"/>
      <c r="X37" s="137"/>
      <c r="Y37" s="137"/>
      <c r="Z37" s="137"/>
      <c r="AA37" s="137"/>
      <c r="AB37" s="137"/>
      <c r="AC37" s="137"/>
    </row>
    <row r="38" spans="1:29" s="243" customFormat="1" x14ac:dyDescent="0.25">
      <c r="A38" s="231"/>
      <c r="B38" s="385"/>
      <c r="C38" s="232" t="s">
        <v>227</v>
      </c>
      <c r="D38" s="244" t="s">
        <v>299</v>
      </c>
      <c r="E38" s="234">
        <v>1</v>
      </c>
      <c r="F38" s="233" t="s">
        <v>15</v>
      </c>
      <c r="G38" s="234">
        <v>1</v>
      </c>
      <c r="H38" s="234">
        <v>30</v>
      </c>
      <c r="I38" s="234">
        <v>30</v>
      </c>
      <c r="J38" s="235">
        <f t="shared" si="18"/>
        <v>13567614</v>
      </c>
      <c r="K38" s="236">
        <v>0.08</v>
      </c>
      <c r="L38" s="237">
        <f t="shared" ref="L38:L40" si="24">J38*K38</f>
        <v>1085409.1200000001</v>
      </c>
      <c r="M38" s="238">
        <f t="shared" ref="M38:M40" si="25">J38+L38</f>
        <v>14653023.120000001</v>
      </c>
      <c r="N38" s="238">
        <f t="shared" ref="N38:N40" si="26">M38*10%</f>
        <v>1465302.3120000002</v>
      </c>
      <c r="O38" s="238">
        <f t="shared" ref="O38:O40" si="27">+N38*19%</f>
        <v>278407.43928000005</v>
      </c>
      <c r="P38" s="239">
        <f t="shared" ref="P38:P40" si="28">M38+O38</f>
        <v>14931430.559280001</v>
      </c>
      <c r="Q38" s="240"/>
      <c r="R38" s="241"/>
      <c r="S38" s="242">
        <f t="shared" si="5"/>
        <v>14931430.559280001</v>
      </c>
      <c r="T38" s="153"/>
      <c r="U38" s="136"/>
      <c r="V38" s="136"/>
      <c r="W38" s="136"/>
      <c r="X38" s="137"/>
      <c r="Y38" s="137"/>
      <c r="Z38" s="137"/>
      <c r="AA38" s="137"/>
      <c r="AB38" s="137"/>
      <c r="AC38" s="137"/>
    </row>
    <row r="39" spans="1:29" s="245" customFormat="1" ht="24.75" customHeight="1" x14ac:dyDescent="0.25">
      <c r="B39" s="385"/>
      <c r="C39" s="246" t="s">
        <v>227</v>
      </c>
      <c r="D39" s="247" t="s">
        <v>321</v>
      </c>
      <c r="E39" s="248">
        <v>1</v>
      </c>
      <c r="F39" s="247" t="s">
        <v>15</v>
      </c>
      <c r="G39" s="249">
        <v>1</v>
      </c>
      <c r="H39" s="249">
        <v>30</v>
      </c>
      <c r="I39" s="249">
        <v>16</v>
      </c>
      <c r="J39" s="250">
        <f t="shared" si="18"/>
        <v>7236060.7999999998</v>
      </c>
      <c r="K39" s="251">
        <v>0.08</v>
      </c>
      <c r="L39" s="252">
        <f t="shared" si="24"/>
        <v>578884.86399999994</v>
      </c>
      <c r="M39" s="253">
        <f t="shared" si="25"/>
        <v>7814945.6639999999</v>
      </c>
      <c r="N39" s="253">
        <f t="shared" si="26"/>
        <v>781494.56640000001</v>
      </c>
      <c r="O39" s="253">
        <f t="shared" si="27"/>
        <v>148483.96761600001</v>
      </c>
      <c r="P39" s="253">
        <f t="shared" si="28"/>
        <v>7963429.6316160001</v>
      </c>
      <c r="Q39" s="254"/>
      <c r="R39" s="255"/>
      <c r="S39" s="256">
        <f t="shared" si="5"/>
        <v>7963429.6316160001</v>
      </c>
      <c r="T39" s="172"/>
      <c r="U39" s="142"/>
      <c r="V39" s="142"/>
      <c r="W39" s="142"/>
      <c r="X39" s="140"/>
      <c r="Y39" s="140"/>
      <c r="Z39" s="140"/>
      <c r="AA39" s="140"/>
      <c r="AB39" s="140"/>
      <c r="AC39" s="140"/>
    </row>
    <row r="40" spans="1:29" s="243" customFormat="1" ht="21" customHeight="1" x14ac:dyDescent="0.25">
      <c r="A40" s="231"/>
      <c r="B40" s="385"/>
      <c r="C40" s="257" t="s">
        <v>227</v>
      </c>
      <c r="D40" s="244" t="s">
        <v>317</v>
      </c>
      <c r="E40" s="258">
        <v>1</v>
      </c>
      <c r="F40" s="244" t="s">
        <v>16</v>
      </c>
      <c r="G40" s="234">
        <v>1</v>
      </c>
      <c r="H40" s="234">
        <v>30</v>
      </c>
      <c r="I40" s="234">
        <v>30</v>
      </c>
      <c r="J40" s="235">
        <f>+(((((1423500*9.53+1659)*55.97%)/15*12)/30)*I40)*E40</f>
        <v>6075034.8446399998</v>
      </c>
      <c r="K40" s="236">
        <v>0.08</v>
      </c>
      <c r="L40" s="237">
        <f t="shared" si="24"/>
        <v>486002.78757119999</v>
      </c>
      <c r="M40" s="238">
        <f t="shared" si="25"/>
        <v>6561037.6322112</v>
      </c>
      <c r="N40" s="238">
        <f t="shared" si="26"/>
        <v>656103.76322112</v>
      </c>
      <c r="O40" s="238">
        <f t="shared" si="27"/>
        <v>124659.71501201281</v>
      </c>
      <c r="P40" s="239">
        <f t="shared" si="28"/>
        <v>6685697.3472232129</v>
      </c>
      <c r="Q40" s="240"/>
      <c r="R40" s="241"/>
      <c r="S40" s="242">
        <f t="shared" si="5"/>
        <v>6685697.3472232129</v>
      </c>
      <c r="T40" s="153"/>
      <c r="U40" s="136"/>
      <c r="V40" s="136"/>
      <c r="W40" s="136"/>
      <c r="X40" s="137"/>
      <c r="Y40" s="137"/>
      <c r="Z40" s="137"/>
      <c r="AA40" s="137"/>
      <c r="AB40" s="137"/>
      <c r="AC40" s="137"/>
    </row>
    <row r="41" spans="1:29" s="243" customFormat="1" ht="21" customHeight="1" x14ac:dyDescent="0.25">
      <c r="A41" s="231"/>
      <c r="B41" s="385"/>
      <c r="C41" s="232" t="s">
        <v>227</v>
      </c>
      <c r="D41" s="259" t="s">
        <v>300</v>
      </c>
      <c r="E41" s="234">
        <v>1</v>
      </c>
      <c r="F41" s="233" t="s">
        <v>16</v>
      </c>
      <c r="G41" s="234">
        <v>1</v>
      </c>
      <c r="H41" s="234">
        <v>30</v>
      </c>
      <c r="I41" s="234">
        <v>30</v>
      </c>
      <c r="J41" s="235">
        <f>+(((((1423500*9.53+1659)*55.97%)/15*12)/30)*I41)*E41</f>
        <v>6075034.8446399998</v>
      </c>
      <c r="K41" s="236">
        <v>0.08</v>
      </c>
      <c r="L41" s="237">
        <f t="shared" si="19"/>
        <v>486002.78757119999</v>
      </c>
      <c r="M41" s="238">
        <f t="shared" si="20"/>
        <v>6561037.6322112</v>
      </c>
      <c r="N41" s="238">
        <f t="shared" si="23"/>
        <v>656103.76322112</v>
      </c>
      <c r="O41" s="238">
        <f t="shared" si="21"/>
        <v>124659.71501201281</v>
      </c>
      <c r="P41" s="239">
        <f t="shared" si="22"/>
        <v>6685697.3472232129</v>
      </c>
      <c r="Q41" s="240"/>
      <c r="R41" s="241"/>
      <c r="S41" s="242">
        <f t="shared" si="5"/>
        <v>6685697.3472232129</v>
      </c>
      <c r="T41" s="153"/>
      <c r="U41" s="136"/>
      <c r="V41" s="136"/>
      <c r="W41" s="136"/>
      <c r="X41" s="137"/>
      <c r="Y41" s="137"/>
      <c r="Z41" s="137"/>
      <c r="AA41" s="137"/>
      <c r="AB41" s="137"/>
      <c r="AC41" s="137"/>
    </row>
    <row r="42" spans="1:29" s="243" customFormat="1" ht="26.25" x14ac:dyDescent="0.25">
      <c r="A42" s="231"/>
      <c r="B42" s="384"/>
      <c r="C42" s="232" t="s">
        <v>227</v>
      </c>
      <c r="D42" s="233" t="s">
        <v>301</v>
      </c>
      <c r="E42" s="234">
        <v>1</v>
      </c>
      <c r="F42" s="233" t="s">
        <v>17</v>
      </c>
      <c r="G42" s="234">
        <v>1</v>
      </c>
      <c r="H42" s="234">
        <v>30</v>
      </c>
      <c r="I42" s="234">
        <v>24</v>
      </c>
      <c r="J42" s="260">
        <f>+(((((1423500*9.53+1659)*55.97%)/15*12)/30)*I42)*E42</f>
        <v>4860027.8757119998</v>
      </c>
      <c r="K42" s="261">
        <v>0.08</v>
      </c>
      <c r="L42" s="262">
        <f t="shared" si="19"/>
        <v>388802.23005696002</v>
      </c>
      <c r="M42" s="239">
        <f t="shared" si="20"/>
        <v>5248830.10576896</v>
      </c>
      <c r="N42" s="239">
        <f t="shared" si="23"/>
        <v>524883.01057689602</v>
      </c>
      <c r="O42" s="239">
        <f t="shared" si="21"/>
        <v>99727.772009610242</v>
      </c>
      <c r="P42" s="239">
        <f t="shared" si="22"/>
        <v>5348557.8777785702</v>
      </c>
      <c r="Q42" s="240"/>
      <c r="R42" s="241"/>
      <c r="S42" s="242">
        <f t="shared" si="5"/>
        <v>5348557.8777785702</v>
      </c>
      <c r="T42" s="153"/>
      <c r="U42" s="136"/>
      <c r="V42" s="136"/>
      <c r="W42" s="136"/>
      <c r="X42" s="137"/>
      <c r="Y42" s="137"/>
      <c r="Z42" s="137"/>
      <c r="AA42" s="137"/>
      <c r="AB42" s="137"/>
      <c r="AC42" s="137"/>
    </row>
    <row r="43" spans="1:29" s="243" customFormat="1" ht="26.25" x14ac:dyDescent="0.25">
      <c r="A43" s="231"/>
      <c r="B43" s="384"/>
      <c r="C43" s="232" t="s">
        <v>227</v>
      </c>
      <c r="D43" s="233" t="s">
        <v>302</v>
      </c>
      <c r="E43" s="234">
        <v>1</v>
      </c>
      <c r="F43" s="233" t="s">
        <v>17</v>
      </c>
      <c r="G43" s="234">
        <v>1</v>
      </c>
      <c r="H43" s="234">
        <v>30</v>
      </c>
      <c r="I43" s="234">
        <v>24</v>
      </c>
      <c r="J43" s="260">
        <f>+(((((1423500*9.53+1659)*55.97%)/15*12)/30)*I43)*E43</f>
        <v>4860027.8757119998</v>
      </c>
      <c r="K43" s="261">
        <v>0.08</v>
      </c>
      <c r="L43" s="262">
        <f t="shared" si="19"/>
        <v>388802.23005696002</v>
      </c>
      <c r="M43" s="239">
        <f t="shared" si="20"/>
        <v>5248830.10576896</v>
      </c>
      <c r="N43" s="239">
        <f t="shared" si="23"/>
        <v>524883.01057689602</v>
      </c>
      <c r="O43" s="239">
        <f t="shared" si="21"/>
        <v>99727.772009610242</v>
      </c>
      <c r="P43" s="239">
        <f t="shared" si="22"/>
        <v>5348557.8777785702</v>
      </c>
      <c r="Q43" s="240"/>
      <c r="R43" s="241"/>
      <c r="S43" s="242">
        <f t="shared" si="5"/>
        <v>5348557.8777785702</v>
      </c>
      <c r="T43" s="153"/>
      <c r="U43" s="136"/>
      <c r="V43" s="136"/>
      <c r="W43" s="136"/>
      <c r="X43" s="137"/>
      <c r="Y43" s="137"/>
      <c r="Z43" s="137"/>
      <c r="AA43" s="137"/>
      <c r="AB43" s="137"/>
      <c r="AC43" s="137"/>
    </row>
    <row r="44" spans="1:29" s="308" customFormat="1" ht="24" customHeight="1" x14ac:dyDescent="0.25">
      <c r="A44" s="377"/>
      <c r="B44" s="385"/>
      <c r="C44" s="298" t="s">
        <v>227</v>
      </c>
      <c r="D44" s="389" t="s">
        <v>265</v>
      </c>
      <c r="E44" s="299">
        <v>1</v>
      </c>
      <c r="F44" s="300" t="s">
        <v>15</v>
      </c>
      <c r="G44" s="299">
        <v>1</v>
      </c>
      <c r="H44" s="299">
        <v>30</v>
      </c>
      <c r="I44" s="299">
        <v>30</v>
      </c>
      <c r="J44" s="322">
        <f>+(((1423500*9.53+1659)/30)*I44)*E44</f>
        <v>13567614</v>
      </c>
      <c r="K44" s="323">
        <v>0.08</v>
      </c>
      <c r="L44" s="324">
        <f t="shared" si="19"/>
        <v>1085409.1200000001</v>
      </c>
      <c r="M44" s="325">
        <f t="shared" si="20"/>
        <v>14653023.120000001</v>
      </c>
      <c r="N44" s="325">
        <f t="shared" si="23"/>
        <v>1465302.3120000002</v>
      </c>
      <c r="O44" s="325">
        <f t="shared" si="21"/>
        <v>278407.43928000005</v>
      </c>
      <c r="P44" s="304">
        <f t="shared" si="22"/>
        <v>14931430.559280001</v>
      </c>
      <c r="Q44" s="305"/>
      <c r="R44" s="306"/>
      <c r="S44" s="307">
        <f t="shared" si="5"/>
        <v>14931430.559280001</v>
      </c>
      <c r="T44" s="153"/>
      <c r="U44" s="136"/>
      <c r="V44" s="136"/>
      <c r="W44" s="136"/>
      <c r="X44" s="137"/>
      <c r="Y44" s="137"/>
      <c r="Z44" s="137"/>
      <c r="AA44" s="137"/>
      <c r="AB44" s="137"/>
      <c r="AC44" s="137"/>
    </row>
    <row r="45" spans="1:29" s="308" customFormat="1" x14ac:dyDescent="0.25">
      <c r="A45" s="377"/>
      <c r="B45" s="385"/>
      <c r="C45" s="298" t="s">
        <v>227</v>
      </c>
      <c r="D45" s="389"/>
      <c r="E45" s="299">
        <v>1</v>
      </c>
      <c r="F45" s="300" t="s">
        <v>16</v>
      </c>
      <c r="G45" s="299">
        <v>1</v>
      </c>
      <c r="H45" s="299">
        <v>30</v>
      </c>
      <c r="I45" s="299">
        <v>30</v>
      </c>
      <c r="J45" s="322">
        <f>+(((((1423500*9.53+1659)*55.97%)/15*12)/30)*I45)*E45</f>
        <v>6075034.8446399998</v>
      </c>
      <c r="K45" s="323">
        <v>0.08</v>
      </c>
      <c r="L45" s="324">
        <f t="shared" si="19"/>
        <v>486002.78757119999</v>
      </c>
      <c r="M45" s="325">
        <f t="shared" si="20"/>
        <v>6561037.6322112</v>
      </c>
      <c r="N45" s="325">
        <f t="shared" si="23"/>
        <v>656103.76322112</v>
      </c>
      <c r="O45" s="325">
        <f t="shared" si="21"/>
        <v>124659.71501201281</v>
      </c>
      <c r="P45" s="304">
        <f t="shared" si="22"/>
        <v>6685697.3472232129</v>
      </c>
      <c r="Q45" s="305">
        <v>6</v>
      </c>
      <c r="R45" s="306">
        <f>P45/30*Q45</f>
        <v>1337139.4694446425</v>
      </c>
      <c r="S45" s="307">
        <f t="shared" si="5"/>
        <v>5348557.8777785702</v>
      </c>
      <c r="T45" s="153"/>
      <c r="U45" s="136"/>
      <c r="V45" s="136"/>
      <c r="W45" s="136"/>
      <c r="X45" s="137"/>
      <c r="Y45" s="137"/>
      <c r="Z45" s="137"/>
      <c r="AA45" s="137"/>
      <c r="AB45" s="137"/>
      <c r="AC45" s="137"/>
    </row>
    <row r="46" spans="1:29" s="308" customFormat="1" x14ac:dyDescent="0.25">
      <c r="A46" s="377"/>
      <c r="B46" s="385"/>
      <c r="C46" s="298" t="s">
        <v>227</v>
      </c>
      <c r="D46" s="389" t="s">
        <v>266</v>
      </c>
      <c r="E46" s="299">
        <v>1</v>
      </c>
      <c r="F46" s="300" t="s">
        <v>15</v>
      </c>
      <c r="G46" s="299">
        <v>1</v>
      </c>
      <c r="H46" s="299">
        <v>30</v>
      </c>
      <c r="I46" s="299">
        <v>30</v>
      </c>
      <c r="J46" s="322">
        <f>+(((1423500*9.53+1659)/30)*I46)*E46</f>
        <v>13567614</v>
      </c>
      <c r="K46" s="323">
        <v>0.08</v>
      </c>
      <c r="L46" s="324">
        <f t="shared" si="19"/>
        <v>1085409.1200000001</v>
      </c>
      <c r="M46" s="325">
        <f t="shared" si="20"/>
        <v>14653023.120000001</v>
      </c>
      <c r="N46" s="325">
        <f t="shared" si="23"/>
        <v>1465302.3120000002</v>
      </c>
      <c r="O46" s="325">
        <f t="shared" si="21"/>
        <v>278407.43928000005</v>
      </c>
      <c r="P46" s="304">
        <f t="shared" si="22"/>
        <v>14931430.559280001</v>
      </c>
      <c r="Q46" s="305"/>
      <c r="R46" s="306"/>
      <c r="S46" s="307">
        <f t="shared" si="5"/>
        <v>14931430.559280001</v>
      </c>
      <c r="T46" s="153"/>
      <c r="U46" s="136"/>
      <c r="V46" s="136"/>
      <c r="W46" s="136"/>
      <c r="X46" s="137"/>
      <c r="Y46" s="137"/>
      <c r="Z46" s="137"/>
      <c r="AA46" s="137"/>
      <c r="AB46" s="137"/>
      <c r="AC46" s="137"/>
    </row>
    <row r="47" spans="1:29" s="308" customFormat="1" x14ac:dyDescent="0.25">
      <c r="A47" s="377"/>
      <c r="B47" s="385"/>
      <c r="C47" s="298" t="s">
        <v>227</v>
      </c>
      <c r="D47" s="389"/>
      <c r="E47" s="299">
        <v>1</v>
      </c>
      <c r="F47" s="300" t="s">
        <v>16</v>
      </c>
      <c r="G47" s="299">
        <v>1</v>
      </c>
      <c r="H47" s="299">
        <v>30</v>
      </c>
      <c r="I47" s="299">
        <v>30</v>
      </c>
      <c r="J47" s="322">
        <f>+(((((1423500*9.53+1659)*55.97%)/15*12)/30)*I47)*E47</f>
        <v>6075034.8446399998</v>
      </c>
      <c r="K47" s="323">
        <v>0.08</v>
      </c>
      <c r="L47" s="324">
        <f t="shared" si="19"/>
        <v>486002.78757119999</v>
      </c>
      <c r="M47" s="325">
        <f t="shared" si="20"/>
        <v>6561037.6322112</v>
      </c>
      <c r="N47" s="325">
        <f t="shared" si="23"/>
        <v>656103.76322112</v>
      </c>
      <c r="O47" s="325">
        <f t="shared" si="21"/>
        <v>124659.71501201281</v>
      </c>
      <c r="P47" s="304">
        <f t="shared" si="22"/>
        <v>6685697.3472232129</v>
      </c>
      <c r="Q47" s="305">
        <v>6</v>
      </c>
      <c r="R47" s="306">
        <f>P47/30*Q47</f>
        <v>1337139.4694446425</v>
      </c>
      <c r="S47" s="307">
        <f t="shared" si="5"/>
        <v>5348557.8777785702</v>
      </c>
      <c r="T47" s="153"/>
      <c r="U47" s="136"/>
      <c r="V47" s="136"/>
      <c r="W47" s="136"/>
      <c r="X47" s="137"/>
      <c r="Y47" s="137"/>
      <c r="Z47" s="137"/>
      <c r="AA47" s="137"/>
      <c r="AB47" s="137"/>
      <c r="AC47" s="137"/>
    </row>
    <row r="48" spans="1:29" s="308" customFormat="1" x14ac:dyDescent="0.25">
      <c r="A48" s="377"/>
      <c r="B48" s="385"/>
      <c r="C48" s="298" t="s">
        <v>227</v>
      </c>
      <c r="D48" s="389" t="s">
        <v>267</v>
      </c>
      <c r="E48" s="299">
        <v>1</v>
      </c>
      <c r="F48" s="300" t="s">
        <v>15</v>
      </c>
      <c r="G48" s="299">
        <v>1</v>
      </c>
      <c r="H48" s="299">
        <v>30</v>
      </c>
      <c r="I48" s="299">
        <v>30</v>
      </c>
      <c r="J48" s="322">
        <f>+(((1423500*9.53+1659)/30)*I48)*E48</f>
        <v>13567614</v>
      </c>
      <c r="K48" s="323">
        <v>0.08</v>
      </c>
      <c r="L48" s="324">
        <f t="shared" si="19"/>
        <v>1085409.1200000001</v>
      </c>
      <c r="M48" s="325">
        <f t="shared" si="20"/>
        <v>14653023.120000001</v>
      </c>
      <c r="N48" s="325">
        <f t="shared" si="23"/>
        <v>1465302.3120000002</v>
      </c>
      <c r="O48" s="325">
        <f t="shared" si="21"/>
        <v>278407.43928000005</v>
      </c>
      <c r="P48" s="304">
        <f t="shared" si="22"/>
        <v>14931430.559280001</v>
      </c>
      <c r="Q48" s="305"/>
      <c r="R48" s="306"/>
      <c r="S48" s="307">
        <f t="shared" si="5"/>
        <v>14931430.559280001</v>
      </c>
      <c r="T48" s="153"/>
      <c r="U48" s="136"/>
      <c r="V48" s="136"/>
      <c r="W48" s="136"/>
      <c r="X48" s="137"/>
      <c r="Y48" s="137"/>
      <c r="Z48" s="137"/>
      <c r="AA48" s="137"/>
      <c r="AB48" s="137"/>
      <c r="AC48" s="137"/>
    </row>
    <row r="49" spans="1:29" s="308" customFormat="1" x14ac:dyDescent="0.25">
      <c r="A49" s="377"/>
      <c r="B49" s="385"/>
      <c r="C49" s="298" t="s">
        <v>227</v>
      </c>
      <c r="D49" s="389"/>
      <c r="E49" s="299">
        <v>1</v>
      </c>
      <c r="F49" s="300" t="s">
        <v>16</v>
      </c>
      <c r="G49" s="299">
        <v>1</v>
      </c>
      <c r="H49" s="299">
        <v>30</v>
      </c>
      <c r="I49" s="299">
        <v>30</v>
      </c>
      <c r="J49" s="322">
        <f>+(((((1423500*9.53+1659)*55.97%)/15*12)/30)*I49)*E49</f>
        <v>6075034.8446399998</v>
      </c>
      <c r="K49" s="323">
        <v>0.08</v>
      </c>
      <c r="L49" s="324">
        <f t="shared" si="19"/>
        <v>486002.78757119999</v>
      </c>
      <c r="M49" s="325">
        <f t="shared" si="20"/>
        <v>6561037.6322112</v>
      </c>
      <c r="N49" s="325">
        <f t="shared" si="23"/>
        <v>656103.76322112</v>
      </c>
      <c r="O49" s="325">
        <f t="shared" si="21"/>
        <v>124659.71501201281</v>
      </c>
      <c r="P49" s="304">
        <f t="shared" si="22"/>
        <v>6685697.3472232129</v>
      </c>
      <c r="Q49" s="305">
        <v>6</v>
      </c>
      <c r="R49" s="306">
        <f>P49/30*Q49</f>
        <v>1337139.4694446425</v>
      </c>
      <c r="S49" s="307">
        <f t="shared" si="5"/>
        <v>5348557.8777785702</v>
      </c>
      <c r="T49" s="153"/>
      <c r="U49" s="136"/>
      <c r="V49" s="136"/>
      <c r="W49" s="136"/>
      <c r="X49" s="137"/>
      <c r="Y49" s="137"/>
      <c r="Z49" s="137"/>
      <c r="AA49" s="137"/>
      <c r="AB49" s="137"/>
      <c r="AC49" s="137"/>
    </row>
    <row r="50" spans="1:29" s="308" customFormat="1" x14ac:dyDescent="0.25">
      <c r="A50" s="377"/>
      <c r="B50" s="385"/>
      <c r="C50" s="298" t="s">
        <v>227</v>
      </c>
      <c r="D50" s="374" t="s">
        <v>268</v>
      </c>
      <c r="E50" s="299">
        <v>1</v>
      </c>
      <c r="F50" s="300" t="s">
        <v>15</v>
      </c>
      <c r="G50" s="299">
        <v>1</v>
      </c>
      <c r="H50" s="299">
        <v>30</v>
      </c>
      <c r="I50" s="299">
        <v>30</v>
      </c>
      <c r="J50" s="322">
        <f t="shared" ref="J50:J55" si="29">+(((1423500*9.53+1659)/30)*I50)*E50</f>
        <v>13567614</v>
      </c>
      <c r="K50" s="323">
        <v>0.08</v>
      </c>
      <c r="L50" s="324">
        <f t="shared" si="19"/>
        <v>1085409.1200000001</v>
      </c>
      <c r="M50" s="325">
        <f t="shared" si="20"/>
        <v>14653023.120000001</v>
      </c>
      <c r="N50" s="325">
        <f t="shared" si="23"/>
        <v>1465302.3120000002</v>
      </c>
      <c r="O50" s="325">
        <f t="shared" si="21"/>
        <v>278407.43928000005</v>
      </c>
      <c r="P50" s="304">
        <f t="shared" si="22"/>
        <v>14931430.559280001</v>
      </c>
      <c r="Q50" s="305"/>
      <c r="R50" s="306"/>
      <c r="S50" s="307">
        <f t="shared" si="5"/>
        <v>14931430.559280001</v>
      </c>
      <c r="T50" s="153"/>
      <c r="U50" s="136"/>
      <c r="V50" s="136"/>
      <c r="W50" s="136"/>
      <c r="X50" s="137"/>
      <c r="Y50" s="137"/>
      <c r="Z50" s="137"/>
      <c r="AA50" s="137"/>
      <c r="AB50" s="137"/>
      <c r="AC50" s="137"/>
    </row>
    <row r="51" spans="1:29" s="308" customFormat="1" x14ac:dyDescent="0.25">
      <c r="A51" s="377"/>
      <c r="B51" s="385"/>
      <c r="C51" s="298" t="s">
        <v>227</v>
      </c>
      <c r="D51" s="300" t="s">
        <v>269</v>
      </c>
      <c r="E51" s="299">
        <v>1</v>
      </c>
      <c r="F51" s="300" t="s">
        <v>15</v>
      </c>
      <c r="G51" s="299">
        <v>1</v>
      </c>
      <c r="H51" s="299">
        <v>30</v>
      </c>
      <c r="I51" s="299">
        <v>30</v>
      </c>
      <c r="J51" s="322">
        <f t="shared" si="29"/>
        <v>13567614</v>
      </c>
      <c r="K51" s="323">
        <v>0.08</v>
      </c>
      <c r="L51" s="324">
        <f t="shared" si="19"/>
        <v>1085409.1200000001</v>
      </c>
      <c r="M51" s="325">
        <f t="shared" si="20"/>
        <v>14653023.120000001</v>
      </c>
      <c r="N51" s="325">
        <f t="shared" si="23"/>
        <v>1465302.3120000002</v>
      </c>
      <c r="O51" s="325">
        <f t="shared" si="21"/>
        <v>278407.43928000005</v>
      </c>
      <c r="P51" s="304">
        <f t="shared" si="22"/>
        <v>14931430.559280001</v>
      </c>
      <c r="Q51" s="305"/>
      <c r="R51" s="306"/>
      <c r="S51" s="307">
        <f t="shared" si="5"/>
        <v>14931430.559280001</v>
      </c>
      <c r="T51" s="153"/>
      <c r="U51" s="136"/>
      <c r="V51" s="136"/>
      <c r="W51" s="136"/>
      <c r="X51" s="137"/>
      <c r="Y51" s="137"/>
      <c r="Z51" s="137"/>
      <c r="AA51" s="137"/>
      <c r="AB51" s="137"/>
      <c r="AC51" s="137"/>
    </row>
    <row r="52" spans="1:29" s="308" customFormat="1" ht="26.25" x14ac:dyDescent="0.25">
      <c r="A52" s="377"/>
      <c r="B52" s="385"/>
      <c r="C52" s="298" t="s">
        <v>227</v>
      </c>
      <c r="D52" s="300" t="s">
        <v>270</v>
      </c>
      <c r="E52" s="299">
        <v>1</v>
      </c>
      <c r="F52" s="300" t="s">
        <v>15</v>
      </c>
      <c r="G52" s="299">
        <v>1</v>
      </c>
      <c r="H52" s="299">
        <v>30</v>
      </c>
      <c r="I52" s="299">
        <v>30</v>
      </c>
      <c r="J52" s="322">
        <f t="shared" si="29"/>
        <v>13567614</v>
      </c>
      <c r="K52" s="323">
        <v>0.08</v>
      </c>
      <c r="L52" s="324">
        <f t="shared" si="19"/>
        <v>1085409.1200000001</v>
      </c>
      <c r="M52" s="325">
        <f t="shared" si="20"/>
        <v>14653023.120000001</v>
      </c>
      <c r="N52" s="325">
        <f t="shared" si="23"/>
        <v>1465302.3120000002</v>
      </c>
      <c r="O52" s="325">
        <f t="shared" si="21"/>
        <v>278407.43928000005</v>
      </c>
      <c r="P52" s="304">
        <f t="shared" si="22"/>
        <v>14931430.559280001</v>
      </c>
      <c r="Q52" s="305"/>
      <c r="R52" s="306"/>
      <c r="S52" s="307">
        <f t="shared" si="5"/>
        <v>14931430.559280001</v>
      </c>
      <c r="T52" s="153"/>
      <c r="U52" s="136"/>
      <c r="V52" s="136"/>
      <c r="W52" s="136"/>
      <c r="X52" s="137"/>
      <c r="Y52" s="137"/>
      <c r="Z52" s="137"/>
      <c r="AA52" s="137"/>
      <c r="AB52" s="137"/>
      <c r="AC52" s="137"/>
    </row>
    <row r="53" spans="1:29" s="308" customFormat="1" ht="26.25" x14ac:dyDescent="0.25">
      <c r="A53" s="377"/>
      <c r="B53" s="385"/>
      <c r="C53" s="298" t="s">
        <v>227</v>
      </c>
      <c r="D53" s="300" t="s">
        <v>307</v>
      </c>
      <c r="E53" s="299">
        <v>1</v>
      </c>
      <c r="F53" s="300" t="s">
        <v>15</v>
      </c>
      <c r="G53" s="299">
        <v>1</v>
      </c>
      <c r="H53" s="299">
        <v>30</v>
      </c>
      <c r="I53" s="299">
        <v>30</v>
      </c>
      <c r="J53" s="322">
        <f t="shared" si="29"/>
        <v>13567614</v>
      </c>
      <c r="K53" s="323">
        <v>0.08</v>
      </c>
      <c r="L53" s="324">
        <f t="shared" si="19"/>
        <v>1085409.1200000001</v>
      </c>
      <c r="M53" s="325">
        <f t="shared" si="20"/>
        <v>14653023.120000001</v>
      </c>
      <c r="N53" s="325">
        <f t="shared" si="23"/>
        <v>1465302.3120000002</v>
      </c>
      <c r="O53" s="325">
        <f t="shared" si="21"/>
        <v>278407.43928000005</v>
      </c>
      <c r="P53" s="304">
        <f t="shared" si="22"/>
        <v>14931430.559280001</v>
      </c>
      <c r="Q53" s="305"/>
      <c r="R53" s="306"/>
      <c r="S53" s="307">
        <f t="shared" si="5"/>
        <v>14931430.559280001</v>
      </c>
      <c r="T53" s="153"/>
      <c r="U53" s="136"/>
      <c r="V53" s="136"/>
      <c r="W53" s="136"/>
      <c r="X53" s="137"/>
      <c r="Y53" s="137"/>
      <c r="Z53" s="137"/>
      <c r="AA53" s="137"/>
      <c r="AB53" s="137"/>
      <c r="AC53" s="137"/>
    </row>
    <row r="54" spans="1:29" s="308" customFormat="1" ht="25.5" x14ac:dyDescent="0.25">
      <c r="A54" s="377"/>
      <c r="B54" s="385"/>
      <c r="C54" s="298" t="s">
        <v>227</v>
      </c>
      <c r="D54" s="376" t="s">
        <v>271</v>
      </c>
      <c r="E54" s="299">
        <v>1</v>
      </c>
      <c r="F54" s="300" t="s">
        <v>15</v>
      </c>
      <c r="G54" s="299">
        <v>1</v>
      </c>
      <c r="H54" s="299">
        <v>30</v>
      </c>
      <c r="I54" s="299">
        <v>30</v>
      </c>
      <c r="J54" s="322">
        <f t="shared" si="29"/>
        <v>13567614</v>
      </c>
      <c r="K54" s="323">
        <v>0.08</v>
      </c>
      <c r="L54" s="324">
        <f t="shared" si="19"/>
        <v>1085409.1200000001</v>
      </c>
      <c r="M54" s="325">
        <f t="shared" si="20"/>
        <v>14653023.120000001</v>
      </c>
      <c r="N54" s="325">
        <f t="shared" si="23"/>
        <v>1465302.3120000002</v>
      </c>
      <c r="O54" s="325">
        <f t="shared" si="21"/>
        <v>278407.43928000005</v>
      </c>
      <c r="P54" s="304">
        <f t="shared" si="22"/>
        <v>14931430.559280001</v>
      </c>
      <c r="Q54" s="305"/>
      <c r="R54" s="306"/>
      <c r="S54" s="307">
        <f t="shared" si="5"/>
        <v>14931430.559280001</v>
      </c>
      <c r="T54" s="153"/>
      <c r="U54" s="136"/>
      <c r="V54" s="136"/>
      <c r="W54" s="136"/>
      <c r="X54" s="137"/>
      <c r="Y54" s="137"/>
      <c r="Z54" s="137"/>
      <c r="AA54" s="137"/>
      <c r="AB54" s="137"/>
      <c r="AC54" s="137"/>
    </row>
    <row r="55" spans="1:29" s="308" customFormat="1" x14ac:dyDescent="0.25">
      <c r="A55" s="377"/>
      <c r="B55" s="385"/>
      <c r="C55" s="298" t="s">
        <v>227</v>
      </c>
      <c r="D55" s="376" t="s">
        <v>272</v>
      </c>
      <c r="E55" s="299">
        <v>1</v>
      </c>
      <c r="F55" s="300" t="s">
        <v>15</v>
      </c>
      <c r="G55" s="299">
        <v>1</v>
      </c>
      <c r="H55" s="299">
        <v>30</v>
      </c>
      <c r="I55" s="299">
        <v>30</v>
      </c>
      <c r="J55" s="322">
        <f t="shared" si="29"/>
        <v>13567614</v>
      </c>
      <c r="K55" s="323">
        <v>0.08</v>
      </c>
      <c r="L55" s="324">
        <f t="shared" si="19"/>
        <v>1085409.1200000001</v>
      </c>
      <c r="M55" s="325">
        <f t="shared" si="20"/>
        <v>14653023.120000001</v>
      </c>
      <c r="N55" s="325">
        <f t="shared" si="23"/>
        <v>1465302.3120000002</v>
      </c>
      <c r="O55" s="325">
        <f t="shared" si="21"/>
        <v>278407.43928000005</v>
      </c>
      <c r="P55" s="304">
        <f t="shared" si="22"/>
        <v>14931430.559280001</v>
      </c>
      <c r="Q55" s="305"/>
      <c r="R55" s="306"/>
      <c r="S55" s="307">
        <f t="shared" si="5"/>
        <v>14931430.559280001</v>
      </c>
      <c r="T55" s="153"/>
      <c r="U55" s="136"/>
      <c r="V55" s="136"/>
      <c r="W55" s="136"/>
      <c r="X55" s="137"/>
      <c r="Y55" s="137"/>
      <c r="Z55" s="137"/>
      <c r="AA55" s="137"/>
      <c r="AB55" s="137"/>
      <c r="AC55" s="137"/>
    </row>
    <row r="56" spans="1:29" s="308" customFormat="1" x14ac:dyDescent="0.25">
      <c r="B56" s="385"/>
      <c r="C56" s="298" t="s">
        <v>227</v>
      </c>
      <c r="D56" s="376" t="s">
        <v>273</v>
      </c>
      <c r="E56" s="299">
        <v>1</v>
      </c>
      <c r="F56" s="300" t="s">
        <v>16</v>
      </c>
      <c r="G56" s="299">
        <v>1</v>
      </c>
      <c r="H56" s="299">
        <v>30</v>
      </c>
      <c r="I56" s="299">
        <v>30</v>
      </c>
      <c r="J56" s="301">
        <f>+(((((1423500*9.53+1659)*55.97%)/15*12)/30)*I56)*E56</f>
        <v>6075034.8446399998</v>
      </c>
      <c r="K56" s="302">
        <v>0.08</v>
      </c>
      <c r="L56" s="303">
        <f t="shared" si="19"/>
        <v>486002.78757119999</v>
      </c>
      <c r="M56" s="304">
        <f t="shared" si="20"/>
        <v>6561037.6322112</v>
      </c>
      <c r="N56" s="304">
        <f t="shared" si="23"/>
        <v>656103.76322112</v>
      </c>
      <c r="O56" s="304">
        <f t="shared" si="21"/>
        <v>124659.71501201281</v>
      </c>
      <c r="P56" s="304">
        <f t="shared" si="22"/>
        <v>6685697.3472232129</v>
      </c>
      <c r="Q56" s="305">
        <v>5</v>
      </c>
      <c r="R56" s="306">
        <f>P56/30*Q56</f>
        <v>1114282.8912038687</v>
      </c>
      <c r="S56" s="307">
        <f t="shared" si="5"/>
        <v>5571414.4560193438</v>
      </c>
      <c r="T56" s="153"/>
      <c r="U56" s="136"/>
      <c r="V56" s="136"/>
      <c r="W56" s="136"/>
      <c r="X56" s="137"/>
      <c r="Y56" s="137"/>
      <c r="Z56" s="137"/>
      <c r="AA56" s="137"/>
      <c r="AB56" s="137"/>
      <c r="AC56" s="137"/>
    </row>
    <row r="57" spans="1:29" s="308" customFormat="1" x14ac:dyDescent="0.25">
      <c r="A57" s="377"/>
      <c r="B57" s="385"/>
      <c r="C57" s="298" t="s">
        <v>227</v>
      </c>
      <c r="D57" s="376" t="s">
        <v>274</v>
      </c>
      <c r="E57" s="299">
        <v>1</v>
      </c>
      <c r="F57" s="300" t="s">
        <v>16</v>
      </c>
      <c r="G57" s="299">
        <v>1</v>
      </c>
      <c r="H57" s="299">
        <v>30</v>
      </c>
      <c r="I57" s="299">
        <v>30</v>
      </c>
      <c r="J57" s="322">
        <f>+(((((1423500*9.53+1659)*55.97%)/15*12)/30)*I57)*E57</f>
        <v>6075034.8446399998</v>
      </c>
      <c r="K57" s="323">
        <v>0.08</v>
      </c>
      <c r="L57" s="324">
        <f t="shared" si="19"/>
        <v>486002.78757119999</v>
      </c>
      <c r="M57" s="325">
        <f t="shared" si="20"/>
        <v>6561037.6322112</v>
      </c>
      <c r="N57" s="325">
        <f t="shared" si="23"/>
        <v>656103.76322112</v>
      </c>
      <c r="O57" s="325">
        <f t="shared" si="21"/>
        <v>124659.71501201281</v>
      </c>
      <c r="P57" s="304">
        <f t="shared" si="22"/>
        <v>6685697.3472232129</v>
      </c>
      <c r="Q57" s="305">
        <v>5</v>
      </c>
      <c r="R57" s="306">
        <f>P57/30*Q57</f>
        <v>1114282.8912038687</v>
      </c>
      <c r="S57" s="307">
        <f t="shared" si="5"/>
        <v>5571414.4560193438</v>
      </c>
      <c r="T57" s="153"/>
      <c r="U57" s="136"/>
      <c r="V57" s="136"/>
      <c r="W57" s="136"/>
      <c r="X57" s="137"/>
      <c r="Y57" s="137"/>
      <c r="Z57" s="137"/>
      <c r="AA57" s="137"/>
      <c r="AB57" s="137"/>
      <c r="AC57" s="137"/>
    </row>
    <row r="58" spans="1:29" s="308" customFormat="1" x14ac:dyDescent="0.25">
      <c r="A58" s="297"/>
      <c r="B58" s="385"/>
      <c r="C58" s="298" t="s">
        <v>227</v>
      </c>
      <c r="D58" s="392" t="s">
        <v>275</v>
      </c>
      <c r="E58" s="299">
        <v>1</v>
      </c>
      <c r="F58" s="300" t="s">
        <v>15</v>
      </c>
      <c r="G58" s="299">
        <v>1</v>
      </c>
      <c r="H58" s="299">
        <v>30</v>
      </c>
      <c r="I58" s="299">
        <v>30</v>
      </c>
      <c r="J58" s="322">
        <f>+(((1423500*9.53+1659)/30)*I58)*E58</f>
        <v>13567614</v>
      </c>
      <c r="K58" s="323">
        <v>0.08</v>
      </c>
      <c r="L58" s="324">
        <f t="shared" si="19"/>
        <v>1085409.1200000001</v>
      </c>
      <c r="M58" s="325">
        <f t="shared" si="20"/>
        <v>14653023.120000001</v>
      </c>
      <c r="N58" s="325">
        <f t="shared" si="23"/>
        <v>1465302.3120000002</v>
      </c>
      <c r="O58" s="325">
        <f t="shared" si="21"/>
        <v>278407.43928000005</v>
      </c>
      <c r="P58" s="304">
        <f t="shared" si="22"/>
        <v>14931430.559280001</v>
      </c>
      <c r="Q58" s="305"/>
      <c r="R58" s="306"/>
      <c r="S58" s="307">
        <f t="shared" si="5"/>
        <v>14931430.559280001</v>
      </c>
      <c r="T58" s="153"/>
      <c r="U58" s="136"/>
      <c r="V58" s="136"/>
      <c r="W58" s="136"/>
      <c r="X58" s="137"/>
      <c r="Y58" s="137"/>
      <c r="Z58" s="137"/>
      <c r="AA58" s="137"/>
      <c r="AB58" s="137"/>
      <c r="AC58" s="137"/>
    </row>
    <row r="59" spans="1:29" s="297" customFormat="1" ht="26.25" x14ac:dyDescent="0.25">
      <c r="B59" s="384"/>
      <c r="C59" s="326" t="s">
        <v>227</v>
      </c>
      <c r="D59" s="393"/>
      <c r="E59" s="327">
        <v>1</v>
      </c>
      <c r="F59" s="328" t="s">
        <v>20</v>
      </c>
      <c r="G59" s="327">
        <v>1</v>
      </c>
      <c r="H59" s="327">
        <v>30</v>
      </c>
      <c r="I59" s="299">
        <v>30</v>
      </c>
      <c r="J59" s="322">
        <f>+(((((1423500*9.53+1659)*55.97%)/15*14)/30)*I59)*E59</f>
        <v>7087540.6520799994</v>
      </c>
      <c r="K59" s="323">
        <v>0.08</v>
      </c>
      <c r="L59" s="324">
        <f t="shared" si="19"/>
        <v>567003.25216639997</v>
      </c>
      <c r="M59" s="325">
        <f t="shared" si="20"/>
        <v>7654543.9042463992</v>
      </c>
      <c r="N59" s="325">
        <f t="shared" si="23"/>
        <v>765454.39042463992</v>
      </c>
      <c r="O59" s="325">
        <f t="shared" si="21"/>
        <v>145436.33418068159</v>
      </c>
      <c r="P59" s="325">
        <f t="shared" si="22"/>
        <v>7799980.2384270811</v>
      </c>
      <c r="Q59" s="329"/>
      <c r="R59" s="306"/>
      <c r="S59" s="330">
        <f t="shared" si="5"/>
        <v>7799980.2384270811</v>
      </c>
      <c r="T59" s="167"/>
      <c r="U59" s="133"/>
      <c r="V59" s="133"/>
      <c r="W59" s="133"/>
      <c r="X59" s="134"/>
      <c r="Y59" s="134"/>
      <c r="Z59" s="134"/>
      <c r="AA59" s="134"/>
      <c r="AB59" s="134"/>
      <c r="AC59" s="134"/>
    </row>
    <row r="60" spans="1:29" s="297" customFormat="1" ht="26.25" x14ac:dyDescent="0.25">
      <c r="B60" s="384"/>
      <c r="C60" s="326" t="s">
        <v>227</v>
      </c>
      <c r="D60" s="328" t="s">
        <v>276</v>
      </c>
      <c r="E60" s="327">
        <v>1</v>
      </c>
      <c r="F60" s="328" t="s">
        <v>20</v>
      </c>
      <c r="G60" s="327">
        <v>1</v>
      </c>
      <c r="H60" s="327">
        <v>30</v>
      </c>
      <c r="I60" s="299">
        <v>30</v>
      </c>
      <c r="J60" s="322">
        <f>+(((((1423500*9.53+1659)*55.97%)/15*14)/30)*I60)*E60</f>
        <v>7087540.6520799994</v>
      </c>
      <c r="K60" s="323">
        <v>0.08</v>
      </c>
      <c r="L60" s="324">
        <f t="shared" si="19"/>
        <v>567003.25216639997</v>
      </c>
      <c r="M60" s="325">
        <f t="shared" si="20"/>
        <v>7654543.9042463992</v>
      </c>
      <c r="N60" s="325">
        <f t="shared" si="23"/>
        <v>765454.39042463992</v>
      </c>
      <c r="O60" s="325">
        <f t="shared" si="21"/>
        <v>145436.33418068159</v>
      </c>
      <c r="P60" s="325">
        <f t="shared" si="22"/>
        <v>7799980.2384270811</v>
      </c>
      <c r="Q60" s="329"/>
      <c r="R60" s="306"/>
      <c r="S60" s="330">
        <f t="shared" si="5"/>
        <v>7799980.2384270811</v>
      </c>
      <c r="T60" s="167"/>
      <c r="U60" s="133"/>
      <c r="V60" s="133"/>
      <c r="W60" s="133"/>
      <c r="X60" s="134"/>
      <c r="Y60" s="134"/>
      <c r="Z60" s="134"/>
      <c r="AA60" s="134"/>
      <c r="AB60" s="134"/>
      <c r="AC60" s="134"/>
    </row>
    <row r="61" spans="1:29" s="308" customFormat="1" ht="26.25" x14ac:dyDescent="0.25">
      <c r="A61" s="297"/>
      <c r="B61" s="385"/>
      <c r="C61" s="298" t="s">
        <v>227</v>
      </c>
      <c r="D61" s="300" t="s">
        <v>277</v>
      </c>
      <c r="E61" s="299">
        <v>1</v>
      </c>
      <c r="F61" s="300" t="s">
        <v>15</v>
      </c>
      <c r="G61" s="299">
        <v>1</v>
      </c>
      <c r="H61" s="299">
        <v>30</v>
      </c>
      <c r="I61" s="299">
        <v>30</v>
      </c>
      <c r="J61" s="322">
        <f>+(((1423500*9.53+1659)/30)*I61)*E61</f>
        <v>13567614</v>
      </c>
      <c r="K61" s="323">
        <v>0.08</v>
      </c>
      <c r="L61" s="324">
        <f t="shared" si="19"/>
        <v>1085409.1200000001</v>
      </c>
      <c r="M61" s="325">
        <f t="shared" si="20"/>
        <v>14653023.120000001</v>
      </c>
      <c r="N61" s="325">
        <f>M61*10%</f>
        <v>1465302.3120000002</v>
      </c>
      <c r="O61" s="325">
        <f>+N61*19%</f>
        <v>278407.43928000005</v>
      </c>
      <c r="P61" s="304">
        <f>M61+O61</f>
        <v>14931430.559280001</v>
      </c>
      <c r="Q61" s="305"/>
      <c r="R61" s="306"/>
      <c r="S61" s="307">
        <f t="shared" si="5"/>
        <v>14931430.559280001</v>
      </c>
      <c r="T61" s="153"/>
      <c r="U61" s="136"/>
      <c r="V61" s="136"/>
      <c r="W61" s="136"/>
      <c r="X61" s="137"/>
      <c r="Y61" s="137"/>
      <c r="Z61" s="137"/>
      <c r="AA61" s="137"/>
      <c r="AB61" s="137"/>
      <c r="AC61" s="137"/>
    </row>
    <row r="62" spans="1:29" s="308" customFormat="1" ht="17.25" customHeight="1" x14ac:dyDescent="0.25">
      <c r="A62" s="297"/>
      <c r="B62" s="385"/>
      <c r="C62" s="331" t="s">
        <v>227</v>
      </c>
      <c r="D62" s="332" t="s">
        <v>278</v>
      </c>
      <c r="E62" s="299">
        <v>1</v>
      </c>
      <c r="F62" s="300" t="s">
        <v>15</v>
      </c>
      <c r="G62" s="299">
        <v>1</v>
      </c>
      <c r="H62" s="299">
        <v>30</v>
      </c>
      <c r="I62" s="299">
        <v>30</v>
      </c>
      <c r="J62" s="322">
        <f>+(((1423500*9.53+1659)/30)*I62)*E62</f>
        <v>13567614</v>
      </c>
      <c r="K62" s="323">
        <v>0.08</v>
      </c>
      <c r="L62" s="324">
        <f t="shared" si="19"/>
        <v>1085409.1200000001</v>
      </c>
      <c r="M62" s="325">
        <f t="shared" si="20"/>
        <v>14653023.120000001</v>
      </c>
      <c r="N62" s="325">
        <f t="shared" si="23"/>
        <v>1465302.3120000002</v>
      </c>
      <c r="O62" s="325">
        <f t="shared" si="21"/>
        <v>278407.43928000005</v>
      </c>
      <c r="P62" s="304">
        <f t="shared" si="22"/>
        <v>14931430.559280001</v>
      </c>
      <c r="Q62" s="305"/>
      <c r="R62" s="306"/>
      <c r="S62" s="307">
        <f t="shared" si="5"/>
        <v>14931430.559280001</v>
      </c>
      <c r="T62" s="153"/>
      <c r="U62" s="136"/>
      <c r="V62" s="136"/>
      <c r="W62" s="136"/>
      <c r="X62" s="137"/>
      <c r="Y62" s="137"/>
      <c r="Z62" s="137"/>
      <c r="AA62" s="137"/>
      <c r="AB62" s="137"/>
      <c r="AC62" s="137"/>
    </row>
    <row r="63" spans="1:29" s="308" customFormat="1" x14ac:dyDescent="0.25">
      <c r="A63" s="297"/>
      <c r="B63" s="385"/>
      <c r="C63" s="298" t="s">
        <v>227</v>
      </c>
      <c r="D63" s="332" t="s">
        <v>279</v>
      </c>
      <c r="E63" s="299">
        <v>1</v>
      </c>
      <c r="F63" s="300" t="s">
        <v>15</v>
      </c>
      <c r="G63" s="299">
        <v>1</v>
      </c>
      <c r="H63" s="299">
        <v>30</v>
      </c>
      <c r="I63" s="299">
        <v>30</v>
      </c>
      <c r="J63" s="322">
        <f>+(((1423500*9.53+1659)/30)*I63)*E63</f>
        <v>13567614</v>
      </c>
      <c r="K63" s="323">
        <v>0.08</v>
      </c>
      <c r="L63" s="324">
        <f t="shared" si="19"/>
        <v>1085409.1200000001</v>
      </c>
      <c r="M63" s="325">
        <f t="shared" si="20"/>
        <v>14653023.120000001</v>
      </c>
      <c r="N63" s="325">
        <f t="shared" si="23"/>
        <v>1465302.3120000002</v>
      </c>
      <c r="O63" s="325">
        <f t="shared" si="21"/>
        <v>278407.43928000005</v>
      </c>
      <c r="P63" s="304">
        <f t="shared" si="22"/>
        <v>14931430.559280001</v>
      </c>
      <c r="Q63" s="305"/>
      <c r="R63" s="306"/>
      <c r="S63" s="307">
        <f t="shared" si="5"/>
        <v>14931430.559280001</v>
      </c>
      <c r="T63" s="153"/>
      <c r="U63" s="136"/>
      <c r="V63" s="136"/>
      <c r="W63" s="136"/>
      <c r="X63" s="137"/>
      <c r="Y63" s="137"/>
      <c r="Z63" s="137"/>
      <c r="AA63" s="137"/>
      <c r="AB63" s="137"/>
      <c r="AC63" s="137"/>
    </row>
    <row r="64" spans="1:29" s="308" customFormat="1" ht="26.25" x14ac:dyDescent="0.25">
      <c r="A64" s="297"/>
      <c r="B64" s="385"/>
      <c r="C64" s="298" t="s">
        <v>227</v>
      </c>
      <c r="D64" s="300" t="s">
        <v>280</v>
      </c>
      <c r="E64" s="299">
        <v>1</v>
      </c>
      <c r="F64" s="300" t="s">
        <v>15</v>
      </c>
      <c r="G64" s="299">
        <v>1</v>
      </c>
      <c r="H64" s="299">
        <v>30</v>
      </c>
      <c r="I64" s="299">
        <v>30</v>
      </c>
      <c r="J64" s="322">
        <f>+(((1423500*9.53+1659)/30)*I64)*E64</f>
        <v>13567614</v>
      </c>
      <c r="K64" s="323">
        <v>0.08</v>
      </c>
      <c r="L64" s="324">
        <f t="shared" si="19"/>
        <v>1085409.1200000001</v>
      </c>
      <c r="M64" s="325">
        <f t="shared" si="20"/>
        <v>14653023.120000001</v>
      </c>
      <c r="N64" s="325">
        <f t="shared" si="23"/>
        <v>1465302.3120000002</v>
      </c>
      <c r="O64" s="325">
        <f t="shared" si="21"/>
        <v>278407.43928000005</v>
      </c>
      <c r="P64" s="304">
        <f t="shared" si="22"/>
        <v>14931430.559280001</v>
      </c>
      <c r="Q64" s="305"/>
      <c r="R64" s="306"/>
      <c r="S64" s="307">
        <f t="shared" si="5"/>
        <v>14931430.559280001</v>
      </c>
      <c r="T64" s="155"/>
      <c r="U64" s="136"/>
      <c r="V64" s="136"/>
      <c r="W64" s="136"/>
      <c r="X64" s="137"/>
      <c r="Y64" s="137"/>
      <c r="Z64" s="137"/>
      <c r="AA64" s="137"/>
      <c r="AB64" s="137"/>
      <c r="AC64" s="137"/>
    </row>
    <row r="65" spans="1:29" s="137" customFormat="1" ht="15" customHeight="1" x14ac:dyDescent="0.25">
      <c r="A65" s="134"/>
      <c r="B65" s="385"/>
      <c r="C65" s="135" t="s">
        <v>227</v>
      </c>
      <c r="D65" s="217" t="s">
        <v>281</v>
      </c>
      <c r="E65" s="199">
        <v>1</v>
      </c>
      <c r="F65" s="148" t="s">
        <v>15</v>
      </c>
      <c r="G65" s="199">
        <v>1</v>
      </c>
      <c r="H65" s="199">
        <v>30</v>
      </c>
      <c r="I65" s="199">
        <v>30</v>
      </c>
      <c r="J65" s="159">
        <f>+(((1423500*9.53+1659)/30)*I65)*E65</f>
        <v>13567614</v>
      </c>
      <c r="K65" s="160">
        <v>0.08</v>
      </c>
      <c r="L65" s="221">
        <f t="shared" si="19"/>
        <v>1085409.1200000001</v>
      </c>
      <c r="M65" s="161">
        <f t="shared" si="20"/>
        <v>14653023.120000001</v>
      </c>
      <c r="N65" s="161">
        <f t="shared" si="23"/>
        <v>1465302.3120000002</v>
      </c>
      <c r="O65" s="161">
        <f t="shared" si="21"/>
        <v>278407.43928000005</v>
      </c>
      <c r="P65" s="150">
        <f t="shared" si="22"/>
        <v>14931430.559280001</v>
      </c>
      <c r="Q65" s="218"/>
      <c r="R65" s="162"/>
      <c r="S65" s="152">
        <f t="shared" si="5"/>
        <v>14931430.559280001</v>
      </c>
      <c r="T65" s="153"/>
      <c r="U65" s="136"/>
      <c r="V65" s="136"/>
      <c r="W65" s="136"/>
    </row>
    <row r="66" spans="1:29" s="137" customFormat="1" ht="19.5" customHeight="1" x14ac:dyDescent="0.25">
      <c r="A66" s="134"/>
      <c r="B66" s="385"/>
      <c r="C66" s="135" t="s">
        <v>227</v>
      </c>
      <c r="D66" s="217" t="s">
        <v>282</v>
      </c>
      <c r="E66" s="199">
        <v>1</v>
      </c>
      <c r="F66" s="148" t="s">
        <v>16</v>
      </c>
      <c r="G66" s="199">
        <v>1</v>
      </c>
      <c r="H66" s="199">
        <v>30</v>
      </c>
      <c r="I66" s="199">
        <v>30</v>
      </c>
      <c r="J66" s="159">
        <f>+(((((1423500*9.53+1659)*55.97%)/15*12)/30)*I66)*E66</f>
        <v>6075034.8446399998</v>
      </c>
      <c r="K66" s="160">
        <v>0.08</v>
      </c>
      <c r="L66" s="221">
        <f t="shared" si="19"/>
        <v>486002.78757119999</v>
      </c>
      <c r="M66" s="161">
        <f t="shared" si="20"/>
        <v>6561037.6322112</v>
      </c>
      <c r="N66" s="161">
        <f t="shared" si="23"/>
        <v>656103.76322112</v>
      </c>
      <c r="O66" s="161">
        <f t="shared" si="21"/>
        <v>124659.71501201281</v>
      </c>
      <c r="P66" s="150">
        <f t="shared" si="22"/>
        <v>6685697.3472232129</v>
      </c>
      <c r="Q66" s="218"/>
      <c r="R66" s="162"/>
      <c r="S66" s="152">
        <f t="shared" si="5"/>
        <v>6685697.3472232129</v>
      </c>
      <c r="T66" s="153"/>
      <c r="U66" s="136"/>
      <c r="V66" s="136"/>
      <c r="W66" s="136"/>
    </row>
    <row r="67" spans="1:29" s="137" customFormat="1" x14ac:dyDescent="0.25">
      <c r="A67" s="134"/>
      <c r="B67" s="385"/>
      <c r="C67" s="135" t="s">
        <v>227</v>
      </c>
      <c r="D67" s="147" t="s">
        <v>281</v>
      </c>
      <c r="E67" s="199">
        <v>1</v>
      </c>
      <c r="F67" s="147" t="s">
        <v>183</v>
      </c>
      <c r="G67" s="199">
        <v>1</v>
      </c>
      <c r="H67" s="199">
        <v>30</v>
      </c>
      <c r="I67" s="199">
        <v>30</v>
      </c>
      <c r="J67" s="159">
        <f>+(((((1423500*9.53+1659)*55.97%)/15*8)/30)*I67)*E67</f>
        <v>4050023.22976</v>
      </c>
      <c r="K67" s="160">
        <v>0.08</v>
      </c>
      <c r="L67" s="221">
        <f t="shared" si="19"/>
        <v>324001.8583808</v>
      </c>
      <c r="M67" s="161">
        <f t="shared" si="20"/>
        <v>4374025.0881407997</v>
      </c>
      <c r="N67" s="161">
        <f t="shared" si="23"/>
        <v>437402.50881407998</v>
      </c>
      <c r="O67" s="161">
        <f t="shared" si="21"/>
        <v>83106.476674675199</v>
      </c>
      <c r="P67" s="150">
        <f t="shared" si="22"/>
        <v>4457131.5648154747</v>
      </c>
      <c r="Q67" s="218"/>
      <c r="R67" s="162"/>
      <c r="S67" s="152">
        <f t="shared" si="5"/>
        <v>4457131.5648154747</v>
      </c>
      <c r="T67" s="153"/>
      <c r="U67" s="136"/>
      <c r="V67" s="136"/>
      <c r="W67" s="136"/>
    </row>
    <row r="68" spans="1:29" s="137" customFormat="1" x14ac:dyDescent="0.25">
      <c r="A68" s="134"/>
      <c r="B68" s="385"/>
      <c r="C68" s="135" t="s">
        <v>227</v>
      </c>
      <c r="D68" s="148" t="s">
        <v>23</v>
      </c>
      <c r="E68" s="199">
        <v>1</v>
      </c>
      <c r="F68" s="148" t="s">
        <v>15</v>
      </c>
      <c r="G68" s="199">
        <v>1</v>
      </c>
      <c r="H68" s="199">
        <v>30</v>
      </c>
      <c r="I68" s="199">
        <v>30</v>
      </c>
      <c r="J68" s="159">
        <f>+(((1423500*9.53+1659)/30)*I68)*E68</f>
        <v>13567614</v>
      </c>
      <c r="K68" s="160">
        <v>0.08</v>
      </c>
      <c r="L68" s="221">
        <f t="shared" ref="L68" si="30">J68*K68</f>
        <v>1085409.1200000001</v>
      </c>
      <c r="M68" s="161">
        <f t="shared" ref="M68" si="31">J68+L68</f>
        <v>14653023.120000001</v>
      </c>
      <c r="N68" s="161">
        <f>M68*10%</f>
        <v>1465302.3120000002</v>
      </c>
      <c r="O68" s="161">
        <f>+N68*19%</f>
        <v>278407.43928000005</v>
      </c>
      <c r="P68" s="150">
        <f>M68+O68</f>
        <v>14931430.559280001</v>
      </c>
      <c r="Q68" s="218"/>
      <c r="R68" s="162"/>
      <c r="S68" s="152">
        <f t="shared" ref="S68" si="32">P68-R68</f>
        <v>14931430.559280001</v>
      </c>
      <c r="T68" s="153"/>
      <c r="U68" s="136"/>
      <c r="V68" s="136"/>
      <c r="W68" s="136"/>
    </row>
    <row r="69" spans="1:29" s="137" customFormat="1" ht="17.25" customHeight="1" x14ac:dyDescent="0.25">
      <c r="A69" s="134"/>
      <c r="B69" s="385"/>
      <c r="C69" s="135" t="s">
        <v>227</v>
      </c>
      <c r="D69" s="168" t="s">
        <v>237</v>
      </c>
      <c r="E69" s="199">
        <v>1</v>
      </c>
      <c r="F69" s="148" t="s">
        <v>15</v>
      </c>
      <c r="G69" s="199">
        <v>1</v>
      </c>
      <c r="H69" s="199">
        <v>30</v>
      </c>
      <c r="I69" s="199">
        <v>30</v>
      </c>
      <c r="J69" s="159">
        <f>+(((1423500*9.53+1659)/30)*I69)*E69</f>
        <v>13567614</v>
      </c>
      <c r="K69" s="160">
        <v>0.08</v>
      </c>
      <c r="L69" s="221">
        <f t="shared" si="19"/>
        <v>1085409.1200000001</v>
      </c>
      <c r="M69" s="161">
        <f t="shared" si="20"/>
        <v>14653023.120000001</v>
      </c>
      <c r="N69" s="161">
        <f>M69*10%</f>
        <v>1465302.3120000002</v>
      </c>
      <c r="O69" s="161">
        <f>+N69*19%</f>
        <v>278407.43928000005</v>
      </c>
      <c r="P69" s="150">
        <f>M69+O69</f>
        <v>14931430.559280001</v>
      </c>
      <c r="Q69" s="218"/>
      <c r="R69" s="162"/>
      <c r="S69" s="152">
        <f t="shared" si="5"/>
        <v>14931430.559280001</v>
      </c>
      <c r="T69" s="153"/>
      <c r="U69" s="136"/>
      <c r="V69" s="136"/>
      <c r="W69" s="136"/>
    </row>
    <row r="70" spans="1:29" s="137" customFormat="1" ht="15" customHeight="1" x14ac:dyDescent="0.25">
      <c r="A70" s="134"/>
      <c r="B70" s="385"/>
      <c r="C70" s="135" t="s">
        <v>227</v>
      </c>
      <c r="D70" s="168" t="s">
        <v>238</v>
      </c>
      <c r="E70" s="199">
        <v>1</v>
      </c>
      <c r="F70" s="148" t="s">
        <v>15</v>
      </c>
      <c r="G70" s="199">
        <v>1</v>
      </c>
      <c r="H70" s="199">
        <v>30</v>
      </c>
      <c r="I70" s="199">
        <v>30</v>
      </c>
      <c r="J70" s="159">
        <f>+(((1423500*9.53+1659)/30)*I70)*E70</f>
        <v>13567614</v>
      </c>
      <c r="K70" s="160">
        <v>0.08</v>
      </c>
      <c r="L70" s="221">
        <f t="shared" si="19"/>
        <v>1085409.1200000001</v>
      </c>
      <c r="M70" s="161">
        <f t="shared" si="20"/>
        <v>14653023.120000001</v>
      </c>
      <c r="N70" s="161">
        <f>M70*10%</f>
        <v>1465302.3120000002</v>
      </c>
      <c r="O70" s="161">
        <f>+N70*19%</f>
        <v>278407.43928000005</v>
      </c>
      <c r="P70" s="150">
        <f>M70+O70</f>
        <v>14931430.559280001</v>
      </c>
      <c r="Q70" s="218"/>
      <c r="R70" s="162"/>
      <c r="S70" s="152">
        <f t="shared" si="5"/>
        <v>14931430.559280001</v>
      </c>
      <c r="T70" s="153"/>
      <c r="U70" s="136"/>
      <c r="V70" s="136"/>
      <c r="W70" s="136"/>
    </row>
    <row r="71" spans="1:29" s="137" customFormat="1" ht="15" customHeight="1" x14ac:dyDescent="0.25">
      <c r="A71" s="134"/>
      <c r="B71" s="385"/>
      <c r="C71" s="135" t="s">
        <v>227</v>
      </c>
      <c r="D71" s="168" t="s">
        <v>239</v>
      </c>
      <c r="E71" s="199">
        <v>1</v>
      </c>
      <c r="F71" s="148" t="s">
        <v>183</v>
      </c>
      <c r="G71" s="199">
        <v>1</v>
      </c>
      <c r="H71" s="199">
        <v>30</v>
      </c>
      <c r="I71" s="199">
        <v>30</v>
      </c>
      <c r="J71" s="159">
        <f>+(((((1423500*9.53+1659)*55.97%)/15*8)/30)*I71)*E71</f>
        <v>4050023.22976</v>
      </c>
      <c r="K71" s="160">
        <v>0.08</v>
      </c>
      <c r="L71" s="221">
        <f t="shared" si="19"/>
        <v>324001.8583808</v>
      </c>
      <c r="M71" s="161">
        <f t="shared" si="20"/>
        <v>4374025.0881407997</v>
      </c>
      <c r="N71" s="161">
        <f>M71*10%</f>
        <v>437402.50881407998</v>
      </c>
      <c r="O71" s="161">
        <f>+N71*19%</f>
        <v>83106.476674675199</v>
      </c>
      <c r="P71" s="150">
        <f>M71+O71</f>
        <v>4457131.5648154747</v>
      </c>
      <c r="Q71" s="218"/>
      <c r="R71" s="162"/>
      <c r="S71" s="152">
        <f t="shared" si="5"/>
        <v>4457131.5648154747</v>
      </c>
      <c r="T71" s="153"/>
      <c r="U71" s="136"/>
      <c r="V71" s="136"/>
      <c r="W71" s="136"/>
    </row>
    <row r="72" spans="1:29" s="137" customFormat="1" ht="15" customHeight="1" x14ac:dyDescent="0.25">
      <c r="A72" s="134"/>
      <c r="B72" s="385"/>
      <c r="C72" s="135" t="s">
        <v>227</v>
      </c>
      <c r="D72" s="216" t="s">
        <v>240</v>
      </c>
      <c r="E72" s="199">
        <v>1</v>
      </c>
      <c r="F72" s="148" t="s">
        <v>15</v>
      </c>
      <c r="G72" s="199">
        <v>1</v>
      </c>
      <c r="H72" s="199">
        <v>30</v>
      </c>
      <c r="I72" s="199">
        <v>30</v>
      </c>
      <c r="J72" s="159">
        <f>+(((1423500*9.53+1659)/30)*I72)*E72</f>
        <v>13567614</v>
      </c>
      <c r="K72" s="160">
        <v>0.08</v>
      </c>
      <c r="L72" s="221">
        <f t="shared" si="19"/>
        <v>1085409.1200000001</v>
      </c>
      <c r="M72" s="161">
        <f t="shared" si="20"/>
        <v>14653023.120000001</v>
      </c>
      <c r="N72" s="161">
        <f t="shared" ref="N72:N109" si="33">M72*10%</f>
        <v>1465302.3120000002</v>
      </c>
      <c r="O72" s="161">
        <f t="shared" ref="O72:O109" si="34">+N72*19%</f>
        <v>278407.43928000005</v>
      </c>
      <c r="P72" s="150">
        <f>M72+O72</f>
        <v>14931430.559280001</v>
      </c>
      <c r="Q72" s="218"/>
      <c r="R72" s="162"/>
      <c r="S72" s="152">
        <f t="shared" si="5"/>
        <v>14931430.559280001</v>
      </c>
      <c r="T72" s="153"/>
      <c r="U72" s="136"/>
      <c r="V72" s="136"/>
      <c r="W72" s="136"/>
    </row>
    <row r="73" spans="1:29" s="137" customFormat="1" ht="15" customHeight="1" x14ac:dyDescent="0.25">
      <c r="A73" s="134"/>
      <c r="B73" s="384"/>
      <c r="C73" s="135" t="s">
        <v>227</v>
      </c>
      <c r="D73" s="168" t="s">
        <v>241</v>
      </c>
      <c r="E73" s="199">
        <v>1</v>
      </c>
      <c r="F73" s="148" t="s">
        <v>17</v>
      </c>
      <c r="G73" s="199">
        <v>1</v>
      </c>
      <c r="H73" s="199">
        <v>30</v>
      </c>
      <c r="I73" s="199">
        <v>24</v>
      </c>
      <c r="J73" s="154">
        <f>+(((((1423500*9.53+1659)*55.97%)/15*12)/30)*I73)*E73</f>
        <v>4860027.8757119998</v>
      </c>
      <c r="K73" s="149">
        <v>0.08</v>
      </c>
      <c r="L73" s="223">
        <f t="shared" si="19"/>
        <v>388802.23005696002</v>
      </c>
      <c r="M73" s="150">
        <f t="shared" si="20"/>
        <v>5248830.10576896</v>
      </c>
      <c r="N73" s="150">
        <f t="shared" si="33"/>
        <v>524883.01057689602</v>
      </c>
      <c r="O73" s="150">
        <f t="shared" si="34"/>
        <v>99727.772009610242</v>
      </c>
      <c r="P73" s="150">
        <f t="shared" ref="P73:P109" si="35">M73+O73</f>
        <v>5348557.8777785702</v>
      </c>
      <c r="Q73" s="218"/>
      <c r="R73" s="162"/>
      <c r="S73" s="152">
        <f t="shared" si="5"/>
        <v>5348557.8777785702</v>
      </c>
      <c r="T73" s="153"/>
      <c r="U73" s="136"/>
      <c r="V73" s="136"/>
      <c r="W73" s="136"/>
    </row>
    <row r="74" spans="1:29" s="137" customFormat="1" ht="15" customHeight="1" x14ac:dyDescent="0.25">
      <c r="A74" s="134"/>
      <c r="B74" s="385"/>
      <c r="C74" s="135" t="s">
        <v>227</v>
      </c>
      <c r="D74" s="390" t="s">
        <v>242</v>
      </c>
      <c r="E74" s="199">
        <v>1</v>
      </c>
      <c r="F74" s="148" t="s">
        <v>15</v>
      </c>
      <c r="G74" s="199">
        <v>1</v>
      </c>
      <c r="H74" s="199">
        <v>30</v>
      </c>
      <c r="I74" s="199">
        <v>30</v>
      </c>
      <c r="J74" s="159">
        <f>+(((1423500*9.53+1659)/30)*I74)*E74</f>
        <v>13567614</v>
      </c>
      <c r="K74" s="160">
        <v>0.08</v>
      </c>
      <c r="L74" s="221">
        <f t="shared" si="19"/>
        <v>1085409.1200000001</v>
      </c>
      <c r="M74" s="161">
        <f t="shared" si="20"/>
        <v>14653023.120000001</v>
      </c>
      <c r="N74" s="161">
        <f t="shared" si="33"/>
        <v>1465302.3120000002</v>
      </c>
      <c r="O74" s="161">
        <f t="shared" si="34"/>
        <v>278407.43928000005</v>
      </c>
      <c r="P74" s="150">
        <f t="shared" si="35"/>
        <v>14931430.559280001</v>
      </c>
      <c r="Q74" s="218"/>
      <c r="R74" s="162"/>
      <c r="S74" s="152">
        <f t="shared" ref="S74:S135" si="36">P74-R74</f>
        <v>14931430.559280001</v>
      </c>
      <c r="T74" s="153"/>
      <c r="U74" s="136"/>
      <c r="V74" s="136"/>
      <c r="W74" s="136"/>
    </row>
    <row r="75" spans="1:29" s="137" customFormat="1" ht="15" customHeight="1" x14ac:dyDescent="0.25">
      <c r="A75" s="134"/>
      <c r="B75" s="385"/>
      <c r="C75" s="135" t="s">
        <v>227</v>
      </c>
      <c r="D75" s="390"/>
      <c r="E75" s="199">
        <v>1</v>
      </c>
      <c r="F75" s="148" t="s">
        <v>21</v>
      </c>
      <c r="G75" s="199">
        <v>1</v>
      </c>
      <c r="H75" s="199">
        <v>30</v>
      </c>
      <c r="I75" s="199">
        <v>24</v>
      </c>
      <c r="J75" s="159">
        <f>+(((((1423500*9.53+1659)*55.97%)/15*8)/30)*I75)*E75</f>
        <v>3240018.5838080002</v>
      </c>
      <c r="K75" s="160">
        <v>0.08</v>
      </c>
      <c r="L75" s="221">
        <f t="shared" si="19"/>
        <v>259201.48670464003</v>
      </c>
      <c r="M75" s="161">
        <f t="shared" si="20"/>
        <v>3499220.0705126403</v>
      </c>
      <c r="N75" s="161">
        <f t="shared" si="33"/>
        <v>349922.00705126405</v>
      </c>
      <c r="O75" s="161">
        <f t="shared" si="34"/>
        <v>66485.181339740171</v>
      </c>
      <c r="P75" s="150">
        <f t="shared" si="35"/>
        <v>3565705.2518523806</v>
      </c>
      <c r="Q75" s="218"/>
      <c r="R75" s="162"/>
      <c r="S75" s="152">
        <f t="shared" si="36"/>
        <v>3565705.2518523806</v>
      </c>
      <c r="T75" s="153"/>
      <c r="U75" s="136"/>
      <c r="V75" s="136"/>
      <c r="W75" s="136"/>
    </row>
    <row r="76" spans="1:29" s="293" customFormat="1" ht="15" customHeight="1" x14ac:dyDescent="0.25">
      <c r="A76" s="280"/>
      <c r="B76" s="385"/>
      <c r="C76" s="281" t="s">
        <v>227</v>
      </c>
      <c r="D76" s="282" t="s">
        <v>309</v>
      </c>
      <c r="E76" s="283">
        <v>1</v>
      </c>
      <c r="F76" s="284" t="s">
        <v>16</v>
      </c>
      <c r="G76" s="283">
        <v>1</v>
      </c>
      <c r="H76" s="283">
        <v>30</v>
      </c>
      <c r="I76" s="283">
        <v>30</v>
      </c>
      <c r="J76" s="285">
        <f>+(((((1423500*9.53+1659)*55.97%)/15*12)/30)*I76)*E76</f>
        <v>6075034.8446399998</v>
      </c>
      <c r="K76" s="286">
        <v>0.08</v>
      </c>
      <c r="L76" s="287">
        <f>J76*K76</f>
        <v>486002.78757119999</v>
      </c>
      <c r="M76" s="288">
        <f>J76+L76</f>
        <v>6561037.6322112</v>
      </c>
      <c r="N76" s="288">
        <f t="shared" si="33"/>
        <v>656103.76322112</v>
      </c>
      <c r="O76" s="288">
        <f t="shared" si="34"/>
        <v>124659.71501201281</v>
      </c>
      <c r="P76" s="289">
        <f>M76+O76</f>
        <v>6685697.3472232129</v>
      </c>
      <c r="Q76" s="290"/>
      <c r="R76" s="291"/>
      <c r="S76" s="292">
        <f t="shared" si="36"/>
        <v>6685697.3472232129</v>
      </c>
      <c r="T76" s="153"/>
      <c r="U76" s="136"/>
      <c r="V76" s="136"/>
      <c r="W76" s="136"/>
      <c r="X76" s="137"/>
      <c r="Y76" s="137"/>
      <c r="Z76" s="137"/>
      <c r="AA76" s="137"/>
      <c r="AB76" s="137"/>
      <c r="AC76" s="137"/>
    </row>
    <row r="77" spans="1:29" s="293" customFormat="1" ht="15" customHeight="1" x14ac:dyDescent="0.25">
      <c r="A77" s="280"/>
      <c r="B77" s="385"/>
      <c r="C77" s="281" t="s">
        <v>227</v>
      </c>
      <c r="D77" s="282" t="s">
        <v>217</v>
      </c>
      <c r="E77" s="283">
        <v>2</v>
      </c>
      <c r="F77" s="284" t="s">
        <v>15</v>
      </c>
      <c r="G77" s="283">
        <v>1</v>
      </c>
      <c r="H77" s="283">
        <v>30</v>
      </c>
      <c r="I77" s="283">
        <v>30</v>
      </c>
      <c r="J77" s="285">
        <f>+(((1423500*9.53+1659)/30)*I77)*E77</f>
        <v>27135228</v>
      </c>
      <c r="K77" s="286">
        <v>0.08</v>
      </c>
      <c r="L77" s="287">
        <f>J77*K77</f>
        <v>2170818.2400000002</v>
      </c>
      <c r="M77" s="288">
        <f>J77+L77</f>
        <v>29306046.240000002</v>
      </c>
      <c r="N77" s="288">
        <f t="shared" si="33"/>
        <v>2930604.6240000003</v>
      </c>
      <c r="O77" s="288">
        <f t="shared" si="34"/>
        <v>556814.8785600001</v>
      </c>
      <c r="P77" s="289">
        <f t="shared" si="35"/>
        <v>29862861.118560001</v>
      </c>
      <c r="Q77" s="290">
        <v>9</v>
      </c>
      <c r="R77" s="291">
        <f>6685697/30*Q77</f>
        <v>2005709.1</v>
      </c>
      <c r="S77" s="292">
        <f t="shared" si="36"/>
        <v>27857152.01856</v>
      </c>
      <c r="T77" s="153"/>
      <c r="U77" s="136"/>
      <c r="V77" s="136"/>
      <c r="W77" s="136"/>
      <c r="X77" s="137"/>
      <c r="Y77" s="137"/>
      <c r="Z77" s="137"/>
      <c r="AA77" s="137"/>
      <c r="AB77" s="137"/>
      <c r="AC77" s="137"/>
    </row>
    <row r="78" spans="1:29" s="293" customFormat="1" ht="28.5" customHeight="1" x14ac:dyDescent="0.25">
      <c r="A78" s="280"/>
      <c r="B78" s="384"/>
      <c r="C78" s="281" t="s">
        <v>227</v>
      </c>
      <c r="D78" s="282" t="s">
        <v>217</v>
      </c>
      <c r="E78" s="283">
        <v>2</v>
      </c>
      <c r="F78" s="284" t="s">
        <v>17</v>
      </c>
      <c r="G78" s="283">
        <v>2</v>
      </c>
      <c r="H78" s="283">
        <v>30</v>
      </c>
      <c r="I78" s="283">
        <v>24</v>
      </c>
      <c r="J78" s="294">
        <f>+(((((1423500*9.53+1659)*55.97%)/15*12)/30)*I78)*E78</f>
        <v>9720055.7514239997</v>
      </c>
      <c r="K78" s="295">
        <v>0.08</v>
      </c>
      <c r="L78" s="296">
        <f t="shared" si="19"/>
        <v>777604.46011392004</v>
      </c>
      <c r="M78" s="289">
        <f t="shared" si="20"/>
        <v>10497660.21153792</v>
      </c>
      <c r="N78" s="289">
        <f t="shared" si="33"/>
        <v>1049766.021153792</v>
      </c>
      <c r="O78" s="289">
        <f t="shared" si="34"/>
        <v>199455.54401922048</v>
      </c>
      <c r="P78" s="289">
        <f t="shared" si="35"/>
        <v>10697115.75555714</v>
      </c>
      <c r="Q78" s="290"/>
      <c r="R78" s="291"/>
      <c r="S78" s="292">
        <f t="shared" si="36"/>
        <v>10697115.75555714</v>
      </c>
      <c r="T78" s="153"/>
      <c r="U78" s="136"/>
      <c r="V78" s="136"/>
      <c r="W78" s="136"/>
      <c r="X78" s="137"/>
      <c r="Y78" s="137"/>
      <c r="Z78" s="137"/>
      <c r="AA78" s="137"/>
      <c r="AB78" s="137"/>
      <c r="AC78" s="137"/>
    </row>
    <row r="79" spans="1:29" s="137" customFormat="1" ht="15" customHeight="1" x14ac:dyDescent="0.25">
      <c r="A79" s="134"/>
      <c r="B79" s="385"/>
      <c r="C79" s="135" t="s">
        <v>227</v>
      </c>
      <c r="D79" s="390" t="s">
        <v>243</v>
      </c>
      <c r="E79" s="199">
        <v>1</v>
      </c>
      <c r="F79" s="148" t="s">
        <v>15</v>
      </c>
      <c r="G79" s="199">
        <v>1</v>
      </c>
      <c r="H79" s="199">
        <v>30</v>
      </c>
      <c r="I79" s="199">
        <v>30</v>
      </c>
      <c r="J79" s="159">
        <f t="shared" ref="J79:J85" si="37">+(((1423500*9.53+1659)/30)*I79)*E79</f>
        <v>13567614</v>
      </c>
      <c r="K79" s="160">
        <v>0.08</v>
      </c>
      <c r="L79" s="221">
        <f t="shared" si="19"/>
        <v>1085409.1200000001</v>
      </c>
      <c r="M79" s="161">
        <f t="shared" si="20"/>
        <v>14653023.120000001</v>
      </c>
      <c r="N79" s="161">
        <f t="shared" si="33"/>
        <v>1465302.3120000002</v>
      </c>
      <c r="O79" s="161">
        <f t="shared" si="34"/>
        <v>278407.43928000005</v>
      </c>
      <c r="P79" s="150">
        <f t="shared" si="35"/>
        <v>14931430.559280001</v>
      </c>
      <c r="Q79" s="218"/>
      <c r="R79" s="162"/>
      <c r="S79" s="152">
        <f t="shared" si="36"/>
        <v>14931430.559280001</v>
      </c>
      <c r="T79" s="153"/>
      <c r="U79" s="136"/>
      <c r="V79" s="136"/>
      <c r="W79" s="136"/>
    </row>
    <row r="80" spans="1:29" s="137" customFormat="1" ht="15" customHeight="1" x14ac:dyDescent="0.25">
      <c r="A80" s="134"/>
      <c r="B80" s="385"/>
      <c r="C80" s="135" t="s">
        <v>227</v>
      </c>
      <c r="D80" s="390"/>
      <c r="E80" s="199">
        <v>1</v>
      </c>
      <c r="F80" s="148" t="s">
        <v>15</v>
      </c>
      <c r="G80" s="199">
        <v>1</v>
      </c>
      <c r="H80" s="199">
        <v>30</v>
      </c>
      <c r="I80" s="199">
        <v>30</v>
      </c>
      <c r="J80" s="159">
        <f t="shared" si="37"/>
        <v>13567614</v>
      </c>
      <c r="K80" s="160">
        <v>0.08</v>
      </c>
      <c r="L80" s="221">
        <f t="shared" ref="L80" si="38">J80*K80</f>
        <v>1085409.1200000001</v>
      </c>
      <c r="M80" s="161">
        <f t="shared" ref="M80" si="39">J80+L80</f>
        <v>14653023.120000001</v>
      </c>
      <c r="N80" s="161">
        <f t="shared" ref="N80" si="40">M80*10%</f>
        <v>1465302.3120000002</v>
      </c>
      <c r="O80" s="161">
        <f t="shared" ref="O80" si="41">+N80*19%</f>
        <v>278407.43928000005</v>
      </c>
      <c r="P80" s="150">
        <f t="shared" ref="P80" si="42">M80+O80</f>
        <v>14931430.559280001</v>
      </c>
      <c r="Q80" s="218"/>
      <c r="R80" s="162"/>
      <c r="S80" s="152">
        <f t="shared" ref="S80" si="43">P80-R80</f>
        <v>14931430.559280001</v>
      </c>
      <c r="T80" s="153"/>
      <c r="U80" s="136"/>
      <c r="V80" s="136"/>
      <c r="W80" s="136"/>
    </row>
    <row r="81" spans="1:29" s="137" customFormat="1" ht="17.25" customHeight="1" x14ac:dyDescent="0.25">
      <c r="A81" s="134"/>
      <c r="B81" s="385"/>
      <c r="C81" s="135" t="s">
        <v>227</v>
      </c>
      <c r="D81" s="168" t="s">
        <v>244</v>
      </c>
      <c r="E81" s="199">
        <v>1</v>
      </c>
      <c r="F81" s="148" t="s">
        <v>15</v>
      </c>
      <c r="G81" s="199">
        <v>1</v>
      </c>
      <c r="H81" s="199">
        <v>30</v>
      </c>
      <c r="I81" s="199">
        <v>30</v>
      </c>
      <c r="J81" s="159">
        <f t="shared" si="37"/>
        <v>13567614</v>
      </c>
      <c r="K81" s="160">
        <v>0.08</v>
      </c>
      <c r="L81" s="221">
        <f t="shared" si="19"/>
        <v>1085409.1200000001</v>
      </c>
      <c r="M81" s="161">
        <f t="shared" si="20"/>
        <v>14653023.120000001</v>
      </c>
      <c r="N81" s="161">
        <f t="shared" si="33"/>
        <v>1465302.3120000002</v>
      </c>
      <c r="O81" s="161">
        <f t="shared" si="34"/>
        <v>278407.43928000005</v>
      </c>
      <c r="P81" s="150">
        <f t="shared" si="35"/>
        <v>14931430.559280001</v>
      </c>
      <c r="Q81" s="218"/>
      <c r="R81" s="162"/>
      <c r="S81" s="152">
        <f t="shared" si="36"/>
        <v>14931430.559280001</v>
      </c>
      <c r="T81" s="153"/>
      <c r="U81" s="136"/>
      <c r="V81" s="136"/>
      <c r="W81" s="136"/>
    </row>
    <row r="82" spans="1:29" s="137" customFormat="1" ht="17.25" customHeight="1" x14ac:dyDescent="0.25">
      <c r="A82" s="134"/>
      <c r="B82" s="385"/>
      <c r="C82" s="135" t="s">
        <v>227</v>
      </c>
      <c r="D82" s="168" t="s">
        <v>245</v>
      </c>
      <c r="E82" s="199">
        <v>1</v>
      </c>
      <c r="F82" s="148" t="s">
        <v>15</v>
      </c>
      <c r="G82" s="199">
        <v>1</v>
      </c>
      <c r="H82" s="199">
        <v>30</v>
      </c>
      <c r="I82" s="199">
        <v>30</v>
      </c>
      <c r="J82" s="159">
        <f t="shared" si="37"/>
        <v>13567614</v>
      </c>
      <c r="K82" s="160">
        <v>0.08</v>
      </c>
      <c r="L82" s="221">
        <f t="shared" si="19"/>
        <v>1085409.1200000001</v>
      </c>
      <c r="M82" s="161">
        <f t="shared" si="20"/>
        <v>14653023.120000001</v>
      </c>
      <c r="N82" s="161">
        <f t="shared" si="33"/>
        <v>1465302.3120000002</v>
      </c>
      <c r="O82" s="161">
        <f t="shared" si="34"/>
        <v>278407.43928000005</v>
      </c>
      <c r="P82" s="150">
        <f t="shared" si="35"/>
        <v>14931430.559280001</v>
      </c>
      <c r="Q82" s="218"/>
      <c r="R82" s="162"/>
      <c r="S82" s="152">
        <f t="shared" si="36"/>
        <v>14931430.559280001</v>
      </c>
      <c r="T82" s="153"/>
      <c r="U82" s="136"/>
      <c r="V82" s="136"/>
      <c r="W82" s="136"/>
    </row>
    <row r="83" spans="1:29" s="137" customFormat="1" ht="17.25" customHeight="1" x14ac:dyDescent="0.25">
      <c r="A83" s="134"/>
      <c r="B83" s="385"/>
      <c r="C83" s="135" t="s">
        <v>227</v>
      </c>
      <c r="D83" s="168" t="s">
        <v>246</v>
      </c>
      <c r="E83" s="199">
        <v>1</v>
      </c>
      <c r="F83" s="148" t="s">
        <v>15</v>
      </c>
      <c r="G83" s="199">
        <v>1</v>
      </c>
      <c r="H83" s="199">
        <v>30</v>
      </c>
      <c r="I83" s="199">
        <v>30</v>
      </c>
      <c r="J83" s="159">
        <f t="shared" si="37"/>
        <v>13567614</v>
      </c>
      <c r="K83" s="160">
        <v>0.08</v>
      </c>
      <c r="L83" s="221">
        <f t="shared" si="19"/>
        <v>1085409.1200000001</v>
      </c>
      <c r="M83" s="161">
        <f t="shared" si="20"/>
        <v>14653023.120000001</v>
      </c>
      <c r="N83" s="161">
        <f t="shared" si="33"/>
        <v>1465302.3120000002</v>
      </c>
      <c r="O83" s="161">
        <f t="shared" si="34"/>
        <v>278407.43928000005</v>
      </c>
      <c r="P83" s="150">
        <f t="shared" si="35"/>
        <v>14931430.559280001</v>
      </c>
      <c r="Q83" s="218"/>
      <c r="R83" s="162"/>
      <c r="S83" s="152">
        <f t="shared" si="36"/>
        <v>14931430.559280001</v>
      </c>
      <c r="T83" s="153"/>
      <c r="U83" s="136"/>
      <c r="V83" s="136"/>
      <c r="W83" s="136"/>
    </row>
    <row r="84" spans="1:29" s="276" customFormat="1" ht="15.75" customHeight="1" x14ac:dyDescent="0.25">
      <c r="A84" s="263"/>
      <c r="B84" s="385"/>
      <c r="C84" s="264" t="s">
        <v>227</v>
      </c>
      <c r="D84" s="265" t="s">
        <v>314</v>
      </c>
      <c r="E84" s="266">
        <v>1</v>
      </c>
      <c r="F84" s="267" t="s">
        <v>15</v>
      </c>
      <c r="G84" s="266">
        <v>1</v>
      </c>
      <c r="H84" s="266">
        <v>30</v>
      </c>
      <c r="I84" s="266">
        <v>30</v>
      </c>
      <c r="J84" s="268">
        <f t="shared" si="37"/>
        <v>13567614</v>
      </c>
      <c r="K84" s="269">
        <v>0.08</v>
      </c>
      <c r="L84" s="270">
        <f t="shared" si="19"/>
        <v>1085409.1200000001</v>
      </c>
      <c r="M84" s="271">
        <f t="shared" si="20"/>
        <v>14653023.120000001</v>
      </c>
      <c r="N84" s="271">
        <f t="shared" si="33"/>
        <v>1465302.3120000002</v>
      </c>
      <c r="O84" s="271">
        <f t="shared" si="34"/>
        <v>278407.43928000005</v>
      </c>
      <c r="P84" s="272">
        <f t="shared" si="35"/>
        <v>14931430.559280001</v>
      </c>
      <c r="Q84" s="273">
        <v>3</v>
      </c>
      <c r="R84" s="274">
        <f>6685697/30*Q84</f>
        <v>668569.70000000007</v>
      </c>
      <c r="S84" s="275">
        <f t="shared" si="36"/>
        <v>14262860.859280001</v>
      </c>
      <c r="T84" s="153"/>
      <c r="U84" s="136"/>
      <c r="V84" s="136"/>
      <c r="W84" s="136"/>
      <c r="X84" s="137"/>
      <c r="Y84" s="137"/>
      <c r="Z84" s="137"/>
      <c r="AA84" s="137"/>
      <c r="AB84" s="137"/>
      <c r="AC84" s="137"/>
    </row>
    <row r="85" spans="1:29" s="276" customFormat="1" ht="15.75" customHeight="1" x14ac:dyDescent="0.25">
      <c r="A85" s="263"/>
      <c r="B85" s="385"/>
      <c r="C85" s="264" t="s">
        <v>227</v>
      </c>
      <c r="D85" s="265" t="s">
        <v>315</v>
      </c>
      <c r="E85" s="266">
        <v>1</v>
      </c>
      <c r="F85" s="267" t="s">
        <v>15</v>
      </c>
      <c r="G85" s="266">
        <v>1</v>
      </c>
      <c r="H85" s="266">
        <v>30</v>
      </c>
      <c r="I85" s="266">
        <v>30</v>
      </c>
      <c r="J85" s="277">
        <f t="shared" si="37"/>
        <v>13567614</v>
      </c>
      <c r="K85" s="278">
        <v>0.08</v>
      </c>
      <c r="L85" s="279">
        <f t="shared" si="19"/>
        <v>1085409.1200000001</v>
      </c>
      <c r="M85" s="272">
        <f t="shared" si="20"/>
        <v>14653023.120000001</v>
      </c>
      <c r="N85" s="272">
        <f t="shared" si="33"/>
        <v>1465302.3120000002</v>
      </c>
      <c r="O85" s="272">
        <f t="shared" si="34"/>
        <v>278407.43928000005</v>
      </c>
      <c r="P85" s="272">
        <f t="shared" si="35"/>
        <v>14931430.559280001</v>
      </c>
      <c r="Q85" s="273"/>
      <c r="R85" s="274"/>
      <c r="S85" s="275">
        <f t="shared" si="36"/>
        <v>14931430.559280001</v>
      </c>
      <c r="T85" s="153"/>
      <c r="U85" s="136"/>
      <c r="V85" s="136"/>
      <c r="W85" s="136"/>
      <c r="X85" s="137"/>
      <c r="Y85" s="137"/>
      <c r="Z85" s="137"/>
      <c r="AA85" s="137"/>
      <c r="AB85" s="137"/>
      <c r="AC85" s="137"/>
    </row>
    <row r="86" spans="1:29" s="276" customFormat="1" ht="17.25" customHeight="1" x14ac:dyDescent="0.25">
      <c r="A86" s="263"/>
      <c r="B86" s="385"/>
      <c r="C86" s="264" t="s">
        <v>227</v>
      </c>
      <c r="D86" s="265" t="s">
        <v>167</v>
      </c>
      <c r="E86" s="266">
        <v>1</v>
      </c>
      <c r="F86" s="267" t="s">
        <v>16</v>
      </c>
      <c r="G86" s="266">
        <v>1</v>
      </c>
      <c r="H86" s="266">
        <v>30</v>
      </c>
      <c r="I86" s="266">
        <v>30</v>
      </c>
      <c r="J86" s="268">
        <f>+(((((1423500*9.53+1659)*55.97%)/15*12)/30)*I86)*E86</f>
        <v>6075034.8446399998</v>
      </c>
      <c r="K86" s="269">
        <v>0.08</v>
      </c>
      <c r="L86" s="270">
        <f t="shared" si="19"/>
        <v>486002.78757119999</v>
      </c>
      <c r="M86" s="271">
        <f t="shared" si="20"/>
        <v>6561037.6322112</v>
      </c>
      <c r="N86" s="271">
        <f t="shared" si="33"/>
        <v>656103.76322112</v>
      </c>
      <c r="O86" s="271">
        <f t="shared" si="34"/>
        <v>124659.71501201281</v>
      </c>
      <c r="P86" s="272">
        <f t="shared" si="35"/>
        <v>6685697.3472232129</v>
      </c>
      <c r="Q86" s="273"/>
      <c r="R86" s="274"/>
      <c r="S86" s="275">
        <f t="shared" si="36"/>
        <v>6685697.3472232129</v>
      </c>
      <c r="T86" s="153"/>
      <c r="U86" s="136"/>
      <c r="V86" s="136"/>
      <c r="W86" s="136"/>
      <c r="X86" s="137"/>
      <c r="Y86" s="137"/>
      <c r="Z86" s="137"/>
      <c r="AA86" s="137"/>
      <c r="AB86" s="137"/>
      <c r="AC86" s="137"/>
    </row>
    <row r="87" spans="1:29" s="276" customFormat="1" ht="17.25" customHeight="1" x14ac:dyDescent="0.25">
      <c r="A87" s="263"/>
      <c r="B87" s="384"/>
      <c r="C87" s="264" t="s">
        <v>227</v>
      </c>
      <c r="D87" s="267" t="s">
        <v>308</v>
      </c>
      <c r="E87" s="266">
        <v>1</v>
      </c>
      <c r="F87" s="267" t="s">
        <v>17</v>
      </c>
      <c r="G87" s="266">
        <v>1</v>
      </c>
      <c r="H87" s="266">
        <v>30</v>
      </c>
      <c r="I87" s="266">
        <v>24</v>
      </c>
      <c r="J87" s="277">
        <f>+(((((1423500*9.53+1659)*55.97%)/15*12)/30)*I87)*E87</f>
        <v>4860027.8757119998</v>
      </c>
      <c r="K87" s="278">
        <v>0.08</v>
      </c>
      <c r="L87" s="279">
        <f t="shared" si="19"/>
        <v>388802.23005696002</v>
      </c>
      <c r="M87" s="272">
        <f t="shared" si="20"/>
        <v>5248830.10576896</v>
      </c>
      <c r="N87" s="272">
        <f t="shared" si="33"/>
        <v>524883.01057689602</v>
      </c>
      <c r="O87" s="272">
        <f t="shared" si="34"/>
        <v>99727.772009610242</v>
      </c>
      <c r="P87" s="272">
        <f t="shared" si="35"/>
        <v>5348557.8777785702</v>
      </c>
      <c r="Q87" s="273"/>
      <c r="R87" s="274"/>
      <c r="S87" s="275">
        <f t="shared" si="36"/>
        <v>5348557.8777785702</v>
      </c>
      <c r="T87" s="153"/>
      <c r="U87" s="136"/>
      <c r="V87" s="136"/>
      <c r="W87" s="136"/>
      <c r="X87" s="137"/>
      <c r="Y87" s="137"/>
      <c r="Z87" s="137"/>
      <c r="AA87" s="137"/>
      <c r="AB87" s="137"/>
      <c r="AC87" s="137"/>
    </row>
    <row r="88" spans="1:29" s="276" customFormat="1" ht="17.25" customHeight="1" x14ac:dyDescent="0.25">
      <c r="A88" s="263"/>
      <c r="B88" s="384"/>
      <c r="C88" s="264" t="s">
        <v>227</v>
      </c>
      <c r="D88" s="267" t="s">
        <v>319</v>
      </c>
      <c r="E88" s="266">
        <v>1</v>
      </c>
      <c r="F88" s="267" t="s">
        <v>17</v>
      </c>
      <c r="G88" s="266">
        <v>1</v>
      </c>
      <c r="H88" s="266">
        <v>30</v>
      </c>
      <c r="I88" s="266">
        <v>24</v>
      </c>
      <c r="J88" s="277">
        <f>+(((((1423500*9.53+1659)*55.97%)/15*12)/30)*I88)*E88</f>
        <v>4860027.8757119998</v>
      </c>
      <c r="K88" s="278">
        <v>0.08</v>
      </c>
      <c r="L88" s="279">
        <f t="shared" si="19"/>
        <v>388802.23005696002</v>
      </c>
      <c r="M88" s="272">
        <f t="shared" si="20"/>
        <v>5248830.10576896</v>
      </c>
      <c r="N88" s="272">
        <f t="shared" si="33"/>
        <v>524883.01057689602</v>
      </c>
      <c r="O88" s="272">
        <f t="shared" si="34"/>
        <v>99727.772009610242</v>
      </c>
      <c r="P88" s="272">
        <f t="shared" si="35"/>
        <v>5348557.8777785702</v>
      </c>
      <c r="Q88" s="273"/>
      <c r="R88" s="274"/>
      <c r="S88" s="275">
        <f t="shared" si="36"/>
        <v>5348557.8777785702</v>
      </c>
      <c r="T88" s="153"/>
      <c r="U88" s="136"/>
      <c r="V88" s="136"/>
      <c r="W88" s="136"/>
      <c r="X88" s="137"/>
      <c r="Y88" s="137"/>
      <c r="Z88" s="137"/>
      <c r="AA88" s="137"/>
      <c r="AB88" s="137"/>
      <c r="AC88" s="137"/>
    </row>
    <row r="89" spans="1:29" s="343" customFormat="1" ht="28.5" customHeight="1" x14ac:dyDescent="0.25">
      <c r="A89" s="378"/>
      <c r="B89" s="385"/>
      <c r="C89" s="333" t="s">
        <v>227</v>
      </c>
      <c r="D89" s="375" t="s">
        <v>201</v>
      </c>
      <c r="E89" s="334">
        <v>1</v>
      </c>
      <c r="F89" s="335" t="s">
        <v>15</v>
      </c>
      <c r="G89" s="334">
        <v>1</v>
      </c>
      <c r="H89" s="336">
        <v>30</v>
      </c>
      <c r="I89" s="336">
        <v>30</v>
      </c>
      <c r="J89" s="379">
        <f>+(((1423500*9.53+1659)/30)*I89)*E89</f>
        <v>13567614</v>
      </c>
      <c r="K89" s="337">
        <v>0.08</v>
      </c>
      <c r="L89" s="380">
        <f t="shared" si="19"/>
        <v>1085409.1200000001</v>
      </c>
      <c r="M89" s="338">
        <f t="shared" si="20"/>
        <v>14653023.120000001</v>
      </c>
      <c r="N89" s="338">
        <f t="shared" si="33"/>
        <v>1465302.3120000002</v>
      </c>
      <c r="O89" s="338">
        <f t="shared" si="34"/>
        <v>278407.43928000005</v>
      </c>
      <c r="P89" s="339">
        <f t="shared" si="35"/>
        <v>14931430.559280001</v>
      </c>
      <c r="Q89" s="340">
        <v>1</v>
      </c>
      <c r="R89" s="341">
        <f>8245733/30*Q89</f>
        <v>274857.76666666666</v>
      </c>
      <c r="S89" s="342">
        <f t="shared" si="36"/>
        <v>14656572.792613333</v>
      </c>
      <c r="T89" s="153"/>
      <c r="U89" s="136"/>
      <c r="V89" s="136"/>
      <c r="W89" s="136"/>
      <c r="X89" s="137"/>
      <c r="Y89" s="137"/>
      <c r="Z89" s="137"/>
      <c r="AA89" s="137"/>
      <c r="AB89" s="137"/>
      <c r="AC89" s="137"/>
    </row>
    <row r="90" spans="1:29" s="343" customFormat="1" ht="22.5" customHeight="1" x14ac:dyDescent="0.25">
      <c r="A90" s="378"/>
      <c r="B90" s="385"/>
      <c r="C90" s="333" t="s">
        <v>227</v>
      </c>
      <c r="D90" s="375" t="s">
        <v>202</v>
      </c>
      <c r="E90" s="334">
        <v>1</v>
      </c>
      <c r="F90" s="335" t="s">
        <v>15</v>
      </c>
      <c r="G90" s="334">
        <v>1</v>
      </c>
      <c r="H90" s="336">
        <v>30</v>
      </c>
      <c r="I90" s="336">
        <v>30</v>
      </c>
      <c r="J90" s="379">
        <f>+(((1423500*9.53+1659)/30)*I90)*E90</f>
        <v>13567614</v>
      </c>
      <c r="K90" s="337">
        <v>0.08</v>
      </c>
      <c r="L90" s="380">
        <f t="shared" si="19"/>
        <v>1085409.1200000001</v>
      </c>
      <c r="M90" s="338">
        <f t="shared" si="20"/>
        <v>14653023.120000001</v>
      </c>
      <c r="N90" s="338">
        <f t="shared" si="33"/>
        <v>1465302.3120000002</v>
      </c>
      <c r="O90" s="338">
        <f t="shared" si="34"/>
        <v>278407.43928000005</v>
      </c>
      <c r="P90" s="339">
        <f t="shared" si="35"/>
        <v>14931430.559280001</v>
      </c>
      <c r="Q90" s="340">
        <v>1</v>
      </c>
      <c r="R90" s="341">
        <f>8245733/30*Q90</f>
        <v>274857.76666666666</v>
      </c>
      <c r="S90" s="342">
        <f t="shared" si="36"/>
        <v>14656572.792613333</v>
      </c>
      <c r="T90" s="153"/>
      <c r="U90" s="136"/>
      <c r="V90" s="136"/>
      <c r="W90" s="136"/>
      <c r="X90" s="137"/>
      <c r="Y90" s="137"/>
      <c r="Z90" s="137"/>
      <c r="AA90" s="137"/>
      <c r="AB90" s="137"/>
      <c r="AC90" s="137"/>
    </row>
    <row r="91" spans="1:29" s="343" customFormat="1" ht="33.75" customHeight="1" x14ac:dyDescent="0.25">
      <c r="B91" s="385"/>
      <c r="C91" s="333" t="s">
        <v>227</v>
      </c>
      <c r="D91" s="375" t="s">
        <v>203</v>
      </c>
      <c r="E91" s="334">
        <v>1</v>
      </c>
      <c r="F91" s="344" t="s">
        <v>16</v>
      </c>
      <c r="G91" s="334">
        <v>1</v>
      </c>
      <c r="H91" s="336">
        <v>30</v>
      </c>
      <c r="I91" s="336">
        <v>28</v>
      </c>
      <c r="J91" s="348">
        <f>+(((((1423500*9.53+1659)*55.97%)/15*12)/30)*I91)*E91</f>
        <v>5670032.5216639992</v>
      </c>
      <c r="K91" s="337">
        <v>0.08</v>
      </c>
      <c r="L91" s="349">
        <f t="shared" ref="L91" si="44">J91*K91</f>
        <v>453602.60173311993</v>
      </c>
      <c r="M91" s="339">
        <f t="shared" ref="M91" si="45">J91+L91</f>
        <v>6123635.1233971193</v>
      </c>
      <c r="N91" s="339">
        <f t="shared" ref="N91" si="46">M91*10%</f>
        <v>612363.512339712</v>
      </c>
      <c r="O91" s="339">
        <f t="shared" ref="O91" si="47">+N91*19%</f>
        <v>116349.06734454528</v>
      </c>
      <c r="P91" s="339">
        <f t="shared" ref="P91" si="48">M91+O91</f>
        <v>6239984.1907416647</v>
      </c>
      <c r="Q91" s="340"/>
      <c r="R91" s="341"/>
      <c r="S91" s="342">
        <f t="shared" si="36"/>
        <v>6239984.1907416647</v>
      </c>
      <c r="T91" s="363"/>
      <c r="U91" s="136"/>
      <c r="V91" s="136"/>
      <c r="W91" s="136"/>
      <c r="X91" s="137"/>
      <c r="Y91" s="137"/>
      <c r="Z91" s="137"/>
      <c r="AA91" s="137"/>
      <c r="AB91" s="137"/>
      <c r="AC91" s="137"/>
    </row>
    <row r="92" spans="1:29" s="343" customFormat="1" ht="15" customHeight="1" x14ac:dyDescent="0.25">
      <c r="B92" s="385"/>
      <c r="C92" s="333" t="s">
        <v>227</v>
      </c>
      <c r="D92" s="375" t="s">
        <v>204</v>
      </c>
      <c r="E92" s="334">
        <v>1</v>
      </c>
      <c r="F92" s="335" t="s">
        <v>15</v>
      </c>
      <c r="G92" s="334">
        <v>1</v>
      </c>
      <c r="H92" s="336">
        <v>30</v>
      </c>
      <c r="I92" s="336">
        <v>30</v>
      </c>
      <c r="J92" s="345">
        <f t="shared" ref="J92:J108" si="49">+(((1423500*9.53+1659)/30)*I92)*E92</f>
        <v>13567614</v>
      </c>
      <c r="K92" s="337">
        <v>0.08</v>
      </c>
      <c r="L92" s="346">
        <f t="shared" si="19"/>
        <v>1085409.1200000001</v>
      </c>
      <c r="M92" s="339">
        <f t="shared" si="20"/>
        <v>14653023.120000001</v>
      </c>
      <c r="N92" s="339">
        <f t="shared" si="33"/>
        <v>1465302.3120000002</v>
      </c>
      <c r="O92" s="339">
        <f t="shared" si="34"/>
        <v>278407.43928000005</v>
      </c>
      <c r="P92" s="339">
        <f t="shared" si="35"/>
        <v>14931430.559280001</v>
      </c>
      <c r="Q92" s="340">
        <v>2</v>
      </c>
      <c r="R92" s="341">
        <f>8245733/30*Q92</f>
        <v>549715.53333333333</v>
      </c>
      <c r="S92" s="342">
        <f t="shared" si="36"/>
        <v>14381715.025946667</v>
      </c>
      <c r="T92" s="364"/>
      <c r="U92" s="136"/>
      <c r="V92" s="136"/>
      <c r="W92" s="136"/>
      <c r="X92" s="137"/>
      <c r="Y92" s="137"/>
      <c r="Z92" s="137"/>
      <c r="AA92" s="137"/>
      <c r="AB92" s="137"/>
      <c r="AC92" s="137"/>
    </row>
    <row r="93" spans="1:29" s="343" customFormat="1" ht="15" customHeight="1" x14ac:dyDescent="0.25">
      <c r="B93" s="385"/>
      <c r="C93" s="333" t="s">
        <v>227</v>
      </c>
      <c r="D93" s="375" t="s">
        <v>205</v>
      </c>
      <c r="E93" s="334">
        <v>1</v>
      </c>
      <c r="F93" s="335" t="s">
        <v>15</v>
      </c>
      <c r="G93" s="334">
        <v>1</v>
      </c>
      <c r="H93" s="336">
        <v>30</v>
      </c>
      <c r="I93" s="336">
        <v>30</v>
      </c>
      <c r="J93" s="345">
        <f t="shared" si="49"/>
        <v>13567614</v>
      </c>
      <c r="K93" s="337">
        <v>0.08</v>
      </c>
      <c r="L93" s="346">
        <f t="shared" si="19"/>
        <v>1085409.1200000001</v>
      </c>
      <c r="M93" s="339">
        <f t="shared" si="20"/>
        <v>14653023.120000001</v>
      </c>
      <c r="N93" s="339">
        <f t="shared" si="33"/>
        <v>1465302.3120000002</v>
      </c>
      <c r="O93" s="339">
        <f t="shared" si="34"/>
        <v>278407.43928000005</v>
      </c>
      <c r="P93" s="339">
        <f t="shared" si="35"/>
        <v>14931430.559280001</v>
      </c>
      <c r="Q93" s="340">
        <v>2</v>
      </c>
      <c r="R93" s="341">
        <f t="shared" ref="R93:R107" si="50">8245733/30*Q93</f>
        <v>549715.53333333333</v>
      </c>
      <c r="S93" s="342">
        <f t="shared" si="36"/>
        <v>14381715.025946667</v>
      </c>
      <c r="T93" s="153"/>
      <c r="U93" s="136"/>
      <c r="V93" s="136"/>
      <c r="W93" s="136"/>
      <c r="X93" s="137"/>
      <c r="Y93" s="137"/>
      <c r="Z93" s="137"/>
      <c r="AA93" s="137"/>
      <c r="AB93" s="137"/>
      <c r="AC93" s="137"/>
    </row>
    <row r="94" spans="1:29" s="343" customFormat="1" ht="15" customHeight="1" x14ac:dyDescent="0.25">
      <c r="B94" s="385"/>
      <c r="C94" s="333" t="s">
        <v>227</v>
      </c>
      <c r="D94" s="375" t="s">
        <v>206</v>
      </c>
      <c r="E94" s="334">
        <v>1</v>
      </c>
      <c r="F94" s="335" t="s">
        <v>15</v>
      </c>
      <c r="G94" s="334">
        <v>1</v>
      </c>
      <c r="H94" s="336">
        <v>30</v>
      </c>
      <c r="I94" s="336">
        <v>30</v>
      </c>
      <c r="J94" s="345">
        <f t="shared" si="49"/>
        <v>13567614</v>
      </c>
      <c r="K94" s="337">
        <v>0.08</v>
      </c>
      <c r="L94" s="346">
        <f t="shared" ref="L94:L109" si="51">J94*K94</f>
        <v>1085409.1200000001</v>
      </c>
      <c r="M94" s="339">
        <f t="shared" ref="M94:M109" si="52">J94+L94</f>
        <v>14653023.120000001</v>
      </c>
      <c r="N94" s="339">
        <f t="shared" si="33"/>
        <v>1465302.3120000002</v>
      </c>
      <c r="O94" s="339">
        <f t="shared" si="34"/>
        <v>278407.43928000005</v>
      </c>
      <c r="P94" s="339">
        <f t="shared" si="35"/>
        <v>14931430.559280001</v>
      </c>
      <c r="Q94" s="340">
        <v>2</v>
      </c>
      <c r="R94" s="341">
        <f t="shared" si="50"/>
        <v>549715.53333333333</v>
      </c>
      <c r="S94" s="342">
        <f t="shared" si="36"/>
        <v>14381715.025946667</v>
      </c>
      <c r="T94" s="153"/>
      <c r="U94" s="136"/>
      <c r="V94" s="136"/>
      <c r="W94" s="136"/>
      <c r="X94" s="137"/>
      <c r="Y94" s="137"/>
      <c r="Z94" s="137"/>
      <c r="AA94" s="137"/>
      <c r="AB94" s="137"/>
      <c r="AC94" s="137"/>
    </row>
    <row r="95" spans="1:29" s="343" customFormat="1" ht="15" customHeight="1" x14ac:dyDescent="0.25">
      <c r="B95" s="385"/>
      <c r="C95" s="333" t="s">
        <v>227</v>
      </c>
      <c r="D95" s="375" t="s">
        <v>207</v>
      </c>
      <c r="E95" s="347">
        <v>1</v>
      </c>
      <c r="F95" s="335" t="s">
        <v>15</v>
      </c>
      <c r="G95" s="336">
        <v>1</v>
      </c>
      <c r="H95" s="336">
        <v>30</v>
      </c>
      <c r="I95" s="336">
        <v>30</v>
      </c>
      <c r="J95" s="348">
        <f t="shared" si="49"/>
        <v>13567614</v>
      </c>
      <c r="K95" s="337">
        <v>0.08</v>
      </c>
      <c r="L95" s="349">
        <f t="shared" si="51"/>
        <v>1085409.1200000001</v>
      </c>
      <c r="M95" s="339">
        <f t="shared" si="52"/>
        <v>14653023.120000001</v>
      </c>
      <c r="N95" s="339">
        <f t="shared" si="33"/>
        <v>1465302.3120000002</v>
      </c>
      <c r="O95" s="339">
        <f t="shared" si="34"/>
        <v>278407.43928000005</v>
      </c>
      <c r="P95" s="339">
        <f t="shared" si="35"/>
        <v>14931430.559280001</v>
      </c>
      <c r="Q95" s="340">
        <v>2</v>
      </c>
      <c r="R95" s="341">
        <f t="shared" si="50"/>
        <v>549715.53333333333</v>
      </c>
      <c r="S95" s="342">
        <f t="shared" si="36"/>
        <v>14381715.025946667</v>
      </c>
      <c r="T95" s="153"/>
      <c r="U95" s="136"/>
      <c r="V95" s="136"/>
      <c r="W95" s="136"/>
      <c r="X95" s="137"/>
      <c r="Y95" s="137"/>
      <c r="Z95" s="137"/>
      <c r="AA95" s="137"/>
      <c r="AB95" s="137"/>
      <c r="AC95" s="137"/>
    </row>
    <row r="96" spans="1:29" s="343" customFormat="1" ht="15" customHeight="1" x14ac:dyDescent="0.25">
      <c r="B96" s="385"/>
      <c r="C96" s="333" t="s">
        <v>227</v>
      </c>
      <c r="D96" s="391" t="s">
        <v>208</v>
      </c>
      <c r="E96" s="336">
        <v>1</v>
      </c>
      <c r="F96" s="335" t="s">
        <v>15</v>
      </c>
      <c r="G96" s="336">
        <v>1</v>
      </c>
      <c r="H96" s="336">
        <v>30</v>
      </c>
      <c r="I96" s="336">
        <v>30</v>
      </c>
      <c r="J96" s="348">
        <f t="shared" si="49"/>
        <v>13567614</v>
      </c>
      <c r="K96" s="337">
        <v>0.08</v>
      </c>
      <c r="L96" s="349">
        <f t="shared" si="51"/>
        <v>1085409.1200000001</v>
      </c>
      <c r="M96" s="339">
        <f t="shared" si="52"/>
        <v>14653023.120000001</v>
      </c>
      <c r="N96" s="339">
        <f t="shared" si="33"/>
        <v>1465302.3120000002</v>
      </c>
      <c r="O96" s="339">
        <f t="shared" si="34"/>
        <v>278407.43928000005</v>
      </c>
      <c r="P96" s="339">
        <f t="shared" si="35"/>
        <v>14931430.559280001</v>
      </c>
      <c r="Q96" s="340">
        <v>2</v>
      </c>
      <c r="R96" s="341">
        <f t="shared" si="50"/>
        <v>549715.53333333333</v>
      </c>
      <c r="S96" s="342">
        <f t="shared" si="36"/>
        <v>14381715.025946667</v>
      </c>
      <c r="T96" s="153"/>
      <c r="U96" s="136"/>
      <c r="V96" s="136"/>
      <c r="W96" s="136"/>
      <c r="X96" s="137"/>
      <c r="Y96" s="137"/>
      <c r="Z96" s="137"/>
      <c r="AA96" s="137"/>
      <c r="AB96" s="137"/>
      <c r="AC96" s="137"/>
    </row>
    <row r="97" spans="1:29" s="343" customFormat="1" ht="15" customHeight="1" x14ac:dyDescent="0.25">
      <c r="B97" s="385"/>
      <c r="C97" s="333" t="s">
        <v>227</v>
      </c>
      <c r="D97" s="391"/>
      <c r="E97" s="336">
        <v>1</v>
      </c>
      <c r="F97" s="335" t="s">
        <v>15</v>
      </c>
      <c r="G97" s="336">
        <v>1</v>
      </c>
      <c r="H97" s="336">
        <v>30</v>
      </c>
      <c r="I97" s="336">
        <v>30</v>
      </c>
      <c r="J97" s="348">
        <f t="shared" si="49"/>
        <v>13567614</v>
      </c>
      <c r="K97" s="337">
        <v>0.08</v>
      </c>
      <c r="L97" s="349">
        <f t="shared" si="51"/>
        <v>1085409.1200000001</v>
      </c>
      <c r="M97" s="339">
        <f t="shared" si="52"/>
        <v>14653023.120000001</v>
      </c>
      <c r="N97" s="339">
        <f t="shared" si="33"/>
        <v>1465302.3120000002</v>
      </c>
      <c r="O97" s="339">
        <f t="shared" si="34"/>
        <v>278407.43928000005</v>
      </c>
      <c r="P97" s="339">
        <f t="shared" si="35"/>
        <v>14931430.559280001</v>
      </c>
      <c r="Q97" s="340">
        <v>2</v>
      </c>
      <c r="R97" s="341">
        <f t="shared" si="50"/>
        <v>549715.53333333333</v>
      </c>
      <c r="S97" s="342">
        <f t="shared" si="36"/>
        <v>14381715.025946667</v>
      </c>
      <c r="T97" s="153"/>
      <c r="U97" s="136"/>
      <c r="V97" s="136"/>
      <c r="W97" s="136"/>
      <c r="X97" s="137"/>
      <c r="Y97" s="137"/>
      <c r="Z97" s="137"/>
      <c r="AA97" s="137"/>
      <c r="AB97" s="137"/>
      <c r="AC97" s="137"/>
    </row>
    <row r="98" spans="1:29" s="343" customFormat="1" ht="15" customHeight="1" x14ac:dyDescent="0.25">
      <c r="B98" s="385"/>
      <c r="C98" s="333" t="s">
        <v>227</v>
      </c>
      <c r="D98" s="375" t="s">
        <v>218</v>
      </c>
      <c r="E98" s="336">
        <v>1</v>
      </c>
      <c r="F98" s="335" t="s">
        <v>15</v>
      </c>
      <c r="G98" s="336">
        <v>1</v>
      </c>
      <c r="H98" s="336">
        <v>30</v>
      </c>
      <c r="I98" s="336">
        <v>30</v>
      </c>
      <c r="J98" s="348">
        <f t="shared" si="49"/>
        <v>13567614</v>
      </c>
      <c r="K98" s="337">
        <v>0.08</v>
      </c>
      <c r="L98" s="349">
        <f t="shared" si="51"/>
        <v>1085409.1200000001</v>
      </c>
      <c r="M98" s="339">
        <f t="shared" si="52"/>
        <v>14653023.120000001</v>
      </c>
      <c r="N98" s="339">
        <f t="shared" si="33"/>
        <v>1465302.3120000002</v>
      </c>
      <c r="O98" s="339">
        <f t="shared" si="34"/>
        <v>278407.43928000005</v>
      </c>
      <c r="P98" s="339">
        <f t="shared" si="35"/>
        <v>14931430.559280001</v>
      </c>
      <c r="Q98" s="340">
        <v>2</v>
      </c>
      <c r="R98" s="341">
        <f t="shared" si="50"/>
        <v>549715.53333333333</v>
      </c>
      <c r="S98" s="342">
        <f t="shared" si="36"/>
        <v>14381715.025946667</v>
      </c>
      <c r="T98" s="153"/>
      <c r="U98" s="136"/>
      <c r="V98" s="136"/>
      <c r="W98" s="136"/>
      <c r="X98" s="137"/>
      <c r="Y98" s="137"/>
      <c r="Z98" s="137"/>
      <c r="AA98" s="137"/>
      <c r="AB98" s="137"/>
      <c r="AC98" s="137"/>
    </row>
    <row r="99" spans="1:29" s="343" customFormat="1" ht="15" customHeight="1" x14ac:dyDescent="0.25">
      <c r="B99" s="385"/>
      <c r="C99" s="333" t="s">
        <v>227</v>
      </c>
      <c r="D99" s="350" t="s">
        <v>209</v>
      </c>
      <c r="E99" s="336">
        <v>1</v>
      </c>
      <c r="F99" s="335" t="s">
        <v>15</v>
      </c>
      <c r="G99" s="336">
        <v>1</v>
      </c>
      <c r="H99" s="336">
        <v>30</v>
      </c>
      <c r="I99" s="336">
        <v>30</v>
      </c>
      <c r="J99" s="348">
        <f t="shared" si="49"/>
        <v>13567614</v>
      </c>
      <c r="K99" s="337">
        <v>0.08</v>
      </c>
      <c r="L99" s="349">
        <f t="shared" si="51"/>
        <v>1085409.1200000001</v>
      </c>
      <c r="M99" s="339">
        <f t="shared" si="52"/>
        <v>14653023.120000001</v>
      </c>
      <c r="N99" s="339">
        <f t="shared" si="33"/>
        <v>1465302.3120000002</v>
      </c>
      <c r="O99" s="339">
        <f t="shared" si="34"/>
        <v>278407.43928000005</v>
      </c>
      <c r="P99" s="339">
        <f t="shared" si="35"/>
        <v>14931430.559280001</v>
      </c>
      <c r="Q99" s="340">
        <v>2</v>
      </c>
      <c r="R99" s="341">
        <f t="shared" si="50"/>
        <v>549715.53333333333</v>
      </c>
      <c r="S99" s="342">
        <f t="shared" si="36"/>
        <v>14381715.025946667</v>
      </c>
      <c r="T99" s="153"/>
      <c r="U99" s="136"/>
      <c r="V99" s="136"/>
      <c r="W99" s="136"/>
      <c r="X99" s="137"/>
      <c r="Y99" s="137"/>
      <c r="Z99" s="137"/>
      <c r="AA99" s="137"/>
      <c r="AB99" s="137"/>
      <c r="AC99" s="137"/>
    </row>
    <row r="100" spans="1:29" s="343" customFormat="1" ht="15" customHeight="1" x14ac:dyDescent="0.25">
      <c r="B100" s="385"/>
      <c r="C100" s="333" t="s">
        <v>227</v>
      </c>
      <c r="D100" s="375" t="s">
        <v>228</v>
      </c>
      <c r="E100" s="336">
        <v>1</v>
      </c>
      <c r="F100" s="335" t="s">
        <v>15</v>
      </c>
      <c r="G100" s="336">
        <v>1</v>
      </c>
      <c r="H100" s="336">
        <v>30</v>
      </c>
      <c r="I100" s="336">
        <v>30</v>
      </c>
      <c r="J100" s="348">
        <f t="shared" si="49"/>
        <v>13567614</v>
      </c>
      <c r="K100" s="337">
        <v>0.08</v>
      </c>
      <c r="L100" s="349">
        <f t="shared" si="51"/>
        <v>1085409.1200000001</v>
      </c>
      <c r="M100" s="339">
        <f t="shared" si="52"/>
        <v>14653023.120000001</v>
      </c>
      <c r="N100" s="339">
        <f t="shared" si="33"/>
        <v>1465302.3120000002</v>
      </c>
      <c r="O100" s="339">
        <f t="shared" si="34"/>
        <v>278407.43928000005</v>
      </c>
      <c r="P100" s="339">
        <f t="shared" si="35"/>
        <v>14931430.559280001</v>
      </c>
      <c r="Q100" s="340">
        <v>2</v>
      </c>
      <c r="R100" s="341">
        <f t="shared" si="50"/>
        <v>549715.53333333333</v>
      </c>
      <c r="S100" s="342">
        <f t="shared" si="36"/>
        <v>14381715.025946667</v>
      </c>
      <c r="T100" s="153"/>
      <c r="U100" s="136"/>
      <c r="V100" s="136"/>
      <c r="W100" s="136"/>
      <c r="X100" s="137"/>
      <c r="Y100" s="137"/>
      <c r="Z100" s="137"/>
      <c r="AA100" s="137"/>
      <c r="AB100" s="137"/>
      <c r="AC100" s="137"/>
    </row>
    <row r="101" spans="1:29" s="343" customFormat="1" ht="15" customHeight="1" x14ac:dyDescent="0.25">
      <c r="B101" s="385"/>
      <c r="C101" s="333" t="s">
        <v>227</v>
      </c>
      <c r="D101" s="375" t="s">
        <v>229</v>
      </c>
      <c r="E101" s="336">
        <v>1</v>
      </c>
      <c r="F101" s="335" t="s">
        <v>15</v>
      </c>
      <c r="G101" s="336">
        <v>1</v>
      </c>
      <c r="H101" s="336">
        <v>30</v>
      </c>
      <c r="I101" s="336">
        <v>30</v>
      </c>
      <c r="J101" s="348">
        <f t="shared" si="49"/>
        <v>13567614</v>
      </c>
      <c r="K101" s="337">
        <v>0.08</v>
      </c>
      <c r="L101" s="349">
        <f t="shared" si="51"/>
        <v>1085409.1200000001</v>
      </c>
      <c r="M101" s="339">
        <f t="shared" si="52"/>
        <v>14653023.120000001</v>
      </c>
      <c r="N101" s="339">
        <f t="shared" si="33"/>
        <v>1465302.3120000002</v>
      </c>
      <c r="O101" s="339">
        <f t="shared" si="34"/>
        <v>278407.43928000005</v>
      </c>
      <c r="P101" s="339">
        <f t="shared" si="35"/>
        <v>14931430.559280001</v>
      </c>
      <c r="Q101" s="340">
        <v>2</v>
      </c>
      <c r="R101" s="341">
        <f t="shared" si="50"/>
        <v>549715.53333333333</v>
      </c>
      <c r="S101" s="342">
        <f t="shared" si="36"/>
        <v>14381715.025946667</v>
      </c>
      <c r="T101" s="153"/>
      <c r="U101" s="136"/>
      <c r="V101" s="136"/>
      <c r="W101" s="136"/>
      <c r="X101" s="137"/>
      <c r="Y101" s="137"/>
      <c r="Z101" s="137"/>
      <c r="AA101" s="137"/>
      <c r="AB101" s="137"/>
      <c r="AC101" s="137"/>
    </row>
    <row r="102" spans="1:29" s="343" customFormat="1" ht="15" customHeight="1" x14ac:dyDescent="0.25">
      <c r="B102" s="385"/>
      <c r="C102" s="333" t="s">
        <v>227</v>
      </c>
      <c r="D102" s="375" t="s">
        <v>230</v>
      </c>
      <c r="E102" s="336">
        <v>1</v>
      </c>
      <c r="F102" s="335" t="s">
        <v>15</v>
      </c>
      <c r="G102" s="336">
        <v>1</v>
      </c>
      <c r="H102" s="336">
        <v>30</v>
      </c>
      <c r="I102" s="336">
        <v>30</v>
      </c>
      <c r="J102" s="348">
        <f t="shared" si="49"/>
        <v>13567614</v>
      </c>
      <c r="K102" s="337">
        <v>0.08</v>
      </c>
      <c r="L102" s="349">
        <f t="shared" si="51"/>
        <v>1085409.1200000001</v>
      </c>
      <c r="M102" s="339">
        <f t="shared" si="52"/>
        <v>14653023.120000001</v>
      </c>
      <c r="N102" s="339">
        <f t="shared" si="33"/>
        <v>1465302.3120000002</v>
      </c>
      <c r="O102" s="339">
        <f t="shared" si="34"/>
        <v>278407.43928000005</v>
      </c>
      <c r="P102" s="339">
        <f t="shared" si="35"/>
        <v>14931430.559280001</v>
      </c>
      <c r="Q102" s="340">
        <v>2</v>
      </c>
      <c r="R102" s="341">
        <f t="shared" si="50"/>
        <v>549715.53333333333</v>
      </c>
      <c r="S102" s="342">
        <f t="shared" si="36"/>
        <v>14381715.025946667</v>
      </c>
      <c r="T102" s="153"/>
      <c r="U102" s="136"/>
      <c r="V102" s="136"/>
      <c r="W102" s="136"/>
      <c r="X102" s="137"/>
      <c r="Y102" s="137"/>
      <c r="Z102" s="137"/>
      <c r="AA102" s="137"/>
      <c r="AB102" s="137"/>
      <c r="AC102" s="137"/>
    </row>
    <row r="103" spans="1:29" s="343" customFormat="1" ht="15" customHeight="1" x14ac:dyDescent="0.25">
      <c r="B103" s="385"/>
      <c r="C103" s="333" t="s">
        <v>227</v>
      </c>
      <c r="D103" s="375" t="s">
        <v>210</v>
      </c>
      <c r="E103" s="336">
        <v>1</v>
      </c>
      <c r="F103" s="335" t="s">
        <v>15</v>
      </c>
      <c r="G103" s="336">
        <v>1</v>
      </c>
      <c r="H103" s="336">
        <v>30</v>
      </c>
      <c r="I103" s="336">
        <v>30</v>
      </c>
      <c r="J103" s="348">
        <f t="shared" si="49"/>
        <v>13567614</v>
      </c>
      <c r="K103" s="337">
        <v>0.08</v>
      </c>
      <c r="L103" s="349">
        <f t="shared" si="51"/>
        <v>1085409.1200000001</v>
      </c>
      <c r="M103" s="339">
        <f t="shared" si="52"/>
        <v>14653023.120000001</v>
      </c>
      <c r="N103" s="339">
        <f t="shared" si="33"/>
        <v>1465302.3120000002</v>
      </c>
      <c r="O103" s="339">
        <f t="shared" si="34"/>
        <v>278407.43928000005</v>
      </c>
      <c r="P103" s="339">
        <f t="shared" si="35"/>
        <v>14931430.559280001</v>
      </c>
      <c r="Q103" s="340">
        <v>2</v>
      </c>
      <c r="R103" s="341">
        <f t="shared" si="50"/>
        <v>549715.53333333333</v>
      </c>
      <c r="S103" s="342">
        <f t="shared" si="36"/>
        <v>14381715.025946667</v>
      </c>
      <c r="T103" s="153"/>
      <c r="U103" s="136"/>
      <c r="V103" s="136"/>
      <c r="W103" s="136"/>
      <c r="X103" s="137"/>
      <c r="Y103" s="137"/>
      <c r="Z103" s="137"/>
      <c r="AA103" s="137"/>
      <c r="AB103" s="137"/>
      <c r="AC103" s="137"/>
    </row>
    <row r="104" spans="1:29" s="343" customFormat="1" ht="15" customHeight="1" x14ac:dyDescent="0.25">
      <c r="B104" s="385"/>
      <c r="C104" s="333" t="s">
        <v>227</v>
      </c>
      <c r="D104" s="375" t="s">
        <v>211</v>
      </c>
      <c r="E104" s="336">
        <v>1</v>
      </c>
      <c r="F104" s="335" t="s">
        <v>15</v>
      </c>
      <c r="G104" s="336">
        <v>1</v>
      </c>
      <c r="H104" s="336">
        <v>30</v>
      </c>
      <c r="I104" s="336">
        <v>30</v>
      </c>
      <c r="J104" s="348">
        <f t="shared" si="49"/>
        <v>13567614</v>
      </c>
      <c r="K104" s="337">
        <v>0.08</v>
      </c>
      <c r="L104" s="349">
        <f t="shared" si="51"/>
        <v>1085409.1200000001</v>
      </c>
      <c r="M104" s="339">
        <f t="shared" si="52"/>
        <v>14653023.120000001</v>
      </c>
      <c r="N104" s="339">
        <f t="shared" si="33"/>
        <v>1465302.3120000002</v>
      </c>
      <c r="O104" s="339">
        <f t="shared" si="34"/>
        <v>278407.43928000005</v>
      </c>
      <c r="P104" s="339">
        <f t="shared" si="35"/>
        <v>14931430.559280001</v>
      </c>
      <c r="Q104" s="340">
        <v>2</v>
      </c>
      <c r="R104" s="341">
        <f t="shared" si="50"/>
        <v>549715.53333333333</v>
      </c>
      <c r="S104" s="342">
        <f t="shared" si="36"/>
        <v>14381715.025946667</v>
      </c>
      <c r="T104" s="153"/>
      <c r="U104" s="136"/>
      <c r="V104" s="136"/>
      <c r="W104" s="136"/>
      <c r="X104" s="137"/>
      <c r="Y104" s="137"/>
      <c r="Z104" s="137"/>
      <c r="AA104" s="137"/>
      <c r="AB104" s="137"/>
      <c r="AC104" s="137"/>
    </row>
    <row r="105" spans="1:29" s="343" customFormat="1" ht="15" customHeight="1" x14ac:dyDescent="0.25">
      <c r="B105" s="385"/>
      <c r="C105" s="333" t="s">
        <v>227</v>
      </c>
      <c r="D105" s="375" t="s">
        <v>212</v>
      </c>
      <c r="E105" s="336">
        <v>1</v>
      </c>
      <c r="F105" s="335" t="s">
        <v>15</v>
      </c>
      <c r="G105" s="336">
        <v>1</v>
      </c>
      <c r="H105" s="336">
        <v>30</v>
      </c>
      <c r="I105" s="336">
        <v>30</v>
      </c>
      <c r="J105" s="348">
        <f t="shared" si="49"/>
        <v>13567614</v>
      </c>
      <c r="K105" s="337">
        <v>0.08</v>
      </c>
      <c r="L105" s="349">
        <f t="shared" si="51"/>
        <v>1085409.1200000001</v>
      </c>
      <c r="M105" s="339">
        <f t="shared" si="52"/>
        <v>14653023.120000001</v>
      </c>
      <c r="N105" s="339">
        <f t="shared" si="33"/>
        <v>1465302.3120000002</v>
      </c>
      <c r="O105" s="339">
        <f t="shared" si="34"/>
        <v>278407.43928000005</v>
      </c>
      <c r="P105" s="339">
        <f t="shared" si="35"/>
        <v>14931430.559280001</v>
      </c>
      <c r="Q105" s="340">
        <v>2</v>
      </c>
      <c r="R105" s="341">
        <f t="shared" si="50"/>
        <v>549715.53333333333</v>
      </c>
      <c r="S105" s="342">
        <f t="shared" si="36"/>
        <v>14381715.025946667</v>
      </c>
      <c r="T105" s="153"/>
      <c r="U105" s="136"/>
      <c r="V105" s="136"/>
      <c r="W105" s="136"/>
      <c r="X105" s="137"/>
      <c r="Y105" s="137"/>
      <c r="Z105" s="137"/>
      <c r="AA105" s="137"/>
      <c r="AB105" s="137"/>
      <c r="AC105" s="137"/>
    </row>
    <row r="106" spans="1:29" s="343" customFormat="1" ht="15" customHeight="1" x14ac:dyDescent="0.25">
      <c r="B106" s="385"/>
      <c r="C106" s="333" t="s">
        <v>227</v>
      </c>
      <c r="D106" s="375" t="s">
        <v>213</v>
      </c>
      <c r="E106" s="336">
        <v>1</v>
      </c>
      <c r="F106" s="335" t="s">
        <v>15</v>
      </c>
      <c r="G106" s="336">
        <v>1</v>
      </c>
      <c r="H106" s="336">
        <v>30</v>
      </c>
      <c r="I106" s="336">
        <v>30</v>
      </c>
      <c r="J106" s="348">
        <f t="shared" si="49"/>
        <v>13567614</v>
      </c>
      <c r="K106" s="337">
        <v>0.08</v>
      </c>
      <c r="L106" s="349">
        <f t="shared" si="51"/>
        <v>1085409.1200000001</v>
      </c>
      <c r="M106" s="339">
        <f t="shared" si="52"/>
        <v>14653023.120000001</v>
      </c>
      <c r="N106" s="339">
        <f t="shared" si="33"/>
        <v>1465302.3120000002</v>
      </c>
      <c r="O106" s="339">
        <f t="shared" si="34"/>
        <v>278407.43928000005</v>
      </c>
      <c r="P106" s="339">
        <f t="shared" si="35"/>
        <v>14931430.559280001</v>
      </c>
      <c r="Q106" s="340">
        <v>1</v>
      </c>
      <c r="R106" s="341">
        <f t="shared" si="50"/>
        <v>274857.76666666666</v>
      </c>
      <c r="S106" s="342">
        <f t="shared" si="36"/>
        <v>14656572.792613333</v>
      </c>
      <c r="T106" s="153"/>
      <c r="U106" s="136"/>
      <c r="V106" s="136"/>
      <c r="W106" s="136"/>
      <c r="X106" s="137"/>
      <c r="Y106" s="137"/>
      <c r="Z106" s="137"/>
      <c r="AA106" s="137"/>
      <c r="AB106" s="137"/>
      <c r="AC106" s="137"/>
    </row>
    <row r="107" spans="1:29" s="343" customFormat="1" ht="15" customHeight="1" x14ac:dyDescent="0.25">
      <c r="B107" s="385"/>
      <c r="C107" s="333" t="s">
        <v>227</v>
      </c>
      <c r="D107" s="375" t="s">
        <v>214</v>
      </c>
      <c r="E107" s="336">
        <v>1</v>
      </c>
      <c r="F107" s="335" t="s">
        <v>15</v>
      </c>
      <c r="G107" s="336">
        <v>1</v>
      </c>
      <c r="H107" s="336">
        <v>30</v>
      </c>
      <c r="I107" s="336">
        <v>30</v>
      </c>
      <c r="J107" s="348">
        <f t="shared" si="49"/>
        <v>13567614</v>
      </c>
      <c r="K107" s="337">
        <v>0.08</v>
      </c>
      <c r="L107" s="349">
        <f t="shared" si="51"/>
        <v>1085409.1200000001</v>
      </c>
      <c r="M107" s="339">
        <f t="shared" si="52"/>
        <v>14653023.120000001</v>
      </c>
      <c r="N107" s="339">
        <f t="shared" si="33"/>
        <v>1465302.3120000002</v>
      </c>
      <c r="O107" s="339">
        <f t="shared" si="34"/>
        <v>278407.43928000005</v>
      </c>
      <c r="P107" s="339">
        <f t="shared" si="35"/>
        <v>14931430.559280001</v>
      </c>
      <c r="Q107" s="340">
        <v>2</v>
      </c>
      <c r="R107" s="341">
        <f t="shared" si="50"/>
        <v>549715.53333333333</v>
      </c>
      <c r="S107" s="342">
        <f t="shared" si="36"/>
        <v>14381715.025946667</v>
      </c>
      <c r="T107" s="153"/>
      <c r="U107" s="136"/>
      <c r="V107" s="136"/>
      <c r="W107" s="136"/>
      <c r="X107" s="137"/>
      <c r="Y107" s="137"/>
      <c r="Z107" s="137"/>
      <c r="AA107" s="137"/>
      <c r="AB107" s="137"/>
      <c r="AC107" s="137"/>
    </row>
    <row r="108" spans="1:29" s="343" customFormat="1" ht="15" customHeight="1" x14ac:dyDescent="0.25">
      <c r="B108" s="385"/>
      <c r="C108" s="333" t="s">
        <v>227</v>
      </c>
      <c r="D108" s="375" t="s">
        <v>215</v>
      </c>
      <c r="E108" s="336">
        <v>1</v>
      </c>
      <c r="F108" s="335" t="s">
        <v>15</v>
      </c>
      <c r="G108" s="336">
        <v>1</v>
      </c>
      <c r="H108" s="336">
        <v>30</v>
      </c>
      <c r="I108" s="336">
        <v>30</v>
      </c>
      <c r="J108" s="348">
        <f t="shared" si="49"/>
        <v>13567614</v>
      </c>
      <c r="K108" s="337">
        <v>0.08</v>
      </c>
      <c r="L108" s="349">
        <f t="shared" si="51"/>
        <v>1085409.1200000001</v>
      </c>
      <c r="M108" s="339">
        <f t="shared" si="52"/>
        <v>14653023.120000001</v>
      </c>
      <c r="N108" s="339">
        <f t="shared" si="33"/>
        <v>1465302.3120000002</v>
      </c>
      <c r="O108" s="339">
        <f t="shared" si="34"/>
        <v>278407.43928000005</v>
      </c>
      <c r="P108" s="339">
        <f t="shared" si="35"/>
        <v>14931430.559280001</v>
      </c>
      <c r="Q108" s="340"/>
      <c r="R108" s="341"/>
      <c r="S108" s="342">
        <f t="shared" si="36"/>
        <v>14931430.559280001</v>
      </c>
      <c r="T108" s="153"/>
      <c r="U108" s="136"/>
      <c r="V108" s="136"/>
      <c r="W108" s="136"/>
      <c r="X108" s="137"/>
      <c r="Y108" s="137"/>
      <c r="Z108" s="137"/>
      <c r="AA108" s="137"/>
      <c r="AB108" s="137"/>
      <c r="AC108" s="137"/>
    </row>
    <row r="109" spans="1:29" s="362" customFormat="1" ht="15" customHeight="1" x14ac:dyDescent="0.25">
      <c r="B109" s="385"/>
      <c r="C109" s="351" t="s">
        <v>227</v>
      </c>
      <c r="D109" s="352" t="s">
        <v>216</v>
      </c>
      <c r="E109" s="353">
        <v>1</v>
      </c>
      <c r="F109" s="354" t="s">
        <v>16</v>
      </c>
      <c r="G109" s="353">
        <v>1</v>
      </c>
      <c r="H109" s="353">
        <v>27</v>
      </c>
      <c r="I109" s="353">
        <v>27</v>
      </c>
      <c r="J109" s="355">
        <f>+(((((1423500*9.53+1659)*55.97%)/15*12)/30)*I109)*E109</f>
        <v>5467531.3601759998</v>
      </c>
      <c r="K109" s="356">
        <v>0.08</v>
      </c>
      <c r="L109" s="357">
        <f t="shared" si="51"/>
        <v>437402.50881407998</v>
      </c>
      <c r="M109" s="358">
        <f t="shared" si="52"/>
        <v>5904933.8689900795</v>
      </c>
      <c r="N109" s="358">
        <f t="shared" si="33"/>
        <v>590493.38689900795</v>
      </c>
      <c r="O109" s="358">
        <f t="shared" si="34"/>
        <v>112193.74351081152</v>
      </c>
      <c r="P109" s="358">
        <f t="shared" si="35"/>
        <v>6017127.6125008911</v>
      </c>
      <c r="Q109" s="359"/>
      <c r="R109" s="360"/>
      <c r="S109" s="361">
        <f t="shared" si="36"/>
        <v>6017127.6125008911</v>
      </c>
      <c r="T109" s="172"/>
      <c r="U109" s="142"/>
      <c r="V109" s="142"/>
      <c r="W109" s="142"/>
      <c r="X109" s="140"/>
      <c r="Y109" s="140"/>
      <c r="Z109" s="140"/>
      <c r="AA109" s="140"/>
      <c r="AB109" s="140"/>
      <c r="AC109" s="140"/>
    </row>
    <row r="110" spans="1:29" x14ac:dyDescent="0.25">
      <c r="B110" s="128"/>
      <c r="C110" s="130"/>
      <c r="D110" s="157"/>
      <c r="E110" s="200">
        <f>+SUM(E29:E109)</f>
        <v>83</v>
      </c>
      <c r="F110" s="157"/>
      <c r="G110" s="206">
        <f>SUM(G29:G109)</f>
        <v>82</v>
      </c>
      <c r="H110" s="206"/>
      <c r="I110" s="200"/>
      <c r="J110" s="158">
        <f>SUM(J29:J109)</f>
        <v>925580926.60571206</v>
      </c>
      <c r="K110" s="158"/>
      <c r="L110" s="224">
        <f t="shared" ref="L110:S110" si="53">SUM(L29:L109)</f>
        <v>74046474.12845692</v>
      </c>
      <c r="M110" s="158">
        <f t="shared" si="53"/>
        <v>999627400.73416913</v>
      </c>
      <c r="N110" s="158">
        <f t="shared" si="53"/>
        <v>99962740.073416993</v>
      </c>
      <c r="O110" s="158">
        <f t="shared" si="53"/>
        <v>18992920.613949202</v>
      </c>
      <c r="P110" s="158">
        <f t="shared" si="53"/>
        <v>1018620321.3481189</v>
      </c>
      <c r="Q110" s="206">
        <f t="shared" si="53"/>
        <v>80</v>
      </c>
      <c r="R110" s="224">
        <f t="shared" si="53"/>
        <v>19804571.25740834</v>
      </c>
      <c r="S110" s="158">
        <f t="shared" si="53"/>
        <v>998815750.09070921</v>
      </c>
      <c r="T110" s="365"/>
    </row>
    <row r="111" spans="1:29" s="137" customFormat="1" ht="15" customHeight="1" x14ac:dyDescent="0.25">
      <c r="A111" s="134"/>
      <c r="B111" s="383" t="s">
        <v>82</v>
      </c>
      <c r="C111" s="135" t="s">
        <v>227</v>
      </c>
      <c r="D111" s="168" t="s">
        <v>247</v>
      </c>
      <c r="E111" s="199">
        <v>1</v>
      </c>
      <c r="F111" s="148" t="s">
        <v>17</v>
      </c>
      <c r="G111" s="199">
        <v>1</v>
      </c>
      <c r="H111" s="199">
        <v>30</v>
      </c>
      <c r="I111" s="199">
        <v>24</v>
      </c>
      <c r="J111" s="154">
        <f>+(((((1423500*9.53+1659)*55.97%)/15*12)/30)*I111)*E111</f>
        <v>4860027.8757119998</v>
      </c>
      <c r="K111" s="149">
        <v>0.08</v>
      </c>
      <c r="L111" s="223">
        <f t="shared" ref="L111:L129" si="54">J111*K111</f>
        <v>388802.23005696002</v>
      </c>
      <c r="M111" s="150">
        <f t="shared" ref="M111:M129" si="55">J111+L111</f>
        <v>5248830.10576896</v>
      </c>
      <c r="N111" s="150">
        <f t="shared" ref="N111:N129" si="56">M111*10%</f>
        <v>524883.01057689602</v>
      </c>
      <c r="O111" s="150">
        <f t="shared" ref="O111:O129" si="57">+N111*19%</f>
        <v>99727.772009610242</v>
      </c>
      <c r="P111" s="150">
        <f t="shared" ref="P111:P128" si="58">M111+O111</f>
        <v>5348557.8777785702</v>
      </c>
      <c r="Q111" s="218"/>
      <c r="R111" s="162"/>
      <c r="S111" s="152">
        <f t="shared" si="36"/>
        <v>5348557.8777785702</v>
      </c>
      <c r="T111" s="153"/>
      <c r="U111" s="136"/>
      <c r="V111" s="136"/>
      <c r="W111" s="136"/>
    </row>
    <row r="112" spans="1:29" s="137" customFormat="1" ht="26.25" x14ac:dyDescent="0.25">
      <c r="A112" s="134"/>
      <c r="B112" s="384"/>
      <c r="C112" s="135" t="s">
        <v>227</v>
      </c>
      <c r="D112" s="168" t="s">
        <v>248</v>
      </c>
      <c r="E112" s="199">
        <v>1</v>
      </c>
      <c r="F112" s="148" t="s">
        <v>17</v>
      </c>
      <c r="G112" s="199">
        <v>1</v>
      </c>
      <c r="H112" s="199">
        <v>30</v>
      </c>
      <c r="I112" s="199">
        <v>24</v>
      </c>
      <c r="J112" s="154">
        <f>+(((((1423500*9.53+1659)*55.97%)/15*12)/30)*I112)*E112</f>
        <v>4860027.8757119998</v>
      </c>
      <c r="K112" s="149">
        <v>0.08</v>
      </c>
      <c r="L112" s="223">
        <f t="shared" si="54"/>
        <v>388802.23005696002</v>
      </c>
      <c r="M112" s="150">
        <f t="shared" si="55"/>
        <v>5248830.10576896</v>
      </c>
      <c r="N112" s="150">
        <f t="shared" si="56"/>
        <v>524883.01057689602</v>
      </c>
      <c r="O112" s="150">
        <f t="shared" si="57"/>
        <v>99727.772009610242</v>
      </c>
      <c r="P112" s="150">
        <f t="shared" si="58"/>
        <v>5348557.8777785702</v>
      </c>
      <c r="Q112" s="218"/>
      <c r="R112" s="162"/>
      <c r="S112" s="152">
        <f t="shared" si="36"/>
        <v>5348557.8777785702</v>
      </c>
      <c r="T112" s="153"/>
      <c r="U112" s="136"/>
      <c r="V112" s="136"/>
      <c r="W112" s="136"/>
    </row>
    <row r="113" spans="1:29" s="137" customFormat="1" ht="26.25" x14ac:dyDescent="0.25">
      <c r="A113" s="134"/>
      <c r="B113" s="384"/>
      <c r="C113" s="135" t="s">
        <v>227</v>
      </c>
      <c r="D113" s="168" t="s">
        <v>249</v>
      </c>
      <c r="E113" s="199">
        <v>1</v>
      </c>
      <c r="F113" s="148" t="s">
        <v>17</v>
      </c>
      <c r="G113" s="199">
        <v>1</v>
      </c>
      <c r="H113" s="199">
        <v>30</v>
      </c>
      <c r="I113" s="199">
        <v>24</v>
      </c>
      <c r="J113" s="154">
        <f>+(((((1423500*9.53+1659)*55.97%)/15*12)/30)*I113)*E113</f>
        <v>4860027.8757119998</v>
      </c>
      <c r="K113" s="149">
        <v>0.08</v>
      </c>
      <c r="L113" s="223">
        <f t="shared" si="54"/>
        <v>388802.23005696002</v>
      </c>
      <c r="M113" s="150">
        <f t="shared" si="55"/>
        <v>5248830.10576896</v>
      </c>
      <c r="N113" s="150">
        <f t="shared" si="56"/>
        <v>524883.01057689602</v>
      </c>
      <c r="O113" s="150">
        <f t="shared" si="57"/>
        <v>99727.772009610242</v>
      </c>
      <c r="P113" s="150">
        <f t="shared" si="58"/>
        <v>5348557.8777785702</v>
      </c>
      <c r="Q113" s="218"/>
      <c r="R113" s="162"/>
      <c r="S113" s="152">
        <f t="shared" si="36"/>
        <v>5348557.8777785702</v>
      </c>
      <c r="T113" s="153"/>
      <c r="U113" s="136"/>
      <c r="V113" s="136"/>
      <c r="W113" s="136"/>
    </row>
    <row r="114" spans="1:29" s="137" customFormat="1" ht="26.25" x14ac:dyDescent="0.25">
      <c r="A114" s="134"/>
      <c r="B114" s="384"/>
      <c r="C114" s="135" t="s">
        <v>227</v>
      </c>
      <c r="D114" s="168" t="s">
        <v>250</v>
      </c>
      <c r="E114" s="199">
        <v>1</v>
      </c>
      <c r="F114" s="148" t="s">
        <v>17</v>
      </c>
      <c r="G114" s="199">
        <v>1</v>
      </c>
      <c r="H114" s="199">
        <v>30</v>
      </c>
      <c r="I114" s="199">
        <v>24</v>
      </c>
      <c r="J114" s="154">
        <f>+(((((1423500*9.53+1659)*55.97%)/15*12)/30)*I114)*E114</f>
        <v>4860027.8757119998</v>
      </c>
      <c r="K114" s="149">
        <v>0.08</v>
      </c>
      <c r="L114" s="223">
        <f t="shared" si="54"/>
        <v>388802.23005696002</v>
      </c>
      <c r="M114" s="150">
        <f t="shared" si="55"/>
        <v>5248830.10576896</v>
      </c>
      <c r="N114" s="150">
        <f t="shared" si="56"/>
        <v>524883.01057689602</v>
      </c>
      <c r="O114" s="150">
        <f t="shared" si="57"/>
        <v>99727.772009610242</v>
      </c>
      <c r="P114" s="150">
        <f t="shared" si="58"/>
        <v>5348557.8777785702</v>
      </c>
      <c r="Q114" s="218"/>
      <c r="R114" s="162"/>
      <c r="S114" s="152">
        <f t="shared" si="36"/>
        <v>5348557.8777785702</v>
      </c>
      <c r="T114" s="153"/>
      <c r="U114" s="136"/>
      <c r="V114" s="136"/>
      <c r="W114" s="136"/>
    </row>
    <row r="115" spans="1:29" s="140" customFormat="1" ht="26.25" x14ac:dyDescent="0.25">
      <c r="B115" s="385"/>
      <c r="C115" s="141" t="s">
        <v>227</v>
      </c>
      <c r="D115" s="366" t="s">
        <v>31</v>
      </c>
      <c r="E115" s="202">
        <v>1</v>
      </c>
      <c r="F115" s="171" t="s">
        <v>19</v>
      </c>
      <c r="G115" s="202">
        <v>1</v>
      </c>
      <c r="H115" s="202">
        <v>30</v>
      </c>
      <c r="I115" s="202">
        <v>22</v>
      </c>
      <c r="J115" s="367">
        <f>+(((((1423500*9.53+1659)*55.97%)/15*14)/30)*I115)*E115</f>
        <v>5197529.8115253327</v>
      </c>
      <c r="K115" s="368">
        <v>0.08</v>
      </c>
      <c r="L115" s="369">
        <f t="shared" si="54"/>
        <v>415802.38492202666</v>
      </c>
      <c r="M115" s="370">
        <f t="shared" si="55"/>
        <v>5613332.1964473594</v>
      </c>
      <c r="N115" s="370">
        <f t="shared" si="56"/>
        <v>561333.21964473592</v>
      </c>
      <c r="O115" s="370">
        <f t="shared" si="57"/>
        <v>106653.31173249983</v>
      </c>
      <c r="P115" s="370">
        <f t="shared" si="58"/>
        <v>5719985.5081798593</v>
      </c>
      <c r="Q115" s="371"/>
      <c r="R115" s="372"/>
      <c r="S115" s="373">
        <f t="shared" si="36"/>
        <v>5719985.5081798593</v>
      </c>
      <c r="T115" s="172"/>
      <c r="U115" s="142"/>
      <c r="V115" s="142"/>
      <c r="W115" s="142"/>
    </row>
    <row r="116" spans="1:29" s="137" customFormat="1" x14ac:dyDescent="0.25">
      <c r="A116" s="134"/>
      <c r="B116" s="385"/>
      <c r="C116" s="135" t="s">
        <v>227</v>
      </c>
      <c r="D116" s="168" t="s">
        <v>251</v>
      </c>
      <c r="E116" s="199">
        <v>1</v>
      </c>
      <c r="F116" s="148" t="s">
        <v>15</v>
      </c>
      <c r="G116" s="199">
        <v>1</v>
      </c>
      <c r="H116" s="199">
        <v>30</v>
      </c>
      <c r="I116" s="199">
        <v>30</v>
      </c>
      <c r="J116" s="154">
        <f>+(((1423500*9.53+1659)/30)*I116)*E116</f>
        <v>13567614</v>
      </c>
      <c r="K116" s="149">
        <v>0.08</v>
      </c>
      <c r="L116" s="223">
        <f t="shared" si="54"/>
        <v>1085409.1200000001</v>
      </c>
      <c r="M116" s="150">
        <f t="shared" si="55"/>
        <v>14653023.120000001</v>
      </c>
      <c r="N116" s="150">
        <f t="shared" si="56"/>
        <v>1465302.3120000002</v>
      </c>
      <c r="O116" s="150">
        <f t="shared" si="57"/>
        <v>278407.43928000005</v>
      </c>
      <c r="P116" s="150">
        <f t="shared" si="58"/>
        <v>14931430.559280001</v>
      </c>
      <c r="Q116" s="218"/>
      <c r="R116" s="162"/>
      <c r="S116" s="152">
        <f t="shared" si="36"/>
        <v>14931430.559280001</v>
      </c>
      <c r="T116" s="153"/>
      <c r="U116" s="136"/>
      <c r="V116" s="136"/>
      <c r="W116" s="136"/>
    </row>
    <row r="117" spans="1:29" s="137" customFormat="1" ht="26.25" x14ac:dyDescent="0.25">
      <c r="A117" s="134"/>
      <c r="B117" s="385"/>
      <c r="C117" s="135" t="s">
        <v>227</v>
      </c>
      <c r="D117" s="168" t="s">
        <v>252</v>
      </c>
      <c r="E117" s="199">
        <v>1</v>
      </c>
      <c r="F117" s="148" t="s">
        <v>21</v>
      </c>
      <c r="G117" s="199">
        <v>1</v>
      </c>
      <c r="H117" s="199">
        <v>30</v>
      </c>
      <c r="I117" s="199">
        <v>24</v>
      </c>
      <c r="J117" s="154">
        <f>+(((((1423500*9.53+1659)*55.97%)/15*8)/30)*I117)*E117</f>
        <v>3240018.5838080002</v>
      </c>
      <c r="K117" s="149">
        <v>0.08</v>
      </c>
      <c r="L117" s="223">
        <f t="shared" si="54"/>
        <v>259201.48670464003</v>
      </c>
      <c r="M117" s="150">
        <f t="shared" si="55"/>
        <v>3499220.0705126403</v>
      </c>
      <c r="N117" s="150">
        <f t="shared" si="56"/>
        <v>349922.00705126405</v>
      </c>
      <c r="O117" s="150">
        <f t="shared" si="57"/>
        <v>66485.181339740171</v>
      </c>
      <c r="P117" s="150">
        <f t="shared" si="58"/>
        <v>3565705.2518523806</v>
      </c>
      <c r="Q117" s="218"/>
      <c r="R117" s="162"/>
      <c r="S117" s="152">
        <f t="shared" si="36"/>
        <v>3565705.2518523806</v>
      </c>
      <c r="T117" s="153"/>
      <c r="U117" s="136"/>
      <c r="V117" s="136"/>
      <c r="W117" s="136"/>
    </row>
    <row r="118" spans="1:29" s="137" customFormat="1" x14ac:dyDescent="0.25">
      <c r="A118" s="134"/>
      <c r="B118" s="385"/>
      <c r="C118" s="135" t="s">
        <v>227</v>
      </c>
      <c r="D118" s="168" t="s">
        <v>253</v>
      </c>
      <c r="E118" s="199">
        <v>1</v>
      </c>
      <c r="F118" s="148" t="s">
        <v>15</v>
      </c>
      <c r="G118" s="199">
        <v>1</v>
      </c>
      <c r="H118" s="199">
        <v>30</v>
      </c>
      <c r="I118" s="199">
        <v>30</v>
      </c>
      <c r="J118" s="154">
        <f>+(((1423500*9.53+1659)/30)*I118)*E118</f>
        <v>13567614</v>
      </c>
      <c r="K118" s="149">
        <v>0.08</v>
      </c>
      <c r="L118" s="223">
        <f t="shared" si="54"/>
        <v>1085409.1200000001</v>
      </c>
      <c r="M118" s="150">
        <f t="shared" si="55"/>
        <v>14653023.120000001</v>
      </c>
      <c r="N118" s="150">
        <f t="shared" si="56"/>
        <v>1465302.3120000002</v>
      </c>
      <c r="O118" s="150">
        <f t="shared" si="57"/>
        <v>278407.43928000005</v>
      </c>
      <c r="P118" s="150">
        <f t="shared" si="58"/>
        <v>14931430.559280001</v>
      </c>
      <c r="Q118" s="218"/>
      <c r="R118" s="162"/>
      <c r="S118" s="152">
        <f t="shared" si="36"/>
        <v>14931430.559280001</v>
      </c>
      <c r="T118" s="153"/>
      <c r="U118" s="136"/>
      <c r="V118" s="136"/>
      <c r="W118" s="136"/>
    </row>
    <row r="119" spans="1:29" s="137" customFormat="1" ht="26.25" x14ac:dyDescent="0.25">
      <c r="A119" s="134"/>
      <c r="B119" s="384"/>
      <c r="C119" s="135" t="s">
        <v>227</v>
      </c>
      <c r="D119" s="168" t="s">
        <v>254</v>
      </c>
      <c r="E119" s="199">
        <v>1</v>
      </c>
      <c r="F119" s="148" t="s">
        <v>17</v>
      </c>
      <c r="G119" s="199">
        <v>1</v>
      </c>
      <c r="H119" s="199">
        <v>30</v>
      </c>
      <c r="I119" s="199">
        <v>24</v>
      </c>
      <c r="J119" s="154">
        <f>+(((((1423500*9.53+1659)*55.97%)/15*12)/30)*I119)*E119</f>
        <v>4860027.8757119998</v>
      </c>
      <c r="K119" s="149">
        <v>0.08</v>
      </c>
      <c r="L119" s="223">
        <f t="shared" si="54"/>
        <v>388802.23005696002</v>
      </c>
      <c r="M119" s="150">
        <f t="shared" si="55"/>
        <v>5248830.10576896</v>
      </c>
      <c r="N119" s="150">
        <f t="shared" si="56"/>
        <v>524883.01057689602</v>
      </c>
      <c r="O119" s="150">
        <f t="shared" si="57"/>
        <v>99727.772009610242</v>
      </c>
      <c r="P119" s="150">
        <f t="shared" si="58"/>
        <v>5348557.8777785702</v>
      </c>
      <c r="Q119" s="218">
        <v>1</v>
      </c>
      <c r="R119" s="162">
        <f>P119/30*Q119</f>
        <v>178285.26259261899</v>
      </c>
      <c r="S119" s="152">
        <f t="shared" si="36"/>
        <v>5170272.6151859509</v>
      </c>
      <c r="T119" s="153"/>
      <c r="U119" s="136"/>
      <c r="V119" s="136"/>
      <c r="W119" s="136"/>
    </row>
    <row r="120" spans="1:29" s="137" customFormat="1" x14ac:dyDescent="0.25">
      <c r="A120" s="134"/>
      <c r="B120" s="385"/>
      <c r="C120" s="135" t="s">
        <v>227</v>
      </c>
      <c r="D120" s="168" t="s">
        <v>255</v>
      </c>
      <c r="E120" s="199">
        <v>1</v>
      </c>
      <c r="F120" s="148" t="s">
        <v>15</v>
      </c>
      <c r="G120" s="199">
        <v>1</v>
      </c>
      <c r="H120" s="199">
        <v>30</v>
      </c>
      <c r="I120" s="199">
        <v>30</v>
      </c>
      <c r="J120" s="154">
        <f>+(((1423500*9.53+1659)/30)*I120)*E120</f>
        <v>13567614</v>
      </c>
      <c r="K120" s="149">
        <v>0.08</v>
      </c>
      <c r="L120" s="223">
        <f t="shared" si="54"/>
        <v>1085409.1200000001</v>
      </c>
      <c r="M120" s="150">
        <f t="shared" si="55"/>
        <v>14653023.120000001</v>
      </c>
      <c r="N120" s="150">
        <f t="shared" si="56"/>
        <v>1465302.3120000002</v>
      </c>
      <c r="O120" s="150">
        <f t="shared" si="57"/>
        <v>278407.43928000005</v>
      </c>
      <c r="P120" s="150">
        <f t="shared" si="58"/>
        <v>14931430.559280001</v>
      </c>
      <c r="Q120" s="218"/>
      <c r="R120" s="162"/>
      <c r="S120" s="152">
        <f t="shared" si="36"/>
        <v>14931430.559280001</v>
      </c>
      <c r="T120" s="153"/>
      <c r="U120" s="136"/>
      <c r="V120" s="136"/>
      <c r="W120" s="136"/>
    </row>
    <row r="121" spans="1:29" s="321" customFormat="1" ht="30.75" customHeight="1" x14ac:dyDescent="0.25">
      <c r="A121" s="309"/>
      <c r="B121" s="385"/>
      <c r="C121" s="310" t="s">
        <v>227</v>
      </c>
      <c r="D121" s="311" t="s">
        <v>283</v>
      </c>
      <c r="E121" s="312">
        <v>1</v>
      </c>
      <c r="F121" s="313" t="s">
        <v>15</v>
      </c>
      <c r="G121" s="312">
        <v>1</v>
      </c>
      <c r="H121" s="312">
        <v>30</v>
      </c>
      <c r="I121" s="312">
        <v>30</v>
      </c>
      <c r="J121" s="314">
        <f>+(((1423500*9.53+1659)/30)*I121)*E121</f>
        <v>13567614</v>
      </c>
      <c r="K121" s="315">
        <v>0.08</v>
      </c>
      <c r="L121" s="316">
        <f t="shared" si="54"/>
        <v>1085409.1200000001</v>
      </c>
      <c r="M121" s="317">
        <f t="shared" si="55"/>
        <v>14653023.120000001</v>
      </c>
      <c r="N121" s="317">
        <f t="shared" si="56"/>
        <v>1465302.3120000002</v>
      </c>
      <c r="O121" s="317">
        <f t="shared" si="57"/>
        <v>278407.43928000005</v>
      </c>
      <c r="P121" s="317">
        <f t="shared" si="58"/>
        <v>14931430.559280001</v>
      </c>
      <c r="Q121" s="318"/>
      <c r="R121" s="319"/>
      <c r="S121" s="320">
        <f t="shared" si="36"/>
        <v>14931430.559280001</v>
      </c>
      <c r="T121" s="153"/>
      <c r="U121" s="136"/>
      <c r="V121" s="136"/>
      <c r="W121" s="136"/>
      <c r="X121" s="137"/>
      <c r="Y121" s="137"/>
      <c r="Z121" s="137"/>
      <c r="AA121" s="137"/>
      <c r="AB121" s="137"/>
      <c r="AC121" s="137"/>
    </row>
    <row r="122" spans="1:29" s="137" customFormat="1" x14ac:dyDescent="0.25">
      <c r="A122" s="134"/>
      <c r="B122" s="385"/>
      <c r="C122" s="135" t="s">
        <v>227</v>
      </c>
      <c r="D122" s="168" t="s">
        <v>284</v>
      </c>
      <c r="E122" s="199">
        <v>1</v>
      </c>
      <c r="F122" s="148" t="s">
        <v>15</v>
      </c>
      <c r="G122" s="199">
        <v>1</v>
      </c>
      <c r="H122" s="199">
        <v>30</v>
      </c>
      <c r="I122" s="199">
        <v>30</v>
      </c>
      <c r="J122" s="154">
        <f>+(((1423500*9.53+1659)/30)*I122)*E122</f>
        <v>13567614</v>
      </c>
      <c r="K122" s="149">
        <v>0.08</v>
      </c>
      <c r="L122" s="223">
        <f t="shared" si="54"/>
        <v>1085409.1200000001</v>
      </c>
      <c r="M122" s="150">
        <f t="shared" si="55"/>
        <v>14653023.120000001</v>
      </c>
      <c r="N122" s="150">
        <f t="shared" si="56"/>
        <v>1465302.3120000002</v>
      </c>
      <c r="O122" s="150">
        <f t="shared" si="57"/>
        <v>278407.43928000005</v>
      </c>
      <c r="P122" s="150">
        <f t="shared" si="58"/>
        <v>14931430.559280001</v>
      </c>
      <c r="Q122" s="218">
        <v>2</v>
      </c>
      <c r="R122" s="162">
        <f>8245733/30*Q122</f>
        <v>549715.53333333333</v>
      </c>
      <c r="S122" s="152">
        <f t="shared" si="36"/>
        <v>14381715.025946667</v>
      </c>
      <c r="T122" s="153"/>
      <c r="U122" s="136"/>
      <c r="V122" s="136"/>
      <c r="W122" s="136"/>
    </row>
    <row r="123" spans="1:29" s="137" customFormat="1" x14ac:dyDescent="0.25">
      <c r="A123" s="134"/>
      <c r="B123" s="385"/>
      <c r="C123" s="135" t="s">
        <v>227</v>
      </c>
      <c r="D123" s="168" t="s">
        <v>285</v>
      </c>
      <c r="E123" s="199">
        <v>1</v>
      </c>
      <c r="F123" s="148" t="s">
        <v>15</v>
      </c>
      <c r="G123" s="199">
        <v>1</v>
      </c>
      <c r="H123" s="199">
        <v>30</v>
      </c>
      <c r="I123" s="199">
        <v>30</v>
      </c>
      <c r="J123" s="154">
        <f>+(((1423500*9.53+1659)/30)*I123)*E123</f>
        <v>13567614</v>
      </c>
      <c r="K123" s="149">
        <v>0.08</v>
      </c>
      <c r="L123" s="223">
        <f t="shared" si="54"/>
        <v>1085409.1200000001</v>
      </c>
      <c r="M123" s="150">
        <f t="shared" si="55"/>
        <v>14653023.120000001</v>
      </c>
      <c r="N123" s="150">
        <f t="shared" si="56"/>
        <v>1465302.3120000002</v>
      </c>
      <c r="O123" s="150">
        <f t="shared" si="57"/>
        <v>278407.43928000005</v>
      </c>
      <c r="P123" s="150">
        <f t="shared" si="58"/>
        <v>14931430.559280001</v>
      </c>
      <c r="Q123" s="218"/>
      <c r="R123" s="162"/>
      <c r="S123" s="152">
        <f t="shared" si="36"/>
        <v>14931430.559280001</v>
      </c>
      <c r="T123" s="153"/>
      <c r="U123" s="136"/>
      <c r="V123" s="136"/>
      <c r="W123" s="136"/>
    </row>
    <row r="124" spans="1:29" s="137" customFormat="1" x14ac:dyDescent="0.25">
      <c r="A124" s="134"/>
      <c r="B124" s="385"/>
      <c r="C124" s="135" t="s">
        <v>227</v>
      </c>
      <c r="D124" s="168" t="s">
        <v>286</v>
      </c>
      <c r="E124" s="199">
        <v>1</v>
      </c>
      <c r="F124" s="148" t="s">
        <v>15</v>
      </c>
      <c r="G124" s="199">
        <v>1</v>
      </c>
      <c r="H124" s="199">
        <v>30</v>
      </c>
      <c r="I124" s="199">
        <v>30</v>
      </c>
      <c r="J124" s="154">
        <f>+(((1423500*9.53+1659)/30)*I124)*E124</f>
        <v>13567614</v>
      </c>
      <c r="K124" s="149">
        <v>0.08</v>
      </c>
      <c r="L124" s="223">
        <f t="shared" si="54"/>
        <v>1085409.1200000001</v>
      </c>
      <c r="M124" s="150">
        <f t="shared" si="55"/>
        <v>14653023.120000001</v>
      </c>
      <c r="N124" s="150">
        <f t="shared" si="56"/>
        <v>1465302.3120000002</v>
      </c>
      <c r="O124" s="150">
        <f t="shared" si="57"/>
        <v>278407.43928000005</v>
      </c>
      <c r="P124" s="150">
        <f t="shared" si="58"/>
        <v>14931430.559280001</v>
      </c>
      <c r="Q124" s="218"/>
      <c r="R124" s="162"/>
      <c r="S124" s="152">
        <f t="shared" si="36"/>
        <v>14931430.559280001</v>
      </c>
      <c r="T124" s="153"/>
      <c r="U124" s="136"/>
      <c r="V124" s="136"/>
      <c r="W124" s="136"/>
    </row>
    <row r="125" spans="1:29" s="137" customFormat="1" x14ac:dyDescent="0.25">
      <c r="A125" s="134"/>
      <c r="B125" s="385"/>
      <c r="C125" s="135" t="s">
        <v>227</v>
      </c>
      <c r="D125" s="168" t="s">
        <v>287</v>
      </c>
      <c r="E125" s="199">
        <v>1</v>
      </c>
      <c r="F125" s="148" t="s">
        <v>16</v>
      </c>
      <c r="G125" s="199">
        <v>1</v>
      </c>
      <c r="H125" s="199">
        <v>30</v>
      </c>
      <c r="I125" s="199">
        <v>30</v>
      </c>
      <c r="J125" s="154">
        <f>+(((((1423500*9.53+1659)*55.97%)/15*12)/30)*I125)*E125</f>
        <v>6075034.8446399998</v>
      </c>
      <c r="K125" s="149">
        <v>0.08</v>
      </c>
      <c r="L125" s="223">
        <f t="shared" si="54"/>
        <v>486002.78757119999</v>
      </c>
      <c r="M125" s="150">
        <f t="shared" si="55"/>
        <v>6561037.6322112</v>
      </c>
      <c r="N125" s="150">
        <f t="shared" si="56"/>
        <v>656103.76322112</v>
      </c>
      <c r="O125" s="150">
        <f t="shared" si="57"/>
        <v>124659.71501201281</v>
      </c>
      <c r="P125" s="150">
        <f t="shared" si="58"/>
        <v>6685697.3472232129</v>
      </c>
      <c r="Q125" s="218"/>
      <c r="R125" s="162"/>
      <c r="S125" s="152">
        <f t="shared" si="36"/>
        <v>6685697.3472232129</v>
      </c>
      <c r="T125" s="153"/>
      <c r="U125" s="136"/>
      <c r="V125" s="136"/>
      <c r="W125" s="136"/>
    </row>
    <row r="126" spans="1:29" s="137" customFormat="1" x14ac:dyDescent="0.25">
      <c r="A126" s="134"/>
      <c r="B126" s="385"/>
      <c r="C126" s="135" t="s">
        <v>227</v>
      </c>
      <c r="D126" s="168" t="s">
        <v>288</v>
      </c>
      <c r="E126" s="199">
        <v>1</v>
      </c>
      <c r="F126" s="148" t="s">
        <v>16</v>
      </c>
      <c r="G126" s="199">
        <v>1</v>
      </c>
      <c r="H126" s="199">
        <v>30</v>
      </c>
      <c r="I126" s="199">
        <v>30</v>
      </c>
      <c r="J126" s="154">
        <f>+(((((1423500*9.53+1659)*55.97%)/15*12)/30)*I126)*E126</f>
        <v>6075034.8446399998</v>
      </c>
      <c r="K126" s="149">
        <v>0.08</v>
      </c>
      <c r="L126" s="223">
        <f t="shared" si="54"/>
        <v>486002.78757119999</v>
      </c>
      <c r="M126" s="150">
        <f t="shared" si="55"/>
        <v>6561037.6322112</v>
      </c>
      <c r="N126" s="150">
        <f t="shared" si="56"/>
        <v>656103.76322112</v>
      </c>
      <c r="O126" s="150">
        <f t="shared" si="57"/>
        <v>124659.71501201281</v>
      </c>
      <c r="P126" s="150">
        <f t="shared" si="58"/>
        <v>6685697.3472232129</v>
      </c>
      <c r="Q126" s="218"/>
      <c r="R126" s="162"/>
      <c r="S126" s="152">
        <f t="shared" si="36"/>
        <v>6685697.3472232129</v>
      </c>
      <c r="T126" s="153"/>
      <c r="U126" s="136"/>
      <c r="V126" s="136"/>
      <c r="W126" s="136"/>
    </row>
    <row r="127" spans="1:29" s="137" customFormat="1" x14ac:dyDescent="0.25">
      <c r="A127" s="134"/>
      <c r="B127" s="385"/>
      <c r="C127" s="135" t="s">
        <v>227</v>
      </c>
      <c r="D127" s="168" t="s">
        <v>289</v>
      </c>
      <c r="E127" s="199">
        <v>1</v>
      </c>
      <c r="F127" s="148" t="s">
        <v>16</v>
      </c>
      <c r="G127" s="199">
        <v>1</v>
      </c>
      <c r="H127" s="199">
        <v>30</v>
      </c>
      <c r="I127" s="199">
        <v>30</v>
      </c>
      <c r="J127" s="154">
        <f>+(((((1423500*9.53+1659)*55.97%)/15*12)/30)*I127)*E127</f>
        <v>6075034.8446399998</v>
      </c>
      <c r="K127" s="149">
        <v>0.08</v>
      </c>
      <c r="L127" s="223">
        <f t="shared" si="54"/>
        <v>486002.78757119999</v>
      </c>
      <c r="M127" s="150">
        <f t="shared" si="55"/>
        <v>6561037.6322112</v>
      </c>
      <c r="N127" s="150">
        <f t="shared" si="56"/>
        <v>656103.76322112</v>
      </c>
      <c r="O127" s="150">
        <f t="shared" si="57"/>
        <v>124659.71501201281</v>
      </c>
      <c r="P127" s="150">
        <f t="shared" si="58"/>
        <v>6685697.3472232129</v>
      </c>
      <c r="Q127" s="218">
        <v>5</v>
      </c>
      <c r="R127" s="162">
        <f>P127/30*Q127</f>
        <v>1114282.8912038687</v>
      </c>
      <c r="S127" s="152">
        <f t="shared" si="36"/>
        <v>5571414.4560193438</v>
      </c>
      <c r="T127" s="153"/>
      <c r="U127" s="136"/>
      <c r="V127" s="136"/>
      <c r="W127" s="136"/>
    </row>
    <row r="128" spans="1:29" s="137" customFormat="1" ht="14.25" customHeight="1" x14ac:dyDescent="0.25">
      <c r="A128" s="134"/>
      <c r="B128" s="385"/>
      <c r="C128" s="135" t="s">
        <v>227</v>
      </c>
      <c r="D128" s="164" t="s">
        <v>46</v>
      </c>
      <c r="E128" s="199">
        <v>1</v>
      </c>
      <c r="F128" s="148" t="s">
        <v>19</v>
      </c>
      <c r="G128" s="199">
        <v>1</v>
      </c>
      <c r="H128" s="199">
        <v>30</v>
      </c>
      <c r="I128" s="199">
        <v>24</v>
      </c>
      <c r="J128" s="154">
        <f>+(((((1423500*9.53+1659)*55.97%)/15*14)/30)*I128)*E128</f>
        <v>5670032.5216639992</v>
      </c>
      <c r="K128" s="149">
        <v>0.08</v>
      </c>
      <c r="L128" s="223">
        <f t="shared" si="54"/>
        <v>453602.60173311993</v>
      </c>
      <c r="M128" s="150">
        <f t="shared" si="55"/>
        <v>6123635.1233971193</v>
      </c>
      <c r="N128" s="150">
        <f t="shared" si="56"/>
        <v>612363.512339712</v>
      </c>
      <c r="O128" s="150">
        <f t="shared" si="57"/>
        <v>116349.06734454528</v>
      </c>
      <c r="P128" s="150">
        <f t="shared" si="58"/>
        <v>6239984.1907416647</v>
      </c>
      <c r="Q128" s="218"/>
      <c r="R128" s="162"/>
      <c r="S128" s="152">
        <f t="shared" si="36"/>
        <v>6239984.1907416647</v>
      </c>
      <c r="T128" s="153"/>
      <c r="U128" s="136"/>
      <c r="V128" s="136"/>
      <c r="W128" s="136"/>
    </row>
    <row r="129" spans="1:23" s="137" customFormat="1" ht="14.25" customHeight="1" x14ac:dyDescent="0.25">
      <c r="A129" s="134"/>
      <c r="B129" s="385"/>
      <c r="C129" s="135" t="s">
        <v>227</v>
      </c>
      <c r="D129" s="164" t="s">
        <v>200</v>
      </c>
      <c r="E129" s="201">
        <v>1</v>
      </c>
      <c r="F129" s="146" t="s">
        <v>198</v>
      </c>
      <c r="G129" s="207">
        <v>1</v>
      </c>
      <c r="H129" s="201">
        <v>30</v>
      </c>
      <c r="I129" s="201">
        <v>20</v>
      </c>
      <c r="J129" s="154">
        <f>+(((((1423500*9.53+1659)*55.97%)/15*14)/30)*I129)*E129</f>
        <v>4725027.1013866663</v>
      </c>
      <c r="K129" s="149">
        <v>0.08</v>
      </c>
      <c r="L129" s="223">
        <f t="shared" si="54"/>
        <v>378002.16811093333</v>
      </c>
      <c r="M129" s="150">
        <f t="shared" si="55"/>
        <v>5103029.2694975995</v>
      </c>
      <c r="N129" s="150">
        <f t="shared" si="56"/>
        <v>510302.92694975995</v>
      </c>
      <c r="O129" s="150">
        <f t="shared" si="57"/>
        <v>96957.556120454392</v>
      </c>
      <c r="P129" s="150">
        <f>M129+O129</f>
        <v>5199986.8256180538</v>
      </c>
      <c r="Q129" s="218"/>
      <c r="R129" s="162"/>
      <c r="S129" s="152">
        <f t="shared" si="36"/>
        <v>5199986.8256180538</v>
      </c>
      <c r="T129" s="153"/>
      <c r="U129" s="136"/>
      <c r="V129" s="136"/>
      <c r="W129" s="136"/>
    </row>
    <row r="130" spans="1:23" x14ac:dyDescent="0.25">
      <c r="B130" s="129"/>
      <c r="C130" s="130"/>
      <c r="D130" s="157"/>
      <c r="E130" s="200">
        <f>+SUM(E111:E129)</f>
        <v>19</v>
      </c>
      <c r="F130" s="157"/>
      <c r="G130" s="206">
        <f>SUM(G111:G129)</f>
        <v>19</v>
      </c>
      <c r="H130" s="206"/>
      <c r="I130" s="200"/>
      <c r="J130" s="158">
        <f>SUM(J111:J129)</f>
        <v>156331149.93086398</v>
      </c>
      <c r="K130" s="157"/>
      <c r="L130" s="224">
        <f>SUM(L111:L129)</f>
        <v>12506491.994469119</v>
      </c>
      <c r="M130" s="158">
        <f>SUM(M111:M129)</f>
        <v>168837641.92533317</v>
      </c>
      <c r="N130" s="158">
        <f>SUM(N111:N129)</f>
        <v>16883764.192533314</v>
      </c>
      <c r="O130" s="158">
        <f>SUM(O111:O129)</f>
        <v>3207915.1965813302</v>
      </c>
      <c r="P130" s="158">
        <f>SUM(P111:P129)</f>
        <v>172045557.12191451</v>
      </c>
      <c r="Q130" s="206">
        <f t="shared" ref="Q130:S130" si="59">SUM(Q111:Q129)</f>
        <v>8</v>
      </c>
      <c r="R130" s="224">
        <f t="shared" si="59"/>
        <v>1842283.6871298209</v>
      </c>
      <c r="S130" s="158">
        <f t="shared" si="59"/>
        <v>170203273.43478465</v>
      </c>
    </row>
    <row r="131" spans="1:23" s="137" customFormat="1" ht="15" customHeight="1" x14ac:dyDescent="0.25">
      <c r="A131" s="134"/>
      <c r="B131" s="386" t="s">
        <v>83</v>
      </c>
      <c r="C131" s="135" t="s">
        <v>227</v>
      </c>
      <c r="D131" s="168" t="s">
        <v>256</v>
      </c>
      <c r="E131" s="199">
        <v>1</v>
      </c>
      <c r="F131" s="148" t="s">
        <v>15</v>
      </c>
      <c r="G131" s="199">
        <v>1</v>
      </c>
      <c r="H131" s="199">
        <v>30</v>
      </c>
      <c r="I131" s="199">
        <v>30</v>
      </c>
      <c r="J131" s="154">
        <f>+(((1423500*9.53+1659)/30)*I131)*E131</f>
        <v>13567614</v>
      </c>
      <c r="K131" s="149">
        <v>0.08</v>
      </c>
      <c r="L131" s="223">
        <f t="shared" ref="L131:L146" si="60">J131*K131</f>
        <v>1085409.1200000001</v>
      </c>
      <c r="M131" s="150">
        <f t="shared" ref="M131:M146" si="61">J131+L131</f>
        <v>14653023.120000001</v>
      </c>
      <c r="N131" s="150">
        <f t="shared" ref="N131:N140" si="62">M131*10%</f>
        <v>1465302.3120000002</v>
      </c>
      <c r="O131" s="150">
        <f t="shared" ref="O131:O140" si="63">+N131*19%</f>
        <v>278407.43928000005</v>
      </c>
      <c r="P131" s="150">
        <f t="shared" ref="P131:P140" si="64">M131+O131</f>
        <v>14931430.559280001</v>
      </c>
      <c r="Q131" s="218"/>
      <c r="R131" s="162"/>
      <c r="S131" s="152">
        <f t="shared" si="36"/>
        <v>14931430.559280001</v>
      </c>
      <c r="T131" s="153"/>
      <c r="U131" s="136"/>
      <c r="V131" s="136"/>
      <c r="W131" s="136"/>
    </row>
    <row r="132" spans="1:23" s="137" customFormat="1" x14ac:dyDescent="0.25">
      <c r="A132" s="134"/>
      <c r="B132" s="386"/>
      <c r="C132" s="135" t="s">
        <v>227</v>
      </c>
      <c r="D132" s="168" t="s">
        <v>257</v>
      </c>
      <c r="E132" s="199">
        <v>1</v>
      </c>
      <c r="F132" s="148" t="s">
        <v>15</v>
      </c>
      <c r="G132" s="199">
        <v>1</v>
      </c>
      <c r="H132" s="199">
        <v>30</v>
      </c>
      <c r="I132" s="199">
        <v>30</v>
      </c>
      <c r="J132" s="154">
        <f>+(((1423500*9.53+1659)/30)*I132)*E132</f>
        <v>13567614</v>
      </c>
      <c r="K132" s="149">
        <v>0.08</v>
      </c>
      <c r="L132" s="223">
        <f t="shared" si="60"/>
        <v>1085409.1200000001</v>
      </c>
      <c r="M132" s="150">
        <f t="shared" si="61"/>
        <v>14653023.120000001</v>
      </c>
      <c r="N132" s="150">
        <f t="shared" si="62"/>
        <v>1465302.3120000002</v>
      </c>
      <c r="O132" s="150">
        <f t="shared" si="63"/>
        <v>278407.43928000005</v>
      </c>
      <c r="P132" s="150">
        <f t="shared" si="64"/>
        <v>14931430.559280001</v>
      </c>
      <c r="Q132" s="218"/>
      <c r="R132" s="162"/>
      <c r="S132" s="152">
        <f t="shared" si="36"/>
        <v>14931430.559280001</v>
      </c>
      <c r="T132" s="153"/>
      <c r="U132" s="136"/>
      <c r="V132" s="136"/>
      <c r="W132" s="136"/>
    </row>
    <row r="133" spans="1:23" s="137" customFormat="1" ht="26.25" x14ac:dyDescent="0.25">
      <c r="A133" s="134"/>
      <c r="B133" s="387"/>
      <c r="C133" s="135" t="s">
        <v>227</v>
      </c>
      <c r="D133" s="168" t="s">
        <v>258</v>
      </c>
      <c r="E133" s="199">
        <v>1</v>
      </c>
      <c r="F133" s="148" t="s">
        <v>17</v>
      </c>
      <c r="G133" s="199">
        <v>1</v>
      </c>
      <c r="H133" s="199">
        <v>30</v>
      </c>
      <c r="I133" s="199">
        <v>24</v>
      </c>
      <c r="J133" s="154">
        <f>+(((((1423500*9.53+1659)*55.97%)/15*12)/30)*I133)*E133</f>
        <v>4860027.8757119998</v>
      </c>
      <c r="K133" s="149">
        <v>0.08</v>
      </c>
      <c r="L133" s="223">
        <f t="shared" si="60"/>
        <v>388802.23005696002</v>
      </c>
      <c r="M133" s="150">
        <f t="shared" si="61"/>
        <v>5248830.10576896</v>
      </c>
      <c r="N133" s="150">
        <f t="shared" si="62"/>
        <v>524883.01057689602</v>
      </c>
      <c r="O133" s="150">
        <f t="shared" si="63"/>
        <v>99727.772009610242</v>
      </c>
      <c r="P133" s="150">
        <f t="shared" si="64"/>
        <v>5348557.8777785702</v>
      </c>
      <c r="Q133" s="218"/>
      <c r="R133" s="162"/>
      <c r="S133" s="152">
        <f t="shared" si="36"/>
        <v>5348557.8777785702</v>
      </c>
      <c r="T133" s="153"/>
      <c r="U133" s="136"/>
      <c r="V133" s="136"/>
      <c r="W133" s="136"/>
    </row>
    <row r="134" spans="1:23" s="137" customFormat="1" ht="26.25" customHeight="1" x14ac:dyDescent="0.25">
      <c r="A134" s="134"/>
      <c r="B134" s="387"/>
      <c r="C134" s="135" t="s">
        <v>227</v>
      </c>
      <c r="D134" s="168" t="s">
        <v>259</v>
      </c>
      <c r="E134" s="199">
        <v>1</v>
      </c>
      <c r="F134" s="148" t="s">
        <v>17</v>
      </c>
      <c r="G134" s="199">
        <v>1</v>
      </c>
      <c r="H134" s="199">
        <v>30</v>
      </c>
      <c r="I134" s="199">
        <v>24</v>
      </c>
      <c r="J134" s="154">
        <f>+(((((1423500*9.53+1659)*55.97%)/15*12)/30)*I134)*E134</f>
        <v>4860027.8757119998</v>
      </c>
      <c r="K134" s="149">
        <v>0.08</v>
      </c>
      <c r="L134" s="223">
        <f t="shared" si="60"/>
        <v>388802.23005696002</v>
      </c>
      <c r="M134" s="150">
        <f t="shared" si="61"/>
        <v>5248830.10576896</v>
      </c>
      <c r="N134" s="150">
        <f t="shared" si="62"/>
        <v>524883.01057689602</v>
      </c>
      <c r="O134" s="150">
        <f t="shared" si="63"/>
        <v>99727.772009610242</v>
      </c>
      <c r="P134" s="150">
        <f t="shared" si="64"/>
        <v>5348557.8777785702</v>
      </c>
      <c r="Q134" s="218"/>
      <c r="R134" s="162"/>
      <c r="S134" s="152">
        <f t="shared" si="36"/>
        <v>5348557.8777785702</v>
      </c>
      <c r="T134" s="153"/>
      <c r="U134" s="136"/>
      <c r="V134" s="136"/>
      <c r="W134" s="136"/>
    </row>
    <row r="135" spans="1:23" s="134" customFormat="1" ht="26.25" x14ac:dyDescent="0.25">
      <c r="B135" s="387"/>
      <c r="C135" s="131" t="s">
        <v>227</v>
      </c>
      <c r="D135" s="170" t="s">
        <v>260</v>
      </c>
      <c r="E135" s="132">
        <v>1</v>
      </c>
      <c r="F135" s="165" t="s">
        <v>57</v>
      </c>
      <c r="G135" s="132">
        <v>1</v>
      </c>
      <c r="H135" s="132">
        <v>30</v>
      </c>
      <c r="I135" s="201">
        <v>20</v>
      </c>
      <c r="J135" s="154">
        <f>+(((((1423500*9.53+1659)*55.97%)/15*12)/30)*I135)*E135</f>
        <v>4050023.2297599996</v>
      </c>
      <c r="K135" s="149">
        <v>0.08</v>
      </c>
      <c r="L135" s="223">
        <f t="shared" si="60"/>
        <v>324001.8583808</v>
      </c>
      <c r="M135" s="150">
        <f t="shared" si="61"/>
        <v>4374025.0881407997</v>
      </c>
      <c r="N135" s="150">
        <f t="shared" si="62"/>
        <v>437402.50881407998</v>
      </c>
      <c r="O135" s="150">
        <f t="shared" si="63"/>
        <v>83106.476674675199</v>
      </c>
      <c r="P135" s="150">
        <f>M135+O135</f>
        <v>4457131.5648154747</v>
      </c>
      <c r="Q135" s="219"/>
      <c r="R135" s="229"/>
      <c r="S135" s="166">
        <f t="shared" si="36"/>
        <v>4457131.5648154747</v>
      </c>
      <c r="T135" s="167"/>
      <c r="U135" s="133"/>
      <c r="V135" s="133"/>
      <c r="W135" s="133"/>
    </row>
    <row r="136" spans="1:23" s="137" customFormat="1" x14ac:dyDescent="0.25">
      <c r="A136" s="134"/>
      <c r="B136" s="386"/>
      <c r="C136" s="135" t="s">
        <v>227</v>
      </c>
      <c r="D136" s="164" t="s">
        <v>261</v>
      </c>
      <c r="E136" s="199">
        <v>1</v>
      </c>
      <c r="F136" s="148" t="s">
        <v>15</v>
      </c>
      <c r="G136" s="199">
        <v>1</v>
      </c>
      <c r="H136" s="199">
        <v>30</v>
      </c>
      <c r="I136" s="199">
        <v>30</v>
      </c>
      <c r="J136" s="154">
        <f t="shared" ref="J136:J143" si="65">+(((1423500*9.53+1659)/30)*I136)*E136</f>
        <v>13567614</v>
      </c>
      <c r="K136" s="149">
        <v>0.08</v>
      </c>
      <c r="L136" s="223">
        <f t="shared" si="60"/>
        <v>1085409.1200000001</v>
      </c>
      <c r="M136" s="150">
        <f t="shared" si="61"/>
        <v>14653023.120000001</v>
      </c>
      <c r="N136" s="150">
        <f t="shared" si="62"/>
        <v>1465302.3120000002</v>
      </c>
      <c r="O136" s="150">
        <f t="shared" si="63"/>
        <v>278407.43928000005</v>
      </c>
      <c r="P136" s="150">
        <f t="shared" si="64"/>
        <v>14931430.559280001</v>
      </c>
      <c r="Q136" s="218"/>
      <c r="R136" s="162"/>
      <c r="S136" s="152">
        <f t="shared" ref="S136:S141" si="66">P136-R136</f>
        <v>14931430.559280001</v>
      </c>
      <c r="T136" s="153"/>
      <c r="U136" s="136"/>
      <c r="V136" s="136"/>
      <c r="W136" s="136"/>
    </row>
    <row r="137" spans="1:23" s="137" customFormat="1" x14ac:dyDescent="0.25">
      <c r="A137" s="134"/>
      <c r="B137" s="386"/>
      <c r="C137" s="135" t="s">
        <v>227</v>
      </c>
      <c r="D137" s="168" t="s">
        <v>262</v>
      </c>
      <c r="E137" s="199">
        <v>1</v>
      </c>
      <c r="F137" s="148" t="s">
        <v>15</v>
      </c>
      <c r="G137" s="199">
        <v>1</v>
      </c>
      <c r="H137" s="199">
        <v>30</v>
      </c>
      <c r="I137" s="199">
        <v>30</v>
      </c>
      <c r="J137" s="154">
        <f t="shared" si="65"/>
        <v>13567614</v>
      </c>
      <c r="K137" s="149">
        <v>0.08</v>
      </c>
      <c r="L137" s="223">
        <f t="shared" si="60"/>
        <v>1085409.1200000001</v>
      </c>
      <c r="M137" s="150">
        <f t="shared" si="61"/>
        <v>14653023.120000001</v>
      </c>
      <c r="N137" s="150">
        <f t="shared" si="62"/>
        <v>1465302.3120000002</v>
      </c>
      <c r="O137" s="150">
        <f t="shared" si="63"/>
        <v>278407.43928000005</v>
      </c>
      <c r="P137" s="150">
        <f t="shared" si="64"/>
        <v>14931430.559280001</v>
      </c>
      <c r="Q137" s="218"/>
      <c r="R137" s="162"/>
      <c r="S137" s="152">
        <f t="shared" si="66"/>
        <v>14931430.559280001</v>
      </c>
      <c r="T137" s="153"/>
      <c r="U137" s="136"/>
      <c r="V137" s="136"/>
      <c r="W137" s="136"/>
    </row>
    <row r="138" spans="1:23" s="137" customFormat="1" x14ac:dyDescent="0.25">
      <c r="A138" s="134"/>
      <c r="B138" s="386"/>
      <c r="C138" s="135" t="s">
        <v>227</v>
      </c>
      <c r="D138" s="164" t="s">
        <v>263</v>
      </c>
      <c r="E138" s="199">
        <v>1</v>
      </c>
      <c r="F138" s="148" t="s">
        <v>15</v>
      </c>
      <c r="G138" s="199">
        <v>1</v>
      </c>
      <c r="H138" s="199">
        <v>30</v>
      </c>
      <c r="I138" s="199">
        <v>30</v>
      </c>
      <c r="J138" s="154">
        <f t="shared" si="65"/>
        <v>13567614</v>
      </c>
      <c r="K138" s="149">
        <v>0.08</v>
      </c>
      <c r="L138" s="223">
        <f t="shared" si="60"/>
        <v>1085409.1200000001</v>
      </c>
      <c r="M138" s="150">
        <f t="shared" si="61"/>
        <v>14653023.120000001</v>
      </c>
      <c r="N138" s="150">
        <f t="shared" si="62"/>
        <v>1465302.3120000002</v>
      </c>
      <c r="O138" s="150">
        <f t="shared" si="63"/>
        <v>278407.43928000005</v>
      </c>
      <c r="P138" s="150">
        <f t="shared" si="64"/>
        <v>14931430.559280001</v>
      </c>
      <c r="Q138" s="218"/>
      <c r="R138" s="162"/>
      <c r="S138" s="152">
        <f t="shared" si="66"/>
        <v>14931430.559280001</v>
      </c>
      <c r="T138" s="153"/>
      <c r="U138" s="136"/>
      <c r="V138" s="136"/>
      <c r="W138" s="136"/>
    </row>
    <row r="139" spans="1:23" s="137" customFormat="1" x14ac:dyDescent="0.25">
      <c r="A139" s="134"/>
      <c r="B139" s="386"/>
      <c r="C139" s="135" t="s">
        <v>227</v>
      </c>
      <c r="D139" s="168" t="s">
        <v>264</v>
      </c>
      <c r="E139" s="199">
        <v>1</v>
      </c>
      <c r="F139" s="148" t="s">
        <v>15</v>
      </c>
      <c r="G139" s="199">
        <v>1</v>
      </c>
      <c r="H139" s="199">
        <v>30</v>
      </c>
      <c r="I139" s="199">
        <v>30</v>
      </c>
      <c r="J139" s="154">
        <f t="shared" si="65"/>
        <v>13567614</v>
      </c>
      <c r="K139" s="149">
        <v>0.08</v>
      </c>
      <c r="L139" s="223">
        <f t="shared" si="60"/>
        <v>1085409.1200000001</v>
      </c>
      <c r="M139" s="150">
        <f t="shared" si="61"/>
        <v>14653023.120000001</v>
      </c>
      <c r="N139" s="150">
        <f t="shared" si="62"/>
        <v>1465302.3120000002</v>
      </c>
      <c r="O139" s="150">
        <f t="shared" si="63"/>
        <v>278407.43928000005</v>
      </c>
      <c r="P139" s="150">
        <f t="shared" si="64"/>
        <v>14931430.559280001</v>
      </c>
      <c r="Q139" s="218"/>
      <c r="R139" s="162"/>
      <c r="S139" s="152">
        <f t="shared" si="66"/>
        <v>14931430.559280001</v>
      </c>
      <c r="T139" s="153"/>
      <c r="U139" s="136"/>
      <c r="V139" s="136"/>
      <c r="W139" s="136"/>
    </row>
    <row r="140" spans="1:23" s="137" customFormat="1" x14ac:dyDescent="0.25">
      <c r="A140" s="134"/>
      <c r="B140" s="386"/>
      <c r="C140" s="135" t="s">
        <v>227</v>
      </c>
      <c r="D140" s="164" t="s">
        <v>73</v>
      </c>
      <c r="E140" s="199">
        <v>1</v>
      </c>
      <c r="F140" s="148" t="s">
        <v>15</v>
      </c>
      <c r="G140" s="199">
        <v>1</v>
      </c>
      <c r="H140" s="199">
        <v>30</v>
      </c>
      <c r="I140" s="199">
        <v>30</v>
      </c>
      <c r="J140" s="154">
        <f t="shared" si="65"/>
        <v>13567614</v>
      </c>
      <c r="K140" s="149">
        <v>0.08</v>
      </c>
      <c r="L140" s="223">
        <f t="shared" si="60"/>
        <v>1085409.1200000001</v>
      </c>
      <c r="M140" s="150">
        <f t="shared" si="61"/>
        <v>14653023.120000001</v>
      </c>
      <c r="N140" s="150">
        <f t="shared" si="62"/>
        <v>1465302.3120000002</v>
      </c>
      <c r="O140" s="150">
        <f t="shared" si="63"/>
        <v>278407.43928000005</v>
      </c>
      <c r="P140" s="150">
        <f t="shared" si="64"/>
        <v>14931430.559280001</v>
      </c>
      <c r="Q140" s="218"/>
      <c r="R140" s="162"/>
      <c r="S140" s="152">
        <f t="shared" si="66"/>
        <v>14931430.559280001</v>
      </c>
      <c r="T140" s="153"/>
      <c r="U140" s="136"/>
      <c r="V140" s="136"/>
      <c r="W140" s="136"/>
    </row>
    <row r="141" spans="1:23" s="137" customFormat="1" ht="26.25" x14ac:dyDescent="0.25">
      <c r="A141" s="134"/>
      <c r="B141" s="386"/>
      <c r="C141" s="135" t="s">
        <v>227</v>
      </c>
      <c r="D141" s="148" t="s">
        <v>25</v>
      </c>
      <c r="E141" s="199">
        <v>1</v>
      </c>
      <c r="F141" s="148" t="s">
        <v>26</v>
      </c>
      <c r="G141" s="199">
        <v>1</v>
      </c>
      <c r="H141" s="199">
        <v>30</v>
      </c>
      <c r="I141" s="199">
        <v>30</v>
      </c>
      <c r="J141" s="154">
        <f t="shared" si="65"/>
        <v>13567614</v>
      </c>
      <c r="K141" s="149">
        <v>0.1</v>
      </c>
      <c r="L141" s="223">
        <f t="shared" si="60"/>
        <v>1356761.4000000001</v>
      </c>
      <c r="M141" s="150">
        <f t="shared" si="61"/>
        <v>14924375.4</v>
      </c>
      <c r="N141" s="150">
        <f>M141*10%</f>
        <v>1492437.54</v>
      </c>
      <c r="O141" s="150">
        <f>+N141*19%</f>
        <v>283563.13260000001</v>
      </c>
      <c r="P141" s="150">
        <f>M141+O141</f>
        <v>15207938.532600001</v>
      </c>
      <c r="Q141" s="218"/>
      <c r="R141" s="162"/>
      <c r="S141" s="152">
        <f t="shared" si="66"/>
        <v>15207938.532600001</v>
      </c>
      <c r="T141" s="153"/>
      <c r="U141" s="136"/>
      <c r="V141" s="136"/>
      <c r="W141" s="136"/>
    </row>
    <row r="142" spans="1:23" s="140" customFormat="1" x14ac:dyDescent="0.25">
      <c r="B142" s="386"/>
      <c r="C142" s="141" t="s">
        <v>227</v>
      </c>
      <c r="D142" s="171" t="s">
        <v>320</v>
      </c>
      <c r="E142" s="202">
        <v>1</v>
      </c>
      <c r="F142" s="171" t="s">
        <v>15</v>
      </c>
      <c r="G142" s="202">
        <v>1</v>
      </c>
      <c r="H142" s="202">
        <v>30</v>
      </c>
      <c r="I142" s="202">
        <v>30</v>
      </c>
      <c r="J142" s="154">
        <f t="shared" si="65"/>
        <v>13567614</v>
      </c>
      <c r="K142" s="149">
        <v>0.08</v>
      </c>
      <c r="L142" s="223">
        <f t="shared" ref="L142" si="67">J142*K142</f>
        <v>1085409.1200000001</v>
      </c>
      <c r="M142" s="150">
        <f t="shared" ref="M142" si="68">J142+L142</f>
        <v>14653023.120000001</v>
      </c>
      <c r="N142" s="150">
        <f t="shared" ref="N142" si="69">M142*10%</f>
        <v>1465302.3120000002</v>
      </c>
      <c r="O142" s="150">
        <f t="shared" ref="O142" si="70">+N142*19%</f>
        <v>278407.43928000005</v>
      </c>
      <c r="P142" s="150">
        <f t="shared" ref="P142" si="71">M142+O142</f>
        <v>14931430.559280001</v>
      </c>
      <c r="Q142" s="218"/>
      <c r="R142" s="162"/>
      <c r="S142" s="152">
        <f t="shared" ref="S142:S146" si="72">P142-R142</f>
        <v>14931430.559280001</v>
      </c>
      <c r="T142" s="172"/>
      <c r="U142" s="142"/>
      <c r="V142" s="142"/>
      <c r="W142" s="142"/>
    </row>
    <row r="143" spans="1:23" s="140" customFormat="1" x14ac:dyDescent="0.25">
      <c r="B143" s="386"/>
      <c r="C143" s="141" t="s">
        <v>227</v>
      </c>
      <c r="D143" s="171" t="s">
        <v>320</v>
      </c>
      <c r="E143" s="202">
        <v>1</v>
      </c>
      <c r="F143" s="171" t="s">
        <v>15</v>
      </c>
      <c r="G143" s="202">
        <v>1</v>
      </c>
      <c r="H143" s="202">
        <v>30</v>
      </c>
      <c r="I143" s="202">
        <v>30</v>
      </c>
      <c r="J143" s="154">
        <f t="shared" si="65"/>
        <v>13567614</v>
      </c>
      <c r="K143" s="149">
        <v>0.08</v>
      </c>
      <c r="L143" s="223">
        <f t="shared" ref="L143:L144" si="73">J143*K143</f>
        <v>1085409.1200000001</v>
      </c>
      <c r="M143" s="150">
        <f t="shared" ref="M143:M144" si="74">J143+L143</f>
        <v>14653023.120000001</v>
      </c>
      <c r="N143" s="150">
        <f t="shared" ref="N143:N144" si="75">M143*10%</f>
        <v>1465302.3120000002</v>
      </c>
      <c r="O143" s="150">
        <f t="shared" ref="O143:O144" si="76">+N143*19%</f>
        <v>278407.43928000005</v>
      </c>
      <c r="P143" s="150">
        <f t="shared" ref="P143" si="77">M143+O143</f>
        <v>14931430.559280001</v>
      </c>
      <c r="Q143" s="218"/>
      <c r="R143" s="162"/>
      <c r="S143" s="152">
        <f t="shared" si="72"/>
        <v>14931430.559280001</v>
      </c>
      <c r="T143" s="172"/>
      <c r="U143" s="142"/>
      <c r="V143" s="142"/>
      <c r="W143" s="142"/>
    </row>
    <row r="144" spans="1:23" s="140" customFormat="1" x14ac:dyDescent="0.25">
      <c r="B144" s="386"/>
      <c r="C144" s="141" t="s">
        <v>227</v>
      </c>
      <c r="D144" s="171" t="s">
        <v>320</v>
      </c>
      <c r="E144" s="202">
        <v>1</v>
      </c>
      <c r="F144" s="171" t="s">
        <v>16</v>
      </c>
      <c r="G144" s="202">
        <v>1</v>
      </c>
      <c r="H144" s="202">
        <v>30</v>
      </c>
      <c r="I144" s="202">
        <v>3</v>
      </c>
      <c r="J144" s="367">
        <f>+(((((1423500*9.53+1659)*55.97%)/15*12)/30)*I144)*E144</f>
        <v>607503.48446399998</v>
      </c>
      <c r="K144" s="368">
        <v>0.08</v>
      </c>
      <c r="L144" s="369">
        <f t="shared" si="73"/>
        <v>48600.278757120002</v>
      </c>
      <c r="M144" s="370">
        <f t="shared" si="74"/>
        <v>656103.76322112</v>
      </c>
      <c r="N144" s="370">
        <f t="shared" si="75"/>
        <v>65610.376322112003</v>
      </c>
      <c r="O144" s="370">
        <f t="shared" si="76"/>
        <v>12465.97150120128</v>
      </c>
      <c r="P144" s="370">
        <f>M144+O144</f>
        <v>668569.73472232127</v>
      </c>
      <c r="Q144" s="218"/>
      <c r="R144" s="162"/>
      <c r="S144" s="152">
        <f t="shared" si="72"/>
        <v>668569.73472232127</v>
      </c>
      <c r="T144" s="172"/>
      <c r="U144" s="142"/>
      <c r="V144" s="142"/>
      <c r="W144" s="142"/>
    </row>
    <row r="145" spans="1:23" s="140" customFormat="1" x14ac:dyDescent="0.25">
      <c r="B145" s="386"/>
      <c r="C145" s="141" t="s">
        <v>227</v>
      </c>
      <c r="D145" s="171" t="s">
        <v>320</v>
      </c>
      <c r="E145" s="202">
        <v>1</v>
      </c>
      <c r="F145" s="171" t="s">
        <v>16</v>
      </c>
      <c r="G145" s="202">
        <v>1</v>
      </c>
      <c r="H145" s="202">
        <v>30</v>
      </c>
      <c r="I145" s="202">
        <v>3</v>
      </c>
      <c r="J145" s="367">
        <f>+(((((1423500*9.53+1659)*55.97%)/15*12)/30)*I145)*E145</f>
        <v>607503.48446399998</v>
      </c>
      <c r="K145" s="368">
        <v>1.08</v>
      </c>
      <c r="L145" s="369">
        <f t="shared" ref="L145" si="78">J145*K145</f>
        <v>656103.76322112</v>
      </c>
      <c r="M145" s="370">
        <f t="shared" ref="M145" si="79">J145+L145</f>
        <v>1263607.24768512</v>
      </c>
      <c r="N145" s="370">
        <f t="shared" ref="N145" si="80">M145*10%</f>
        <v>126360.72476851201</v>
      </c>
      <c r="O145" s="370">
        <f t="shared" ref="O145" si="81">+N145*19%</f>
        <v>24008.537706017283</v>
      </c>
      <c r="P145" s="370">
        <f>M145+O145</f>
        <v>1287615.7853911372</v>
      </c>
      <c r="Q145" s="218"/>
      <c r="R145" s="162"/>
      <c r="S145" s="152">
        <f t="shared" si="72"/>
        <v>1287615.7853911372</v>
      </c>
      <c r="T145" s="172"/>
      <c r="U145" s="142"/>
      <c r="V145" s="142"/>
      <c r="W145" s="142"/>
    </row>
    <row r="146" spans="1:23" s="134" customFormat="1" ht="26.25" x14ac:dyDescent="0.25">
      <c r="B146" s="387"/>
      <c r="C146" s="131" t="s">
        <v>227</v>
      </c>
      <c r="D146" s="165" t="s">
        <v>75</v>
      </c>
      <c r="E146" s="132">
        <v>1</v>
      </c>
      <c r="F146" s="165" t="s">
        <v>57</v>
      </c>
      <c r="G146" s="132">
        <v>1</v>
      </c>
      <c r="H146" s="132">
        <v>30</v>
      </c>
      <c r="I146" s="201">
        <v>20</v>
      </c>
      <c r="J146" s="154">
        <f>+(((((1423500*9.53+1659)*55.97%)/15*12)/30)*I146)*E146</f>
        <v>4050023.2297599996</v>
      </c>
      <c r="K146" s="160">
        <v>0.08</v>
      </c>
      <c r="L146" s="221">
        <f t="shared" si="60"/>
        <v>324001.8583808</v>
      </c>
      <c r="M146" s="161">
        <f t="shared" si="61"/>
        <v>4374025.0881407997</v>
      </c>
      <c r="N146" s="161">
        <f>M146*10%</f>
        <v>437402.50881407998</v>
      </c>
      <c r="O146" s="161">
        <f>+N146*19%</f>
        <v>83106.476674675199</v>
      </c>
      <c r="P146" s="161">
        <f>M146+O146</f>
        <v>4457131.5648154747</v>
      </c>
      <c r="Q146" s="219"/>
      <c r="R146" s="229"/>
      <c r="S146" s="152">
        <f t="shared" si="72"/>
        <v>4457131.5648154747</v>
      </c>
      <c r="T146" s="167"/>
      <c r="U146" s="133"/>
      <c r="V146" s="133"/>
      <c r="W146" s="133"/>
    </row>
    <row r="147" spans="1:23" x14ac:dyDescent="0.25">
      <c r="B147" s="126"/>
      <c r="C147" s="130"/>
      <c r="D147" s="157"/>
      <c r="E147" s="200">
        <f>+E131+E132+E133+E134+E135+E136+E137+E138+E139+E140+E141+E146+E142</f>
        <v>13</v>
      </c>
      <c r="F147" s="157"/>
      <c r="G147" s="206">
        <f>SUM(G131:G146)</f>
        <v>16</v>
      </c>
      <c r="H147" s="206"/>
      <c r="I147" s="200"/>
      <c r="J147" s="158">
        <f>SUM(J131:J146)</f>
        <v>154711249.17987198</v>
      </c>
      <c r="K147" s="157"/>
      <c r="L147" s="224">
        <f t="shared" ref="L147:S147" si="82">SUM(L131:L146)</f>
        <v>13255755.698853763</v>
      </c>
      <c r="M147" s="158">
        <f t="shared" si="82"/>
        <v>167967004.8787258</v>
      </c>
      <c r="N147" s="158">
        <f t="shared" si="82"/>
        <v>16796700.487872578</v>
      </c>
      <c r="O147" s="158">
        <f t="shared" si="82"/>
        <v>3191373.0926957903</v>
      </c>
      <c r="P147" s="158">
        <f t="shared" si="82"/>
        <v>171158377.9714216</v>
      </c>
      <c r="Q147" s="206">
        <f t="shared" si="82"/>
        <v>0</v>
      </c>
      <c r="R147" s="224">
        <f t="shared" si="82"/>
        <v>0</v>
      </c>
      <c r="S147" s="158">
        <f t="shared" si="82"/>
        <v>171158377.9714216</v>
      </c>
      <c r="T147" s="365"/>
    </row>
    <row r="148" spans="1:23" s="134" customFormat="1" ht="51.75" x14ac:dyDescent="0.25">
      <c r="B148" s="138"/>
      <c r="C148" s="131" t="s">
        <v>227</v>
      </c>
      <c r="D148" s="165" t="s">
        <v>323</v>
      </c>
      <c r="E148" s="132">
        <v>1</v>
      </c>
      <c r="F148" s="173" t="s">
        <v>231</v>
      </c>
      <c r="G148" s="132">
        <v>1</v>
      </c>
      <c r="H148" s="132">
        <v>9</v>
      </c>
      <c r="I148" s="132">
        <v>9</v>
      </c>
      <c r="J148" s="159">
        <f>+((((((1423500*9.53+1659)*55.97%)/15*3)/30)*I148))+((((((1423500*9.53+1659)*44.03%)/9*9)/30*I148)))</f>
        <v>2247773.7466080002</v>
      </c>
      <c r="K148" s="160">
        <v>0.08</v>
      </c>
      <c r="L148" s="221">
        <f t="shared" ref="L148" si="83">J148*K148</f>
        <v>179821.89972864001</v>
      </c>
      <c r="M148" s="161">
        <f t="shared" ref="M148" si="84">J148+L148</f>
        <v>2427595.6463366402</v>
      </c>
      <c r="N148" s="161">
        <f>M148*10%</f>
        <v>242759.56463366403</v>
      </c>
      <c r="O148" s="161">
        <f>+N148*19%</f>
        <v>46124.317280396164</v>
      </c>
      <c r="P148" s="161">
        <f>M148+O148</f>
        <v>2473719.9636170366</v>
      </c>
      <c r="Q148" s="219"/>
      <c r="R148" s="229"/>
      <c r="S148" s="166">
        <f>P148-R148</f>
        <v>2473719.9636170366</v>
      </c>
      <c r="T148" s="167"/>
      <c r="U148" s="133"/>
      <c r="V148" s="139"/>
      <c r="W148" s="133"/>
    </row>
    <row r="149" spans="1:23" s="134" customFormat="1" x14ac:dyDescent="0.25">
      <c r="B149" s="138"/>
      <c r="C149" s="131"/>
      <c r="D149" s="165"/>
      <c r="E149" s="132"/>
      <c r="F149" s="165"/>
      <c r="G149" s="132"/>
      <c r="H149" s="132"/>
      <c r="I149" s="132"/>
      <c r="J149" s="163"/>
      <c r="K149" s="160"/>
      <c r="L149" s="221"/>
      <c r="M149" s="161"/>
      <c r="N149" s="161"/>
      <c r="O149" s="161"/>
      <c r="P149" s="161"/>
      <c r="Q149" s="219"/>
      <c r="R149" s="229"/>
      <c r="S149" s="166"/>
      <c r="T149" s="167"/>
      <c r="U149" s="133"/>
      <c r="V149" s="133"/>
      <c r="W149" s="133"/>
    </row>
    <row r="150" spans="1:23" x14ac:dyDescent="0.25">
      <c r="B150" s="126"/>
      <c r="C150" s="123"/>
      <c r="D150" s="174"/>
      <c r="E150" s="203"/>
      <c r="F150" s="174"/>
      <c r="G150" s="206"/>
      <c r="H150" s="208"/>
      <c r="I150" s="209"/>
      <c r="J150" s="158">
        <f>SUM(J148:J149)</f>
        <v>2247773.7466080002</v>
      </c>
      <c r="K150" s="158"/>
      <c r="L150" s="224">
        <f t="shared" ref="L150:S150" si="85">SUM(L148:L149)</f>
        <v>179821.89972864001</v>
      </c>
      <c r="M150" s="175">
        <f t="shared" si="85"/>
        <v>2427595.6463366402</v>
      </c>
      <c r="N150" s="175">
        <f t="shared" si="85"/>
        <v>242759.56463366403</v>
      </c>
      <c r="O150" s="176">
        <f t="shared" si="85"/>
        <v>46124.317280396164</v>
      </c>
      <c r="P150" s="158">
        <f t="shared" si="85"/>
        <v>2473719.9636170366</v>
      </c>
      <c r="Q150" s="206">
        <f t="shared" si="85"/>
        <v>0</v>
      </c>
      <c r="R150" s="224">
        <f t="shared" si="85"/>
        <v>0</v>
      </c>
      <c r="S150" s="158">
        <f t="shared" si="85"/>
        <v>2473719.9636170366</v>
      </c>
    </row>
    <row r="151" spans="1:23" s="137" customFormat="1" x14ac:dyDescent="0.25">
      <c r="A151"/>
      <c r="D151" s="177"/>
      <c r="E151" s="136"/>
      <c r="F151" s="177"/>
      <c r="G151" s="136"/>
      <c r="H151" s="136"/>
      <c r="I151" s="136"/>
      <c r="J151" s="178"/>
      <c r="K151" s="169"/>
      <c r="L151" s="225"/>
      <c r="M151" s="169"/>
      <c r="N151" s="169"/>
      <c r="O151" s="169"/>
      <c r="P151" s="152"/>
      <c r="Q151" s="218"/>
      <c r="R151" s="162"/>
      <c r="S151" s="151"/>
      <c r="T151" s="153"/>
      <c r="U151" s="136"/>
      <c r="V151" s="136"/>
      <c r="W151" s="136"/>
    </row>
    <row r="152" spans="1:23" x14ac:dyDescent="0.25">
      <c r="B152" s="126"/>
      <c r="C152" s="123"/>
      <c r="D152" s="179"/>
      <c r="E152" s="204">
        <f>+E28+E110+E130+E147</f>
        <v>135</v>
      </c>
      <c r="F152" s="179"/>
      <c r="G152" s="210">
        <f>+G150+G147+G130+G110+G28</f>
        <v>137</v>
      </c>
      <c r="H152" s="211"/>
      <c r="I152" s="212"/>
      <c r="J152" s="145">
        <f>+J150+J147+J130+J110+J28</f>
        <v>1406947352.9405282</v>
      </c>
      <c r="K152" s="180"/>
      <c r="L152" s="222">
        <f t="shared" ref="L152:R152" si="86">+L150+L147+L130+L110+L28</f>
        <v>113434643.99970621</v>
      </c>
      <c r="M152" s="180">
        <f t="shared" si="86"/>
        <v>1520381996.9402344</v>
      </c>
      <c r="N152" s="180">
        <f t="shared" si="86"/>
        <v>152038199.69402352</v>
      </c>
      <c r="O152" s="181">
        <f t="shared" si="86"/>
        <v>28887257.941864446</v>
      </c>
      <c r="P152" s="182">
        <f t="shared" si="86"/>
        <v>1549269254.8820994</v>
      </c>
      <c r="Q152" s="220">
        <f t="shared" si="86"/>
        <v>94</v>
      </c>
      <c r="R152" s="230">
        <f t="shared" si="86"/>
        <v>22983994.413982805</v>
      </c>
      <c r="S152" s="182">
        <f>SUM(S28+S110+S130+S147+S150)</f>
        <v>1526285260.4681156</v>
      </c>
    </row>
    <row r="153" spans="1:23" x14ac:dyDescent="0.25">
      <c r="B153" s="127"/>
      <c r="C153" s="127"/>
      <c r="D153" s="183"/>
      <c r="E153" s="205"/>
      <c r="F153" s="183"/>
      <c r="G153" s="213"/>
      <c r="H153" s="213"/>
      <c r="I153" s="205" t="s">
        <v>324</v>
      </c>
      <c r="J153" s="185"/>
      <c r="K153" s="184"/>
      <c r="L153" s="226"/>
      <c r="M153" s="184"/>
      <c r="N153" s="184"/>
      <c r="O153" s="184"/>
      <c r="P153" s="184"/>
      <c r="Q153" s="213"/>
      <c r="R153" s="226"/>
      <c r="S153" s="182">
        <f>P152-R152</f>
        <v>1526285260.4681165</v>
      </c>
    </row>
    <row r="154" spans="1:23" x14ac:dyDescent="0.25">
      <c r="B154" s="127"/>
      <c r="C154" s="127"/>
      <c r="D154" s="183"/>
      <c r="E154" s="205"/>
      <c r="F154" s="183"/>
      <c r="G154" s="213"/>
      <c r="H154" s="213"/>
      <c r="I154" s="205"/>
      <c r="J154" s="185"/>
      <c r="K154" s="184"/>
      <c r="L154" s="226"/>
      <c r="M154" s="184"/>
      <c r="N154" s="184"/>
      <c r="O154" s="184"/>
      <c r="P154" s="186"/>
      <c r="Q154" s="213"/>
      <c r="R154" s="226"/>
      <c r="S154" s="187"/>
    </row>
    <row r="155" spans="1:23" ht="20.25" customHeight="1" x14ac:dyDescent="0.25">
      <c r="U155" s="134"/>
      <c r="V155" s="134"/>
      <c r="W155" s="134"/>
    </row>
    <row r="156" spans="1:23" ht="20.25" customHeight="1" x14ac:dyDescent="0.25">
      <c r="U156" s="134"/>
      <c r="V156" s="134"/>
      <c r="W156" s="134"/>
    </row>
    <row r="157" spans="1:23" ht="20.25" customHeight="1" x14ac:dyDescent="0.25">
      <c r="U157" s="134"/>
      <c r="V157" s="134"/>
      <c r="W157" s="134"/>
    </row>
    <row r="158" spans="1:23" ht="20.25" customHeight="1" x14ac:dyDescent="0.25">
      <c r="U158" s="134"/>
      <c r="V158" s="134"/>
      <c r="W158" s="134"/>
    </row>
    <row r="159" spans="1:23" ht="20.25" customHeight="1" x14ac:dyDescent="0.25"/>
    <row r="160" spans="1:23" ht="20.25" customHeight="1" x14ac:dyDescent="0.25"/>
    <row r="161" spans="5:16" ht="20.25" customHeight="1" x14ac:dyDescent="0.25"/>
    <row r="162" spans="5:16" ht="20.25" customHeight="1" x14ac:dyDescent="0.25"/>
    <row r="163" spans="5:16" ht="15" customHeight="1" x14ac:dyDescent="0.25">
      <c r="G163" s="214"/>
      <c r="H163" s="214"/>
      <c r="P163" s="189"/>
    </row>
    <row r="164" spans="5:16" ht="15" customHeight="1" x14ac:dyDescent="0.25">
      <c r="G164" s="214"/>
      <c r="H164" s="214"/>
      <c r="P164" s="169"/>
    </row>
    <row r="165" spans="5:16" ht="15" customHeight="1" x14ac:dyDescent="0.25">
      <c r="G165" s="214"/>
      <c r="H165" s="214"/>
      <c r="P165" s="169"/>
    </row>
    <row r="166" spans="5:16" ht="15" customHeight="1" x14ac:dyDescent="0.25">
      <c r="E166" s="66"/>
      <c r="F166" s="191"/>
      <c r="G166" s="214"/>
      <c r="H166" s="214"/>
    </row>
    <row r="167" spans="5:16" ht="15" customHeight="1" x14ac:dyDescent="0.25">
      <c r="G167" s="214"/>
      <c r="H167" s="214"/>
      <c r="O167" s="192"/>
    </row>
    <row r="168" spans="5:16" ht="15" customHeight="1" x14ac:dyDescent="0.25">
      <c r="G168" s="214"/>
      <c r="H168" s="214"/>
      <c r="O168" s="190"/>
    </row>
    <row r="169" spans="5:16" ht="15" customHeight="1" x14ac:dyDescent="0.25">
      <c r="G169" s="214"/>
      <c r="H169" s="214"/>
      <c r="O169" s="190"/>
    </row>
    <row r="170" spans="5:16" ht="15" customHeight="1" x14ac:dyDescent="0.25">
      <c r="G170" s="214"/>
      <c r="H170" s="214"/>
    </row>
    <row r="171" spans="5:16" ht="15" customHeight="1" x14ac:dyDescent="0.25">
      <c r="G171" s="214"/>
      <c r="H171" s="214"/>
    </row>
    <row r="172" spans="5:16" ht="15.75" customHeight="1" x14ac:dyDescent="0.25"/>
    <row r="173" spans="5:16" ht="15" customHeight="1" x14ac:dyDescent="0.25"/>
    <row r="174" spans="5:16" ht="15" customHeight="1" x14ac:dyDescent="0.25"/>
    <row r="175" spans="5:16" ht="15" customHeight="1" x14ac:dyDescent="0.25">
      <c r="E175" s="70"/>
      <c r="F175" s="193"/>
    </row>
    <row r="176" spans="5:16" x14ac:dyDescent="0.25">
      <c r="E176" s="66"/>
      <c r="J176" s="194"/>
      <c r="M176" s="195"/>
      <c r="N176" s="195"/>
      <c r="O176" s="195"/>
      <c r="P176" s="195"/>
    </row>
    <row r="177" spans="5:11" x14ac:dyDescent="0.25">
      <c r="E177" s="66"/>
    </row>
    <row r="178" spans="5:11" x14ac:dyDescent="0.25">
      <c r="E178" s="66"/>
    </row>
    <row r="179" spans="5:11" x14ac:dyDescent="0.25">
      <c r="K179" s="196"/>
    </row>
    <row r="180" spans="5:11" x14ac:dyDescent="0.25">
      <c r="J180" s="197"/>
    </row>
  </sheetData>
  <autoFilter ref="B7:P150"/>
  <mergeCells count="19">
    <mergeCell ref="Q3:S3"/>
    <mergeCell ref="Q4:S4"/>
    <mergeCell ref="Q5:S5"/>
    <mergeCell ref="B3:P3"/>
    <mergeCell ref="B4:P4"/>
    <mergeCell ref="B5:P5"/>
    <mergeCell ref="B8:B26"/>
    <mergeCell ref="D14:D15"/>
    <mergeCell ref="D18:D19"/>
    <mergeCell ref="B111:B129"/>
    <mergeCell ref="B131:B146"/>
    <mergeCell ref="B29:B109"/>
    <mergeCell ref="D44:D45"/>
    <mergeCell ref="D46:D47"/>
    <mergeCell ref="D48:D49"/>
    <mergeCell ref="D74:D75"/>
    <mergeCell ref="D79:D80"/>
    <mergeCell ref="D96:D97"/>
    <mergeCell ref="D58:D59"/>
  </mergeCells>
  <pageMargins left="0.19685039370078741" right="0.27559055118110237" top="0.74803149606299213" bottom="0.74803149606299213" header="0.31496062992125984" footer="0.31496062992125984"/>
  <pageSetup paperSize="9" fitToHeight="0" orientation="landscape" r:id="rId1"/>
  <rowBreaks count="1" manualBreakCount="1">
    <brk id="83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414" t="s">
        <v>0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</row>
    <row r="4" spans="2:21" ht="27" customHeight="1" x14ac:dyDescent="0.25">
      <c r="B4" s="414" t="s">
        <v>1</v>
      </c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</row>
    <row r="5" spans="2:21" x14ac:dyDescent="0.25">
      <c r="B5" s="414" t="s">
        <v>169</v>
      </c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415" t="s">
        <v>9</v>
      </c>
      <c r="L7" s="415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416" t="s">
        <v>80</v>
      </c>
      <c r="C8" s="18" t="s">
        <v>14</v>
      </c>
      <c r="D8" s="419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417"/>
      <c r="C9" s="18" t="s">
        <v>14</v>
      </c>
      <c r="D9" s="419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417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417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417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417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417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417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417"/>
      <c r="C16" s="18" t="s">
        <v>14</v>
      </c>
      <c r="D16" s="419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417"/>
      <c r="C17" s="18" t="s">
        <v>14</v>
      </c>
      <c r="D17" s="419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417"/>
      <c r="C18" s="18" t="s">
        <v>14</v>
      </c>
      <c r="D18" s="419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417"/>
      <c r="C19" s="18" t="s">
        <v>14</v>
      </c>
      <c r="D19" s="419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417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417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417"/>
      <c r="C22" s="18" t="s">
        <v>14</v>
      </c>
      <c r="D22" s="419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417"/>
      <c r="C23" s="18" t="s">
        <v>14</v>
      </c>
      <c r="D23" s="419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417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417"/>
      <c r="C25" s="18" t="s">
        <v>14</v>
      </c>
      <c r="D25" s="419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417"/>
      <c r="C26" s="18" t="s">
        <v>14</v>
      </c>
      <c r="D26" s="419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417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417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417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417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417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417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417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417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417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417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417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417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417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417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418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404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405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405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405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405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405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405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405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405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405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405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405"/>
      <c r="C54" s="18" t="s">
        <v>14</v>
      </c>
      <c r="D54" s="411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405"/>
      <c r="C55" s="18" t="s">
        <v>14</v>
      </c>
      <c r="D55" s="412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405"/>
      <c r="C56" s="18" t="s">
        <v>14</v>
      </c>
      <c r="D56" s="411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405"/>
      <c r="C57" s="18" t="s">
        <v>14</v>
      </c>
      <c r="D57" s="412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405"/>
      <c r="C58" s="18" t="s">
        <v>14</v>
      </c>
      <c r="D58" s="411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405"/>
      <c r="C59" s="18" t="s">
        <v>14</v>
      </c>
      <c r="D59" s="412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405"/>
      <c r="C60" s="18" t="s">
        <v>14</v>
      </c>
      <c r="D60" s="411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405"/>
      <c r="C61" s="18" t="s">
        <v>14</v>
      </c>
      <c r="D61" s="412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405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405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405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405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405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405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405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405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405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405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405"/>
      <c r="C72" s="18" t="s">
        <v>14</v>
      </c>
      <c r="D72" s="411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405"/>
      <c r="C73" s="18" t="s">
        <v>14</v>
      </c>
      <c r="D73" s="413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405"/>
      <c r="C74" s="18" t="s">
        <v>14</v>
      </c>
      <c r="D74" s="413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405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405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405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405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405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405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405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405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99"/>
    </row>
    <row r="83" spans="2:17" x14ac:dyDescent="0.25">
      <c r="B83" s="405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99"/>
    </row>
    <row r="84" spans="2:17" x14ac:dyDescent="0.25">
      <c r="B84" s="405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405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405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405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405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405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405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405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405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405"/>
      <c r="C93" s="36" t="s">
        <v>14</v>
      </c>
      <c r="D93" s="400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405"/>
      <c r="C94" s="36" t="s">
        <v>14</v>
      </c>
      <c r="D94" s="401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405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405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405"/>
      <c r="C97" s="36" t="s">
        <v>14</v>
      </c>
      <c r="D97" s="402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405"/>
      <c r="C98" s="37" t="s">
        <v>14</v>
      </c>
      <c r="D98" s="403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405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405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405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405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405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405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405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410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404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405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405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405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405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405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405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405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405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405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405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405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405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405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405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405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405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405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405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405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405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406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407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407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407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407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407"/>
      <c r="C135" s="409" t="s">
        <v>14</v>
      </c>
      <c r="D135" s="400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407"/>
      <c r="C136" s="409"/>
      <c r="D136" s="401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407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407"/>
      <c r="C138" s="68" t="s">
        <v>14</v>
      </c>
      <c r="D138" s="400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407"/>
      <c r="C139" s="68" t="s">
        <v>14</v>
      </c>
      <c r="D139" s="401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407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407"/>
      <c r="C141" s="68" t="s">
        <v>14</v>
      </c>
      <c r="D141" s="400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407"/>
      <c r="C142" s="68" t="s">
        <v>14</v>
      </c>
      <c r="D142" s="401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407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408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98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98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98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98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98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420" t="s">
        <v>196</v>
      </c>
      <c r="F4" s="420"/>
      <c r="G4" s="420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414" t="s">
        <v>0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</row>
    <row r="4" spans="2:23" ht="27" customHeight="1" x14ac:dyDescent="0.25">
      <c r="B4" s="414" t="s">
        <v>1</v>
      </c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</row>
    <row r="5" spans="2:23" x14ac:dyDescent="0.25">
      <c r="B5" s="414" t="s">
        <v>169</v>
      </c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421" t="s">
        <v>188</v>
      </c>
      <c r="K6" s="422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415" t="s">
        <v>9</v>
      </c>
      <c r="N7" s="415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416" t="s">
        <v>80</v>
      </c>
      <c r="C8" s="18" t="s">
        <v>14</v>
      </c>
      <c r="D8" s="419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417"/>
      <c r="C9" s="18" t="s">
        <v>14</v>
      </c>
      <c r="D9" s="419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417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417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417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417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417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417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417"/>
      <c r="C16" s="18" t="s">
        <v>14</v>
      </c>
      <c r="D16" s="419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417"/>
      <c r="C17" s="18" t="s">
        <v>14</v>
      </c>
      <c r="D17" s="419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417"/>
      <c r="C18" s="18" t="s">
        <v>14</v>
      </c>
      <c r="D18" s="419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417"/>
      <c r="C19" s="18" t="s">
        <v>14</v>
      </c>
      <c r="D19" s="419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417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417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417"/>
      <c r="C22" s="18" t="s">
        <v>14</v>
      </c>
      <c r="D22" s="419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417"/>
      <c r="C23" s="18" t="s">
        <v>14</v>
      </c>
      <c r="D23" s="419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417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417"/>
      <c r="C25" s="18" t="s">
        <v>14</v>
      </c>
      <c r="D25" s="419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417"/>
      <c r="C26" s="18" t="s">
        <v>14</v>
      </c>
      <c r="D26" s="419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417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417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417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417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417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417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417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417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417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417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417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417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417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417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418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404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405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405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405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405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405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405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405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405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405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405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405"/>
      <c r="C54" s="18" t="s">
        <v>14</v>
      </c>
      <c r="D54" s="411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405"/>
      <c r="C55" s="18" t="s">
        <v>14</v>
      </c>
      <c r="D55" s="412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405"/>
      <c r="C56" s="18" t="s">
        <v>14</v>
      </c>
      <c r="D56" s="411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405"/>
      <c r="C57" s="18" t="s">
        <v>14</v>
      </c>
      <c r="D57" s="412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405"/>
      <c r="C58" s="18" t="s">
        <v>14</v>
      </c>
      <c r="D58" s="411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405"/>
      <c r="C59" s="18" t="s">
        <v>14</v>
      </c>
      <c r="D59" s="412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405"/>
      <c r="C60" s="18" t="s">
        <v>14</v>
      </c>
      <c r="D60" s="411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405"/>
      <c r="C61" s="18" t="s">
        <v>14</v>
      </c>
      <c r="D61" s="412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405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405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405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405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405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405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405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405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405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405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405"/>
      <c r="C72" s="18" t="s">
        <v>14</v>
      </c>
      <c r="D72" s="411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405"/>
      <c r="C73" s="18" t="s">
        <v>14</v>
      </c>
      <c r="D73" s="413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405"/>
      <c r="C74" s="18" t="s">
        <v>14</v>
      </c>
      <c r="D74" s="413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405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405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405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405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405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405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405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405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99"/>
    </row>
    <row r="83" spans="2:19" x14ac:dyDescent="0.25">
      <c r="B83" s="405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99"/>
    </row>
    <row r="84" spans="2:19" x14ac:dyDescent="0.25">
      <c r="B84" s="405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405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405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405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405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405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405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405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405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405"/>
      <c r="C93" s="36" t="s">
        <v>14</v>
      </c>
      <c r="D93" s="400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405"/>
      <c r="C94" s="36" t="s">
        <v>14</v>
      </c>
      <c r="D94" s="401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405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405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405"/>
      <c r="C97" s="36" t="s">
        <v>14</v>
      </c>
      <c r="D97" s="402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405"/>
      <c r="C98" s="37" t="s">
        <v>14</v>
      </c>
      <c r="D98" s="403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405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405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405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405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405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405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405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410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404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405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405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405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405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405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405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405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405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405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405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405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405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405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405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405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405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405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405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405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405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406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407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407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407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407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407"/>
      <c r="C135" s="409" t="s">
        <v>14</v>
      </c>
      <c r="D135" s="400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407"/>
      <c r="C136" s="409"/>
      <c r="D136" s="401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407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407"/>
      <c r="C138" s="68" t="s">
        <v>14</v>
      </c>
      <c r="D138" s="400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407"/>
      <c r="C139" s="68" t="s">
        <v>14</v>
      </c>
      <c r="D139" s="401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407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407"/>
      <c r="C141" s="68" t="s">
        <v>14</v>
      </c>
      <c r="D141" s="400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407"/>
      <c r="C142" s="68" t="s">
        <v>14</v>
      </c>
      <c r="D142" s="401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407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408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98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98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98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98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98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8:B41"/>
    <mergeCell ref="D8:D9"/>
    <mergeCell ref="D16:D17"/>
    <mergeCell ref="D18:D19"/>
    <mergeCell ref="D22:D23"/>
    <mergeCell ref="D25:D26"/>
    <mergeCell ref="B3:R3"/>
    <mergeCell ref="B4:R4"/>
    <mergeCell ref="B5:R5"/>
    <mergeCell ref="J6:K6"/>
    <mergeCell ref="M7:N7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423" t="s">
        <v>0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</row>
    <row r="4" spans="2:18" ht="27" customHeight="1" x14ac:dyDescent="0.25">
      <c r="B4" s="423" t="s">
        <v>1</v>
      </c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423"/>
      <c r="O4" s="423"/>
    </row>
    <row r="5" spans="2:18" x14ac:dyDescent="0.25">
      <c r="B5" s="423" t="s">
        <v>151</v>
      </c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423"/>
      <c r="O5" s="423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424" t="s">
        <v>9</v>
      </c>
      <c r="K6" s="424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416" t="s">
        <v>80</v>
      </c>
      <c r="C7" s="18" t="s">
        <v>14</v>
      </c>
      <c r="D7" s="419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417"/>
      <c r="C8" s="18" t="s">
        <v>14</v>
      </c>
      <c r="D8" s="419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417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417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417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417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417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417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417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417"/>
      <c r="C16" s="18" t="s">
        <v>14</v>
      </c>
      <c r="D16" s="419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417"/>
      <c r="C17" s="18" t="s">
        <v>14</v>
      </c>
      <c r="D17" s="419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417"/>
      <c r="C18" s="18" t="s">
        <v>14</v>
      </c>
      <c r="D18" s="419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417"/>
      <c r="C19" s="18" t="s">
        <v>14</v>
      </c>
      <c r="D19" s="419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417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417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417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417"/>
      <c r="C23" s="18" t="s">
        <v>14</v>
      </c>
      <c r="D23" s="419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417"/>
      <c r="C24" s="18" t="s">
        <v>14</v>
      </c>
      <c r="D24" s="419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417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417"/>
      <c r="C26" s="18" t="s">
        <v>14</v>
      </c>
      <c r="D26" s="419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417"/>
      <c r="C27" s="18" t="s">
        <v>14</v>
      </c>
      <c r="D27" s="419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417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417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417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417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417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417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417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417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417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417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418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404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405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405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405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405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405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405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405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405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405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405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405"/>
      <c r="C51" s="18" t="s">
        <v>14</v>
      </c>
      <c r="D51" s="411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405"/>
      <c r="C52" s="18" t="s">
        <v>14</v>
      </c>
      <c r="D52" s="412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405"/>
      <c r="C53" s="18" t="s">
        <v>14</v>
      </c>
      <c r="D53" s="411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405"/>
      <c r="C54" s="18" t="s">
        <v>14</v>
      </c>
      <c r="D54" s="412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405"/>
      <c r="C55" s="18" t="s">
        <v>14</v>
      </c>
      <c r="D55" s="411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405"/>
      <c r="C56" s="18" t="s">
        <v>14</v>
      </c>
      <c r="D56" s="412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405"/>
      <c r="C57" s="18" t="s">
        <v>14</v>
      </c>
      <c r="D57" s="411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405"/>
      <c r="C58" s="18" t="s">
        <v>14</v>
      </c>
      <c r="D58" s="412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405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405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405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405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405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405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405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405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405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405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405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405"/>
      <c r="C70" s="18" t="s">
        <v>14</v>
      </c>
      <c r="D70" s="411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405"/>
      <c r="C71" s="18" t="s">
        <v>14</v>
      </c>
      <c r="D71" s="413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405"/>
      <c r="C72" s="18" t="s">
        <v>14</v>
      </c>
      <c r="D72" s="413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405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405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405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405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405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405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405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405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405"/>
      <c r="C81" s="18" t="s">
        <v>14</v>
      </c>
      <c r="D81" s="411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99"/>
      <c r="R81">
        <f t="shared" si="13"/>
        <v>1</v>
      </c>
    </row>
    <row r="82" spans="2:18" x14ac:dyDescent="0.25">
      <c r="B82" s="405"/>
      <c r="C82" s="18" t="s">
        <v>14</v>
      </c>
      <c r="D82" s="413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99"/>
      <c r="R82">
        <f t="shared" si="13"/>
        <v>1</v>
      </c>
    </row>
    <row r="83" spans="2:18" x14ac:dyDescent="0.25">
      <c r="B83" s="405"/>
      <c r="C83" s="18" t="s">
        <v>14</v>
      </c>
      <c r="D83" s="412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405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405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405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405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405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405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405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405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405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405"/>
      <c r="C93" s="36" t="s">
        <v>14</v>
      </c>
      <c r="D93" s="400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405"/>
      <c r="C94" s="36" t="s">
        <v>14</v>
      </c>
      <c r="D94" s="401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405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405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405"/>
      <c r="C97" s="36" t="s">
        <v>14</v>
      </c>
      <c r="D97" s="400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405"/>
      <c r="C98" s="37" t="s">
        <v>14</v>
      </c>
      <c r="D98" s="401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405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405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405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405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410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404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405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405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405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405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405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405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405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405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405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405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405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405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405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405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405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405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405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405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405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405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405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405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406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407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407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407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407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407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407"/>
      <c r="C135" s="409" t="s">
        <v>14</v>
      </c>
      <c r="D135" s="400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407"/>
      <c r="C136" s="409"/>
      <c r="D136" s="401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407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407"/>
      <c r="C138" s="68" t="s">
        <v>14</v>
      </c>
      <c r="D138" s="400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407"/>
      <c r="C139" s="68" t="s">
        <v>14</v>
      </c>
      <c r="D139" s="401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407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407"/>
      <c r="C141" s="68" t="s">
        <v>14</v>
      </c>
      <c r="D141" s="400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407"/>
      <c r="C142" s="68" t="s">
        <v>14</v>
      </c>
      <c r="D142" s="401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407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408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425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426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426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426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426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DISPOSITIVO OCTUBRE </vt:lpstr>
      <vt:lpstr>Enero 2023 (3)</vt:lpstr>
      <vt:lpstr>Hoja1</vt:lpstr>
      <vt:lpstr>Enero 2023 (2)</vt:lpstr>
      <vt:lpstr>Mayo 2022 -sepecol</vt:lpstr>
      <vt:lpstr>'DISPOSITIVO OCTUBRE '!Área_de_impresión</vt:lpstr>
      <vt:lpstr>'Enero 2023 (2)'!Área_de_impresión</vt:lpstr>
      <vt:lpstr>'Enero 2023 (3)'!Área_de_impresión</vt:lpstr>
      <vt:lpstr>'Mayo 2022 -sepecol'!Área_de_impresión</vt:lpstr>
      <vt:lpstr>'DISPOSITIVO OCTUBRE '!Títulos_a_imprimir</vt:lpstr>
      <vt:lpstr>'Enero 2023 (2)'!Títulos_a_imprimir</vt:lpstr>
      <vt:lpstr>'Enero 2023 (3)'!Títulos_a_imprimir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Nohora Zorayda Florez Padilla</cp:lastModifiedBy>
  <cp:lastPrinted>2025-12-10T18:39:19Z</cp:lastPrinted>
  <dcterms:created xsi:type="dcterms:W3CDTF">2021-01-28T19:16:38Z</dcterms:created>
  <dcterms:modified xsi:type="dcterms:W3CDTF">2025-12-12T16:45:46Z</dcterms:modified>
</cp:coreProperties>
</file>