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AE ANALISIS DELCSECTOR\"/>
    </mc:Choice>
  </mc:AlternateContent>
  <xr:revisionPtr revIDLastSave="0" documentId="13_ncr:1_{429C53DC-FBB2-45E0-AECE-D87179A1AA3F}" xr6:coauthVersionLast="36" xr6:coauthVersionMax="36" xr10:uidLastSave="{00000000-0000-0000-0000-000000000000}"/>
  <bookViews>
    <workbookView xWindow="0" yWindow="0" windowWidth="20490" windowHeight="7545" xr2:uid="{E651D7B5-0AB2-4030-8AB7-62ECD076EFCC}"/>
  </bookViews>
  <sheets>
    <sheet name="PAE ok" sheetId="3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32" l="1"/>
  <c r="D22" i="32" s="1"/>
  <c r="D6" i="32"/>
  <c r="D7" i="32"/>
  <c r="D8" i="32"/>
  <c r="D9" i="32"/>
  <c r="D10" i="32"/>
  <c r="D11" i="32"/>
  <c r="D12" i="32"/>
  <c r="D13" i="32"/>
  <c r="D14" i="32"/>
  <c r="M4" i="32" s="1"/>
  <c r="D21" i="32" s="1"/>
  <c r="D15" i="32"/>
  <c r="D16" i="32"/>
  <c r="D17" i="32"/>
  <c r="D18" i="32"/>
  <c r="D19" i="32"/>
  <c r="D20" i="32"/>
  <c r="D5" i="32"/>
  <c r="M7" i="32" s="1"/>
  <c r="D24" i="32" s="1"/>
  <c r="M8" i="32" l="1"/>
  <c r="D25" i="32" s="1"/>
  <c r="M9" i="32"/>
  <c r="D26" i="32" s="1"/>
  <c r="M6" i="32"/>
  <c r="D23" i="32" s="1"/>
  <c r="C18" i="32"/>
  <c r="C11" i="32"/>
  <c r="C12" i="32"/>
  <c r="C15" i="32"/>
  <c r="C14" i="32"/>
  <c r="C20" i="32"/>
  <c r="C19" i="32"/>
  <c r="C17" i="32"/>
  <c r="C16" i="32"/>
  <c r="C13" i="32"/>
  <c r="C10" i="32"/>
  <c r="R9" i="32"/>
  <c r="I26" i="32" s="1"/>
  <c r="Q9" i="32"/>
  <c r="H26" i="32" s="1"/>
  <c r="P9" i="32"/>
  <c r="G26" i="32" s="1"/>
  <c r="O9" i="32"/>
  <c r="F26" i="32" s="1"/>
  <c r="N9" i="32"/>
  <c r="E26" i="32" s="1"/>
  <c r="C9" i="32"/>
  <c r="R8" i="32"/>
  <c r="I25" i="32" s="1"/>
  <c r="Q8" i="32"/>
  <c r="H25" i="32" s="1"/>
  <c r="P8" i="32"/>
  <c r="G25" i="32" s="1"/>
  <c r="O8" i="32"/>
  <c r="F25" i="32" s="1"/>
  <c r="N8" i="32"/>
  <c r="E25" i="32" s="1"/>
  <c r="C8" i="32"/>
  <c r="R7" i="32"/>
  <c r="I24" i="32" s="1"/>
  <c r="Q7" i="32"/>
  <c r="H24" i="32" s="1"/>
  <c r="P7" i="32"/>
  <c r="G24" i="32" s="1"/>
  <c r="O7" i="32"/>
  <c r="F24" i="32" s="1"/>
  <c r="N7" i="32"/>
  <c r="E24" i="32" s="1"/>
  <c r="C7" i="32"/>
  <c r="R6" i="32"/>
  <c r="I23" i="32" s="1"/>
  <c r="Q6" i="32"/>
  <c r="H23" i="32" s="1"/>
  <c r="P6" i="32"/>
  <c r="G23" i="32" s="1"/>
  <c r="O6" i="32"/>
  <c r="F23" i="32" s="1"/>
  <c r="N6" i="32"/>
  <c r="E23" i="32" s="1"/>
  <c r="C6" i="32"/>
  <c r="R5" i="32"/>
  <c r="I22" i="32" s="1"/>
  <c r="Q5" i="32"/>
  <c r="H22" i="32" s="1"/>
  <c r="P5" i="32"/>
  <c r="G22" i="32" s="1"/>
  <c r="O5" i="32"/>
  <c r="F22" i="32" s="1"/>
  <c r="N5" i="32"/>
  <c r="E22" i="32" s="1"/>
  <c r="L5" i="32"/>
  <c r="C22" i="32" s="1"/>
  <c r="C5" i="32"/>
  <c r="L8" i="32" s="1"/>
  <c r="C25" i="32" s="1"/>
  <c r="R4" i="32"/>
  <c r="I21" i="32" s="1"/>
  <c r="Q4" i="32"/>
  <c r="H21" i="32" s="1"/>
  <c r="P4" i="32"/>
  <c r="G21" i="32" s="1"/>
  <c r="O4" i="32"/>
  <c r="F21" i="32" s="1"/>
  <c r="N4" i="32"/>
  <c r="E21" i="32" s="1"/>
  <c r="L4" i="32"/>
  <c r="C21" i="32" s="1"/>
  <c r="L7" i="32" l="1"/>
  <c r="C24" i="32" s="1"/>
  <c r="L6" i="32"/>
  <c r="C23" i="32" s="1"/>
  <c r="L9" i="32"/>
  <c r="C26" i="3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G4" authorId="0" shapeId="0" xr:uid="{BA5103CD-F2CD-477B-9A66-EA51E19D0659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se puede colocar IND y vale como resultado</t>
        </r>
      </text>
    </comment>
    <comment ref="K4" authorId="1" shapeId="0" xr:uid="{A5E4F3B6-FFBB-4580-8EBA-6E9DD5D7D9E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La sumatoria/No de datos</t>
        </r>
      </text>
    </comment>
    <comment ref="K5" authorId="1" shapeId="0" xr:uid="{9DDF2BF1-5021-43C6-BC3B-5DEF4929D1E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 toma DESVEST mas todos los datos</t>
        </r>
      </text>
    </comment>
    <comment ref="K6" authorId="1" shapeId="0" xr:uid="{242C07BC-C10A-4DCB-8F8F-4412A57E1C9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=mediana mas todos los datos </t>
        </r>
      </text>
    </comment>
    <comment ref="K7" authorId="1" shapeId="0" xr:uid="{33A67550-BE5E-4C24-BF87-29A90FD3E3C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 toma =CUARTIL INC mas todos los datos y el 25. min 9 datos </t>
        </r>
      </text>
    </comment>
    <comment ref="B26" authorId="0" shapeId="0" xr:uid="{6AE8C7CC-64B0-4D9C-A6D0-28530F5F64BC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Siempres se usa menor o igual para INDICE DE ENDEUDAMIENTO</t>
        </r>
      </text>
    </comment>
  </commentList>
</comments>
</file>

<file path=xl/sharedStrings.xml><?xml version="1.0" encoding="utf-8"?>
<sst xmlns="http://schemas.openxmlformats.org/spreadsheetml/2006/main" count="85" uniqueCount="72">
  <si>
    <t>EMPRESA/INDICADOR</t>
  </si>
  <si>
    <t>INDICE DE ENDEUDAMIENTO</t>
  </si>
  <si>
    <t>RAZON COBERTURA DE INTERES</t>
  </si>
  <si>
    <t>INDICE DE LIQUIDEZ</t>
  </si>
  <si>
    <t>INDICADORES CAPACIDAD FINANCIERA Y ORGANIZACIONAL DEL SECTOR</t>
  </si>
  <si>
    <t>SECRETARIA DE EDUCACION MUNICIPAL DE PEREIRA</t>
  </si>
  <si>
    <t>PROMEDIO</t>
  </si>
  <si>
    <t>DESV. ESTANDAR</t>
  </si>
  <si>
    <t>MEDIANA</t>
  </si>
  <si>
    <t>CUARTIL INF</t>
  </si>
  <si>
    <t>PROMRDIO</t>
  </si>
  <si>
    <t>DESV ESTAND</t>
  </si>
  <si>
    <t>RENTABILIDAD PATRIMONIO</t>
  </si>
  <si>
    <t>RENTABILIDAD DE ACTIVO</t>
  </si>
  <si>
    <t>ACTIVO CTE/ PASIVO CTE</t>
  </si>
  <si>
    <t>PASIVO TOTAL/ ACTIVO TOTAL</t>
  </si>
  <si>
    <t>UTILIDAD OPER/ GASTOSINTERES</t>
  </si>
  <si>
    <t>UTILIDAD OPER/ PATRIMONIO</t>
  </si>
  <si>
    <t>UTILIDAD OPER/ ACTIVO TOTAL</t>
  </si>
  <si>
    <t>Si el resultado es mayor que 1, indica que la empresa puede cubrir sus deudas a corto plazo. Un valor muy alto puede señalar recursos mal aprovechados.</t>
  </si>
  <si>
    <t>&lt; 0.5 (o 50%): Buena posición financiera; la empresa usa más recursos propios que ajenos. = 0.5 (o 50%): Equilibrio entre financiamiento propio y ajeno. &gt; 0.5 (o 50%): Alta dependencia de deuda; mayor riesgo financiero.</t>
  </si>
  <si>
    <t>&gt; 1: La empresa puede cubrir los intereses con sus ganancias operativas. &lt; 1: Riesgo financiero; la empresa no genera suficiente para cubrir sus intereses. Entre 2 y 3: Aceptable, pero dependerá del sector y de las condiciones económicas. &gt; 5: Alta capacidad para cubrir intereses; buena salud financiera.</t>
  </si>
  <si>
    <t xml:space="preserve">alto: La empresa está generando buenos retornos para los accionistas. bajo: Podría indicar baja eficiencia o rentabilidad. Lo que se considera "bueno" depende del sector, pero: de 15% o más suele considerarse sólido. negativo implica pérdidas. 
</t>
  </si>
  <si>
    <t>alto: La empresa está usando sus activos de manera eficiente para generar utilidades. bajo: Puede significar que los activos no están siendo bien aprovechados. 5% suele ser aceptable. 10% es considerado muy bueno.</t>
  </si>
  <si>
    <r>
      <t xml:space="preserve">Una inversión con alta desviación estándar tiene rendimientos más variables e inciertos → </t>
    </r>
    <r>
      <rPr>
        <b/>
        <sz val="11"/>
        <color theme="1"/>
        <rFont val="Calibri"/>
        <family val="2"/>
        <scheme val="minor"/>
      </rPr>
      <t>más riesgo</t>
    </r>
    <r>
      <rPr>
        <sz val="11"/>
        <color theme="1"/>
        <rFont val="Calibri"/>
        <family val="2"/>
        <scheme val="minor"/>
      </rPr>
      <t>.</t>
    </r>
  </si>
  <si>
    <t>Al comparar márgenes, retornos o valuaciones entre muchas empresas, la mediana puede reflejar mejor el comportamiento del grupo que el promedio.</t>
  </si>
  <si>
    <r>
      <t xml:space="preserve">En un análisis sectorial o de portafolios, Q1 ayuda a identificar el </t>
    </r>
    <r>
      <rPr>
        <b/>
        <sz val="11"/>
        <color theme="1"/>
        <rFont val="Calibri"/>
        <family val="2"/>
        <scheme val="minor"/>
      </rPr>
      <t>25% con menor rentabilidad</t>
    </r>
    <r>
      <rPr>
        <sz val="11"/>
        <color theme="1"/>
        <rFont val="Calibri"/>
        <family val="2"/>
        <scheme val="minor"/>
      </rPr>
      <t>, menor eficiencia, menor liquidez, etc.</t>
    </r>
  </si>
  <si>
    <t>CUARTIL IN</t>
  </si>
  <si>
    <t>NIT</t>
  </si>
  <si>
    <t>VARIABLES</t>
  </si>
  <si>
    <t>capital de trabajo</t>
  </si>
  <si>
    <t>IND</t>
  </si>
  <si>
    <t xml:space="preserve">VALOR DE LA MEDIANA </t>
  </si>
  <si>
    <t>TERCER CUARTIL</t>
  </si>
  <si>
    <t>VALOR DE LA MEDIANA</t>
  </si>
  <si>
    <t>PAE</t>
  </si>
  <si>
    <t>ASOCIACION DE SERVICIOS INTEGRALES PARA LA COMUNIDAD ASIPCOM</t>
  </si>
  <si>
    <t>817007453-9</t>
  </si>
  <si>
    <t>COMITE ASESOR VOLUNTARIO DE NUTRICION -NUTRIR</t>
  </si>
  <si>
    <t>800062338-1</t>
  </si>
  <si>
    <t>CONSTRUYAMOS COLOMBIA</t>
  </si>
  <si>
    <t>816006359-6</t>
  </si>
  <si>
    <t>900407673-1</t>
  </si>
  <si>
    <t>FUNDACION CIUDAD HUMANA</t>
  </si>
  <si>
    <t>830091143-5</t>
  </si>
  <si>
    <t>FUNDACION PARA EL FOMENTO DE LA INDUSTRIA DE ALIMENTOS DE RISARALDA</t>
  </si>
  <si>
    <t>FUNDACION VIVIR SIRVIENDO</t>
  </si>
  <si>
    <t>900336548-1</t>
  </si>
  <si>
    <t>900065049-4</t>
  </si>
  <si>
    <t>LE &amp; VE ALIMENTOS MACSOL S.A.S.</t>
  </si>
  <si>
    <t>900465095-1</t>
  </si>
  <si>
    <t>PRODUCTOS FRESCOS DEL CAMPO SAS</t>
  </si>
  <si>
    <t>900638959-1</t>
  </si>
  <si>
    <t>CORPORACION ANTIOQUIA PRESENTE</t>
  </si>
  <si>
    <t>890984783-1</t>
  </si>
  <si>
    <t>MERCAPAVA S.A.</t>
  </si>
  <si>
    <t>815002459-2</t>
  </si>
  <si>
    <t>GRUPO BOLIVARIANA S.A.S</t>
  </si>
  <si>
    <t>901223983-0</t>
  </si>
  <si>
    <t>INVERCOMER DEL CARIBE S.A.S.</t>
  </si>
  <si>
    <t>900383385-8</t>
  </si>
  <si>
    <t>COMPAÑÍA MULTIVENTAS SAS</t>
  </si>
  <si>
    <t>900397836-9</t>
  </si>
  <si>
    <t>GRANOS Y ALIMENTOS DE COLOMBIA S.A.S.</t>
  </si>
  <si>
    <t>900725152-8</t>
  </si>
  <si>
    <t>FUNDACION DESARROLLO SOCIAL</t>
  </si>
  <si>
    <t>816008646-4</t>
  </si>
  <si>
    <t>RENTABILIDAD DEL ACTIVO ROA</t>
  </si>
  <si>
    <t>RENTABILIDAD PATRIMONIAL ROE</t>
  </si>
  <si>
    <t>58.07</t>
  </si>
  <si>
    <t>FUNDACION CDI FUNDACION PARA EL CRECIMIENTO Y DESARROLLO INTEGRAL</t>
  </si>
  <si>
    <t xml:space="preserve">Presupuesto oficial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</si>
</sst>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PDFACourier"/>
    </font>
    <font>
      <b/>
      <sz val="9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7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2" fillId="0" borderId="1" xfId="0" applyFont="1" applyBorder="1"/>
    <xf numFmtId="2" fontId="0" fillId="0" borderId="1" xfId="0" applyNumberFormat="1" applyBorder="1" applyAlignment="1">
      <alignment horizontal="center"/>
    </xf>
    <xf numFmtId="0" fontId="2" fillId="0" borderId="0" xfId="0" applyFont="1" applyBorder="1"/>
    <xf numFmtId="2" fontId="0" fillId="0" borderId="0" xfId="0" applyNumberFormat="1" applyBorder="1" applyAlignment="1">
      <alignment horizontal="center"/>
    </xf>
    <xf numFmtId="2" fontId="0" fillId="0" borderId="0" xfId="0" applyNumberFormat="1"/>
    <xf numFmtId="2" fontId="3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/>
    </xf>
    <xf numFmtId="0" fontId="9" fillId="0" borderId="1" xfId="0" applyFont="1" applyFill="1" applyBorder="1" applyAlignment="1">
      <alignment wrapText="1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164" fontId="0" fillId="0" borderId="0" xfId="1" applyNumberFormat="1" applyFont="1" applyBorder="1" applyAlignment="1">
      <alignment horizontal="center"/>
    </xf>
    <xf numFmtId="0" fontId="3" fillId="3" borderId="4" xfId="0" applyFont="1" applyFill="1" applyBorder="1" applyAlignment="1">
      <alignment wrapText="1"/>
    </xf>
    <xf numFmtId="164" fontId="3" fillId="3" borderId="1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/>
    <xf numFmtId="2" fontId="10" fillId="0" borderId="1" xfId="0" applyNumberFormat="1" applyFont="1" applyFill="1" applyBorder="1" applyAlignment="1">
      <alignment horizontal="center" vertical="center"/>
    </xf>
    <xf numFmtId="9" fontId="3" fillId="2" borderId="1" xfId="2" applyFont="1" applyFill="1" applyBorder="1" applyAlignment="1">
      <alignment horizontal="center" vertical="center"/>
    </xf>
    <xf numFmtId="9" fontId="3" fillId="2" borderId="1" xfId="2" applyFont="1" applyFill="1" applyBorder="1" applyAlignment="1">
      <alignment horizontal="center"/>
    </xf>
    <xf numFmtId="9" fontId="3" fillId="3" borderId="1" xfId="2" applyFont="1" applyFill="1" applyBorder="1" applyAlignment="1">
      <alignment horizontal="center"/>
    </xf>
    <xf numFmtId="0" fontId="9" fillId="0" borderId="4" xfId="0" applyFont="1" applyFill="1" applyBorder="1" applyAlignment="1">
      <alignment wrapText="1"/>
    </xf>
    <xf numFmtId="0" fontId="10" fillId="2" borderId="1" xfId="0" applyFont="1" applyFill="1" applyBorder="1"/>
    <xf numFmtId="164" fontId="3" fillId="0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3" fontId="10" fillId="4" borderId="1" xfId="0" applyNumberFormat="1" applyFont="1" applyFill="1" applyBorder="1"/>
    <xf numFmtId="0" fontId="10" fillId="4" borderId="1" xfId="0" applyFont="1" applyFill="1" applyBorder="1"/>
    <xf numFmtId="0" fontId="2" fillId="0" borderId="0" xfId="0" applyFont="1" applyBorder="1" applyAlignment="1">
      <alignment wrapText="1"/>
    </xf>
    <xf numFmtId="2" fontId="11" fillId="0" borderId="0" xfId="0" applyNumberFormat="1" applyFont="1" applyAlignment="1">
      <alignment vertical="center"/>
    </xf>
    <xf numFmtId="164" fontId="0" fillId="0" borderId="0" xfId="1" applyNumberFormat="1" applyFont="1"/>
    <xf numFmtId="0" fontId="10" fillId="0" borderId="1" xfId="0" applyFont="1" applyFill="1" applyBorder="1"/>
    <xf numFmtId="3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9" fontId="0" fillId="0" borderId="1" xfId="2" applyFont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9" fontId="3" fillId="0" borderId="1" xfId="2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wrapText="1"/>
    </xf>
    <xf numFmtId="164" fontId="3" fillId="0" borderId="0" xfId="1" applyNumberFormat="1" applyFont="1" applyFill="1" applyAlignment="1">
      <alignment horizontal="center"/>
    </xf>
    <xf numFmtId="0" fontId="0" fillId="3" borderId="0" xfId="0" applyFill="1"/>
    <xf numFmtId="164" fontId="14" fillId="3" borderId="0" xfId="1" applyNumberFormat="1" applyFont="1" applyFill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center" vertical="center" textRotation="9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75057-F1F8-43C4-B620-CB5959BC8FF7}">
  <dimension ref="A1:X46"/>
  <sheetViews>
    <sheetView tabSelected="1" topLeftCell="C1" zoomScaleNormal="100" workbookViewId="0">
      <pane ySplit="4" topLeftCell="A5" activePane="bottomLeft" state="frozen"/>
      <selection activeCell="A4" sqref="A4"/>
      <selection pane="bottomLeft" activeCell="F28" sqref="F28"/>
    </sheetView>
  </sheetViews>
  <sheetFormatPr baseColWidth="10" defaultRowHeight="15"/>
  <cols>
    <col min="1" max="1" width="11" bestFit="1" customWidth="1"/>
    <col min="2" max="2" width="19.5703125" customWidth="1"/>
    <col min="3" max="3" width="16.7109375" bestFit="1" customWidth="1"/>
    <col min="4" max="4" width="4" bestFit="1" customWidth="1"/>
    <col min="5" max="5" width="18.28515625" bestFit="1" customWidth="1"/>
    <col min="6" max="6" width="16.42578125" bestFit="1" customWidth="1"/>
    <col min="7" max="7" width="10.28515625" bestFit="1" customWidth="1"/>
    <col min="8" max="9" width="12" bestFit="1" customWidth="1"/>
    <col min="10" max="10" width="13.7109375" customWidth="1"/>
    <col min="12" max="12" width="16.7109375" bestFit="1" customWidth="1"/>
    <col min="13" max="13" width="7.42578125" bestFit="1" customWidth="1"/>
    <col min="14" max="14" width="10.140625" customWidth="1"/>
    <col min="15" max="15" width="13.28515625" customWidth="1"/>
    <col min="21" max="21" width="16.7109375" customWidth="1"/>
  </cols>
  <sheetData>
    <row r="1" spans="1:21">
      <c r="A1" s="62" t="s">
        <v>4</v>
      </c>
      <c r="B1" s="62"/>
      <c r="C1" s="62"/>
      <c r="D1" s="62"/>
      <c r="E1" s="62"/>
      <c r="F1" s="62"/>
      <c r="G1" s="62"/>
      <c r="H1" s="62"/>
      <c r="I1" s="62"/>
      <c r="J1" s="5"/>
    </row>
    <row r="2" spans="1:21">
      <c r="A2" s="62" t="s">
        <v>5</v>
      </c>
      <c r="B2" s="62"/>
      <c r="C2" s="62"/>
      <c r="D2" s="62"/>
      <c r="E2" s="62"/>
      <c r="F2" s="62"/>
      <c r="G2" s="62"/>
      <c r="H2" s="62"/>
      <c r="I2" s="62"/>
      <c r="J2" s="5"/>
    </row>
    <row r="3" spans="1:21">
      <c r="A3" s="62" t="s">
        <v>35</v>
      </c>
      <c r="B3" s="62"/>
      <c r="C3" s="62"/>
      <c r="D3" s="62"/>
      <c r="E3" s="62"/>
      <c r="F3" s="62"/>
      <c r="G3" s="62"/>
      <c r="H3" s="62"/>
      <c r="I3" s="62"/>
      <c r="J3" s="5"/>
    </row>
    <row r="4" spans="1:21" ht="33.75">
      <c r="A4" s="51" t="s">
        <v>28</v>
      </c>
      <c r="B4" s="53" t="s">
        <v>0</v>
      </c>
      <c r="C4" s="65" t="s">
        <v>30</v>
      </c>
      <c r="D4" s="66"/>
      <c r="E4" s="3" t="s">
        <v>3</v>
      </c>
      <c r="F4" s="3" t="s">
        <v>1</v>
      </c>
      <c r="G4" s="3" t="s">
        <v>2</v>
      </c>
      <c r="H4" s="3" t="s">
        <v>68</v>
      </c>
      <c r="I4" s="3" t="s">
        <v>67</v>
      </c>
      <c r="J4" s="6"/>
      <c r="K4" s="1" t="s">
        <v>10</v>
      </c>
      <c r="L4" s="17">
        <f>AVERAGE(C5:C20)</f>
        <v>7190221646.4075003</v>
      </c>
      <c r="M4" s="55">
        <f>AVERAGE(D14:D20)</f>
        <v>0.25801170934828888</v>
      </c>
      <c r="N4" s="2">
        <f>AVERAGE(E5:E20)</f>
        <v>5.080000000000001</v>
      </c>
      <c r="O4" s="2">
        <f>AVERAGE(F5:F20)</f>
        <v>0.39312500000000006</v>
      </c>
      <c r="P4" s="2">
        <f>AVERAGE(G5:G20)</f>
        <v>50.881111111111103</v>
      </c>
      <c r="Q4" s="2">
        <f>AVERAGE(H5:H20)</f>
        <v>0.31874999999999992</v>
      </c>
      <c r="R4" s="2">
        <f>AVERAGE(I5:I20)</f>
        <v>0.17437500000000003</v>
      </c>
    </row>
    <row r="5" spans="1:21" ht="45.75">
      <c r="A5" s="45" t="s">
        <v>37</v>
      </c>
      <c r="B5" s="19" t="s">
        <v>36</v>
      </c>
      <c r="C5" s="38">
        <f>2639175794-317551151</f>
        <v>2321624643</v>
      </c>
      <c r="D5" s="57">
        <f>C5/$C$29</f>
        <v>7.269025812869899E-2</v>
      </c>
      <c r="E5" s="30">
        <v>8.31</v>
      </c>
      <c r="F5" s="30">
        <v>0.06</v>
      </c>
      <c r="G5" s="30" t="s">
        <v>31</v>
      </c>
      <c r="H5" s="30">
        <v>0.39</v>
      </c>
      <c r="I5" s="30">
        <v>0.36</v>
      </c>
      <c r="J5" s="7"/>
      <c r="K5" s="10" t="s">
        <v>11</v>
      </c>
      <c r="L5" s="18">
        <f t="shared" ref="L5:R5" si="0">STDEV(C5:C20)</f>
        <v>6630571037.1480274</v>
      </c>
      <c r="M5" s="56">
        <f t="shared" si="0"/>
        <v>0.20760372340300212</v>
      </c>
      <c r="N5" s="11">
        <f t="shared" si="0"/>
        <v>4.9715014499310621</v>
      </c>
      <c r="O5" s="11">
        <f t="shared" si="0"/>
        <v>0.2656242647048645</v>
      </c>
      <c r="P5" s="11">
        <f t="shared" si="0"/>
        <v>103.08659241681777</v>
      </c>
      <c r="Q5" s="11">
        <f t="shared" si="0"/>
        <v>0.25994550710998393</v>
      </c>
      <c r="R5" s="11">
        <f t="shared" si="0"/>
        <v>0.16997916538995791</v>
      </c>
    </row>
    <row r="6" spans="1:21" ht="34.5">
      <c r="A6" s="45" t="s">
        <v>39</v>
      </c>
      <c r="B6" s="19" t="s">
        <v>38</v>
      </c>
      <c r="C6" s="38">
        <f>7878487964-569466905</f>
        <v>7309021059</v>
      </c>
      <c r="D6" s="57">
        <f t="shared" ref="D6:D20" si="1">C6/$C$29</f>
        <v>0.22884604927361071</v>
      </c>
      <c r="E6" s="30">
        <v>13.83</v>
      </c>
      <c r="F6" s="30">
        <v>0.05</v>
      </c>
      <c r="G6" s="30" t="s">
        <v>31</v>
      </c>
      <c r="H6" s="30">
        <v>0.09</v>
      </c>
      <c r="I6" s="30">
        <v>0.08</v>
      </c>
      <c r="J6" s="7"/>
      <c r="K6" s="10" t="s">
        <v>8</v>
      </c>
      <c r="L6" s="18">
        <f t="shared" ref="L6:R6" si="2">MEDIAN(C5:C20)</f>
        <v>5900485109</v>
      </c>
      <c r="M6" s="56">
        <f t="shared" si="2"/>
        <v>0.18474467306804626</v>
      </c>
      <c r="N6" s="11">
        <f t="shared" si="2"/>
        <v>3.395</v>
      </c>
      <c r="O6" s="11">
        <f t="shared" si="2"/>
        <v>0.36</v>
      </c>
      <c r="P6" s="11">
        <f t="shared" si="2"/>
        <v>12.28</v>
      </c>
      <c r="Q6" s="11">
        <f t="shared" si="2"/>
        <v>0.28500000000000003</v>
      </c>
      <c r="R6" s="11">
        <f t="shared" si="2"/>
        <v>0.1</v>
      </c>
    </row>
    <row r="7" spans="1:21" ht="45.75">
      <c r="A7" s="45" t="s">
        <v>42</v>
      </c>
      <c r="B7" s="19" t="s">
        <v>70</v>
      </c>
      <c r="C7" s="39">
        <f>438098074-223742988</f>
        <v>214355086</v>
      </c>
      <c r="D7" s="57">
        <f t="shared" si="1"/>
        <v>6.7114753366870911E-3</v>
      </c>
      <c r="E7" s="32">
        <v>1.96</v>
      </c>
      <c r="F7" s="32">
        <v>0.49</v>
      </c>
      <c r="G7" s="32" t="s">
        <v>31</v>
      </c>
      <c r="H7" s="32">
        <v>0.7</v>
      </c>
      <c r="I7" s="32">
        <v>0.35</v>
      </c>
      <c r="J7" s="7"/>
      <c r="K7" s="10" t="s">
        <v>9</v>
      </c>
      <c r="L7" s="18">
        <f t="shared" ref="L7:R7" si="3">_xlfn.QUARTILE.INC(C5:C20,1)</f>
        <v>1554998544.5</v>
      </c>
      <c r="M7" s="56">
        <f t="shared" si="3"/>
        <v>4.8687132060846336E-2</v>
      </c>
      <c r="N7" s="11">
        <f t="shared" si="3"/>
        <v>2.1924999999999999</v>
      </c>
      <c r="O7" s="11">
        <f t="shared" si="3"/>
        <v>0.21250000000000002</v>
      </c>
      <c r="P7" s="11">
        <f t="shared" si="3"/>
        <v>8.1199999999999992</v>
      </c>
      <c r="Q7" s="11">
        <f t="shared" si="3"/>
        <v>9.7500000000000003E-2</v>
      </c>
      <c r="R7" s="11">
        <f t="shared" si="3"/>
        <v>4.7500000000000001E-2</v>
      </c>
    </row>
    <row r="8" spans="1:21" ht="27" customHeight="1">
      <c r="A8" s="45" t="s">
        <v>54</v>
      </c>
      <c r="B8" s="19" t="s">
        <v>53</v>
      </c>
      <c r="C8" s="39">
        <f>9222138000-3175919000</f>
        <v>6046219000</v>
      </c>
      <c r="D8" s="57">
        <f t="shared" si="1"/>
        <v>0.18930761315693198</v>
      </c>
      <c r="E8" s="32">
        <v>2.9</v>
      </c>
      <c r="F8" s="32">
        <v>0.25</v>
      </c>
      <c r="G8" s="32" t="s">
        <v>31</v>
      </c>
      <c r="H8" s="32">
        <v>7.0000000000000007E-2</v>
      </c>
      <c r="I8" s="32">
        <v>0.05</v>
      </c>
      <c r="J8" s="7"/>
      <c r="K8" s="22" t="s">
        <v>32</v>
      </c>
      <c r="L8" s="18">
        <f t="shared" ref="L8:R8" si="4">_xlfn.QUARTILE.INC(C5:C20,2)</f>
        <v>5900485109</v>
      </c>
      <c r="M8" s="56">
        <f t="shared" si="4"/>
        <v>0.18474467306804626</v>
      </c>
      <c r="N8" s="11">
        <f t="shared" si="4"/>
        <v>3.395</v>
      </c>
      <c r="O8" s="11">
        <f t="shared" si="4"/>
        <v>0.36</v>
      </c>
      <c r="P8" s="11">
        <f t="shared" si="4"/>
        <v>12.28</v>
      </c>
      <c r="Q8" s="11">
        <f t="shared" si="4"/>
        <v>0.28500000000000003</v>
      </c>
      <c r="R8" s="11">
        <f t="shared" si="4"/>
        <v>0.1</v>
      </c>
    </row>
    <row r="9" spans="1:21" ht="23.25">
      <c r="A9" s="45" t="s">
        <v>44</v>
      </c>
      <c r="B9" s="19" t="s">
        <v>43</v>
      </c>
      <c r="C9" s="39">
        <f>396475187-126120326</f>
        <v>270354861</v>
      </c>
      <c r="D9" s="57">
        <f t="shared" si="1"/>
        <v>8.4648328883363492E-3</v>
      </c>
      <c r="E9" s="32">
        <v>3.14</v>
      </c>
      <c r="F9" s="32">
        <v>0.31</v>
      </c>
      <c r="G9" s="32" t="s">
        <v>31</v>
      </c>
      <c r="H9" s="32">
        <v>0.43</v>
      </c>
      <c r="I9" s="32">
        <v>0.28999999999999998</v>
      </c>
      <c r="J9" s="7"/>
      <c r="K9" s="22" t="s">
        <v>33</v>
      </c>
      <c r="L9" s="18">
        <f t="shared" ref="L9:R9" si="5">_xlfn.QUARTILE.INC(C5:C20,3)</f>
        <v>11160406990.25</v>
      </c>
      <c r="M9" s="56">
        <f t="shared" si="5"/>
        <v>0.34943325889852261</v>
      </c>
      <c r="N9" s="11">
        <f t="shared" si="5"/>
        <v>5</v>
      </c>
      <c r="O9" s="11">
        <f t="shared" si="5"/>
        <v>0.59749999999999992</v>
      </c>
      <c r="P9" s="11">
        <f t="shared" si="5"/>
        <v>42.29</v>
      </c>
      <c r="Q9" s="11">
        <f t="shared" si="5"/>
        <v>0.43</v>
      </c>
      <c r="R9" s="11">
        <f t="shared" si="5"/>
        <v>0.30499999999999999</v>
      </c>
    </row>
    <row r="10" spans="1:21" ht="25.5" customHeight="1">
      <c r="A10" s="31" t="s">
        <v>64</v>
      </c>
      <c r="B10" s="19" t="s">
        <v>63</v>
      </c>
      <c r="C10" s="39">
        <f>34796037994-15763847550</f>
        <v>19032190444</v>
      </c>
      <c r="D10" s="57">
        <f t="shared" si="1"/>
        <v>0.59589944494266733</v>
      </c>
      <c r="E10" s="32">
        <v>2.2000000000000002</v>
      </c>
      <c r="F10" s="32">
        <v>0.51</v>
      </c>
      <c r="G10" s="32">
        <v>8.1199999999999992</v>
      </c>
      <c r="H10" s="32">
        <v>0.27</v>
      </c>
      <c r="I10" s="32">
        <v>0.13</v>
      </c>
      <c r="J10" s="7"/>
      <c r="K10" s="42"/>
      <c r="L10" s="26"/>
      <c r="M10" s="26"/>
      <c r="N10" s="13"/>
      <c r="O10" s="13"/>
      <c r="P10" s="13"/>
      <c r="Q10" s="13"/>
      <c r="R10" s="13"/>
    </row>
    <row r="11" spans="1:21" ht="23.25">
      <c r="A11" s="40" t="s">
        <v>66</v>
      </c>
      <c r="B11" s="58" t="s">
        <v>65</v>
      </c>
      <c r="C11" s="59">
        <f>7064019047-1309267829</f>
        <v>5754751218</v>
      </c>
      <c r="D11" s="57">
        <f t="shared" si="1"/>
        <v>0.18018173297916054</v>
      </c>
      <c r="E11" s="32">
        <v>5.39</v>
      </c>
      <c r="F11" s="32">
        <v>0.16</v>
      </c>
      <c r="G11" s="32">
        <v>9.56</v>
      </c>
      <c r="H11" s="32">
        <v>0.1</v>
      </c>
      <c r="I11" s="32">
        <v>0.08</v>
      </c>
      <c r="J11" s="7"/>
      <c r="K11" s="42"/>
      <c r="L11" s="26"/>
      <c r="M11" s="26"/>
      <c r="N11" s="13"/>
      <c r="O11" s="13"/>
      <c r="P11" s="13"/>
      <c r="Q11" s="13"/>
      <c r="R11" s="13"/>
    </row>
    <row r="12" spans="1:21" ht="25.5" customHeight="1">
      <c r="A12" s="41" t="s">
        <v>41</v>
      </c>
      <c r="B12" s="19" t="s">
        <v>40</v>
      </c>
      <c r="C12" s="39">
        <f>24208538722-9433844063</f>
        <v>14774694659</v>
      </c>
      <c r="D12" s="57">
        <f t="shared" si="1"/>
        <v>0.46259690246379781</v>
      </c>
      <c r="E12" s="32">
        <v>2.56</v>
      </c>
      <c r="F12" s="32">
        <v>0.57999999999999996</v>
      </c>
      <c r="G12" s="32">
        <v>14.53</v>
      </c>
      <c r="H12" s="32">
        <v>0.3</v>
      </c>
      <c r="I12" s="32">
        <v>0.12</v>
      </c>
      <c r="J12" s="7"/>
      <c r="K12" s="12"/>
      <c r="L12" s="12"/>
      <c r="M12" s="12"/>
      <c r="N12" s="13"/>
      <c r="O12" s="13"/>
      <c r="P12" s="13"/>
      <c r="Q12" s="13"/>
      <c r="R12" s="13"/>
    </row>
    <row r="13" spans="1:21" ht="57">
      <c r="A13" s="45" t="s">
        <v>48</v>
      </c>
      <c r="B13" s="19" t="s">
        <v>45</v>
      </c>
      <c r="C13" s="39">
        <f>2116095118-479478392</f>
        <v>1636616726</v>
      </c>
      <c r="D13" s="57">
        <f t="shared" si="1"/>
        <v>5.124260402274091E-2</v>
      </c>
      <c r="E13" s="32">
        <v>4.41</v>
      </c>
      <c r="F13" s="32">
        <v>0.41</v>
      </c>
      <c r="G13" s="32">
        <v>44</v>
      </c>
      <c r="H13" s="32">
        <v>0.95</v>
      </c>
      <c r="I13" s="32">
        <v>0.55000000000000004</v>
      </c>
      <c r="J13" s="7"/>
    </row>
    <row r="14" spans="1:21" ht="23.25">
      <c r="A14" s="37" t="s">
        <v>47</v>
      </c>
      <c r="B14" s="36" t="s">
        <v>46</v>
      </c>
      <c r="C14" s="39">
        <f>723946757-37175890</f>
        <v>686770867</v>
      </c>
      <c r="D14" s="57">
        <f t="shared" si="1"/>
        <v>2.1502852215159057E-2</v>
      </c>
      <c r="E14" s="32">
        <v>19.47</v>
      </c>
      <c r="F14" s="32">
        <v>0.03</v>
      </c>
      <c r="G14" s="32">
        <v>322.58</v>
      </c>
      <c r="H14" s="32">
        <v>0.04</v>
      </c>
      <c r="I14" s="32">
        <v>0.04</v>
      </c>
      <c r="J14" s="7"/>
    </row>
    <row r="15" spans="1:21" ht="23.25">
      <c r="A15" s="37" t="s">
        <v>50</v>
      </c>
      <c r="B15" s="36" t="s">
        <v>49</v>
      </c>
      <c r="C15" s="39">
        <f>25975902091.97-5332376153.45</f>
        <v>20643525938.52</v>
      </c>
      <c r="D15" s="57">
        <f t="shared" si="1"/>
        <v>0.64635049153271418</v>
      </c>
      <c r="E15" s="32">
        <v>4.87</v>
      </c>
      <c r="F15" s="32">
        <v>0.7</v>
      </c>
      <c r="G15" s="32" t="s">
        <v>69</v>
      </c>
      <c r="H15" s="32">
        <v>0.43</v>
      </c>
      <c r="I15" s="32">
        <v>0.12</v>
      </c>
      <c r="J15" s="7"/>
      <c r="K15" s="63" t="s">
        <v>3</v>
      </c>
      <c r="L15" s="63"/>
      <c r="M15" s="63"/>
      <c r="N15" s="63"/>
      <c r="O15" s="4" t="s">
        <v>14</v>
      </c>
      <c r="P15" s="64" t="s">
        <v>19</v>
      </c>
      <c r="Q15" s="64"/>
      <c r="R15" s="64"/>
      <c r="S15" s="64"/>
      <c r="T15" s="64"/>
      <c r="U15" s="64"/>
    </row>
    <row r="16" spans="1:21" ht="23.25">
      <c r="A16" s="45" t="s">
        <v>62</v>
      </c>
      <c r="B16" s="36" t="s">
        <v>61</v>
      </c>
      <c r="C16" s="39">
        <f>23269838444-10697685279</f>
        <v>12572153165</v>
      </c>
      <c r="D16" s="57">
        <f t="shared" si="1"/>
        <v>0.39363514750450124</v>
      </c>
      <c r="E16" s="32">
        <v>2.17</v>
      </c>
      <c r="F16" s="32">
        <v>0.65</v>
      </c>
      <c r="G16" s="32">
        <v>12.28</v>
      </c>
      <c r="H16" s="32">
        <v>0.1</v>
      </c>
      <c r="I16" s="32">
        <v>0.03</v>
      </c>
      <c r="J16" s="7"/>
      <c r="K16" s="67" t="s">
        <v>1</v>
      </c>
      <c r="L16" s="67"/>
      <c r="M16" s="67"/>
      <c r="N16" s="67"/>
      <c r="O16" s="4" t="s">
        <v>15</v>
      </c>
      <c r="P16" s="68" t="s">
        <v>20</v>
      </c>
      <c r="Q16" s="68"/>
      <c r="R16" s="68"/>
      <c r="S16" s="68"/>
      <c r="T16" s="68"/>
      <c r="U16" s="68"/>
    </row>
    <row r="17" spans="1:24" ht="23.25">
      <c r="A17" s="45" t="s">
        <v>52</v>
      </c>
      <c r="B17" s="36" t="s">
        <v>51</v>
      </c>
      <c r="C17" s="39">
        <f>5675762090-1331462346</f>
        <v>4344299744</v>
      </c>
      <c r="D17" s="57">
        <f t="shared" si="1"/>
        <v>0.13602038155993201</v>
      </c>
      <c r="E17" s="32">
        <v>4.26</v>
      </c>
      <c r="F17" s="32">
        <v>0.23</v>
      </c>
      <c r="G17" s="32">
        <v>42.29</v>
      </c>
      <c r="H17" s="32">
        <v>0.6</v>
      </c>
      <c r="I17" s="32">
        <v>0.46</v>
      </c>
      <c r="J17" s="7"/>
      <c r="K17" s="48"/>
      <c r="L17" s="48"/>
      <c r="M17" s="54"/>
      <c r="N17" s="48"/>
      <c r="O17" s="4"/>
      <c r="P17" s="50"/>
      <c r="Q17" s="50"/>
      <c r="R17" s="50"/>
      <c r="S17" s="50"/>
      <c r="T17" s="50"/>
      <c r="U17" s="50"/>
    </row>
    <row r="18" spans="1:24" ht="15" customHeight="1">
      <c r="A18" s="45" t="s">
        <v>56</v>
      </c>
      <c r="B18" s="36" t="s">
        <v>55</v>
      </c>
      <c r="C18" s="39">
        <f>14691501000-13381357000</f>
        <v>1310144000</v>
      </c>
      <c r="D18" s="57">
        <f t="shared" si="1"/>
        <v>4.1020716175162605E-2</v>
      </c>
      <c r="E18" s="32">
        <v>1.0900000000000001</v>
      </c>
      <c r="F18" s="32">
        <v>0.88</v>
      </c>
      <c r="G18" s="32">
        <v>1.1100000000000001</v>
      </c>
      <c r="H18" s="32">
        <v>0.31</v>
      </c>
      <c r="I18" s="32">
        <v>0.03</v>
      </c>
      <c r="J18" s="7"/>
      <c r="K18" s="67" t="s">
        <v>2</v>
      </c>
      <c r="L18" s="67"/>
      <c r="M18" s="67"/>
      <c r="N18" s="67"/>
      <c r="O18" s="52" t="s">
        <v>16</v>
      </c>
      <c r="P18" s="64" t="s">
        <v>21</v>
      </c>
      <c r="Q18" s="64"/>
      <c r="R18" s="64"/>
      <c r="S18" s="64"/>
      <c r="T18" s="64"/>
      <c r="U18" s="64"/>
      <c r="V18" s="64"/>
      <c r="W18" s="64"/>
      <c r="X18" s="64"/>
    </row>
    <row r="19" spans="1:24" ht="23.25">
      <c r="A19" s="45" t="s">
        <v>58</v>
      </c>
      <c r="B19" s="36" t="s">
        <v>57</v>
      </c>
      <c r="C19" s="39">
        <f>14718785624-4028960692</f>
        <v>10689824932</v>
      </c>
      <c r="D19" s="57">
        <f t="shared" si="1"/>
        <v>0.33469929602986309</v>
      </c>
      <c r="E19" s="32">
        <v>3.65</v>
      </c>
      <c r="F19" s="32">
        <v>0.25</v>
      </c>
      <c r="G19" s="32" t="s">
        <v>31</v>
      </c>
      <c r="H19" s="32">
        <v>0.06</v>
      </c>
      <c r="I19" s="32">
        <v>0.04</v>
      </c>
      <c r="J19" s="7"/>
      <c r="K19" s="48"/>
      <c r="L19" s="48"/>
      <c r="M19" s="54"/>
      <c r="N19" s="48"/>
      <c r="O19" s="52"/>
      <c r="P19" s="49"/>
      <c r="Q19" s="49"/>
      <c r="R19" s="49"/>
      <c r="S19" s="49"/>
      <c r="T19" s="49"/>
      <c r="U19" s="49"/>
      <c r="V19" s="49"/>
      <c r="W19" s="49"/>
      <c r="X19" s="49"/>
    </row>
    <row r="20" spans="1:24" ht="24.75" customHeight="1">
      <c r="A20" s="45" t="s">
        <v>60</v>
      </c>
      <c r="B20" s="36" t="s">
        <v>59</v>
      </c>
      <c r="C20" s="39">
        <f>110369000000-102932000000</f>
        <v>7437000000</v>
      </c>
      <c r="D20" s="57">
        <f t="shared" si="1"/>
        <v>0.23285308042068986</v>
      </c>
      <c r="E20" s="32">
        <v>1.07</v>
      </c>
      <c r="F20" s="32">
        <v>0.73</v>
      </c>
      <c r="G20" s="32">
        <v>3.46</v>
      </c>
      <c r="H20" s="32">
        <v>0.26</v>
      </c>
      <c r="I20" s="32">
        <v>0.06</v>
      </c>
      <c r="J20" s="7"/>
      <c r="K20" s="48"/>
      <c r="L20" s="48"/>
      <c r="M20" s="54"/>
      <c r="N20" s="48"/>
      <c r="O20" s="52"/>
      <c r="P20" s="49"/>
      <c r="Q20" s="49"/>
      <c r="R20" s="49"/>
      <c r="S20" s="49"/>
      <c r="T20" s="49"/>
      <c r="U20" s="49"/>
      <c r="V20" s="49"/>
      <c r="W20" s="49"/>
      <c r="X20" s="49"/>
    </row>
    <row r="21" spans="1:24" ht="15" customHeight="1">
      <c r="A21" s="72" t="s">
        <v>29</v>
      </c>
      <c r="B21" s="23" t="s">
        <v>6</v>
      </c>
      <c r="C21" s="20">
        <f t="shared" ref="C21:D26" si="6">L4</f>
        <v>7190221646.4075003</v>
      </c>
      <c r="D21" s="33">
        <f t="shared" si="6"/>
        <v>0.25801170934828888</v>
      </c>
      <c r="E21" s="15">
        <f t="shared" ref="E21:I26" si="7">N4</f>
        <v>5.080000000000001</v>
      </c>
      <c r="F21" s="15">
        <f t="shared" si="7"/>
        <v>0.39312500000000006</v>
      </c>
      <c r="G21" s="15">
        <f t="shared" si="7"/>
        <v>50.881111111111103</v>
      </c>
      <c r="H21" s="15">
        <f t="shared" si="7"/>
        <v>0.31874999999999992</v>
      </c>
      <c r="I21" s="15">
        <f t="shared" si="7"/>
        <v>0.17437500000000003</v>
      </c>
      <c r="J21" s="7"/>
      <c r="K21" s="48"/>
      <c r="L21" s="48"/>
      <c r="M21" s="54"/>
      <c r="N21" s="48"/>
      <c r="O21" s="52"/>
      <c r="P21" s="49"/>
      <c r="Q21" s="49"/>
      <c r="R21" s="49"/>
      <c r="S21" s="49"/>
      <c r="T21" s="49"/>
      <c r="U21" s="49"/>
      <c r="V21" s="49"/>
      <c r="W21" s="49"/>
      <c r="X21" s="49"/>
    </row>
    <row r="22" spans="1:24" ht="15" customHeight="1">
      <c r="A22" s="72"/>
      <c r="B22" s="23" t="s">
        <v>7</v>
      </c>
      <c r="C22" s="20">
        <f t="shared" si="6"/>
        <v>6630571037.1480274</v>
      </c>
      <c r="D22" s="33">
        <f t="shared" si="6"/>
        <v>0.20760372340300212</v>
      </c>
      <c r="E22" s="15">
        <f t="shared" si="7"/>
        <v>4.9715014499310621</v>
      </c>
      <c r="F22" s="15">
        <f t="shared" si="7"/>
        <v>0.2656242647048645</v>
      </c>
      <c r="G22" s="15">
        <f t="shared" si="7"/>
        <v>103.08659241681777</v>
      </c>
      <c r="H22" s="15">
        <f t="shared" si="7"/>
        <v>0.25994550710998393</v>
      </c>
      <c r="I22" s="15">
        <f t="shared" si="7"/>
        <v>0.16997916538995791</v>
      </c>
      <c r="J22" s="7"/>
      <c r="K22" s="48"/>
      <c r="L22" s="48"/>
      <c r="M22" s="54"/>
      <c r="N22" s="48"/>
      <c r="O22" s="52"/>
      <c r="P22" s="49"/>
      <c r="Q22" s="49"/>
      <c r="R22" s="49"/>
      <c r="S22" s="49"/>
      <c r="T22" s="49"/>
      <c r="U22" s="49"/>
      <c r="V22" s="49"/>
      <c r="W22" s="49"/>
      <c r="X22" s="49"/>
    </row>
    <row r="23" spans="1:24" ht="15" customHeight="1">
      <c r="A23" s="72"/>
      <c r="B23" s="23" t="s">
        <v>8</v>
      </c>
      <c r="C23" s="20">
        <f t="shared" si="6"/>
        <v>5900485109</v>
      </c>
      <c r="D23" s="33">
        <f t="shared" si="6"/>
        <v>0.18474467306804626</v>
      </c>
      <c r="E23" s="15">
        <f t="shared" si="7"/>
        <v>3.395</v>
      </c>
      <c r="F23" s="15">
        <f t="shared" si="7"/>
        <v>0.36</v>
      </c>
      <c r="G23" s="15">
        <f t="shared" si="7"/>
        <v>12.28</v>
      </c>
      <c r="H23" s="15">
        <f t="shared" si="7"/>
        <v>0.28500000000000003</v>
      </c>
      <c r="I23" s="15">
        <f t="shared" si="7"/>
        <v>0.1</v>
      </c>
      <c r="J23" s="7"/>
      <c r="K23" s="48"/>
      <c r="L23" s="48"/>
      <c r="M23" s="54"/>
      <c r="N23" s="48"/>
      <c r="O23" s="52"/>
      <c r="P23" s="49"/>
      <c r="Q23" s="49"/>
      <c r="R23" s="49"/>
      <c r="S23" s="49"/>
      <c r="T23" s="49"/>
      <c r="U23" s="49"/>
      <c r="V23" s="49"/>
      <c r="W23" s="49"/>
      <c r="X23" s="49"/>
    </row>
    <row r="24" spans="1:24" ht="15" customHeight="1">
      <c r="A24" s="72"/>
      <c r="B24" s="27" t="s">
        <v>9</v>
      </c>
      <c r="C24" s="28">
        <f t="shared" si="6"/>
        <v>1554998544.5</v>
      </c>
      <c r="D24" s="35">
        <f t="shared" si="6"/>
        <v>4.8687132060846336E-2</v>
      </c>
      <c r="E24" s="29">
        <f t="shared" si="7"/>
        <v>2.1924999999999999</v>
      </c>
      <c r="F24" s="16">
        <f t="shared" si="7"/>
        <v>0.21250000000000002</v>
      </c>
      <c r="G24" s="29">
        <f t="shared" si="7"/>
        <v>8.1199999999999992</v>
      </c>
      <c r="H24" s="29">
        <f t="shared" si="7"/>
        <v>9.7500000000000003E-2</v>
      </c>
      <c r="I24" s="29">
        <f t="shared" si="7"/>
        <v>4.7500000000000001E-2</v>
      </c>
      <c r="J24" s="7"/>
      <c r="K24" s="48"/>
      <c r="L24" s="48"/>
      <c r="M24" s="54"/>
      <c r="N24" s="48"/>
      <c r="O24" s="52"/>
      <c r="P24" s="49"/>
      <c r="Q24" s="49"/>
      <c r="R24" s="49"/>
      <c r="S24" s="49"/>
      <c r="T24" s="49"/>
      <c r="U24" s="49"/>
      <c r="V24" s="49"/>
      <c r="W24" s="49"/>
      <c r="X24" s="49"/>
    </row>
    <row r="25" spans="1:24" ht="15" customHeight="1">
      <c r="A25" s="72"/>
      <c r="B25" s="24" t="s">
        <v>34</v>
      </c>
      <c r="C25" s="21">
        <f t="shared" si="6"/>
        <v>5900485109</v>
      </c>
      <c r="D25" s="34">
        <f t="shared" si="6"/>
        <v>0.18474467306804626</v>
      </c>
      <c r="E25" s="16">
        <f t="shared" si="7"/>
        <v>3.395</v>
      </c>
      <c r="F25" s="16">
        <f t="shared" si="7"/>
        <v>0.36</v>
      </c>
      <c r="G25" s="16">
        <f t="shared" si="7"/>
        <v>12.28</v>
      </c>
      <c r="H25" s="16">
        <f t="shared" si="7"/>
        <v>0.28500000000000003</v>
      </c>
      <c r="I25" s="16">
        <f t="shared" si="7"/>
        <v>0.1</v>
      </c>
      <c r="J25" s="7"/>
      <c r="K25" s="48"/>
      <c r="L25" s="48"/>
      <c r="M25" s="54"/>
      <c r="N25" s="48"/>
      <c r="O25" s="52"/>
      <c r="P25" s="49"/>
      <c r="Q25" s="49"/>
      <c r="R25" s="49"/>
      <c r="S25" s="49"/>
      <c r="T25" s="49"/>
      <c r="U25" s="49"/>
      <c r="V25" s="49"/>
      <c r="W25" s="49"/>
      <c r="X25" s="49"/>
    </row>
    <row r="26" spans="1:24" ht="15" customHeight="1">
      <c r="A26" s="72"/>
      <c r="B26" s="25" t="s">
        <v>33</v>
      </c>
      <c r="C26" s="21">
        <f t="shared" si="6"/>
        <v>11160406990.25</v>
      </c>
      <c r="D26" s="34">
        <f t="shared" si="6"/>
        <v>0.34943325889852261</v>
      </c>
      <c r="E26" s="16">
        <f t="shared" si="7"/>
        <v>5</v>
      </c>
      <c r="F26" s="29">
        <f t="shared" si="7"/>
        <v>0.59749999999999992</v>
      </c>
      <c r="G26" s="16">
        <f t="shared" si="7"/>
        <v>42.29</v>
      </c>
      <c r="H26" s="16">
        <f t="shared" si="7"/>
        <v>0.43</v>
      </c>
      <c r="I26" s="16">
        <f t="shared" si="7"/>
        <v>0.30499999999999999</v>
      </c>
      <c r="J26" s="7"/>
      <c r="K26" s="48"/>
      <c r="L26" s="48"/>
      <c r="M26" s="54"/>
      <c r="N26" s="48"/>
      <c r="O26" s="52"/>
      <c r="P26" s="49"/>
      <c r="Q26" s="49"/>
      <c r="R26" s="49"/>
      <c r="S26" s="49"/>
      <c r="T26" s="49"/>
      <c r="U26" s="49"/>
      <c r="V26" s="49"/>
      <c r="W26" s="49"/>
      <c r="X26" s="49"/>
    </row>
    <row r="27" spans="1:24" ht="29.25" customHeight="1">
      <c r="J27" s="8"/>
      <c r="K27" s="67" t="s">
        <v>12</v>
      </c>
      <c r="L27" s="67"/>
      <c r="M27" s="67"/>
      <c r="N27" s="67"/>
      <c r="O27" s="4" t="s">
        <v>17</v>
      </c>
      <c r="P27" s="64" t="s">
        <v>22</v>
      </c>
      <c r="Q27" s="64"/>
      <c r="R27" s="64"/>
      <c r="S27" s="64"/>
      <c r="T27" s="64"/>
      <c r="U27" s="64"/>
      <c r="V27" s="64"/>
      <c r="W27" s="64"/>
      <c r="X27" s="64"/>
    </row>
    <row r="28" spans="1:24" ht="29.25" customHeight="1">
      <c r="J28" s="5"/>
      <c r="K28" s="67" t="s">
        <v>13</v>
      </c>
      <c r="L28" s="67"/>
      <c r="M28" s="67"/>
      <c r="N28" s="67"/>
      <c r="O28" s="4" t="s">
        <v>18</v>
      </c>
      <c r="P28" s="64" t="s">
        <v>23</v>
      </c>
      <c r="Q28" s="64"/>
      <c r="R28" s="64"/>
      <c r="S28" s="64"/>
      <c r="T28" s="64"/>
      <c r="U28" s="64"/>
      <c r="V28" s="64"/>
      <c r="W28" s="64"/>
      <c r="X28" s="64"/>
    </row>
    <row r="29" spans="1:24">
      <c r="A29" s="60" t="s">
        <v>71</v>
      </c>
      <c r="B29" s="60"/>
      <c r="C29" s="61">
        <v>31938594012</v>
      </c>
      <c r="J29" s="5"/>
      <c r="K29" s="70" t="s">
        <v>7</v>
      </c>
      <c r="L29" s="70"/>
      <c r="M29" s="70"/>
      <c r="N29" s="70"/>
      <c r="O29" s="71" t="s">
        <v>24</v>
      </c>
      <c r="P29" s="71"/>
      <c r="Q29" s="71"/>
      <c r="R29" s="71"/>
      <c r="S29" s="71"/>
      <c r="T29" s="71"/>
      <c r="U29" s="71"/>
      <c r="V29" s="71"/>
      <c r="W29" s="71"/>
      <c r="X29" s="71"/>
    </row>
    <row r="30" spans="1:24" ht="27.75" customHeight="1">
      <c r="J30" s="9"/>
      <c r="K30" s="69" t="s">
        <v>8</v>
      </c>
      <c r="L30" s="69"/>
      <c r="M30" s="69"/>
      <c r="N30" s="69"/>
      <c r="O30" s="64" t="s">
        <v>25</v>
      </c>
      <c r="P30" s="64"/>
      <c r="Q30" s="64"/>
      <c r="R30" s="64"/>
      <c r="S30" s="64"/>
      <c r="T30" s="64"/>
      <c r="U30" s="64"/>
      <c r="V30" s="64"/>
      <c r="W30" s="64"/>
      <c r="X30" s="64"/>
    </row>
    <row r="31" spans="1:24">
      <c r="K31" s="70" t="s">
        <v>27</v>
      </c>
      <c r="L31" s="70"/>
      <c r="M31" s="70"/>
      <c r="N31" s="70"/>
      <c r="O31" s="71" t="s">
        <v>26</v>
      </c>
      <c r="P31" s="71"/>
      <c r="Q31" s="71"/>
      <c r="R31" s="71"/>
      <c r="S31" s="71"/>
      <c r="T31" s="71"/>
      <c r="U31" s="71"/>
      <c r="V31" s="71"/>
      <c r="W31" s="71"/>
      <c r="X31" s="71"/>
    </row>
    <row r="35" spans="2:6">
      <c r="B35" s="14"/>
    </row>
    <row r="36" spans="2:6">
      <c r="B36" s="14"/>
      <c r="E36" s="44"/>
    </row>
    <row r="37" spans="2:6">
      <c r="B37" s="14"/>
      <c r="E37" s="14"/>
    </row>
    <row r="38" spans="2:6">
      <c r="B38" s="14"/>
      <c r="E38" s="14"/>
    </row>
    <row r="39" spans="2:6">
      <c r="B39" s="43"/>
      <c r="E39" s="14"/>
    </row>
    <row r="40" spans="2:6">
      <c r="B40" s="44"/>
      <c r="E40" s="14"/>
    </row>
    <row r="41" spans="2:6">
      <c r="E41" s="14"/>
    </row>
    <row r="43" spans="2:6">
      <c r="E43" s="46"/>
    </row>
    <row r="45" spans="2:6">
      <c r="E45" s="47"/>
      <c r="F45" s="46"/>
    </row>
    <row r="46" spans="2:6">
      <c r="B46" s="47"/>
      <c r="C46" s="47"/>
      <c r="D46" s="47"/>
    </row>
  </sheetData>
  <mergeCells count="21">
    <mergeCell ref="K31:N31"/>
    <mergeCell ref="O31:X31"/>
    <mergeCell ref="A21:A26"/>
    <mergeCell ref="K27:N27"/>
    <mergeCell ref="P27:X27"/>
    <mergeCell ref="K28:N28"/>
    <mergeCell ref="P28:X28"/>
    <mergeCell ref="K29:N29"/>
    <mergeCell ref="O29:X29"/>
    <mergeCell ref="K16:N16"/>
    <mergeCell ref="P16:U16"/>
    <mergeCell ref="K18:N18"/>
    <mergeCell ref="P18:X18"/>
    <mergeCell ref="K30:N30"/>
    <mergeCell ref="O30:X30"/>
    <mergeCell ref="A1:I1"/>
    <mergeCell ref="A2:I2"/>
    <mergeCell ref="A3:I3"/>
    <mergeCell ref="K15:N15"/>
    <mergeCell ref="P15:U15"/>
    <mergeCell ref="C4:D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PAE 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2025-05-05T19:17:46Z</dcterms:created>
  <dcterms:modified xsi:type="dcterms:W3CDTF">2025-12-12T23:48:23Z</dcterms:modified>
</cp:coreProperties>
</file>