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460" windowWidth="19420" windowHeight="11020" activeTab="2"/>
  </bookViews>
  <sheets>
    <sheet name="COTIZACIONES LOGISTICA revisad" sheetId="13" r:id="rId1"/>
    <sheet name="MEDIOS ALTERNATIVOS" sheetId="9" r:id="rId2"/>
    <sheet name="COTIZACIONES LOGISTICA (3)" sheetId="12" r:id="rId3"/>
    <sheet name="COTIZACIONES LOGISTICA (2)" sheetId="11" r:id="rId4"/>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 i="13"/>
  <c r="J4"/>
  <c r="G10"/>
  <c r="J10"/>
  <c r="G16"/>
  <c r="J16"/>
  <c r="G22"/>
  <c r="J22"/>
  <c r="G24"/>
  <c r="J24"/>
  <c r="G26"/>
  <c r="J26"/>
  <c r="G32"/>
  <c r="J32"/>
  <c r="M32"/>
  <c r="G33"/>
  <c r="J33"/>
  <c r="M33"/>
  <c r="G34"/>
  <c r="J34"/>
  <c r="M34"/>
  <c r="G35"/>
  <c r="J35"/>
  <c r="M35"/>
  <c r="G36"/>
  <c r="J36"/>
  <c r="M36"/>
  <c r="G37"/>
  <c r="J37"/>
  <c r="M37"/>
  <c r="G38"/>
  <c r="J38"/>
  <c r="M38"/>
  <c r="G39"/>
  <c r="I39"/>
  <c r="J39" s="1"/>
  <c r="M39"/>
  <c r="G40"/>
  <c r="I40"/>
  <c r="J40" s="1"/>
  <c r="M40"/>
  <c r="G41"/>
  <c r="J41"/>
  <c r="M41"/>
  <c r="G42"/>
  <c r="J42"/>
  <c r="M42"/>
  <c r="G43"/>
  <c r="J43"/>
  <c r="M43"/>
  <c r="G44"/>
  <c r="J44"/>
  <c r="M44"/>
  <c r="G45"/>
  <c r="J45"/>
  <c r="M45"/>
  <c r="G46"/>
  <c r="J46"/>
  <c r="M46"/>
  <c r="G47"/>
  <c r="J47"/>
  <c r="M47"/>
  <c r="G48"/>
  <c r="J48"/>
  <c r="M48"/>
  <c r="G49"/>
  <c r="J49"/>
  <c r="M49"/>
  <c r="G50"/>
  <c r="J50"/>
  <c r="M50"/>
  <c r="F56"/>
  <c r="G56" s="1"/>
  <c r="I56"/>
  <c r="J56" s="1"/>
  <c r="G59"/>
  <c r="I59"/>
  <c r="J59" s="1"/>
  <c r="N59" s="1"/>
  <c r="G64"/>
  <c r="I64"/>
  <c r="J64" s="1"/>
  <c r="G66"/>
  <c r="I66"/>
  <c r="J66" s="1"/>
  <c r="G68"/>
  <c r="I68"/>
  <c r="J68" s="1"/>
  <c r="N68" s="1"/>
  <c r="F69"/>
  <c r="G69" s="1"/>
  <c r="I69"/>
  <c r="J69" s="1"/>
  <c r="F70"/>
  <c r="G70" s="1"/>
  <c r="I70"/>
  <c r="J70" s="1"/>
  <c r="G76"/>
  <c r="I76"/>
  <c r="J76" s="1"/>
  <c r="F77"/>
  <c r="G77" s="1"/>
  <c r="I77"/>
  <c r="J77" s="1"/>
  <c r="F78"/>
  <c r="G78" s="1"/>
  <c r="I78"/>
  <c r="J78" s="1"/>
  <c r="N78" s="1"/>
  <c r="F79"/>
  <c r="G79" s="1"/>
  <c r="I79"/>
  <c r="J79" s="1"/>
  <c r="F80"/>
  <c r="G80" s="1"/>
  <c r="I80"/>
  <c r="J80" s="1"/>
  <c r="F81"/>
  <c r="G81" s="1"/>
  <c r="I81"/>
  <c r="J81" s="1"/>
  <c r="F82"/>
  <c r="G82" s="1"/>
  <c r="I82"/>
  <c r="J82" s="1"/>
  <c r="F83"/>
  <c r="G83" s="1"/>
  <c r="I83"/>
  <c r="J83" s="1"/>
  <c r="F84"/>
  <c r="G84" s="1"/>
  <c r="I84"/>
  <c r="J84"/>
  <c r="F85"/>
  <c r="G85" s="1"/>
  <c r="I85"/>
  <c r="J85" s="1"/>
  <c r="F92"/>
  <c r="G92" s="1"/>
  <c r="J92"/>
  <c r="G98"/>
  <c r="I98"/>
  <c r="J98" s="1"/>
  <c r="G99"/>
  <c r="I99"/>
  <c r="J99" s="1"/>
  <c r="F100"/>
  <c r="G100" s="1"/>
  <c r="I100"/>
  <c r="J100" s="1"/>
  <c r="G101"/>
  <c r="J101"/>
  <c r="N101" s="1"/>
  <c r="G102"/>
  <c r="J102"/>
  <c r="G103"/>
  <c r="I103"/>
  <c r="J103" s="1"/>
  <c r="N103" s="1"/>
  <c r="N102" l="1"/>
  <c r="N82"/>
  <c r="N84"/>
  <c r="N76"/>
  <c r="N56"/>
  <c r="N48"/>
  <c r="N44"/>
  <c r="N37"/>
  <c r="N33"/>
  <c r="N66"/>
  <c r="N70"/>
  <c r="N80"/>
  <c r="N64"/>
  <c r="N42"/>
  <c r="N39"/>
  <c r="N35"/>
  <c r="N79"/>
  <c r="N83"/>
  <c r="N50"/>
  <c r="N46"/>
  <c r="N81"/>
  <c r="N47"/>
  <c r="N43"/>
  <c r="N40"/>
  <c r="N36"/>
  <c r="N32"/>
  <c r="N26"/>
  <c r="N22"/>
  <c r="N10"/>
  <c r="N92"/>
  <c r="N85"/>
  <c r="N77"/>
  <c r="N69"/>
  <c r="N49"/>
  <c r="N45"/>
  <c r="N41"/>
  <c r="N38"/>
  <c r="N34"/>
  <c r="N24"/>
  <c r="N16"/>
  <c r="N4"/>
  <c r="N100"/>
  <c r="N98"/>
  <c r="N99"/>
  <c r="N93" l="1"/>
  <c r="N51"/>
  <c r="N27"/>
  <c r="N104"/>
  <c r="N106" l="1"/>
  <c r="E99" i="11" l="1"/>
  <c r="R98"/>
  <c r="S98" s="1"/>
  <c r="O98"/>
  <c r="P98" s="1"/>
  <c r="L98"/>
  <c r="M98" s="1"/>
  <c r="I98"/>
  <c r="J98" s="1"/>
  <c r="F98"/>
  <c r="G98" s="1"/>
  <c r="R97"/>
  <c r="S97" s="1"/>
  <c r="O97"/>
  <c r="P97" s="1"/>
  <c r="L97"/>
  <c r="M97" s="1"/>
  <c r="I97"/>
  <c r="J97" s="1"/>
  <c r="F97"/>
  <c r="G97" s="1"/>
  <c r="R96"/>
  <c r="S96" s="1"/>
  <c r="O96"/>
  <c r="P96" s="1"/>
  <c r="L96"/>
  <c r="M96" s="1"/>
  <c r="I96"/>
  <c r="J96" s="1"/>
  <c r="F96"/>
  <c r="G96" s="1"/>
  <c r="R95"/>
  <c r="S95" s="1"/>
  <c r="O95"/>
  <c r="P95" s="1"/>
  <c r="L95"/>
  <c r="M95" s="1"/>
  <c r="J95"/>
  <c r="I95"/>
  <c r="F95"/>
  <c r="G95" s="1"/>
  <c r="R94"/>
  <c r="S94" s="1"/>
  <c r="P94"/>
  <c r="O94"/>
  <c r="L94"/>
  <c r="M94" s="1"/>
  <c r="I94"/>
  <c r="J94" s="1"/>
  <c r="G94"/>
  <c r="F94"/>
  <c r="S93"/>
  <c r="R93"/>
  <c r="O93"/>
  <c r="P93" s="1"/>
  <c r="L93"/>
  <c r="M93" s="1"/>
  <c r="J93"/>
  <c r="I93"/>
  <c r="F93"/>
  <c r="G93" s="1"/>
  <c r="R92"/>
  <c r="S92" s="1"/>
  <c r="O92"/>
  <c r="P92" s="1"/>
  <c r="L92"/>
  <c r="M92" s="1"/>
  <c r="I92"/>
  <c r="J92" s="1"/>
  <c r="F92"/>
  <c r="G92" s="1"/>
  <c r="Q88"/>
  <c r="N88"/>
  <c r="K88"/>
  <c r="H88"/>
  <c r="I88" s="1"/>
  <c r="J88" s="1"/>
  <c r="F88"/>
  <c r="G88" s="1"/>
  <c r="T87"/>
  <c r="T86"/>
  <c r="T85"/>
  <c r="T84"/>
  <c r="T83"/>
  <c r="T82"/>
  <c r="R81"/>
  <c r="S81" s="1"/>
  <c r="N81"/>
  <c r="O81" s="1"/>
  <c r="L81"/>
  <c r="M81" s="1"/>
  <c r="I81"/>
  <c r="J81" s="1"/>
  <c r="F81"/>
  <c r="G81" s="1"/>
  <c r="R80"/>
  <c r="S80" s="1"/>
  <c r="O80"/>
  <c r="P80" s="1"/>
  <c r="L80"/>
  <c r="M80" s="1"/>
  <c r="I80"/>
  <c r="J80" s="1"/>
  <c r="F80"/>
  <c r="G80" s="1"/>
  <c r="R79"/>
  <c r="S79" s="1"/>
  <c r="O79"/>
  <c r="P79" s="1"/>
  <c r="L79"/>
  <c r="M79" s="1"/>
  <c r="I79"/>
  <c r="J79" s="1"/>
  <c r="F79"/>
  <c r="G79" s="1"/>
  <c r="R78"/>
  <c r="S78" s="1"/>
  <c r="O78"/>
  <c r="P78" s="1"/>
  <c r="L78"/>
  <c r="M78" s="1"/>
  <c r="I78"/>
  <c r="J78" s="1"/>
  <c r="F78"/>
  <c r="G78" s="1"/>
  <c r="R77"/>
  <c r="S77" s="1"/>
  <c r="O77"/>
  <c r="P77" s="1"/>
  <c r="L77"/>
  <c r="M77" s="1"/>
  <c r="I77"/>
  <c r="J77" s="1"/>
  <c r="F77"/>
  <c r="G77" s="1"/>
  <c r="S76"/>
  <c r="R76"/>
  <c r="O76"/>
  <c r="P76" s="1"/>
  <c r="L76"/>
  <c r="M76" s="1"/>
  <c r="J76"/>
  <c r="I76"/>
  <c r="F76"/>
  <c r="G76" s="1"/>
  <c r="R75"/>
  <c r="S75" s="1"/>
  <c r="O75"/>
  <c r="P75" s="1"/>
  <c r="L75"/>
  <c r="M75" s="1"/>
  <c r="I75"/>
  <c r="J75" s="1"/>
  <c r="F75"/>
  <c r="G75" s="1"/>
  <c r="R74"/>
  <c r="S74" s="1"/>
  <c r="O74"/>
  <c r="P74" s="1"/>
  <c r="L74"/>
  <c r="M74" s="1"/>
  <c r="I74"/>
  <c r="J74" s="1"/>
  <c r="F74"/>
  <c r="G74" s="1"/>
  <c r="R73"/>
  <c r="S73" s="1"/>
  <c r="O73"/>
  <c r="P73" s="1"/>
  <c r="L73"/>
  <c r="M73" s="1"/>
  <c r="I73"/>
  <c r="J73" s="1"/>
  <c r="F73"/>
  <c r="G73" s="1"/>
  <c r="Q72"/>
  <c r="N72"/>
  <c r="O72" s="1"/>
  <c r="P72" s="1"/>
  <c r="L72"/>
  <c r="M72" s="1"/>
  <c r="H72"/>
  <c r="I72" s="1"/>
  <c r="F72"/>
  <c r="G72" s="1"/>
  <c r="T71"/>
  <c r="T70"/>
  <c r="T69"/>
  <c r="T68"/>
  <c r="T67"/>
  <c r="Q66"/>
  <c r="R66" s="1"/>
  <c r="S66" s="1"/>
  <c r="N66"/>
  <c r="O66" s="1"/>
  <c r="P66" s="1"/>
  <c r="L66"/>
  <c r="M66" s="1"/>
  <c r="H66"/>
  <c r="F66"/>
  <c r="G66" s="1"/>
  <c r="Q65"/>
  <c r="R65" s="1"/>
  <c r="S65" s="1"/>
  <c r="N65"/>
  <c r="L65"/>
  <c r="M65" s="1"/>
  <c r="H65"/>
  <c r="I65" s="1"/>
  <c r="F65"/>
  <c r="G65" s="1"/>
  <c r="R64"/>
  <c r="S64" s="1"/>
  <c r="O64"/>
  <c r="P64" s="1"/>
  <c r="L64"/>
  <c r="M64" s="1"/>
  <c r="I64"/>
  <c r="J64" s="1"/>
  <c r="F64"/>
  <c r="G64" s="1"/>
  <c r="Q62"/>
  <c r="R62" s="1"/>
  <c r="N62"/>
  <c r="O62" s="1"/>
  <c r="L62"/>
  <c r="M62" s="1"/>
  <c r="H62"/>
  <c r="G62"/>
  <c r="F62"/>
  <c r="Q60"/>
  <c r="N60"/>
  <c r="O60" s="1"/>
  <c r="P60" s="1"/>
  <c r="L60"/>
  <c r="M60" s="1"/>
  <c r="H60"/>
  <c r="I60" s="1"/>
  <c r="F60"/>
  <c r="G60" s="1"/>
  <c r="Q55"/>
  <c r="N55"/>
  <c r="O55" s="1"/>
  <c r="L55"/>
  <c r="M55" s="1"/>
  <c r="H55"/>
  <c r="I55" s="1"/>
  <c r="F55"/>
  <c r="G55" s="1"/>
  <c r="T54"/>
  <c r="T53"/>
  <c r="Q52"/>
  <c r="R52" s="1"/>
  <c r="N52"/>
  <c r="O52" s="1"/>
  <c r="P52" s="1"/>
  <c r="L52"/>
  <c r="M52" s="1"/>
  <c r="H52"/>
  <c r="I52" s="1"/>
  <c r="J52" s="1"/>
  <c r="F52"/>
  <c r="G52" s="1"/>
  <c r="R48"/>
  <c r="S48" s="1"/>
  <c r="O48"/>
  <c r="P48" s="1"/>
  <c r="L48"/>
  <c r="M48" s="1"/>
  <c r="I48"/>
  <c r="J48" s="1"/>
  <c r="F48"/>
  <c r="G48" s="1"/>
  <c r="R47"/>
  <c r="S47" s="1"/>
  <c r="O47"/>
  <c r="P47" s="1"/>
  <c r="L47"/>
  <c r="M47" s="1"/>
  <c r="I47"/>
  <c r="J47" s="1"/>
  <c r="F47"/>
  <c r="G47" s="1"/>
  <c r="R46"/>
  <c r="S46" s="1"/>
  <c r="O46"/>
  <c r="P46" s="1"/>
  <c r="L46"/>
  <c r="M46" s="1"/>
  <c r="I46"/>
  <c r="J46" s="1"/>
  <c r="F46"/>
  <c r="G46" s="1"/>
  <c r="R45"/>
  <c r="S45" s="1"/>
  <c r="N45"/>
  <c r="M45"/>
  <c r="L45"/>
  <c r="I45"/>
  <c r="J45" s="1"/>
  <c r="F45"/>
  <c r="G45" s="1"/>
  <c r="R44"/>
  <c r="S44" s="1"/>
  <c r="N44"/>
  <c r="O44" s="1"/>
  <c r="P44" s="1"/>
  <c r="L44"/>
  <c r="M44" s="1"/>
  <c r="I44"/>
  <c r="J44" s="1"/>
  <c r="F44"/>
  <c r="G44" s="1"/>
  <c r="R43"/>
  <c r="S43" s="1"/>
  <c r="O43"/>
  <c r="P43" s="1"/>
  <c r="L43"/>
  <c r="M43" s="1"/>
  <c r="I43"/>
  <c r="J43" s="1"/>
  <c r="F43"/>
  <c r="G43" s="1"/>
  <c r="R42"/>
  <c r="S42" s="1"/>
  <c r="O42"/>
  <c r="P42" s="1"/>
  <c r="L42"/>
  <c r="M42" s="1"/>
  <c r="I42"/>
  <c r="J42" s="1"/>
  <c r="F42"/>
  <c r="G42" s="1"/>
  <c r="R41"/>
  <c r="S41" s="1"/>
  <c r="O41"/>
  <c r="P41" s="1"/>
  <c r="L41"/>
  <c r="M41" s="1"/>
  <c r="I41"/>
  <c r="J41" s="1"/>
  <c r="F41"/>
  <c r="G41" s="1"/>
  <c r="R40"/>
  <c r="S40" s="1"/>
  <c r="P40"/>
  <c r="O40"/>
  <c r="L40"/>
  <c r="M40" s="1"/>
  <c r="I40"/>
  <c r="J40" s="1"/>
  <c r="G40"/>
  <c r="F40"/>
  <c r="R39"/>
  <c r="S39" s="1"/>
  <c r="O39"/>
  <c r="P39" s="1"/>
  <c r="L39"/>
  <c r="M39" s="1"/>
  <c r="I39"/>
  <c r="J39" s="1"/>
  <c r="F39"/>
  <c r="G39" s="1"/>
  <c r="Q38"/>
  <c r="R38" s="1"/>
  <c r="S38" s="1"/>
  <c r="N38"/>
  <c r="O38" s="1"/>
  <c r="P38" s="1"/>
  <c r="L38"/>
  <c r="M38" s="1"/>
  <c r="H38"/>
  <c r="F38"/>
  <c r="G38" s="1"/>
  <c r="S37"/>
  <c r="R37"/>
  <c r="O37"/>
  <c r="P37" s="1"/>
  <c r="L37"/>
  <c r="M37" s="1"/>
  <c r="I37"/>
  <c r="J37" s="1"/>
  <c r="F37"/>
  <c r="G37" s="1"/>
  <c r="R36"/>
  <c r="S36" s="1"/>
  <c r="O36"/>
  <c r="P36" s="1"/>
  <c r="L36"/>
  <c r="M36" s="1"/>
  <c r="I36"/>
  <c r="J36" s="1"/>
  <c r="F36"/>
  <c r="G36" s="1"/>
  <c r="R35"/>
  <c r="S35" s="1"/>
  <c r="O35"/>
  <c r="P35" s="1"/>
  <c r="L35"/>
  <c r="M35" s="1"/>
  <c r="I35"/>
  <c r="J35" s="1"/>
  <c r="F35"/>
  <c r="G35" s="1"/>
  <c r="R34"/>
  <c r="S34" s="1"/>
  <c r="O34"/>
  <c r="P34" s="1"/>
  <c r="L34"/>
  <c r="M34" s="1"/>
  <c r="I34"/>
  <c r="J34" s="1"/>
  <c r="F34"/>
  <c r="G34" s="1"/>
  <c r="R33"/>
  <c r="S33" s="1"/>
  <c r="P33"/>
  <c r="O33"/>
  <c r="L33"/>
  <c r="M33" s="1"/>
  <c r="I33"/>
  <c r="J33" s="1"/>
  <c r="F33"/>
  <c r="G33" s="1"/>
  <c r="Q32"/>
  <c r="R32" s="1"/>
  <c r="S32" s="1"/>
  <c r="N32"/>
  <c r="O32" s="1"/>
  <c r="P32" s="1"/>
  <c r="L32"/>
  <c r="M32" s="1"/>
  <c r="I32"/>
  <c r="J32" s="1"/>
  <c r="F32"/>
  <c r="G32" s="1"/>
  <c r="Q31"/>
  <c r="R31" s="1"/>
  <c r="N31"/>
  <c r="O31" s="1"/>
  <c r="P31" s="1"/>
  <c r="L31"/>
  <c r="M31" s="1"/>
  <c r="I31"/>
  <c r="J31" s="1"/>
  <c r="F31"/>
  <c r="G31" s="1"/>
  <c r="Q30"/>
  <c r="N30"/>
  <c r="O30" s="1"/>
  <c r="P30" s="1"/>
  <c r="L30"/>
  <c r="M30" s="1"/>
  <c r="I30"/>
  <c r="J30" s="1"/>
  <c r="F30"/>
  <c r="G30" s="1"/>
  <c r="Q26"/>
  <c r="N26"/>
  <c r="O26" s="1"/>
  <c r="P26" s="1"/>
  <c r="K26"/>
  <c r="H26"/>
  <c r="I26" s="1"/>
  <c r="J26" s="1"/>
  <c r="F26"/>
  <c r="G26" s="1"/>
  <c r="R24"/>
  <c r="S24" s="1"/>
  <c r="O24"/>
  <c r="P24" s="1"/>
  <c r="L24"/>
  <c r="M24" s="1"/>
  <c r="I24"/>
  <c r="J24" s="1"/>
  <c r="F24"/>
  <c r="G24" s="1"/>
  <c r="R22"/>
  <c r="S22" s="1"/>
  <c r="O22"/>
  <c r="P22" s="1"/>
  <c r="L22"/>
  <c r="M22" s="1"/>
  <c r="I22"/>
  <c r="J22" s="1"/>
  <c r="F22"/>
  <c r="G22" s="1"/>
  <c r="R16"/>
  <c r="S16" s="1"/>
  <c r="O16"/>
  <c r="P16" s="1"/>
  <c r="L16"/>
  <c r="M16" s="1"/>
  <c r="I16"/>
  <c r="J16" s="1"/>
  <c r="F16"/>
  <c r="G16" s="1"/>
  <c r="Q10"/>
  <c r="R10" s="1"/>
  <c r="N10"/>
  <c r="K10"/>
  <c r="H10"/>
  <c r="F10"/>
  <c r="G10" s="1"/>
  <c r="S4"/>
  <c r="R4"/>
  <c r="O4"/>
  <c r="L4"/>
  <c r="I4"/>
  <c r="J4" s="1"/>
  <c r="F4"/>
  <c r="G4" s="1"/>
  <c r="T76" l="1"/>
  <c r="I10"/>
  <c r="J10" s="1"/>
  <c r="O10"/>
  <c r="P10" s="1"/>
  <c r="I66"/>
  <c r="J66" s="1"/>
  <c r="T66" s="1"/>
  <c r="T78"/>
  <c r="P81"/>
  <c r="T81" s="1"/>
  <c r="N99"/>
  <c r="T37"/>
  <c r="T33"/>
  <c r="T94"/>
  <c r="T95"/>
  <c r="K99"/>
  <c r="T75"/>
  <c r="T77"/>
  <c r="T96"/>
  <c r="T16"/>
  <c r="T74"/>
  <c r="T39"/>
  <c r="T42"/>
  <c r="G99"/>
  <c r="T22"/>
  <c r="T24"/>
  <c r="T32"/>
  <c r="T40"/>
  <c r="T41"/>
  <c r="T43"/>
  <c r="T44"/>
  <c r="T80"/>
  <c r="T98"/>
  <c r="T34"/>
  <c r="T46"/>
  <c r="T47"/>
  <c r="T64"/>
  <c r="T92"/>
  <c r="T93"/>
  <c r="T97"/>
  <c r="T35"/>
  <c r="T36"/>
  <c r="T48"/>
  <c r="H99"/>
  <c r="S52"/>
  <c r="T52" s="1"/>
  <c r="R55"/>
  <c r="S55" s="1"/>
  <c r="J60"/>
  <c r="I62"/>
  <c r="J62" s="1"/>
  <c r="P62"/>
  <c r="L88"/>
  <c r="M88" s="1"/>
  <c r="M4"/>
  <c r="T4" s="1"/>
  <c r="S10"/>
  <c r="R30"/>
  <c r="S30" s="1"/>
  <c r="T30" s="1"/>
  <c r="S31"/>
  <c r="T31" s="1"/>
  <c r="R60"/>
  <c r="S60" s="1"/>
  <c r="P4"/>
  <c r="L26"/>
  <c r="M26" s="1"/>
  <c r="R26"/>
  <c r="S26" s="1"/>
  <c r="I38"/>
  <c r="O45"/>
  <c r="P45" s="1"/>
  <c r="T45" s="1"/>
  <c r="S62"/>
  <c r="O65"/>
  <c r="P65" s="1"/>
  <c r="J72"/>
  <c r="R72"/>
  <c r="S72" s="1"/>
  <c r="T72" s="1"/>
  <c r="O88"/>
  <c r="P88" s="1"/>
  <c r="P55"/>
  <c r="J65"/>
  <c r="F99"/>
  <c r="T73"/>
  <c r="T79"/>
  <c r="R88"/>
  <c r="S88" s="1"/>
  <c r="Q99"/>
  <c r="L10"/>
  <c r="M10" s="1"/>
  <c r="J55"/>
  <c r="T10" l="1"/>
  <c r="T62"/>
  <c r="T55"/>
  <c r="T65"/>
  <c r="I99"/>
  <c r="L99"/>
  <c r="T88"/>
  <c r="S99"/>
  <c r="T26"/>
  <c r="T60"/>
  <c r="O99"/>
  <c r="P99"/>
  <c r="M99"/>
  <c r="J38"/>
  <c r="R99"/>
  <c r="T38" l="1"/>
  <c r="T99" s="1"/>
  <c r="J99"/>
  <c r="F8" i="9"/>
  <c r="E7"/>
  <c r="F7" s="1"/>
  <c r="E8"/>
  <c r="E9"/>
  <c r="F9" s="1"/>
  <c r="E10"/>
  <c r="F10" s="1"/>
  <c r="E11"/>
  <c r="F11" s="1"/>
  <c r="E5"/>
  <c r="F5" s="1"/>
  <c r="E6"/>
  <c r="F6" s="1"/>
  <c r="E4"/>
  <c r="F4" s="1"/>
  <c r="F12" l="1"/>
</calcChain>
</file>

<file path=xl/sharedStrings.xml><?xml version="1.0" encoding="utf-8"?>
<sst xmlns="http://schemas.openxmlformats.org/spreadsheetml/2006/main" count="741" uniqueCount="197">
  <si>
    <t>BIEN O SERVICIO</t>
  </si>
  <si>
    <t>CODIGO UNSPSC</t>
  </si>
  <si>
    <t>DESCRIPCIÓN</t>
  </si>
  <si>
    <t>UNIDAD DE MEDIDA</t>
  </si>
  <si>
    <t>Unidad</t>
  </si>
  <si>
    <t>DISEÑO E IMPRESIÓN DE TARJETAS DE INVITACIÓN</t>
  </si>
  <si>
    <t>Diseño e impresión 1</t>
  </si>
  <si>
    <t>Debe incluir la imagen institucional de acuerdo a los parámetros establecidos por la Alcaldía Local.</t>
  </si>
  <si>
    <t>Diseño e impresión 1:</t>
  </si>
  <si>
    <t>Debe incluir la imagen institucional de acuerdo a los parámetros establecidos por la ALCALDÍA LOCAL.</t>
  </si>
  <si>
    <t>DISEÑO E IMPRESIÓN DE AFICHES</t>
  </si>
  <si>
    <t>Debe incluir la imagen institucional de acuerdo a los parámetros establecidos por la ALCALDÍA LOCAL, en calidad óptima definida por la ALCALDÍA LOCAL</t>
  </si>
  <si>
    <t>17,5 cms x 25 cms.</t>
  </si>
  <si>
    <t>Tapa dura en policromía, papel ilustración 260 gramos con laca brillante.</t>
  </si>
  <si>
    <t>Imagen del evento o actividad en la tapa de la agenda.</t>
  </si>
  <si>
    <t>UNIDAD</t>
  </si>
  <si>
    <t>REFRIGERIOS</t>
  </si>
  <si>
    <t>OPCIONAL: servicio de entrega al usuario final.</t>
  </si>
  <si>
    <t>SERVICIO DE INTERNET - MODEM INHALAMBRICO</t>
  </si>
  <si>
    <t>Modem internet inalámbrico que garantice la conectividad de hasta 100 dispositivos bien sea en lugar cerrado o abierto.</t>
  </si>
  <si>
    <t>LTE Bandas 4 y 7.</t>
  </si>
  <si>
    <t>DL/UL 100/50Mbps.</t>
  </si>
  <si>
    <t>WCDMA 850/1900MHz. GSM850/900/1800/1900MHz Procesador: Qualcomm  Batería: 2300mAh Dimensiones: 106mm*58mm*15.8mm / Peso 103g</t>
  </si>
  <si>
    <t>Micro SD de 32GB</t>
  </si>
  <si>
    <t>Interfaz WEB</t>
  </si>
  <si>
    <t>Compatible con: Windows, Mac OS y Linux. Incluye transporte e instalación. Estos equipos deberán ser instalados el día anterior al evento.</t>
  </si>
  <si>
    <t>SERVICIO DE INTERPRETACIÓN EN LENGUAJE DE SEÑAS Y/O LENGUAJE VISUAL Y/O SORDOCEGUERA.</t>
  </si>
  <si>
    <t>Dos intérpretes acreditados por el Ministerio de Educación Nacional y por el INSOR.</t>
  </si>
  <si>
    <t>SERVICIO DE TRANSPORTE URBANO Y RURAL IDA Y REGRESO EN BOGOTÁ</t>
  </si>
  <si>
    <t>Menu 1:</t>
  </si>
  <si>
    <t>BEBIDA: Jugo de fruta sabores surtidos envase tetra pack de 200 cc o bebida gaseosa en botella personal de 200cc  (6.76onzas)</t>
  </si>
  <si>
    <t>ACOMPAÑAMIENTO: ponqué sabores surtidos, una chocolatina o caramelo de 12 gramos.</t>
  </si>
  <si>
    <t>FRUTA: una fruta (manzana, pera o durazno) 150 gr.</t>
  </si>
  <si>
    <t>EMPAQUE:  Empaque bio-degradable (si se requiere), preferiblemente que los productos se encuentren en empaques reciclables y/o biodegradables.</t>
  </si>
  <si>
    <t>Menu 2:</t>
  </si>
  <si>
    <t>ACOMPAÑAMIENTO: sándwich en pan blanco con jamón y queso de 100 gramos</t>
  </si>
  <si>
    <t>Menu 3:</t>
  </si>
  <si>
    <t>ACOMPAÑAMIENTO: sándwich (en pan árabe o integral) con  carne desmechada o pollo acompañado con jamón y queso doble crema</t>
  </si>
  <si>
    <t>BEBIDA TIPO 1:</t>
  </si>
  <si>
    <t xml:space="preserve">Agua en botella 300 cc marca reconocida </t>
  </si>
  <si>
    <t>BEBIDA TIPO 2:</t>
  </si>
  <si>
    <t>Agua en botella 600 cc marca reconocida</t>
  </si>
  <si>
    <t>BEBIDAS</t>
  </si>
  <si>
    <t>ESTACIÓN DE CAFE</t>
  </si>
  <si>
    <t xml:space="preserve">Tinto, aromatica de frutas naturales 2 p/p , azucar bolsa individual 5 grs., azucar ligth/estevia bolsa individual 2 grs., crema bolsa individual 4 grs., agua- normal y con gas- en botella,  y paquetes de galletas x 32 unidades. </t>
  </si>
  <si>
    <t>vehículo capacidad de 20 personas</t>
  </si>
  <si>
    <t>LOGÍSTICA</t>
  </si>
  <si>
    <t xml:space="preserve">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</si>
  <si>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 xml:space="preserve">MICROBUS.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</si>
  <si>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Vehículo capacidad de 40 personas</t>
  </si>
  <si>
    <t>BAÑOS PORTATILES</t>
  </si>
  <si>
    <t>Fabricados en polietileno de alta densidad, con tanque de almacenamiento de 70 galones, para max. 300 usuarios, por servicio de 8 a 10 horas.</t>
  </si>
  <si>
    <t>PANTALLA GIGANTE</t>
  </si>
  <si>
    <t>Led indoor – outdoor tipo Pixel Pitch  (4x4 mts), con SDI para conexión de HDMI, con Servicio de Montaje y Desmontaje</t>
  </si>
  <si>
    <t>CAMARA</t>
  </si>
  <si>
    <t>Camara de video con Zoom óptico de 30x y digital 350X, enfoque automatico, con almacenamiento interno minimo de 32 GB, formato de grabacion (VIDEO) Compatible con formato AVCHD versión 2.0: MPEG4-AVC/H.264, mp4: MPEG-4 AVC/H.264, formato XAVC S MPEG4-AVC/H.264, compatible para transmisión en vivo, wifi, NFC</t>
  </si>
  <si>
    <t>SONIDO TIPO 1</t>
  </si>
  <si>
    <t>De 500 watts con operador, que tenga parlantes con base (trípode), amplificador, mezclador, y micrófono.</t>
  </si>
  <si>
    <t>SONIDO TIPO 2</t>
  </si>
  <si>
    <t>De 10.000 watts con operador, que tenga parlantes con base (trípode), amplificador, mezclador, y micrófono.</t>
  </si>
  <si>
    <t>CARPA</t>
  </si>
  <si>
    <t>4 x 4 mts con laterales</t>
  </si>
  <si>
    <t>VIDEO PROYECTOR</t>
  </si>
  <si>
    <t>Proyector con capacidad de conectar varios dispositivos al tiempo, con opción inalámbrica, resolución HD 1280 x 800 y/ó 1920X1200, Lumens 3300, puertos USB HDMI,  salida de audio bluetooh. En excelentes condiciones para su uso.</t>
  </si>
  <si>
    <t>RAMPA DE ACCESO</t>
  </si>
  <si>
    <t>Las rampas deben tener un ancho libre mínimo de 120 cm y ser de directriz recta o ligeramente curva. Pendiente transversal sea igual o inferior al 2% y que el suelo sea antideslizante. Debe disponer de pasamanos continuos en todo el tramo de la misma. Deben colocarse a ambos lados y a una altura comprendida entre 90 y 105 cm el más alto y otro entre 70 y 85 cm.</t>
  </si>
  <si>
    <t>PLANTA ELECTRICA</t>
  </si>
  <si>
    <t>De 125 kva</t>
  </si>
  <si>
    <t>TARIMA TIPO 1</t>
  </si>
  <si>
    <t>2,4 x 6x2 mts</t>
  </si>
  <si>
    <t>TARIMATIPO 2</t>
  </si>
  <si>
    <t>4 x 10 x 2 mts</t>
  </si>
  <si>
    <t>PLAN DE CONTINGENCIA</t>
  </si>
  <si>
    <t>Plan de contingencia documento y gestión: plan de contingencia para espacios abiertos, con (vista de bomberos, puesto de primeros auxilios con ambulancia medicalizada, acompañamiento policía, defensa civil, equipo de logística x 18, una (1) brigada cintra incendio con uniforme, distintivos y equipos de comunicación. Con aprobación y trámite ante el IDIGER y la plataforma SUGA.</t>
  </si>
  <si>
    <t>SILLAS</t>
  </si>
  <si>
    <t>Plásticas sin brazos</t>
  </si>
  <si>
    <t>MESAS</t>
  </si>
  <si>
    <t>Cuadradas plásiticas</t>
  </si>
  <si>
    <t>AMBULANCIA DE BAJA COMPLEJIDAD</t>
  </si>
  <si>
    <t>Las ambulancias requeridas por la alcaldía local de Ciudad Bolívar deben contar con el siguiente equipamiento: oximetro de pulso, desfibrilador, camilla de transporte, colchoneta para camilla de transporte, aspirador de secreciones portátil con batería, maletín de emergencia para ambulancia, tensiómetro adulto, estetoscopio adulto, estetoscopio pediátrico linterna de examen médico, collar adulto , balón de oxígeno para ambulancia, juego de férulas, chaleco de estricación, tabla rígida el ejecutor garantizará que el vehículo cuente con los permisos respectivos y cumpla con las disposiciones y normatividad vigente en materia de tránsito.</t>
  </si>
  <si>
    <t>VALLAS DE CONTENCIÓN</t>
  </si>
  <si>
    <t>Vallas de contención en lámina galvanizada con impresión de vinilo laminado  ( con imagen institucional) y estructura en tubo de hierro redondo, tamaño 270 x170 cm. El contratista debe garantizar la resistencia del uso al público y que estas se puedan unir entre ellas.</t>
  </si>
  <si>
    <t>CINTA DE SEGURIDAD</t>
  </si>
  <si>
    <t>Cinta de seguridad peligro / no pase, x100 mts y x50 mts.</t>
  </si>
  <si>
    <t>DISEÑO E IMPRESIÓN DE VOLANTES ( Full color)</t>
  </si>
  <si>
    <t>tamaño de 50 x 70cm, impreso a 4x0 tintas (pilocromia), en papel propalcote de 150 gramos</t>
  </si>
  <si>
    <t>Plegables a full color en ambas caras en papel propalcote de 115 gramos</t>
  </si>
  <si>
    <t>PENDONDES</t>
  </si>
  <si>
    <t>Metro cuadrado banner 1440 DPI full color en tubo y ojálele</t>
  </si>
  <si>
    <t>LIBRETAS</t>
  </si>
  <si>
    <t>4 primeras hojas contexto a una tinta el restante blancas</t>
  </si>
  <si>
    <t>Imagen institucional de la entidad en la tapa de la agenda</t>
  </si>
  <si>
    <t>Anillado</t>
  </si>
  <si>
    <t>ESFEROS</t>
  </si>
  <si>
    <t xml:space="preserve"> Con imagen institucional.</t>
  </si>
  <si>
    <t>CARPETAS</t>
  </si>
  <si>
    <t>Tamaño carta en propalcote plastificado con imagen institucional.</t>
  </si>
  <si>
    <t>SOMBRILLAS</t>
  </si>
  <si>
    <t>Promocionales con imagen institucional.</t>
  </si>
  <si>
    <t>ANTIBACTERIAL</t>
  </si>
  <si>
    <t>Frasco plástico antibacterial x 60ml, con imagen institucional</t>
  </si>
  <si>
    <t>IMANES</t>
  </si>
  <si>
    <t>Promocionales tamaño 9cm x 5 cm impresos a full color.</t>
  </si>
  <si>
    <t xml:space="preserve">DISEÑO E IMPRESIÓN DE PLEGABLES </t>
  </si>
  <si>
    <t>Con logotipo institucional de la Alcaldía Local y malla.</t>
  </si>
  <si>
    <t>GORRAS</t>
  </si>
  <si>
    <t>COMPUTADORES</t>
  </si>
  <si>
    <t xml:space="preserve">PORTATILES: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
</t>
  </si>
  <si>
    <t>COMPUESTADOR DE MESA O DESKTOP: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t>
  </si>
  <si>
    <t>HORA</t>
  </si>
  <si>
    <t>TABLET´S</t>
  </si>
  <si>
    <t>SERVICIO</t>
  </si>
  <si>
    <t xml:space="preserve">Tapabocas quirúrgico, termo sellado 4 lados, tres capas, tres pliegues, con ajustador nasal, cintas elásticas, con registro Invima. </t>
  </si>
  <si>
    <t>Caja X 50 UNIDADES</t>
  </si>
  <si>
    <t>Caja X 100 UNIDADES</t>
  </si>
  <si>
    <t>500 ML</t>
  </si>
  <si>
    <t>1 LT</t>
  </si>
  <si>
    <t>Alcohol gelificado para la desinfección de manos.Composición: Carbopol TEA, glicerina USP, alcohol etílico grado A al 63% de concentración.</t>
  </si>
  <si>
    <t>Características mínimas:
Tablet de 10.1” FullHD (Intel Atom x5-Z8550, 4GB de RAM, 64GB de eMMC, Cámara Frontal de 8MP, Sistema Operativo Windows, WiFi, Bluetooth)</t>
  </si>
  <si>
    <t>VALOR TOTAL SIN IVA</t>
  </si>
  <si>
    <t>VALOR IVA</t>
  </si>
  <si>
    <t xml:space="preserve">VALOR TOTAL IVA  INCLUIDO </t>
  </si>
  <si>
    <t>ALIMENTOS Y BEBIDAS</t>
  </si>
  <si>
    <t xml:space="preserve">MATERIAL POP </t>
  </si>
  <si>
    <t>BIOSEGURIDAD</t>
  </si>
  <si>
    <t>TAPABOCAS</t>
  </si>
  <si>
    <t>ALCOHOL</t>
  </si>
  <si>
    <t>al 96% de pureza, en dispensador de 500 ml con valvula tipo aspersor.</t>
  </si>
  <si>
    <t xml:space="preserve">Alcohol Antiséptico </t>
  </si>
  <si>
    <t>GUANTES DE NITRILO</t>
  </si>
  <si>
    <t>Unilente 100% policarbonato. con las siguientes especificaciones técnicas: - Puente de descanso incorporado al lente - Cubrimiento lateral - Capa del lente: Resistente a las rayaduras y antiempañante - Peso ligero - Cintas de sujeción en polipropileno - Resistente a fluidos - Estándar: ANSI Z87.1-2003</t>
  </si>
  <si>
    <t>MONO GAFAS</t>
  </si>
  <si>
    <t>ambidiestros, anatómicos, libres de látex, libres de talco, tallas M, L y XL surtidas</t>
  </si>
  <si>
    <t>Traje en 100% poliéster anti fluido, con capucha con resorte para mayor seguridad - bolsillo en el pecho a elección - cierre #5 con doble llave delantera - protección contra ingresos de fluidos y/o partículas - elásticos en los extremos de mangas y pantalón - peso de 123 - 136 gr/m2 -Durabilidad hasta 50 lavadas, Tallas M, L, XL, 2XL y 3XLIDAD ALTA
DURABILIDAD</t>
  </si>
  <si>
    <t>TRAJE DE BIOSEGURIDAD</t>
  </si>
  <si>
    <t>Con araña graduable para cabeza, con espuma para apoyo frontal y Visor en policarbonato con las siguientes especificaciones técnicas: - Resistente a salpicaduras - Antiempañante y anti fluidos - Peso ligero - Color transparente - Permitir uso de gafas formuladas  - Estándar: ANSI Z87.1-2003 / CE EN 166.</t>
  </si>
  <si>
    <t xml:space="preserve">CARETA O PROTECTOR FACIAL </t>
  </si>
  <si>
    <r>
      <t>Manejo horizontal/vertical:</t>
    </r>
    <r>
      <rPr>
        <sz val="9"/>
        <color theme="1"/>
        <rFont val="Arial"/>
        <family val="2"/>
      </rPr>
      <t xml:space="preserve"> 17.5 cms ancho x 12.5 cm largo, en a 150 gramos, papel kimberly con sobre.</t>
    </r>
  </si>
  <si>
    <r>
      <t>Manejo vertical:</t>
    </r>
    <r>
      <rPr>
        <sz val="9"/>
        <color theme="1"/>
        <rFont val="Arial"/>
        <family val="2"/>
      </rPr>
      <t xml:space="preserve"> 15 cms de ancho x 20 cms largo.</t>
    </r>
  </si>
  <si>
    <r>
      <t>Manejo horizontal</t>
    </r>
    <r>
      <rPr>
        <sz val="9"/>
        <color theme="1"/>
        <rFont val="Arial"/>
        <family val="2"/>
      </rPr>
      <t>: 20 cms de ancho X 15 cms de ancho.</t>
    </r>
  </si>
  <si>
    <r>
      <rPr>
        <b/>
        <sz val="9"/>
        <color theme="1"/>
        <rFont val="Arial"/>
        <family val="2"/>
      </rPr>
      <t>Papel</t>
    </r>
    <r>
      <rPr>
        <sz val="9"/>
        <color theme="1"/>
        <rFont val="Arial"/>
        <family val="2"/>
      </rPr>
      <t>: procalcote</t>
    </r>
  </si>
  <si>
    <t>AUTOTRAIN</t>
  </si>
  <si>
    <t xml:space="preserve">FUNDACIÓN OTRO ROLLO SOCIAL </t>
  </si>
  <si>
    <t>FUNDACIÓN COLOMBIA XXI</t>
  </si>
  <si>
    <t>PROMEDIO COTIZACIONES IVA INCLUIDO</t>
  </si>
  <si>
    <t>TABLA DE PRECIOS 2020</t>
  </si>
  <si>
    <t>Sector</t>
  </si>
  <si>
    <t>Tipo de medio</t>
  </si>
  <si>
    <t xml:space="preserve">Descripción Servicio </t>
  </si>
  <si>
    <t>Valor Sugerido</t>
  </si>
  <si>
    <t xml:space="preserve">Escrito </t>
  </si>
  <si>
    <t>Periódicos, Revistas, Fotografías</t>
  </si>
  <si>
    <t>Sonoros</t>
  </si>
  <si>
    <t xml:space="preserve">Emisoras virtuales, comunitarias </t>
  </si>
  <si>
    <t>Paquete de 6 cuñas diarias, de 30 segundos por 15 días calendario para total de 90 cuñas quincenales</t>
  </si>
  <si>
    <t>Audiovisuales</t>
  </si>
  <si>
    <t>Canales de Tv comunitaria, Blog y realizadores</t>
  </si>
  <si>
    <t>Emisión y realización video de hasta 3 minutos,  sin material incluyendo edición</t>
  </si>
  <si>
    <t>canal Comunitario con cubrimiento local y redes sociales</t>
  </si>
  <si>
    <t>Info-comercial 1. Programa de 5 minutos en el que se podrá mostrar todo acerca de un producto u organización, se maneja con testimonios o entrevistas y conducido por un presentador. Incluye grabación , edición, efectos musicalización y generador de caracteres para incluir información escrita de ser necesario</t>
  </si>
  <si>
    <t>Tic"S</t>
  </si>
  <si>
    <t>Diarios virtuales, magazines web, páginas web,</t>
  </si>
  <si>
    <t>skycraper parte baja publicación mensual</t>
  </si>
  <si>
    <t>Publirreportaje, incluye imágenes, videos, entrevistas, edición y publicación final</t>
  </si>
  <si>
    <t xml:space="preserve">Publicación en Contraportada </t>
  </si>
  <si>
    <t>Página Interna</t>
  </si>
  <si>
    <t>Media Pagina</t>
  </si>
  <si>
    <t>DIA</t>
  </si>
  <si>
    <t xml:space="preserve">STIKER </t>
  </si>
  <si>
    <t>Promocionales tamaños 9 cm x 5cm O 10 cm * 10 cm impresos a full color</t>
  </si>
  <si>
    <t>MAQUINANDO PUBLICIDAD S.A.S</t>
  </si>
  <si>
    <t>GPL MAKETING</t>
  </si>
  <si>
    <t>jaguar producción</t>
  </si>
  <si>
    <r>
      <t xml:space="preserve">FUNDACIÓN IWOKE / </t>
    </r>
    <r>
      <rPr>
        <b/>
        <sz val="9"/>
        <color theme="5" tint="0.39997558519241921"/>
        <rFont val="Arial"/>
        <family val="2"/>
      </rPr>
      <t>ALIMENTOS EMPRESARIALES VIP</t>
    </r>
    <r>
      <rPr>
        <b/>
        <sz val="9"/>
        <rFont val="Arial"/>
        <family val="2"/>
      </rPr>
      <t xml:space="preserve"> /</t>
    </r>
    <r>
      <rPr>
        <b/>
        <sz val="9"/>
        <color theme="7" tint="0.59999389629810485"/>
        <rFont val="Arial"/>
        <family val="2"/>
      </rPr>
      <t xml:space="preserve"> / </t>
    </r>
  </si>
  <si>
    <r>
      <t>IMPECO SAS /</t>
    </r>
    <r>
      <rPr>
        <b/>
        <sz val="9"/>
        <color theme="9" tint="0.59999389629810485"/>
        <rFont val="Arial"/>
        <family val="2"/>
      </rPr>
      <t xml:space="preserve"> kristal/</t>
    </r>
  </si>
  <si>
    <r>
      <t xml:space="preserve">PRINTU/ofimax / </t>
    </r>
    <r>
      <rPr>
        <b/>
        <sz val="9"/>
        <color theme="7" tint="0.39997558519241921"/>
        <rFont val="Arial"/>
        <family val="2"/>
      </rPr>
      <t>Rentin colombia</t>
    </r>
    <r>
      <rPr>
        <b/>
        <sz val="9"/>
        <color theme="5"/>
        <rFont val="Arial"/>
        <family val="2"/>
      </rPr>
      <t xml:space="preserve">/ </t>
    </r>
    <r>
      <rPr>
        <b/>
        <sz val="9"/>
        <color theme="9" tint="0.39997558519241921"/>
        <rFont val="Arial"/>
        <family val="2"/>
      </rPr>
      <t>Santana vargas consultores S.A.</t>
    </r>
  </si>
  <si>
    <t xml:space="preserve">PRECIO MATRIZ COLOMBIA COMPRA </t>
  </si>
  <si>
    <t xml:space="preserve">AVANT / SANTA VARGAS/(BIOE INGIENERIA/ IVONNE GIOVANNA CUERVO/ SUMINISTROS IMPORTADOR TECNICOS/ DYD SAS) </t>
  </si>
  <si>
    <t>COMPUTADOR DE MESA O DESKTOP: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t>
  </si>
  <si>
    <t>TOTAL OFERTA ECONOMICA</t>
  </si>
  <si>
    <t>VALOR TOTAL OFERTA ECONOMICA IVA INCLUIDO</t>
  </si>
  <si>
    <t>821015 // 821400</t>
  </si>
  <si>
    <t xml:space="preserve">total por unidades </t>
  </si>
  <si>
    <t>TOTAL</t>
  </si>
  <si>
    <t>total</t>
  </si>
  <si>
    <t>JAGUAR PRODUCCIÓN</t>
  </si>
  <si>
    <t>JAGUAR PRODUCCIONES</t>
  </si>
  <si>
    <t xml:space="preserve">FUNDACIÓN IWOKE / ALIMENTOS EMPRESARIALES VIP / / </t>
  </si>
  <si>
    <t>desechable dos tiras, plegado, con ajusta nariz.</t>
  </si>
  <si>
    <t>Gel Antibacterial</t>
  </si>
  <si>
    <t>Traje de protección contra agentes biológicos y químicos, tamaño (s, m, l); capucha, cintura y tobillos elásticos, para una mayor seguridad y libertad de movimientos; material poliester antifluido, lavable, resistencia al rasgado, secado rapido, buena solidez de color, estampado logo alcaldia</t>
  </si>
  <si>
    <t>Visor en policarbonato con las siguientes especificaciones técnicas: - Resistente a salpicaduras - Antiempañante y anti fluidos - Peso ligero - Color transparente - Permitir uso de gafas formuladas  - Estándar: ANSI Z87.1-2003 / CE EN 166.</t>
  </si>
  <si>
    <t>ambidiestros, anatómicos, material  nitrilo o de látex, libres de talco, Contar con resgistro sanitario INVIMA</t>
  </si>
  <si>
    <t xml:space="preserve">AUTOTRAIN // COLOMBIA COMPRA EFICIENTE </t>
  </si>
  <si>
    <t>COLOMBIA COMPRA//  TECNOINNSOFT SAS // BIOE INGENIERIA S.A.S.// Suministros Importados Tecnicos //  DYD SAS</t>
  </si>
  <si>
    <t>MONOGAFAS</t>
  </si>
  <si>
    <t>Con agente antibacterial, concetración min. 0,2%; con agente humectante; pH entre 5,5 a 7; , con dispensador.</t>
  </si>
</sst>
</file>

<file path=xl/styles.xml><?xml version="1.0" encoding="utf-8"?>
<styleSheet xmlns="http://schemas.openxmlformats.org/spreadsheetml/2006/main">
  <numFmts count="4">
    <numFmt numFmtId="42" formatCode="_-&quot;$&quot;\ * #,##0_-;\-&quot;$&quot;\ * #,##0_-;_-&quot;$&quot;\ * &quot;-&quot;_-;_-@_-"/>
    <numFmt numFmtId="43" formatCode="_-* #,##0.00_-;\-* #,##0.00_-;_-* &quot;-&quot;??_-;_-@_-"/>
    <numFmt numFmtId="164" formatCode="&quot;$&quot;\ #,##0"/>
    <numFmt numFmtId="165" formatCode="&quot;$&quot;\ #,##0.00"/>
  </numFmts>
  <fonts count="16">
    <font>
      <sz val="11"/>
      <color theme="1"/>
      <name val="Calibri"/>
      <family val="2"/>
      <scheme val="minor"/>
    </font>
    <font>
      <sz val="11"/>
      <color theme="1"/>
      <name val="Calibri"/>
      <family val="2"/>
      <scheme val="minor"/>
    </font>
    <font>
      <sz val="9"/>
      <name val="Arial"/>
      <family val="2"/>
    </font>
    <font>
      <b/>
      <sz val="9"/>
      <name val="Arial"/>
      <family val="2"/>
    </font>
    <font>
      <b/>
      <sz val="9"/>
      <color theme="1"/>
      <name val="Arial"/>
      <family val="2"/>
    </font>
    <font>
      <sz val="9"/>
      <color theme="1"/>
      <name val="Arial"/>
      <family val="2"/>
    </font>
    <font>
      <sz val="11"/>
      <color rgb="FF000000"/>
      <name val="Calibri"/>
      <family val="2"/>
    </font>
    <font>
      <sz val="11"/>
      <color theme="1"/>
      <name val="Garamond"/>
      <family val="1"/>
    </font>
    <font>
      <b/>
      <sz val="11"/>
      <color rgb="FF000000"/>
      <name val="Calibri"/>
      <family val="2"/>
    </font>
    <font>
      <b/>
      <sz val="9"/>
      <color theme="5" tint="0.39997558519241921"/>
      <name val="Arial"/>
      <family val="2"/>
    </font>
    <font>
      <b/>
      <sz val="9"/>
      <color theme="9" tint="0.59999389629810485"/>
      <name val="Arial"/>
      <family val="2"/>
    </font>
    <font>
      <b/>
      <sz val="9"/>
      <color theme="7" tint="0.59999389629810485"/>
      <name val="Arial"/>
      <family val="2"/>
    </font>
    <font>
      <b/>
      <sz val="9"/>
      <color theme="5"/>
      <name val="Arial"/>
      <family val="2"/>
    </font>
    <font>
      <b/>
      <sz val="9"/>
      <color theme="7" tint="0.39997558519241921"/>
      <name val="Arial"/>
      <family val="2"/>
    </font>
    <font>
      <b/>
      <sz val="9"/>
      <color theme="9" tint="0.39997558519241921"/>
      <name val="Arial"/>
      <family val="2"/>
    </font>
    <font>
      <b/>
      <sz val="9"/>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rgb="FFFFFF00"/>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s>
  <cellStyleXfs count="3">
    <xf numFmtId="0" fontId="0" fillId="0" borderId="0"/>
    <xf numFmtId="42" fontId="1" fillId="0" borderId="0" applyFont="0" applyFill="0" applyBorder="0" applyAlignment="0" applyProtection="0"/>
    <xf numFmtId="43" fontId="1" fillId="0" borderId="0" applyFont="0" applyFill="0" applyBorder="0" applyAlignment="0" applyProtection="0"/>
  </cellStyleXfs>
  <cellXfs count="399">
    <xf numFmtId="0" fontId="0" fillId="0" borderId="0" xfId="0"/>
    <xf numFmtId="0" fontId="2" fillId="0" borderId="0" xfId="0" applyFont="1" applyAlignment="1">
      <alignment horizontal="center" vertical="center"/>
    </xf>
    <xf numFmtId="0" fontId="2" fillId="0" borderId="0" xfId="0" applyFont="1"/>
    <xf numFmtId="0" fontId="2" fillId="0" borderId="0" xfId="0" applyFont="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wrapText="1"/>
    </xf>
    <xf numFmtId="0" fontId="3" fillId="3" borderId="5" xfId="0" applyFont="1" applyFill="1" applyBorder="1" applyAlignment="1">
      <alignment horizontal="center" vertical="center" wrapText="1"/>
    </xf>
    <xf numFmtId="0" fontId="2" fillId="0" borderId="14" xfId="0" applyFont="1" applyBorder="1" applyAlignment="1">
      <alignment vertical="center" wrapText="1"/>
    </xf>
    <xf numFmtId="0" fontId="2" fillId="0" borderId="7" xfId="0" applyFont="1" applyBorder="1" applyAlignment="1">
      <alignment horizontal="center" vertical="center" wrapText="1"/>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5" fillId="0" borderId="14" xfId="0" applyFont="1" applyBorder="1" applyAlignment="1">
      <alignment horizontal="center" wrapText="1"/>
    </xf>
    <xf numFmtId="0" fontId="4" fillId="0" borderId="14" xfId="0" applyFont="1" applyBorder="1" applyAlignment="1">
      <alignment horizontal="center" vertical="center" wrapText="1"/>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5" xfId="0" applyFont="1" applyBorder="1" applyAlignment="1">
      <alignment vertical="center" wrapText="1"/>
    </xf>
    <xf numFmtId="0" fontId="5" fillId="0" borderId="14" xfId="0" applyFont="1" applyBorder="1" applyAlignment="1">
      <alignment horizontal="center" vertical="center" wrapText="1"/>
    </xf>
    <xf numFmtId="0" fontId="3" fillId="0" borderId="14" xfId="1" applyNumberFormat="1" applyFont="1" applyFill="1" applyBorder="1" applyAlignment="1">
      <alignment vertical="center" wrapText="1"/>
    </xf>
    <xf numFmtId="164" fontId="2" fillId="0" borderId="0" xfId="0" applyNumberFormat="1" applyFont="1"/>
    <xf numFmtId="164" fontId="2" fillId="0" borderId="0" xfId="0" applyNumberFormat="1" applyFont="1" applyProtection="1">
      <protection hidden="1"/>
    </xf>
    <xf numFmtId="0" fontId="2" fillId="0" borderId="0" xfId="0" applyFont="1" applyAlignment="1">
      <alignment horizontal="center" wrapText="1"/>
    </xf>
    <xf numFmtId="0" fontId="2" fillId="0" borderId="0" xfId="0" applyFont="1" applyAlignment="1">
      <alignment horizontal="center"/>
    </xf>
    <xf numFmtId="0" fontId="6" fillId="0" borderId="27" xfId="0" applyFont="1" applyBorder="1" applyAlignment="1">
      <alignment vertical="center"/>
    </xf>
    <xf numFmtId="0" fontId="6" fillId="0" borderId="28" xfId="0" applyFont="1" applyBorder="1" applyAlignment="1">
      <alignment vertical="center"/>
    </xf>
    <xf numFmtId="0" fontId="6" fillId="0" borderId="30" xfId="0" applyFont="1" applyBorder="1" applyAlignment="1">
      <alignment vertical="center"/>
    </xf>
    <xf numFmtId="0" fontId="6" fillId="0" borderId="30" xfId="0" applyFont="1" applyBorder="1" applyAlignment="1">
      <alignment vertical="center" wrapText="1"/>
    </xf>
    <xf numFmtId="0" fontId="6" fillId="0" borderId="28" xfId="0" applyFont="1" applyBorder="1" applyAlignment="1">
      <alignment vertical="center" wrapText="1"/>
    </xf>
    <xf numFmtId="0" fontId="8" fillId="0" borderId="30" xfId="0" applyFont="1" applyBorder="1" applyAlignment="1">
      <alignment vertical="center" wrapText="1"/>
    </xf>
    <xf numFmtId="0" fontId="6" fillId="0" borderId="24" xfId="0" applyFont="1" applyBorder="1" applyAlignment="1">
      <alignment horizontal="center" vertical="center"/>
    </xf>
    <xf numFmtId="43" fontId="0" fillId="0" borderId="0" xfId="2" applyFont="1"/>
    <xf numFmtId="43" fontId="6" fillId="0" borderId="27" xfId="2" applyFont="1" applyBorder="1" applyAlignment="1">
      <alignment horizontal="right" vertical="center"/>
    </xf>
    <xf numFmtId="43" fontId="6" fillId="0" borderId="28" xfId="2" applyFont="1" applyBorder="1" applyAlignment="1">
      <alignment horizontal="right" vertical="center"/>
    </xf>
    <xf numFmtId="43" fontId="6" fillId="0" borderId="30" xfId="2" applyFont="1" applyBorder="1" applyAlignment="1">
      <alignment horizontal="right" vertical="center"/>
    </xf>
    <xf numFmtId="43" fontId="3" fillId="2" borderId="14" xfId="2" applyFont="1" applyFill="1" applyBorder="1" applyAlignment="1" applyProtection="1">
      <alignment vertical="center" wrapText="1"/>
      <protection hidden="1"/>
    </xf>
    <xf numFmtId="43" fontId="3" fillId="2" borderId="8" xfId="2" applyFont="1" applyFill="1" applyBorder="1" applyAlignment="1" applyProtection="1">
      <alignment vertical="center" wrapText="1"/>
      <protection hidden="1"/>
    </xf>
    <xf numFmtId="43" fontId="3" fillId="2" borderId="1" xfId="2" applyFont="1" applyFill="1" applyBorder="1" applyAlignment="1" applyProtection="1">
      <alignment vertical="center" wrapText="1"/>
      <protection hidden="1"/>
    </xf>
    <xf numFmtId="43" fontId="3" fillId="2" borderId="6" xfId="2" applyFont="1" applyFill="1" applyBorder="1" applyAlignment="1" applyProtection="1">
      <alignment vertical="center" wrapText="1"/>
      <protection hidden="1"/>
    </xf>
    <xf numFmtId="43" fontId="2" fillId="0" borderId="0" xfId="2" applyFont="1" applyProtection="1">
      <protection hidden="1"/>
    </xf>
    <xf numFmtId="43" fontId="3" fillId="3" borderId="10" xfId="2" applyFont="1" applyFill="1" applyBorder="1" applyAlignment="1" applyProtection="1">
      <alignment vertical="center" wrapText="1"/>
      <protection hidden="1"/>
    </xf>
    <xf numFmtId="43" fontId="3" fillId="3" borderId="9" xfId="2" applyFont="1" applyFill="1" applyBorder="1" applyAlignment="1" applyProtection="1">
      <alignment vertical="center" wrapText="1"/>
      <protection hidden="1"/>
    </xf>
    <xf numFmtId="43" fontId="3" fillId="2" borderId="3" xfId="2" applyFont="1" applyFill="1" applyBorder="1" applyAlignment="1" applyProtection="1">
      <alignment vertical="center" wrapText="1"/>
      <protection hidden="1"/>
    </xf>
    <xf numFmtId="43" fontId="3" fillId="2" borderId="4" xfId="2" applyFont="1" applyFill="1" applyBorder="1" applyAlignment="1" applyProtection="1">
      <alignment vertical="center" wrapText="1"/>
      <protection hidden="1"/>
    </xf>
    <xf numFmtId="43" fontId="8" fillId="0" borderId="30" xfId="2" applyFont="1" applyBorder="1" applyAlignment="1">
      <alignment horizontal="right" vertical="center"/>
    </xf>
    <xf numFmtId="43" fontId="3" fillId="3" borderId="10" xfId="2" applyFont="1" applyFill="1" applyBorder="1" applyAlignment="1" applyProtection="1">
      <alignment horizontal="center" vertical="center" wrapText="1"/>
      <protection hidden="1"/>
    </xf>
    <xf numFmtId="43" fontId="3" fillId="2" borderId="16" xfId="2" applyFont="1" applyFill="1" applyBorder="1" applyAlignment="1" applyProtection="1">
      <alignment vertical="center" wrapText="1"/>
      <protection hidden="1"/>
    </xf>
    <xf numFmtId="43" fontId="3" fillId="2" borderId="32" xfId="2" applyFont="1" applyFill="1" applyBorder="1" applyAlignment="1" applyProtection="1">
      <alignment vertical="center" wrapText="1"/>
      <protection hidden="1"/>
    </xf>
    <xf numFmtId="0" fontId="6" fillId="0" borderId="27" xfId="0" applyFont="1" applyBorder="1" applyAlignment="1">
      <alignment vertical="center" wrapText="1"/>
    </xf>
    <xf numFmtId="0" fontId="8" fillId="0" borderId="27" xfId="0" applyFont="1" applyBorder="1" applyAlignment="1">
      <alignment vertical="center" wrapText="1"/>
    </xf>
    <xf numFmtId="43" fontId="8" fillId="0" borderId="27" xfId="2" applyFont="1" applyBorder="1" applyAlignment="1">
      <alignment horizontal="right" vertical="center"/>
    </xf>
    <xf numFmtId="0" fontId="3" fillId="0" borderId="0" xfId="1" applyNumberFormat="1" applyFont="1" applyFill="1" applyBorder="1" applyAlignment="1">
      <alignment vertical="center" wrapText="1"/>
    </xf>
    <xf numFmtId="0" fontId="3" fillId="0" borderId="1" xfId="1" applyNumberFormat="1" applyFont="1" applyFill="1" applyBorder="1" applyAlignment="1">
      <alignment vertical="center" wrapText="1"/>
    </xf>
    <xf numFmtId="0" fontId="2" fillId="0" borderId="7"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16" xfId="0" applyNumberFormat="1" applyFont="1" applyFill="1" applyBorder="1" applyAlignment="1">
      <alignment vertical="center"/>
    </xf>
    <xf numFmtId="0" fontId="2" fillId="0" borderId="16" xfId="0" applyFont="1" applyFill="1" applyBorder="1" applyAlignment="1">
      <alignment vertical="center" wrapText="1"/>
    </xf>
    <xf numFmtId="0" fontId="2" fillId="0" borderId="16" xfId="0" applyFont="1" applyFill="1" applyBorder="1" applyAlignment="1">
      <alignment horizontal="center" vertical="center"/>
    </xf>
    <xf numFmtId="0" fontId="2" fillId="0" borderId="5" xfId="0" applyFont="1" applyFill="1" applyBorder="1" applyAlignment="1">
      <alignment horizontal="center" vertical="center" wrapText="1"/>
    </xf>
    <xf numFmtId="0" fontId="5" fillId="0" borderId="1" xfId="0" applyFont="1" applyFill="1" applyBorder="1" applyAlignment="1">
      <alignment horizontal="center" wrapText="1"/>
    </xf>
    <xf numFmtId="0" fontId="2" fillId="0" borderId="0" xfId="0" applyNumberFormat="1" applyFont="1" applyFill="1" applyAlignment="1">
      <alignment vertical="center"/>
    </xf>
    <xf numFmtId="0" fontId="4" fillId="0" borderId="5" xfId="0" applyFont="1" applyFill="1" applyBorder="1" applyAlignment="1">
      <alignment horizontal="center" vertical="center" wrapText="1"/>
    </xf>
    <xf numFmtId="0" fontId="2" fillId="0" borderId="39"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vertical="center" wrapText="1"/>
    </xf>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wrapText="1"/>
    </xf>
    <xf numFmtId="0" fontId="3" fillId="0" borderId="1" xfId="0" applyNumberFormat="1" applyFont="1" applyFill="1" applyBorder="1" applyAlignment="1">
      <alignment horizontal="center" vertical="center" wrapText="1"/>
    </xf>
    <xf numFmtId="0" fontId="2" fillId="0" borderId="0" xfId="0" applyFont="1" applyFill="1" applyAlignment="1">
      <alignment horizontal="center"/>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wrapText="1"/>
    </xf>
    <xf numFmtId="0" fontId="2" fillId="0" borderId="14" xfId="0" applyNumberFormat="1" applyFont="1" applyFill="1" applyBorder="1" applyAlignment="1">
      <alignment vertical="center"/>
    </xf>
    <xf numFmtId="0" fontId="2" fillId="0" borderId="14" xfId="0" applyFont="1" applyFill="1" applyBorder="1" applyAlignment="1">
      <alignment vertical="center" wrapText="1"/>
    </xf>
    <xf numFmtId="0" fontId="2" fillId="0" borderId="14" xfId="0" applyFont="1" applyFill="1" applyBorder="1" applyAlignment="1">
      <alignment horizontal="center" vertical="center"/>
    </xf>
    <xf numFmtId="164" fontId="3" fillId="0" borderId="8" xfId="1" applyNumberFormat="1" applyFont="1" applyFill="1" applyBorder="1" applyAlignment="1" applyProtection="1">
      <alignment vertical="center" wrapText="1"/>
      <protection hidden="1"/>
    </xf>
    <xf numFmtId="164" fontId="3" fillId="0" borderId="28" xfId="1" applyNumberFormat="1" applyFont="1" applyFill="1" applyBorder="1" applyAlignment="1" applyProtection="1">
      <alignment vertical="center" wrapText="1"/>
      <protection hidden="1"/>
    </xf>
    <xf numFmtId="164" fontId="3" fillId="0" borderId="6" xfId="1" applyNumberFormat="1" applyFont="1" applyFill="1" applyBorder="1" applyAlignment="1" applyProtection="1">
      <alignment vertical="center" wrapText="1"/>
      <protection hidden="1"/>
    </xf>
    <xf numFmtId="0" fontId="2" fillId="0" borderId="14" xfId="0" applyFont="1" applyFill="1" applyBorder="1" applyAlignment="1">
      <alignment horizontal="center" vertical="center" wrapText="1"/>
    </xf>
    <xf numFmtId="0" fontId="2" fillId="0" borderId="13" xfId="0" applyNumberFormat="1"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7" xfId="0" applyFont="1" applyFill="1" applyBorder="1" applyAlignment="1">
      <alignment vertical="center"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164" fontId="3" fillId="0" borderId="6" xfId="1" applyNumberFormat="1" applyFont="1" applyFill="1" applyBorder="1" applyAlignment="1" applyProtection="1">
      <alignment vertical="center" wrapText="1"/>
      <protection hidden="1"/>
    </xf>
    <xf numFmtId="0" fontId="2" fillId="0" borderId="5"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wrapText="1"/>
    </xf>
    <xf numFmtId="0" fontId="5" fillId="0" borderId="1" xfId="0" applyFont="1" applyFill="1" applyBorder="1" applyAlignment="1">
      <alignment horizontal="justify" vertical="center" wrapText="1"/>
    </xf>
    <xf numFmtId="164" fontId="3" fillId="0" borderId="14" xfId="1" applyNumberFormat="1" applyFont="1" applyFill="1" applyBorder="1" applyAlignment="1">
      <alignment vertical="center" wrapText="1"/>
    </xf>
    <xf numFmtId="164" fontId="3" fillId="0" borderId="14" xfId="1" applyNumberFormat="1" applyFont="1" applyFill="1" applyBorder="1" applyAlignment="1" applyProtection="1">
      <alignment vertical="center" wrapText="1"/>
      <protection hidden="1"/>
    </xf>
    <xf numFmtId="164" fontId="3" fillId="0" borderId="16" xfId="1" applyNumberFormat="1" applyFont="1" applyFill="1" applyBorder="1" applyAlignment="1">
      <alignment vertical="center" wrapText="1"/>
    </xf>
    <xf numFmtId="164" fontId="3" fillId="0" borderId="16" xfId="1" applyNumberFormat="1" applyFont="1" applyFill="1" applyBorder="1" applyAlignment="1" applyProtection="1">
      <alignment vertical="center" wrapText="1"/>
      <protection hidden="1"/>
    </xf>
    <xf numFmtId="164" fontId="3" fillId="0" borderId="32" xfId="1" applyNumberFormat="1" applyFont="1" applyFill="1" applyBorder="1" applyAlignment="1" applyProtection="1">
      <alignment vertical="center" wrapText="1"/>
      <protection hidden="1"/>
    </xf>
    <xf numFmtId="164" fontId="3" fillId="0" borderId="1" xfId="1" applyNumberFormat="1" applyFont="1" applyFill="1" applyBorder="1" applyAlignment="1">
      <alignment vertical="center" wrapText="1"/>
    </xf>
    <xf numFmtId="164" fontId="3" fillId="0" borderId="1" xfId="1" applyNumberFormat="1" applyFont="1" applyFill="1" applyBorder="1" applyAlignment="1" applyProtection="1">
      <alignment vertical="center" wrapText="1"/>
      <protection hidden="1"/>
    </xf>
    <xf numFmtId="164" fontId="2" fillId="0" borderId="0" xfId="0" applyNumberFormat="1" applyFont="1" applyFill="1"/>
    <xf numFmtId="0" fontId="5" fillId="0" borderId="14" xfId="0" applyFont="1" applyFill="1" applyBorder="1" applyAlignment="1">
      <alignment horizontal="center" wrapText="1"/>
    </xf>
    <xf numFmtId="0" fontId="5" fillId="0" borderId="16" xfId="0" applyFont="1" applyFill="1" applyBorder="1" applyAlignment="1">
      <alignment horizontal="center" wrapText="1"/>
    </xf>
    <xf numFmtId="164" fontId="3" fillId="0" borderId="15" xfId="1" applyNumberFormat="1" applyFont="1" applyFill="1" applyBorder="1" applyAlignment="1" applyProtection="1">
      <alignment vertical="center" wrapText="1"/>
      <protection hidden="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64" fontId="4" fillId="0" borderId="1" xfId="1" applyNumberFormat="1" applyFont="1" applyFill="1" applyBorder="1" applyAlignment="1">
      <alignment vertical="center" wrapText="1"/>
    </xf>
    <xf numFmtId="164" fontId="4" fillId="0" borderId="1" xfId="1" applyNumberFormat="1" applyFont="1" applyFill="1" applyBorder="1" applyAlignment="1" applyProtection="1">
      <alignment vertical="center" wrapText="1"/>
      <protection hidden="1"/>
    </xf>
    <xf numFmtId="164" fontId="4" fillId="0" borderId="6" xfId="1" applyNumberFormat="1" applyFont="1" applyFill="1" applyBorder="1" applyAlignment="1" applyProtection="1">
      <alignment vertical="center" wrapText="1"/>
      <protection hidden="1"/>
    </xf>
    <xf numFmtId="0" fontId="4" fillId="0" borderId="14" xfId="0" applyFont="1" applyFill="1" applyBorder="1" applyAlignment="1">
      <alignment horizontal="center" vertical="center" wrapText="1"/>
    </xf>
    <xf numFmtId="0" fontId="4" fillId="0" borderId="40" xfId="0" applyFont="1" applyFill="1" applyBorder="1" applyAlignment="1">
      <alignment horizontal="center" vertical="center" wrapText="1"/>
    </xf>
    <xf numFmtId="164" fontId="3" fillId="0" borderId="40" xfId="1" applyNumberFormat="1" applyFont="1" applyFill="1" applyBorder="1" applyAlignment="1">
      <alignment vertical="center" wrapText="1"/>
    </xf>
    <xf numFmtId="0" fontId="6" fillId="0" borderId="0" xfId="0" applyFont="1" applyFill="1" applyAlignment="1">
      <alignment horizontal="center" vertical="center"/>
    </xf>
    <xf numFmtId="0" fontId="5" fillId="0" borderId="1" xfId="0" applyFont="1" applyFill="1" applyBorder="1" applyAlignment="1">
      <alignment vertical="center" wrapText="1"/>
    </xf>
    <xf numFmtId="0" fontId="7" fillId="0" borderId="1" xfId="0" applyFont="1" applyFill="1" applyBorder="1" applyAlignment="1">
      <alignment horizontal="center" vertical="center"/>
    </xf>
    <xf numFmtId="0" fontId="7" fillId="0" borderId="13" xfId="0" applyFont="1" applyFill="1" applyBorder="1" applyAlignment="1">
      <alignment horizontal="center" vertical="center"/>
    </xf>
    <xf numFmtId="0" fontId="5" fillId="0" borderId="14" xfId="0" applyFont="1" applyFill="1" applyBorder="1" applyAlignment="1">
      <alignment wrapText="1"/>
    </xf>
    <xf numFmtId="0" fontId="5" fillId="0" borderId="14" xfId="0" applyFont="1" applyFill="1" applyBorder="1" applyAlignment="1">
      <alignment horizontal="center" vertical="center" wrapText="1"/>
    </xf>
    <xf numFmtId="164" fontId="2" fillId="0" borderId="0" xfId="0" applyNumberFormat="1" applyFont="1" applyFill="1" applyProtection="1">
      <protection hidden="1"/>
    </xf>
    <xf numFmtId="164" fontId="3" fillId="0" borderId="12" xfId="1" applyNumberFormat="1" applyFont="1" applyFill="1" applyBorder="1" applyAlignment="1" applyProtection="1">
      <alignment vertical="center" wrapText="1"/>
      <protection hidden="1"/>
    </xf>
    <xf numFmtId="165" fontId="3" fillId="0" borderId="8" xfId="1" applyNumberFormat="1" applyFont="1" applyFill="1" applyBorder="1" applyAlignment="1" applyProtection="1">
      <alignment vertical="center" wrapText="1"/>
      <protection hidden="1"/>
    </xf>
    <xf numFmtId="165" fontId="2" fillId="0" borderId="0" xfId="0" applyNumberFormat="1" applyFont="1"/>
    <xf numFmtId="0" fontId="3" fillId="0" borderId="14" xfId="1" applyNumberFormat="1" applyFont="1" applyFill="1" applyBorder="1" applyAlignment="1">
      <alignment horizontal="center" wrapText="1"/>
    </xf>
    <xf numFmtId="0" fontId="3" fillId="0" borderId="0" xfId="1" applyNumberFormat="1" applyFont="1" applyFill="1" applyBorder="1" applyAlignment="1">
      <alignment horizontal="center" wrapText="1"/>
    </xf>
    <xf numFmtId="165" fontId="3" fillId="0" borderId="6" xfId="1" applyNumberFormat="1" applyFont="1" applyFill="1" applyBorder="1" applyAlignment="1" applyProtection="1">
      <alignment vertical="center" wrapText="1"/>
      <protection hidden="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1" applyNumberFormat="1" applyFont="1" applyFill="1" applyBorder="1" applyAlignment="1">
      <alignment horizontal="center" wrapText="1"/>
    </xf>
    <xf numFmtId="0" fontId="2" fillId="0" borderId="0" xfId="0" applyFont="1" applyAlignment="1">
      <alignment horizontal="center" wrapText="1"/>
    </xf>
    <xf numFmtId="165" fontId="3" fillId="0" borderId="6" xfId="1" applyNumberFormat="1" applyFont="1" applyFill="1" applyBorder="1" applyAlignment="1" applyProtection="1">
      <alignment vertical="center" wrapText="1"/>
      <protection hidden="1"/>
    </xf>
    <xf numFmtId="164" fontId="3" fillId="0" borderId="0" xfId="0" applyNumberFormat="1" applyFont="1" applyProtection="1">
      <protection hidden="1"/>
    </xf>
    <xf numFmtId="164" fontId="3" fillId="0" borderId="0" xfId="0" applyNumberFormat="1" applyFont="1"/>
    <xf numFmtId="165" fontId="3" fillId="0" borderId="0" xfId="1" applyNumberFormat="1" applyFont="1" applyFill="1" applyBorder="1" applyAlignment="1" applyProtection="1">
      <alignment vertical="center" wrapText="1"/>
      <protection hidden="1"/>
    </xf>
    <xf numFmtId="165" fontId="3" fillId="0" borderId="14" xfId="1" applyNumberFormat="1" applyFont="1" applyFill="1" applyBorder="1" applyAlignment="1" applyProtection="1">
      <alignment vertical="center" wrapText="1"/>
      <protection hidden="1"/>
    </xf>
    <xf numFmtId="165" fontId="3" fillId="0" borderId="14" xfId="1" applyNumberFormat="1" applyFont="1" applyFill="1" applyBorder="1" applyAlignment="1">
      <alignment vertical="center" wrapText="1"/>
    </xf>
    <xf numFmtId="0" fontId="5" fillId="0" borderId="14" xfId="0" applyFont="1" applyBorder="1" applyAlignment="1">
      <alignment vertical="center" wrapText="1"/>
    </xf>
    <xf numFmtId="165" fontId="3" fillId="0" borderId="1" xfId="1" applyNumberFormat="1" applyFont="1" applyFill="1" applyBorder="1" applyAlignment="1" applyProtection="1">
      <alignment vertical="center" wrapText="1"/>
      <protection hidden="1"/>
    </xf>
    <xf numFmtId="165" fontId="3" fillId="0" borderId="1" xfId="1" applyNumberFormat="1" applyFont="1" applyFill="1" applyBorder="1" applyAlignment="1">
      <alignment vertical="center" wrapText="1"/>
    </xf>
    <xf numFmtId="0" fontId="3" fillId="4" borderId="1" xfId="0" applyFont="1" applyFill="1" applyBorder="1" applyAlignment="1">
      <alignment horizontal="center" wrapText="1"/>
    </xf>
    <xf numFmtId="0" fontId="4" fillId="0" borderId="0" xfId="0" applyFont="1" applyAlignment="1">
      <alignment horizontal="center" vertical="center" wrapText="1"/>
    </xf>
    <xf numFmtId="0" fontId="2" fillId="0" borderId="39" xfId="0" applyFont="1" applyBorder="1" applyAlignment="1">
      <alignment horizontal="center" vertical="center" wrapText="1"/>
    </xf>
    <xf numFmtId="165" fontId="3" fillId="0" borderId="0" xfId="1" applyNumberFormat="1" applyFont="1" applyFill="1" applyBorder="1" applyAlignment="1" applyProtection="1">
      <alignment horizontal="right" vertical="center" wrapText="1"/>
      <protection hidden="1"/>
    </xf>
    <xf numFmtId="165" fontId="3" fillId="0" borderId="0" xfId="1" applyNumberFormat="1" applyFont="1" applyFill="1" applyBorder="1" applyAlignment="1">
      <alignment vertical="center" wrapText="1"/>
    </xf>
    <xf numFmtId="165" fontId="3" fillId="0" borderId="41" xfId="1" applyNumberFormat="1" applyFont="1" applyFill="1" applyBorder="1" applyAlignment="1" applyProtection="1">
      <alignment horizontal="right" vertical="center" wrapText="1"/>
      <protection hidden="1"/>
    </xf>
    <xf numFmtId="165" fontId="2" fillId="0" borderId="8" xfId="1" applyNumberFormat="1" applyFont="1" applyFill="1" applyBorder="1" applyAlignment="1" applyProtection="1">
      <alignment vertical="center" wrapText="1"/>
      <protection hidden="1"/>
    </xf>
    <xf numFmtId="165" fontId="2" fillId="0" borderId="14" xfId="1" applyNumberFormat="1" applyFont="1" applyFill="1" applyBorder="1" applyAlignment="1" applyProtection="1">
      <alignment vertical="center" wrapText="1"/>
      <protection hidden="1"/>
    </xf>
    <xf numFmtId="165" fontId="2" fillId="0" borderId="7" xfId="1" applyNumberFormat="1" applyFont="1" applyFill="1" applyBorder="1" applyAlignment="1">
      <alignment vertical="center" wrapText="1"/>
    </xf>
    <xf numFmtId="0" fontId="4" fillId="0" borderId="42" xfId="0" applyFont="1" applyBorder="1" applyAlignment="1">
      <alignment horizontal="center" vertical="center" wrapText="1"/>
    </xf>
    <xf numFmtId="0" fontId="3" fillId="0" borderId="7" xfId="0" applyFont="1" applyBorder="1" applyAlignment="1">
      <alignment horizontal="center" vertical="center" wrapText="1"/>
    </xf>
    <xf numFmtId="165" fontId="3" fillId="0" borderId="1" xfId="1" applyNumberFormat="1" applyFont="1" applyFill="1" applyBorder="1" applyAlignment="1" applyProtection="1">
      <alignment vertical="center" wrapText="1"/>
      <protection hidden="1"/>
    </xf>
    <xf numFmtId="165" fontId="3" fillId="0" borderId="43" xfId="1" applyNumberFormat="1" applyFont="1" applyFill="1" applyBorder="1" applyAlignment="1" applyProtection="1">
      <alignment horizontal="right" vertical="center" wrapText="1"/>
      <protection hidden="1"/>
    </xf>
    <xf numFmtId="165" fontId="4" fillId="0" borderId="6" xfId="1" applyNumberFormat="1" applyFont="1" applyFill="1" applyBorder="1" applyAlignment="1" applyProtection="1">
      <alignment vertical="center" wrapText="1"/>
      <protection hidden="1"/>
    </xf>
    <xf numFmtId="165" fontId="4" fillId="0" borderId="1" xfId="1" applyNumberFormat="1" applyFont="1" applyFill="1" applyBorder="1" applyAlignment="1" applyProtection="1">
      <alignment vertical="center" wrapText="1"/>
      <protection hidden="1"/>
    </xf>
    <xf numFmtId="165" fontId="4" fillId="0" borderId="5" xfId="1" applyNumberFormat="1" applyFont="1" applyFill="1" applyBorder="1" applyAlignment="1">
      <alignment vertical="center" wrapText="1"/>
    </xf>
    <xf numFmtId="165" fontId="5" fillId="0" borderId="6" xfId="1" applyNumberFormat="1" applyFont="1" applyFill="1" applyBorder="1" applyAlignment="1" applyProtection="1">
      <alignment vertical="center" wrapText="1"/>
      <protection hidden="1"/>
    </xf>
    <xf numFmtId="165" fontId="5" fillId="0" borderId="1" xfId="1" applyNumberFormat="1" applyFont="1" applyFill="1" applyBorder="1" applyAlignment="1" applyProtection="1">
      <alignment vertical="center" wrapText="1"/>
      <protection hidden="1"/>
    </xf>
    <xf numFmtId="165" fontId="5" fillId="0" borderId="5" xfId="1" applyNumberFormat="1" applyFont="1" applyFill="1" applyBorder="1" applyAlignment="1">
      <alignment vertical="center" wrapText="1"/>
    </xf>
    <xf numFmtId="165" fontId="2" fillId="0" borderId="6" xfId="1" applyNumberFormat="1" applyFont="1" applyFill="1" applyBorder="1" applyAlignment="1" applyProtection="1">
      <alignment vertical="center" wrapText="1"/>
      <protection hidden="1"/>
    </xf>
    <xf numFmtId="165" fontId="2" fillId="0" borderId="1" xfId="1" applyNumberFormat="1" applyFont="1" applyFill="1" applyBorder="1" applyAlignment="1" applyProtection="1">
      <alignment vertical="center" wrapText="1"/>
      <protection hidden="1"/>
    </xf>
    <xf numFmtId="165" fontId="2" fillId="0" borderId="5" xfId="1" applyNumberFormat="1" applyFont="1" applyFill="1" applyBorder="1" applyAlignment="1">
      <alignment vertical="center" wrapText="1"/>
    </xf>
    <xf numFmtId="0" fontId="4" fillId="0" borderId="44" xfId="0" applyFont="1" applyBorder="1" applyAlignment="1">
      <alignment horizontal="center" vertical="center" wrapText="1"/>
    </xf>
    <xf numFmtId="0" fontId="3" fillId="0" borderId="5" xfId="0" applyFont="1" applyBorder="1" applyAlignment="1">
      <alignment horizontal="center" vertical="center" wrapText="1"/>
    </xf>
    <xf numFmtId="165" fontId="3" fillId="0" borderId="5" xfId="1" applyNumberFormat="1" applyFont="1" applyFill="1" applyBorder="1" applyAlignment="1">
      <alignment vertical="center" wrapText="1"/>
    </xf>
    <xf numFmtId="0" fontId="4" fillId="0" borderId="5" xfId="0" applyFont="1" applyBorder="1" applyAlignment="1">
      <alignment horizontal="center" vertical="center" wrapText="1"/>
    </xf>
    <xf numFmtId="0" fontId="4" fillId="4" borderId="44" xfId="0" applyFont="1" applyFill="1" applyBorder="1" applyAlignment="1">
      <alignment horizontal="center" vertical="center" wrapText="1"/>
    </xf>
    <xf numFmtId="0" fontId="5" fillId="0" borderId="0" xfId="0" applyFont="1" applyAlignment="1">
      <alignment horizontal="center" vertical="center" wrapText="1"/>
    </xf>
    <xf numFmtId="164" fontId="3" fillId="0" borderId="0" xfId="1" applyNumberFormat="1" applyFont="1" applyFill="1" applyBorder="1" applyAlignment="1">
      <alignment vertical="center" wrapText="1"/>
    </xf>
    <xf numFmtId="165" fontId="3" fillId="0" borderId="41" xfId="1" applyNumberFormat="1" applyFont="1" applyFill="1" applyBorder="1" applyAlignment="1" applyProtection="1">
      <alignment vertical="center" wrapText="1"/>
      <protection hidden="1"/>
    </xf>
    <xf numFmtId="0" fontId="2" fillId="0" borderId="42" xfId="0" applyFont="1" applyBorder="1" applyAlignment="1">
      <alignment horizontal="center" vertical="center" wrapText="1"/>
    </xf>
    <xf numFmtId="0" fontId="2" fillId="0" borderId="14" xfId="0" applyFont="1" applyBorder="1" applyAlignment="1">
      <alignment horizontal="center" wrapText="1"/>
    </xf>
    <xf numFmtId="165" fontId="3" fillId="0" borderId="43" xfId="1" applyNumberFormat="1" applyFont="1" applyFill="1" applyBorder="1" applyAlignment="1" applyProtection="1">
      <alignment vertical="center" wrapText="1"/>
      <protection hidden="1"/>
    </xf>
    <xf numFmtId="0" fontId="2" fillId="0" borderId="44" xfId="0" applyFont="1" applyBorder="1" applyAlignment="1">
      <alignment horizontal="center" vertical="center" wrapText="1"/>
    </xf>
    <xf numFmtId="0" fontId="2" fillId="0" borderId="1" xfId="0" applyFont="1" applyBorder="1" applyAlignment="1">
      <alignment horizontal="center" wrapText="1"/>
    </xf>
    <xf numFmtId="0" fontId="2" fillId="0" borderId="5" xfId="0" applyFont="1" applyBorder="1" applyAlignment="1">
      <alignment horizontal="center" vertical="center" wrapText="1"/>
    </xf>
    <xf numFmtId="0" fontId="2" fillId="0" borderId="1" xfId="0" applyFont="1" applyBorder="1" applyAlignment="1">
      <alignment horizontal="center"/>
    </xf>
    <xf numFmtId="0" fontId="3" fillId="5" borderId="4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center" wrapText="1"/>
    </xf>
    <xf numFmtId="0" fontId="3" fillId="5" borderId="5" xfId="0" applyFont="1" applyFill="1" applyBorder="1" applyAlignment="1">
      <alignment horizontal="center" vertical="center" wrapText="1"/>
    </xf>
    <xf numFmtId="0" fontId="2" fillId="0" borderId="0" xfId="0" applyFont="1" applyAlignment="1">
      <alignment horizontal="left" vertical="center"/>
    </xf>
    <xf numFmtId="0" fontId="2" fillId="0" borderId="42" xfId="0" applyFont="1" applyBorder="1" applyAlignment="1">
      <alignment horizontal="center" vertical="center"/>
    </xf>
    <xf numFmtId="0" fontId="2" fillId="0" borderId="14" xfId="0" applyFont="1" applyBorder="1" applyAlignment="1">
      <alignment horizontal="center"/>
    </xf>
    <xf numFmtId="0" fontId="3" fillId="3" borderId="44" xfId="0" applyFont="1" applyFill="1" applyBorder="1" applyAlignment="1">
      <alignment horizontal="center" vertical="center" wrapText="1"/>
    </xf>
    <xf numFmtId="0" fontId="3" fillId="3" borderId="1" xfId="0" applyFont="1" applyFill="1" applyBorder="1" applyAlignment="1">
      <alignment horizontal="center" wrapText="1"/>
    </xf>
    <xf numFmtId="165" fontId="3" fillId="0" borderId="0" xfId="0" applyNumberFormat="1" applyFont="1" applyProtection="1">
      <protection hidden="1"/>
    </xf>
    <xf numFmtId="165" fontId="3" fillId="0" borderId="46" xfId="1" applyNumberFormat="1" applyFont="1" applyFill="1" applyBorder="1" applyAlignment="1" applyProtection="1">
      <alignment vertical="center" wrapText="1"/>
      <protection hidden="1"/>
    </xf>
    <xf numFmtId="0" fontId="2" fillId="6" borderId="5" xfId="0" applyFont="1" applyFill="1" applyBorder="1" applyAlignment="1">
      <alignment vertical="center" wrapText="1"/>
    </xf>
    <xf numFmtId="0" fontId="2" fillId="6" borderId="7" xfId="0" applyFont="1" applyFill="1" applyBorder="1" applyAlignment="1">
      <alignment vertical="center" wrapText="1"/>
    </xf>
    <xf numFmtId="0" fontId="15" fillId="0" borderId="1" xfId="0" applyFont="1" applyFill="1" applyBorder="1" applyAlignment="1">
      <alignment horizontal="center"/>
    </xf>
    <xf numFmtId="0" fontId="3" fillId="0" borderId="1" xfId="1" applyNumberFormat="1" applyFont="1" applyFill="1" applyBorder="1" applyAlignment="1">
      <alignment wrapText="1"/>
    </xf>
    <xf numFmtId="165" fontId="3" fillId="0" borderId="1" xfId="1" applyNumberFormat="1" applyFont="1" applyFill="1" applyBorder="1" applyAlignment="1" applyProtection="1">
      <alignment vertical="center" wrapText="1"/>
      <protection hidden="1"/>
    </xf>
    <xf numFmtId="42" fontId="2" fillId="0" borderId="0" xfId="1" applyFont="1"/>
    <xf numFmtId="164" fontId="2" fillId="0" borderId="7" xfId="1" applyNumberFormat="1" applyFont="1" applyFill="1" applyBorder="1" applyAlignment="1">
      <alignment vertical="center" wrapText="1"/>
    </xf>
    <xf numFmtId="165" fontId="2" fillId="7" borderId="14" xfId="1" applyNumberFormat="1" applyFont="1" applyFill="1" applyBorder="1" applyAlignment="1" applyProtection="1">
      <alignment vertical="center" wrapText="1"/>
      <protection hidden="1"/>
    </xf>
    <xf numFmtId="164" fontId="3" fillId="0" borderId="7" xfId="1" applyNumberFormat="1" applyFont="1" applyFill="1" applyBorder="1" applyAlignment="1">
      <alignment vertical="center" wrapText="1"/>
    </xf>
    <xf numFmtId="0" fontId="5" fillId="7" borderId="1" xfId="0" applyFont="1" applyFill="1" applyBorder="1" applyAlignment="1">
      <alignment horizontal="center" vertical="center" wrapText="1"/>
    </xf>
    <xf numFmtId="0" fontId="5" fillId="7" borderId="1" xfId="0" applyFont="1" applyFill="1" applyBorder="1" applyAlignment="1">
      <alignment vertical="center" wrapText="1"/>
    </xf>
    <xf numFmtId="0" fontId="2" fillId="0" borderId="52" xfId="0" applyFont="1" applyBorder="1" applyAlignment="1">
      <alignment vertical="center" wrapText="1"/>
    </xf>
    <xf numFmtId="0" fontId="5" fillId="0" borderId="11" xfId="0" applyFont="1" applyBorder="1" applyAlignment="1">
      <alignment wrapText="1"/>
    </xf>
    <xf numFmtId="0" fontId="5" fillId="0" borderId="11" xfId="0" applyFont="1" applyBorder="1" applyAlignment="1">
      <alignment horizontal="center" vertical="center" wrapText="1"/>
    </xf>
    <xf numFmtId="164" fontId="3" fillId="0" borderId="1" xfId="0" applyNumberFormat="1" applyFont="1" applyBorder="1"/>
    <xf numFmtId="164" fontId="3" fillId="3" borderId="0" xfId="1" applyNumberFormat="1" applyFont="1" applyFill="1" applyBorder="1" applyAlignment="1" applyProtection="1">
      <alignment horizontal="center" vertical="center" wrapText="1"/>
      <protection hidden="1"/>
    </xf>
    <xf numFmtId="0" fontId="2" fillId="0" borderId="0" xfId="0" applyFont="1" applyBorder="1" applyAlignment="1">
      <alignment horizontal="center"/>
    </xf>
    <xf numFmtId="165" fontId="2" fillId="0" borderId="0" xfId="0" applyNumberFormat="1" applyFont="1" applyBorder="1" applyAlignment="1">
      <alignment horizontal="center"/>
    </xf>
    <xf numFmtId="0" fontId="2" fillId="0" borderId="0" xfId="0" applyFont="1" applyBorder="1" applyAlignment="1">
      <alignment horizontal="center" wrapText="1"/>
    </xf>
    <xf numFmtId="165" fontId="3" fillId="4" borderId="3" xfId="1" applyNumberFormat="1" applyFont="1" applyFill="1" applyBorder="1" applyAlignment="1">
      <alignment vertical="center" wrapText="1"/>
    </xf>
    <xf numFmtId="165" fontId="3" fillId="4" borderId="1" xfId="1" applyNumberFormat="1" applyFont="1" applyFill="1" applyBorder="1" applyAlignment="1">
      <alignment vertical="center" wrapText="1"/>
    </xf>
    <xf numFmtId="165" fontId="3" fillId="4" borderId="3" xfId="1" applyNumberFormat="1" applyFont="1" applyFill="1" applyBorder="1" applyAlignment="1" applyProtection="1">
      <alignment vertical="center" wrapText="1"/>
      <protection hidden="1"/>
    </xf>
    <xf numFmtId="165" fontId="3" fillId="4" borderId="1" xfId="1" applyNumberFormat="1" applyFont="1" applyFill="1" applyBorder="1" applyAlignment="1" applyProtection="1">
      <alignment vertical="center" wrapText="1"/>
      <protection hidden="1"/>
    </xf>
    <xf numFmtId="165" fontId="3" fillId="0" borderId="5" xfId="1" applyNumberFormat="1" applyFont="1" applyFill="1" applyBorder="1" applyAlignment="1">
      <alignment vertical="center" wrapText="1"/>
    </xf>
    <xf numFmtId="165" fontId="3" fillId="0" borderId="1" xfId="1" applyNumberFormat="1" applyFont="1" applyFill="1" applyBorder="1" applyAlignment="1" applyProtection="1">
      <alignment vertical="center" wrapText="1"/>
      <protection hidden="1"/>
    </xf>
    <xf numFmtId="165" fontId="3" fillId="0" borderId="6" xfId="1" applyNumberFormat="1" applyFont="1" applyFill="1" applyBorder="1" applyAlignment="1" applyProtection="1">
      <alignment vertical="center" wrapText="1"/>
      <protection hidden="1"/>
    </xf>
    <xf numFmtId="165" fontId="3" fillId="0" borderId="43" xfId="1" applyNumberFormat="1" applyFont="1" applyFill="1" applyBorder="1" applyAlignment="1" applyProtection="1">
      <alignment horizontal="right" vertical="center" wrapText="1"/>
      <protection hidden="1"/>
    </xf>
    <xf numFmtId="165" fontId="3" fillId="4" borderId="4" xfId="1" applyNumberFormat="1" applyFont="1" applyFill="1" applyBorder="1" applyAlignment="1" applyProtection="1">
      <alignment vertical="center" wrapText="1"/>
      <protection hidden="1"/>
    </xf>
    <xf numFmtId="165" fontId="3" fillId="4" borderId="6" xfId="1" applyNumberFormat="1" applyFont="1" applyFill="1" applyBorder="1" applyAlignment="1" applyProtection="1">
      <alignment vertical="center" wrapText="1"/>
      <protection hidden="1"/>
    </xf>
    <xf numFmtId="164" fontId="3" fillId="3" borderId="49" xfId="1" applyNumberFormat="1" applyFont="1" applyFill="1" applyBorder="1" applyAlignment="1" applyProtection="1">
      <alignment horizontal="center" vertical="center" wrapText="1"/>
      <protection hidden="1"/>
    </xf>
    <xf numFmtId="164" fontId="3" fillId="3" borderId="51" xfId="1" applyNumberFormat="1" applyFont="1" applyFill="1" applyBorder="1" applyAlignment="1" applyProtection="1">
      <alignment horizontal="center" vertical="center" wrapText="1"/>
      <protection hidden="1"/>
    </xf>
    <xf numFmtId="165" fontId="3" fillId="0" borderId="51" xfId="1" applyNumberFormat="1" applyFont="1" applyFill="1" applyBorder="1" applyAlignment="1" applyProtection="1">
      <alignment vertical="center" wrapText="1"/>
      <protection hidden="1"/>
    </xf>
    <xf numFmtId="165" fontId="3" fillId="5" borderId="27" xfId="1" applyNumberFormat="1" applyFont="1" applyFill="1" applyBorder="1" applyAlignment="1" applyProtection="1">
      <alignment horizontal="center" vertical="center" wrapText="1"/>
      <protection hidden="1"/>
    </xf>
    <xf numFmtId="165" fontId="3" fillId="5" borderId="45"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horizontal="right" vertical="center" wrapText="1"/>
      <protection hidden="1"/>
    </xf>
    <xf numFmtId="165" fontId="3" fillId="0" borderId="6" xfId="1" applyNumberFormat="1" applyFont="1" applyFill="1" applyBorder="1" applyAlignment="1" applyProtection="1">
      <alignment horizontal="right" vertical="center" wrapText="1"/>
      <protection hidden="1"/>
    </xf>
    <xf numFmtId="164" fontId="3" fillId="0" borderId="18" xfId="0" applyNumberFormat="1" applyFont="1" applyBorder="1" applyAlignment="1">
      <alignment horizontal="center"/>
    </xf>
    <xf numFmtId="164" fontId="3" fillId="0" borderId="19" xfId="0" applyNumberFormat="1" applyFont="1" applyBorder="1" applyAlignment="1">
      <alignment horizontal="center"/>
    </xf>
    <xf numFmtId="164" fontId="3" fillId="0" borderId="20" xfId="0" applyNumberFormat="1" applyFont="1" applyBorder="1" applyAlignment="1">
      <alignment horizontal="center"/>
    </xf>
    <xf numFmtId="164" fontId="3" fillId="3" borderId="2" xfId="1" applyNumberFormat="1" applyFont="1" applyFill="1" applyBorder="1" applyAlignment="1">
      <alignment horizontal="center" vertical="center" wrapText="1"/>
    </xf>
    <xf numFmtId="164" fontId="3" fillId="3" borderId="5" xfId="1" applyNumberFormat="1" applyFont="1" applyFill="1" applyBorder="1" applyAlignment="1">
      <alignment horizontal="center" vertical="center" wrapText="1"/>
    </xf>
    <xf numFmtId="164" fontId="3" fillId="3" borderId="3" xfId="1" applyNumberFormat="1" applyFont="1" applyFill="1" applyBorder="1" applyAlignment="1" applyProtection="1">
      <alignment horizontal="center" vertical="center" wrapText="1"/>
      <protection hidden="1"/>
    </xf>
    <xf numFmtId="164" fontId="3" fillId="3" borderId="1" xfId="1" applyNumberFormat="1" applyFont="1" applyFill="1" applyBorder="1" applyAlignment="1" applyProtection="1">
      <alignment horizontal="center" vertical="center" wrapText="1"/>
      <protection hidden="1"/>
    </xf>
    <xf numFmtId="164" fontId="3" fillId="3" borderId="4" xfId="1" applyNumberFormat="1" applyFont="1" applyFill="1" applyBorder="1" applyAlignment="1" applyProtection="1">
      <alignment horizontal="center" vertical="center" wrapText="1"/>
      <protection hidden="1"/>
    </xf>
    <xf numFmtId="164" fontId="3" fillId="3" borderId="6" xfId="1" applyNumberFormat="1" applyFont="1" applyFill="1" applyBorder="1" applyAlignment="1" applyProtection="1">
      <alignment horizontal="center" vertical="center" wrapText="1"/>
      <protection hidden="1"/>
    </xf>
    <xf numFmtId="165" fontId="2" fillId="0" borderId="5" xfId="1" applyNumberFormat="1" applyFont="1" applyFill="1" applyBorder="1" applyAlignment="1">
      <alignment vertical="center" wrapText="1"/>
    </xf>
    <xf numFmtId="165" fontId="2" fillId="0" borderId="1" xfId="1" applyNumberFormat="1" applyFont="1" applyFill="1" applyBorder="1" applyAlignment="1" applyProtection="1">
      <alignment vertical="center" wrapText="1"/>
      <protection hidden="1"/>
    </xf>
    <xf numFmtId="165" fontId="2" fillId="0" borderId="6" xfId="1" applyNumberFormat="1" applyFont="1" applyFill="1" applyBorder="1" applyAlignment="1" applyProtection="1">
      <alignment vertical="center" wrapText="1"/>
      <protection hidden="1"/>
    </xf>
    <xf numFmtId="165" fontId="2" fillId="0" borderId="1" xfId="1" applyNumberFormat="1" applyFont="1" applyFill="1" applyBorder="1" applyAlignment="1" applyProtection="1">
      <alignment horizontal="right" vertical="center" wrapText="1"/>
      <protection hidden="1"/>
    </xf>
    <xf numFmtId="165" fontId="2" fillId="0" borderId="6" xfId="1" applyNumberFormat="1" applyFont="1" applyFill="1" applyBorder="1" applyAlignment="1" applyProtection="1">
      <alignment horizontal="right" vertical="center" wrapText="1"/>
      <protection hidden="1"/>
    </xf>
    <xf numFmtId="165" fontId="3" fillId="5" borderId="2" xfId="1" applyNumberFormat="1" applyFont="1" applyFill="1" applyBorder="1" applyAlignment="1">
      <alignment horizontal="center" vertical="center" wrapText="1"/>
    </xf>
    <xf numFmtId="165" fontId="3" fillId="5" borderId="5" xfId="1" applyNumberFormat="1" applyFont="1" applyFill="1" applyBorder="1" applyAlignment="1">
      <alignment horizontal="center" vertical="center" wrapText="1"/>
    </xf>
    <xf numFmtId="165" fontId="3" fillId="5" borderId="3" xfId="1" applyNumberFormat="1" applyFont="1" applyFill="1" applyBorder="1" applyAlignment="1" applyProtection="1">
      <alignment horizontal="center" vertical="center" wrapText="1"/>
      <protection hidden="1"/>
    </xf>
    <xf numFmtId="165" fontId="3" fillId="5" borderId="1" xfId="1" applyNumberFormat="1" applyFont="1" applyFill="1" applyBorder="1" applyAlignment="1" applyProtection="1">
      <alignment horizontal="center" vertical="center" wrapText="1"/>
      <protection hidden="1"/>
    </xf>
    <xf numFmtId="165" fontId="3" fillId="5" borderId="4" xfId="1" applyNumberFormat="1" applyFont="1" applyFill="1" applyBorder="1" applyAlignment="1" applyProtection="1">
      <alignment horizontal="center" vertical="center" wrapText="1"/>
      <protection hidden="1"/>
    </xf>
    <xf numFmtId="165" fontId="3" fillId="5" borderId="6" xfId="1" applyNumberFormat="1" applyFont="1" applyFill="1" applyBorder="1" applyAlignment="1" applyProtection="1">
      <alignment horizontal="center" vertical="center" wrapText="1"/>
      <protection hidden="1"/>
    </xf>
    <xf numFmtId="165" fontId="3" fillId="0" borderId="18" xfId="1" applyNumberFormat="1" applyFont="1" applyFill="1" applyBorder="1" applyAlignment="1">
      <alignment horizontal="center" vertical="center" wrapText="1"/>
    </xf>
    <xf numFmtId="165" fontId="3" fillId="0" borderId="19" xfId="1" applyNumberFormat="1" applyFont="1" applyFill="1" applyBorder="1" applyAlignment="1">
      <alignment horizontal="center" vertical="center" wrapText="1"/>
    </xf>
    <xf numFmtId="165" fontId="3" fillId="0" borderId="20" xfId="1" applyNumberFormat="1" applyFont="1" applyFill="1" applyBorder="1" applyAlignment="1">
      <alignment horizontal="center" vertical="center" wrapText="1"/>
    </xf>
    <xf numFmtId="165" fontId="3" fillId="5" borderId="2" xfId="1" applyNumberFormat="1" applyFont="1" applyFill="1" applyBorder="1" applyAlignment="1">
      <alignment vertical="center" wrapText="1"/>
    </xf>
    <xf numFmtId="165" fontId="3" fillId="5" borderId="5" xfId="1" applyNumberFormat="1" applyFont="1" applyFill="1" applyBorder="1" applyAlignment="1">
      <alignment vertical="center" wrapText="1"/>
    </xf>
    <xf numFmtId="165" fontId="3" fillId="5" borderId="36" xfId="1" applyNumberFormat="1" applyFont="1" applyFill="1" applyBorder="1" applyAlignment="1">
      <alignment vertical="center" wrapText="1"/>
    </xf>
    <xf numFmtId="165" fontId="3" fillId="5" borderId="47" xfId="1" applyNumberFormat="1" applyFont="1" applyFill="1" applyBorder="1" applyAlignment="1">
      <alignment vertical="center" wrapText="1"/>
    </xf>
    <xf numFmtId="165" fontId="3" fillId="5" borderId="49" xfId="1" applyNumberFormat="1" applyFont="1" applyFill="1" applyBorder="1" applyAlignment="1" applyProtection="1">
      <alignment vertical="center" wrapText="1"/>
      <protection hidden="1"/>
    </xf>
    <xf numFmtId="165" fontId="3" fillId="5" borderId="46" xfId="1" applyNumberFormat="1" applyFont="1" applyFill="1" applyBorder="1" applyAlignment="1" applyProtection="1">
      <alignment vertical="center" wrapText="1"/>
      <protection hidden="1"/>
    </xf>
    <xf numFmtId="165" fontId="3" fillId="5" borderId="48" xfId="1" applyNumberFormat="1" applyFont="1" applyFill="1" applyBorder="1" applyAlignment="1" applyProtection="1">
      <alignment vertical="center" wrapText="1"/>
      <protection hidden="1"/>
    </xf>
    <xf numFmtId="165" fontId="3" fillId="5" borderId="43" xfId="1" applyNumberFormat="1" applyFont="1" applyFill="1" applyBorder="1" applyAlignment="1" applyProtection="1">
      <alignment vertical="center" wrapText="1"/>
      <protection hidden="1"/>
    </xf>
    <xf numFmtId="165" fontId="2" fillId="0" borderId="13" xfId="1" applyNumberFormat="1" applyFont="1" applyFill="1" applyBorder="1" applyAlignment="1" applyProtection="1">
      <alignment vertical="center" wrapText="1"/>
      <protection hidden="1"/>
    </xf>
    <xf numFmtId="165" fontId="2" fillId="7" borderId="1" xfId="1" applyNumberFormat="1" applyFont="1" applyFill="1" applyBorder="1" applyAlignment="1" applyProtection="1">
      <alignment vertical="center" wrapText="1"/>
      <protection hidden="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0"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44" xfId="0" applyFont="1" applyBorder="1" applyAlignment="1">
      <alignment horizontal="center" vertical="center"/>
    </xf>
    <xf numFmtId="0" fontId="2" fillId="0" borderId="44" xfId="0" applyFont="1" applyBorder="1" applyAlignment="1">
      <alignment horizontal="center" vertical="center" wrapText="1"/>
    </xf>
    <xf numFmtId="0" fontId="3" fillId="0" borderId="1" xfId="1" applyNumberFormat="1" applyFont="1" applyFill="1" applyBorder="1" applyAlignment="1">
      <alignment horizontal="center" wrapText="1"/>
    </xf>
    <xf numFmtId="0" fontId="3" fillId="0" borderId="1" xfId="1" applyNumberFormat="1" applyFont="1" applyFill="1" applyBorder="1" applyAlignment="1">
      <alignment horizontal="center" vertical="center" wrapText="1"/>
    </xf>
    <xf numFmtId="0" fontId="2" fillId="0" borderId="1" xfId="0" applyFont="1" applyBorder="1" applyAlignment="1">
      <alignment horizontal="center" wrapText="1"/>
    </xf>
    <xf numFmtId="164" fontId="5" fillId="0" borderId="44" xfId="1" applyNumberFormat="1" applyFont="1" applyBorder="1" applyAlignment="1">
      <alignment horizontal="center" vertical="center"/>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50" xfId="0" applyFont="1" applyFill="1" applyBorder="1" applyAlignment="1">
      <alignment horizontal="center" vertical="center" wrapText="1"/>
    </xf>
    <xf numFmtId="0" fontId="4"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4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5" fillId="0" borderId="11" xfId="0" applyFont="1" applyBorder="1" applyAlignment="1">
      <alignment horizontal="center" vertical="center"/>
    </xf>
    <xf numFmtId="0" fontId="5" fillId="0" borderId="16" xfId="0" applyFont="1" applyBorder="1" applyAlignment="1">
      <alignment horizontal="center" vertical="center"/>
    </xf>
    <xf numFmtId="0" fontId="5" fillId="0" borderId="13" xfId="0" applyFont="1" applyBorder="1" applyAlignment="1">
      <alignment horizontal="center" vertical="center"/>
    </xf>
    <xf numFmtId="0" fontId="2" fillId="0" borderId="11"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0" xfId="0" applyFont="1" applyFill="1" applyBorder="1" applyAlignment="1">
      <alignment horizontal="center" vertical="center" wrapText="1"/>
    </xf>
    <xf numFmtId="165" fontId="3" fillId="5" borderId="4" xfId="1" applyNumberFormat="1" applyFont="1" applyFill="1" applyBorder="1" applyAlignment="1" applyProtection="1">
      <alignment vertical="center" wrapText="1"/>
      <protection hidden="1"/>
    </xf>
    <xf numFmtId="165" fontId="3" fillId="5" borderId="6" xfId="1" applyNumberFormat="1" applyFont="1" applyFill="1" applyBorder="1" applyAlignment="1" applyProtection="1">
      <alignment vertical="center" wrapText="1"/>
      <protection hidden="1"/>
    </xf>
    <xf numFmtId="165" fontId="2" fillId="0" borderId="5" xfId="1" applyNumberFormat="1" applyFont="1" applyFill="1" applyBorder="1" applyAlignment="1">
      <alignment horizontal="right" vertical="center" wrapText="1"/>
    </xf>
    <xf numFmtId="165" fontId="3" fillId="5" borderId="3"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165" fontId="3" fillId="0" borderId="25" xfId="0" applyNumberFormat="1" applyFont="1" applyBorder="1" applyAlignment="1">
      <alignment horizontal="center"/>
    </xf>
    <xf numFmtId="165" fontId="3" fillId="0" borderId="26" xfId="0" applyNumberFormat="1" applyFont="1" applyBorder="1" applyAlignment="1">
      <alignment horizontal="center"/>
    </xf>
    <xf numFmtId="165" fontId="3" fillId="0" borderId="27" xfId="0" applyNumberFormat="1" applyFont="1" applyBorder="1" applyAlignment="1">
      <alignment horizontal="center"/>
    </xf>
    <xf numFmtId="165" fontId="3" fillId="0" borderId="26" xfId="1" applyNumberFormat="1" applyFont="1" applyFill="1" applyBorder="1" applyAlignment="1">
      <alignment horizontal="center" vertical="center" wrapText="1"/>
    </xf>
    <xf numFmtId="165" fontId="3" fillId="0" borderId="27" xfId="1" applyNumberFormat="1" applyFont="1" applyFill="1" applyBorder="1" applyAlignment="1">
      <alignment horizontal="center" vertical="center" wrapText="1"/>
    </xf>
    <xf numFmtId="165" fontId="12" fillId="0" borderId="0" xfId="1" applyNumberFormat="1" applyFont="1" applyFill="1" applyBorder="1" applyAlignment="1">
      <alignment horizontal="center" vertical="center" wrapText="1"/>
    </xf>
    <xf numFmtId="165" fontId="3" fillId="0" borderId="18" xfId="0" applyNumberFormat="1" applyFont="1" applyBorder="1" applyAlignment="1">
      <alignment horizontal="center"/>
    </xf>
    <xf numFmtId="165" fontId="3" fillId="0" borderId="19" xfId="0" applyNumberFormat="1" applyFont="1" applyBorder="1" applyAlignment="1">
      <alignment horizontal="center"/>
    </xf>
    <xf numFmtId="165" fontId="3" fillId="0" borderId="20" xfId="0" applyNumberFormat="1" applyFont="1" applyBorder="1" applyAlignment="1">
      <alignment horizontal="center"/>
    </xf>
    <xf numFmtId="165" fontId="3" fillId="0" borderId="0" xfId="0" applyNumberFormat="1" applyFont="1" applyAlignment="1">
      <alignment horizontal="center"/>
    </xf>
    <xf numFmtId="165" fontId="3" fillId="0" borderId="0" xfId="1" applyNumberFormat="1" applyFont="1" applyFill="1" applyBorder="1" applyAlignment="1">
      <alignment horizontal="center" vertical="center" wrapText="1"/>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31" xfId="0" applyFont="1" applyBorder="1" applyAlignment="1">
      <alignment horizontal="center" vertical="center"/>
    </xf>
    <xf numFmtId="0" fontId="8" fillId="0" borderId="17" xfId="0" applyFont="1" applyBorder="1" applyAlignment="1">
      <alignment horizontal="center" vertical="center"/>
    </xf>
    <xf numFmtId="0" fontId="8" fillId="0" borderId="30" xfId="0" applyFont="1" applyBorder="1" applyAlignment="1">
      <alignment horizontal="center" vertical="center"/>
    </xf>
    <xf numFmtId="0" fontId="8" fillId="0" borderId="21"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1" xfId="0" applyFont="1" applyBorder="1" applyAlignment="1">
      <alignment horizontal="center" vertical="center"/>
    </xf>
    <xf numFmtId="0" fontId="8" fillId="0" borderId="29" xfId="0" applyFont="1" applyBorder="1" applyAlignment="1">
      <alignment horizontal="center" vertical="center"/>
    </xf>
    <xf numFmtId="0" fontId="6" fillId="0" borderId="21" xfId="0" applyFont="1" applyBorder="1" applyAlignment="1">
      <alignment horizontal="center" vertical="center"/>
    </xf>
    <xf numFmtId="0" fontId="6" fillId="0" borderId="29" xfId="0" applyFont="1" applyBorder="1" applyAlignment="1">
      <alignment horizontal="center" vertical="center"/>
    </xf>
    <xf numFmtId="0" fontId="6" fillId="0" borderId="21"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4" xfId="0" applyFont="1" applyBorder="1" applyAlignment="1">
      <alignment horizontal="center" vertical="center"/>
    </xf>
    <xf numFmtId="164" fontId="3" fillId="0" borderId="6" xfId="1" applyNumberFormat="1" applyFont="1" applyFill="1" applyBorder="1" applyAlignment="1" applyProtection="1">
      <alignment vertical="center" wrapText="1"/>
      <protection hidden="1"/>
    </xf>
    <xf numFmtId="164" fontId="3" fillId="0" borderId="23" xfId="1" applyNumberFormat="1" applyFont="1" applyFill="1" applyBorder="1" applyAlignment="1" applyProtection="1">
      <alignment horizontal="center" vertical="center" wrapText="1"/>
      <protection hidden="1"/>
    </xf>
    <xf numFmtId="164" fontId="3" fillId="0" borderId="24" xfId="1" applyNumberFormat="1" applyFont="1" applyFill="1" applyBorder="1" applyAlignment="1" applyProtection="1">
      <alignment horizontal="center" vertical="center" wrapText="1"/>
      <protection hidden="1"/>
    </xf>
    <xf numFmtId="164" fontId="3" fillId="0" borderId="22" xfId="1" applyNumberFormat="1" applyFont="1" applyFill="1" applyBorder="1" applyAlignment="1" applyProtection="1">
      <alignment horizontal="center" vertical="center" wrapText="1"/>
      <protection hidden="1"/>
    </xf>
    <xf numFmtId="0" fontId="4"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xf>
    <xf numFmtId="164" fontId="5" fillId="0" borderId="1" xfId="1" applyNumberFormat="1" applyFont="1" applyBorder="1" applyAlignment="1">
      <alignment horizontal="center" vertical="center"/>
    </xf>
    <xf numFmtId="0" fontId="2" fillId="0" borderId="1" xfId="0" applyFont="1" applyBorder="1" applyAlignment="1">
      <alignment horizontal="center" vertical="center" wrapText="1"/>
    </xf>
    <xf numFmtId="164" fontId="3" fillId="0" borderId="18" xfId="0" applyNumberFormat="1" applyFont="1" applyFill="1" applyBorder="1" applyAlignment="1">
      <alignment horizontal="center"/>
    </xf>
    <xf numFmtId="164" fontId="3" fillId="0" borderId="19" xfId="0" applyNumberFormat="1" applyFont="1" applyFill="1" applyBorder="1" applyAlignment="1">
      <alignment horizontal="center"/>
    </xf>
    <xf numFmtId="164" fontId="3" fillId="0" borderId="20" xfId="0" applyNumberFormat="1" applyFont="1" applyFill="1" applyBorder="1" applyAlignment="1">
      <alignment horizontal="center"/>
    </xf>
    <xf numFmtId="164" fontId="3" fillId="0" borderId="17" xfId="0" applyNumberFormat="1" applyFont="1" applyFill="1" applyBorder="1" applyAlignment="1">
      <alignment horizontal="center"/>
    </xf>
    <xf numFmtId="164" fontId="3" fillId="0" borderId="17"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164" fontId="3" fillId="0" borderId="3"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164" fontId="3" fillId="0" borderId="3"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4" xfId="1" applyNumberFormat="1" applyFont="1" applyFill="1" applyBorder="1" applyAlignment="1" applyProtection="1">
      <alignment horizontal="center" vertical="center" wrapText="1"/>
      <protection hidden="1"/>
    </xf>
    <xf numFmtId="164" fontId="3" fillId="0" borderId="6" xfId="1" applyNumberFormat="1" applyFont="1" applyFill="1" applyBorder="1" applyAlignment="1" applyProtection="1">
      <alignment horizontal="center" vertical="center" wrapText="1"/>
      <protection hidden="1"/>
    </xf>
    <xf numFmtId="0" fontId="5" fillId="0" borderId="1" xfId="0" applyNumberFormat="1" applyFont="1" applyFill="1" applyBorder="1" applyAlignment="1">
      <alignment horizontal="center" vertical="center"/>
    </xf>
    <xf numFmtId="164" fontId="5" fillId="0" borderId="1" xfId="1" applyNumberFormat="1" applyFont="1" applyFill="1" applyBorder="1" applyAlignment="1">
      <alignment horizontal="center" vertical="center"/>
    </xf>
    <xf numFmtId="164" fontId="3" fillId="0" borderId="1" xfId="1" applyNumberFormat="1" applyFont="1" applyFill="1" applyBorder="1" applyAlignment="1">
      <alignment vertical="center" wrapText="1"/>
    </xf>
    <xf numFmtId="164" fontId="3" fillId="0" borderId="1" xfId="1" applyNumberFormat="1" applyFont="1" applyFill="1" applyBorder="1" applyAlignment="1" applyProtection="1">
      <alignment vertical="center" wrapText="1"/>
      <protection hidden="1"/>
    </xf>
    <xf numFmtId="0"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3" fillId="0" borderId="18" xfId="1" applyNumberFormat="1" applyFont="1" applyFill="1" applyBorder="1" applyAlignment="1">
      <alignment horizontal="center" vertical="center" wrapText="1"/>
    </xf>
    <xf numFmtId="164" fontId="3" fillId="0" borderId="19" xfId="1" applyNumberFormat="1" applyFont="1" applyFill="1" applyBorder="1" applyAlignment="1">
      <alignment horizontal="center" vertical="center" wrapText="1"/>
    </xf>
    <xf numFmtId="164" fontId="3" fillId="0" borderId="20" xfId="1" applyNumberFormat="1" applyFont="1" applyFill="1" applyBorder="1" applyAlignment="1">
      <alignment horizontal="center" vertical="center" wrapText="1"/>
    </xf>
    <xf numFmtId="164" fontId="3" fillId="0" borderId="21" xfId="1" applyNumberFormat="1" applyFont="1" applyFill="1" applyBorder="1" applyAlignment="1" applyProtection="1">
      <alignment horizontal="center" vertical="center" wrapText="1"/>
      <protection hidden="1"/>
    </xf>
    <xf numFmtId="0" fontId="2" fillId="0" borderId="11" xfId="0" applyNumberFormat="1" applyFont="1" applyFill="1" applyBorder="1" applyAlignment="1">
      <alignment horizontal="center" vertical="center" wrapText="1"/>
    </xf>
    <xf numFmtId="0" fontId="2" fillId="0" borderId="16" xfId="0" applyNumberFormat="1" applyFont="1" applyFill="1" applyBorder="1" applyAlignment="1">
      <alignment horizontal="center" vertical="center" wrapText="1"/>
    </xf>
    <xf numFmtId="0" fontId="2" fillId="0" borderId="13" xfId="0" applyNumberFormat="1" applyFont="1" applyFill="1" applyBorder="1" applyAlignment="1">
      <alignment horizontal="center" vertical="center" wrapText="1"/>
    </xf>
    <xf numFmtId="164" fontId="12" fillId="0" borderId="18" xfId="1" applyNumberFormat="1" applyFont="1" applyFill="1" applyBorder="1" applyAlignment="1">
      <alignment horizontal="center" vertical="center" wrapText="1"/>
    </xf>
    <xf numFmtId="164" fontId="12" fillId="0" borderId="19" xfId="1" applyNumberFormat="1" applyFont="1" applyFill="1" applyBorder="1" applyAlignment="1">
      <alignment horizontal="center" vertical="center" wrapText="1"/>
    </xf>
    <xf numFmtId="164" fontId="12" fillId="0" borderId="20" xfId="1" applyNumberFormat="1" applyFont="1" applyFill="1" applyBorder="1" applyAlignment="1">
      <alignment horizontal="center" vertical="center" wrapText="1"/>
    </xf>
    <xf numFmtId="164" fontId="13" fillId="0" borderId="18" xfId="1" applyNumberFormat="1" applyFont="1" applyFill="1" applyBorder="1" applyAlignment="1">
      <alignment horizontal="center" vertical="center" wrapText="1"/>
    </xf>
    <xf numFmtId="164" fontId="3" fillId="0" borderId="3" xfId="1" applyNumberFormat="1" applyFont="1" applyFill="1" applyBorder="1" applyAlignment="1">
      <alignment vertical="center" wrapText="1"/>
    </xf>
    <xf numFmtId="164" fontId="3" fillId="0" borderId="3" xfId="1" applyNumberFormat="1" applyFont="1" applyFill="1" applyBorder="1" applyAlignment="1" applyProtection="1">
      <alignment vertical="center" wrapText="1"/>
      <protection hidden="1"/>
    </xf>
    <xf numFmtId="164" fontId="3" fillId="0" borderId="4" xfId="1" applyNumberFormat="1" applyFont="1" applyFill="1" applyBorder="1" applyAlignment="1" applyProtection="1">
      <alignment vertical="center" wrapText="1"/>
      <protection hidden="1"/>
    </xf>
    <xf numFmtId="0" fontId="3" fillId="0" borderId="11" xfId="1" applyNumberFormat="1" applyFont="1" applyFill="1" applyBorder="1" applyAlignment="1">
      <alignment horizontal="center" vertical="center" wrapText="1"/>
    </xf>
    <xf numFmtId="0" fontId="3" fillId="0" borderId="16" xfId="1" applyNumberFormat="1" applyFont="1" applyFill="1" applyBorder="1" applyAlignment="1">
      <alignment horizontal="center" vertical="center" wrapText="1"/>
    </xf>
    <xf numFmtId="0" fontId="3" fillId="0" borderId="13"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wrapText="1"/>
    </xf>
    <xf numFmtId="164" fontId="3" fillId="0" borderId="11" xfId="1" applyNumberFormat="1" applyFont="1" applyFill="1" applyBorder="1" applyAlignment="1">
      <alignment horizontal="center" vertical="center" wrapText="1"/>
    </xf>
    <xf numFmtId="164" fontId="3" fillId="0" borderId="13" xfId="1" applyNumberFormat="1" applyFont="1" applyFill="1" applyBorder="1" applyAlignment="1">
      <alignment horizontal="center" vertical="center" wrapText="1"/>
    </xf>
    <xf numFmtId="164" fontId="3" fillId="0" borderId="11" xfId="1" applyNumberFormat="1" applyFont="1" applyFill="1" applyBorder="1" applyAlignment="1" applyProtection="1">
      <alignment horizontal="right" vertical="center" wrapText="1"/>
      <protection hidden="1"/>
    </xf>
    <xf numFmtId="164" fontId="3" fillId="0" borderId="13" xfId="1" applyNumberFormat="1" applyFont="1" applyFill="1" applyBorder="1" applyAlignment="1" applyProtection="1">
      <alignment horizontal="right" vertical="center" wrapText="1"/>
      <protection hidden="1"/>
    </xf>
    <xf numFmtId="164" fontId="3" fillId="0" borderId="12" xfId="1" applyNumberFormat="1" applyFont="1" applyFill="1" applyBorder="1" applyAlignment="1" applyProtection="1">
      <alignment horizontal="right" vertical="center" wrapText="1"/>
      <protection hidden="1"/>
    </xf>
    <xf numFmtId="164" fontId="3" fillId="0" borderId="15" xfId="1" applyNumberFormat="1" applyFont="1" applyFill="1" applyBorder="1" applyAlignment="1" applyProtection="1">
      <alignment horizontal="right" vertical="center" wrapText="1"/>
      <protection hidden="1"/>
    </xf>
    <xf numFmtId="0" fontId="3" fillId="0" borderId="1" xfId="1" applyNumberFormat="1" applyFont="1" applyFill="1" applyBorder="1" applyAlignment="1">
      <alignment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8" xfId="0" applyFont="1" applyFill="1" applyBorder="1" applyAlignment="1">
      <alignment horizontal="center" vertical="center" wrapText="1"/>
    </xf>
    <xf numFmtId="164" fontId="3" fillId="0" borderId="10" xfId="1" applyNumberFormat="1" applyFont="1" applyFill="1" applyBorder="1" applyAlignment="1">
      <alignment vertical="center" wrapText="1"/>
    </xf>
    <xf numFmtId="164" fontId="3" fillId="0" borderId="13" xfId="1" applyNumberFormat="1" applyFont="1" applyFill="1" applyBorder="1" applyAlignment="1">
      <alignment vertical="center" wrapText="1"/>
    </xf>
    <xf numFmtId="164" fontId="3" fillId="0" borderId="10" xfId="1" applyNumberFormat="1" applyFont="1" applyFill="1" applyBorder="1" applyAlignment="1" applyProtection="1">
      <alignment vertical="center" wrapText="1"/>
      <protection hidden="1"/>
    </xf>
    <xf numFmtId="164" fontId="3" fillId="0" borderId="13" xfId="1" applyNumberFormat="1" applyFont="1" applyFill="1" applyBorder="1" applyAlignment="1" applyProtection="1">
      <alignment vertical="center" wrapText="1"/>
      <protection hidden="1"/>
    </xf>
    <xf numFmtId="164" fontId="3" fillId="0" borderId="9" xfId="1" applyNumberFormat="1" applyFont="1" applyFill="1" applyBorder="1" applyAlignment="1" applyProtection="1">
      <alignment vertical="center" wrapText="1"/>
      <protection hidden="1"/>
    </xf>
    <xf numFmtId="164" fontId="3" fillId="0" borderId="15" xfId="1" applyNumberFormat="1" applyFont="1" applyFill="1" applyBorder="1" applyAlignment="1" applyProtection="1">
      <alignment vertical="center" wrapText="1"/>
      <protection hidden="1"/>
    </xf>
    <xf numFmtId="164" fontId="3" fillId="0" borderId="34" xfId="1" applyNumberFormat="1" applyFont="1" applyFill="1" applyBorder="1" applyAlignment="1">
      <alignment vertical="center" wrapText="1"/>
    </xf>
    <xf numFmtId="164" fontId="3" fillId="0" borderId="35" xfId="1" applyNumberFormat="1" applyFont="1" applyFill="1" applyBorder="1" applyAlignment="1">
      <alignment vertical="center" wrapText="1"/>
    </xf>
    <xf numFmtId="164" fontId="3" fillId="0" borderId="21" xfId="1" applyNumberFormat="1" applyFont="1" applyFill="1" applyBorder="1" applyAlignment="1" applyProtection="1">
      <alignment vertical="center" wrapText="1"/>
      <protection hidden="1"/>
    </xf>
    <xf numFmtId="164" fontId="3" fillId="0" borderId="22" xfId="1" applyNumberFormat="1" applyFont="1" applyFill="1" applyBorder="1" applyAlignment="1" applyProtection="1">
      <alignment vertical="center" wrapText="1"/>
      <protection hidden="1"/>
    </xf>
  </cellXfs>
  <cellStyles count="3">
    <cellStyle name="Millares" xfId="2" builtinId="3"/>
    <cellStyle name="Moneda [0]" xfId="1" builtinId="7"/>
    <cellStyle name="Normal" xfId="0" builtinId="0"/>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7030A0"/>
  </sheetPr>
  <dimension ref="A1:P106"/>
  <sheetViews>
    <sheetView showGridLines="0" topLeftCell="A113" zoomScale="118" zoomScaleNormal="118" workbookViewId="0">
      <selection activeCell="C100" sqref="C100"/>
    </sheetView>
  </sheetViews>
  <sheetFormatPr baseColWidth="10" defaultColWidth="11.453125" defaultRowHeight="21.75" customHeight="1"/>
  <cols>
    <col min="1" max="1" width="20.453125" style="3" customWidth="1"/>
    <col min="2" max="2" width="10.1796875" style="29" bestFit="1" customWidth="1"/>
    <col min="3" max="3" width="45.81640625" style="12" customWidth="1"/>
    <col min="4" max="4" width="13.453125" style="1" customWidth="1"/>
    <col min="5" max="5" width="26.453125" style="26" customWidth="1"/>
    <col min="6" max="6" width="17.81640625" style="27" customWidth="1"/>
    <col min="7" max="7" width="21.36328125" style="27" customWidth="1"/>
    <col min="8" max="8" width="19.453125" style="26" customWidth="1"/>
    <col min="9" max="9" width="13" style="27" customWidth="1"/>
    <col min="10" max="10" width="21.36328125" style="27" customWidth="1"/>
    <col min="11" max="11" width="19.453125" style="26" customWidth="1"/>
    <col min="12" max="12" width="13" style="27" customWidth="1"/>
    <col min="13" max="13" width="19.453125" style="27" customWidth="1"/>
    <col min="14" max="14" width="21.453125" style="27" customWidth="1"/>
    <col min="15" max="15" width="11.453125" style="2"/>
    <col min="16" max="16" width="12.6328125" style="2" bestFit="1" customWidth="1"/>
    <col min="17" max="16384" width="11.453125" style="2"/>
  </cols>
  <sheetData>
    <row r="1" spans="1:16" ht="12" thickBot="1">
      <c r="E1" s="232" t="s">
        <v>141</v>
      </c>
      <c r="F1" s="233"/>
      <c r="G1" s="234"/>
      <c r="H1" s="233" t="s">
        <v>187</v>
      </c>
      <c r="I1" s="233"/>
      <c r="J1" s="233"/>
      <c r="K1" s="232"/>
      <c r="L1" s="233"/>
      <c r="M1" s="234"/>
      <c r="N1" s="2"/>
    </row>
    <row r="2" spans="1:16" s="138" customFormat="1" ht="24" customHeight="1">
      <c r="A2" s="265" t="s">
        <v>122</v>
      </c>
      <c r="B2" s="266"/>
      <c r="C2" s="266"/>
      <c r="D2" s="267"/>
      <c r="E2" s="235" t="s">
        <v>119</v>
      </c>
      <c r="F2" s="237" t="s">
        <v>120</v>
      </c>
      <c r="G2" s="239" t="s">
        <v>121</v>
      </c>
      <c r="H2" s="235" t="s">
        <v>119</v>
      </c>
      <c r="I2" s="237" t="s">
        <v>120</v>
      </c>
      <c r="J2" s="239" t="s">
        <v>121</v>
      </c>
      <c r="K2" s="235" t="s">
        <v>119</v>
      </c>
      <c r="L2" s="237" t="s">
        <v>120</v>
      </c>
      <c r="M2" s="239" t="s">
        <v>121</v>
      </c>
      <c r="N2" s="225" t="s">
        <v>144</v>
      </c>
      <c r="O2" s="211"/>
      <c r="P2" s="214"/>
    </row>
    <row r="3" spans="1:16" s="29" customFormat="1" ht="23">
      <c r="A3" s="14" t="s">
        <v>0</v>
      </c>
      <c r="B3" s="193" t="s">
        <v>1</v>
      </c>
      <c r="C3" s="8" t="s">
        <v>2</v>
      </c>
      <c r="D3" s="192" t="s">
        <v>3</v>
      </c>
      <c r="E3" s="236"/>
      <c r="F3" s="238"/>
      <c r="G3" s="240"/>
      <c r="H3" s="236"/>
      <c r="I3" s="238"/>
      <c r="J3" s="240"/>
      <c r="K3" s="236"/>
      <c r="L3" s="238"/>
      <c r="M3" s="240"/>
      <c r="N3" s="226"/>
      <c r="O3" s="211"/>
      <c r="P3" s="214"/>
    </row>
    <row r="4" spans="1:16" ht="11.5">
      <c r="A4" s="268" t="s">
        <v>16</v>
      </c>
      <c r="B4" s="281">
        <v>901016</v>
      </c>
      <c r="C4" s="4" t="s">
        <v>29</v>
      </c>
      <c r="D4" s="270" t="s">
        <v>4</v>
      </c>
      <c r="E4" s="241">
        <v>7328</v>
      </c>
      <c r="F4" s="242">
        <v>1392</v>
      </c>
      <c r="G4" s="243">
        <f>+E4+F4</f>
        <v>8720</v>
      </c>
      <c r="H4" s="241">
        <v>5000</v>
      </c>
      <c r="I4" s="242">
        <v>950</v>
      </c>
      <c r="J4" s="243">
        <f>+H4+I4</f>
        <v>5950</v>
      </c>
      <c r="K4" s="241"/>
      <c r="L4" s="242"/>
      <c r="M4" s="243"/>
      <c r="N4" s="227">
        <f>G4+J4/2</f>
        <v>11695</v>
      </c>
      <c r="O4" s="212"/>
      <c r="P4" s="213"/>
    </row>
    <row r="5" spans="1:16" ht="34.5">
      <c r="A5" s="268"/>
      <c r="B5" s="282"/>
      <c r="C5" s="4" t="s">
        <v>30</v>
      </c>
      <c r="D5" s="270"/>
      <c r="E5" s="241"/>
      <c r="F5" s="242"/>
      <c r="G5" s="243"/>
      <c r="H5" s="241"/>
      <c r="I5" s="242"/>
      <c r="J5" s="243"/>
      <c r="K5" s="241"/>
      <c r="L5" s="242"/>
      <c r="M5" s="243"/>
      <c r="N5" s="227"/>
      <c r="O5" s="212"/>
      <c r="P5" s="212"/>
    </row>
    <row r="6" spans="1:16" ht="23">
      <c r="A6" s="268"/>
      <c r="B6" s="282"/>
      <c r="C6" s="4" t="s">
        <v>31</v>
      </c>
      <c r="D6" s="270"/>
      <c r="E6" s="241"/>
      <c r="F6" s="242"/>
      <c r="G6" s="243"/>
      <c r="H6" s="241"/>
      <c r="I6" s="242"/>
      <c r="J6" s="243"/>
      <c r="K6" s="241"/>
      <c r="L6" s="242"/>
      <c r="M6" s="243"/>
      <c r="N6" s="227"/>
      <c r="O6" s="212"/>
      <c r="P6" s="212"/>
    </row>
    <row r="7" spans="1:16" ht="11.5">
      <c r="A7" s="268"/>
      <c r="B7" s="282"/>
      <c r="C7" s="4" t="s">
        <v>32</v>
      </c>
      <c r="D7" s="270"/>
      <c r="E7" s="241"/>
      <c r="F7" s="242"/>
      <c r="G7" s="243"/>
      <c r="H7" s="241"/>
      <c r="I7" s="242"/>
      <c r="J7" s="243"/>
      <c r="K7" s="241"/>
      <c r="L7" s="242"/>
      <c r="M7" s="243"/>
      <c r="N7" s="227"/>
      <c r="O7" s="212"/>
      <c r="P7" s="212"/>
    </row>
    <row r="8" spans="1:16" ht="34.5">
      <c r="A8" s="268"/>
      <c r="B8" s="282"/>
      <c r="C8" s="4" t="s">
        <v>33</v>
      </c>
      <c r="D8" s="270"/>
      <c r="E8" s="241"/>
      <c r="F8" s="242"/>
      <c r="G8" s="243"/>
      <c r="H8" s="241"/>
      <c r="I8" s="242"/>
      <c r="J8" s="243"/>
      <c r="K8" s="241"/>
      <c r="L8" s="242"/>
      <c r="M8" s="243"/>
      <c r="N8" s="227"/>
      <c r="O8" s="212"/>
      <c r="P8" s="212"/>
    </row>
    <row r="9" spans="1:16" ht="11.5">
      <c r="A9" s="268"/>
      <c r="B9" s="283"/>
      <c r="C9" s="4" t="s">
        <v>17</v>
      </c>
      <c r="D9" s="270"/>
      <c r="E9" s="241"/>
      <c r="F9" s="242"/>
      <c r="G9" s="243"/>
      <c r="H9" s="241"/>
      <c r="I9" s="242"/>
      <c r="J9" s="243"/>
      <c r="K9" s="241"/>
      <c r="L9" s="242"/>
      <c r="M9" s="243"/>
      <c r="N9" s="227"/>
      <c r="O9" s="212"/>
      <c r="P9" s="212"/>
    </row>
    <row r="10" spans="1:16" ht="11.5">
      <c r="A10" s="268"/>
      <c r="B10" s="284">
        <v>901016</v>
      </c>
      <c r="C10" s="4" t="s">
        <v>34</v>
      </c>
      <c r="D10" s="274" t="s">
        <v>4</v>
      </c>
      <c r="E10" s="241">
        <v>10000</v>
      </c>
      <c r="F10" s="242">
        <v>1900</v>
      </c>
      <c r="G10" s="243">
        <f>+E10+F10</f>
        <v>11900</v>
      </c>
      <c r="H10" s="241">
        <v>6075</v>
      </c>
      <c r="I10" s="264">
        <v>1155</v>
      </c>
      <c r="J10" s="243">
        <f>+H10+I10</f>
        <v>7230</v>
      </c>
      <c r="K10" s="241"/>
      <c r="L10" s="242"/>
      <c r="M10" s="243"/>
      <c r="N10" s="227">
        <f>G10+J10/2</f>
        <v>15515</v>
      </c>
    </row>
    <row r="11" spans="1:16" ht="34.5">
      <c r="A11" s="268"/>
      <c r="B11" s="285"/>
      <c r="C11" s="4" t="s">
        <v>30</v>
      </c>
      <c r="D11" s="274"/>
      <c r="E11" s="241"/>
      <c r="F11" s="242"/>
      <c r="G11" s="243"/>
      <c r="H11" s="241"/>
      <c r="I11" s="264"/>
      <c r="J11" s="243"/>
      <c r="K11" s="241"/>
      <c r="L11" s="242"/>
      <c r="M11" s="243"/>
      <c r="N11" s="227"/>
    </row>
    <row r="12" spans="1:16" ht="23">
      <c r="A12" s="268"/>
      <c r="B12" s="285"/>
      <c r="C12" s="5" t="s">
        <v>35</v>
      </c>
      <c r="D12" s="274"/>
      <c r="E12" s="241"/>
      <c r="F12" s="242"/>
      <c r="G12" s="243"/>
      <c r="H12" s="241"/>
      <c r="I12" s="264"/>
      <c r="J12" s="243"/>
      <c r="K12" s="241"/>
      <c r="L12" s="242"/>
      <c r="M12" s="243"/>
      <c r="N12" s="227"/>
      <c r="O12" s="131"/>
    </row>
    <row r="13" spans="1:16" ht="11.5">
      <c r="A13" s="268"/>
      <c r="B13" s="285"/>
      <c r="C13" s="4" t="s">
        <v>32</v>
      </c>
      <c r="D13" s="274"/>
      <c r="E13" s="241"/>
      <c r="F13" s="242"/>
      <c r="G13" s="243"/>
      <c r="H13" s="241"/>
      <c r="I13" s="264"/>
      <c r="J13" s="243"/>
      <c r="K13" s="241"/>
      <c r="L13" s="242"/>
      <c r="M13" s="243"/>
      <c r="N13" s="227"/>
    </row>
    <row r="14" spans="1:16" ht="34.5">
      <c r="A14" s="268"/>
      <c r="B14" s="285"/>
      <c r="C14" s="4" t="s">
        <v>33</v>
      </c>
      <c r="D14" s="274"/>
      <c r="E14" s="241"/>
      <c r="F14" s="242"/>
      <c r="G14" s="243"/>
      <c r="H14" s="241"/>
      <c r="I14" s="264"/>
      <c r="J14" s="243"/>
      <c r="K14" s="241"/>
      <c r="L14" s="242"/>
      <c r="M14" s="243"/>
      <c r="N14" s="227"/>
      <c r="O14" s="201"/>
    </row>
    <row r="15" spans="1:16" ht="11.5">
      <c r="A15" s="268"/>
      <c r="B15" s="286"/>
      <c r="C15" s="4" t="s">
        <v>17</v>
      </c>
      <c r="D15" s="274"/>
      <c r="E15" s="241"/>
      <c r="F15" s="242"/>
      <c r="G15" s="243"/>
      <c r="H15" s="241"/>
      <c r="I15" s="264"/>
      <c r="J15" s="243"/>
      <c r="K15" s="241"/>
      <c r="L15" s="242"/>
      <c r="M15" s="243"/>
      <c r="N15" s="227"/>
    </row>
    <row r="16" spans="1:16" ht="11.5">
      <c r="A16" s="268"/>
      <c r="B16" s="287">
        <v>901016</v>
      </c>
      <c r="C16" s="4" t="s">
        <v>36</v>
      </c>
      <c r="D16" s="269" t="s">
        <v>4</v>
      </c>
      <c r="E16" s="241">
        <v>12582</v>
      </c>
      <c r="F16" s="242">
        <v>2391</v>
      </c>
      <c r="G16" s="243">
        <f>+E16+F16</f>
        <v>14973</v>
      </c>
      <c r="H16" s="241">
        <v>6500</v>
      </c>
      <c r="I16" s="242">
        <v>1140</v>
      </c>
      <c r="J16" s="243">
        <f>+H16+I16</f>
        <v>7640</v>
      </c>
      <c r="K16" s="241"/>
      <c r="L16" s="242"/>
      <c r="M16" s="243"/>
      <c r="N16" s="227">
        <f>(G16+J16)/2</f>
        <v>11306.5</v>
      </c>
    </row>
    <row r="17" spans="1:15" ht="34.5">
      <c r="A17" s="268"/>
      <c r="B17" s="288"/>
      <c r="C17" s="4" t="s">
        <v>30</v>
      </c>
      <c r="D17" s="269"/>
      <c r="E17" s="241"/>
      <c r="F17" s="242"/>
      <c r="G17" s="243"/>
      <c r="H17" s="241"/>
      <c r="I17" s="242"/>
      <c r="J17" s="243"/>
      <c r="K17" s="241"/>
      <c r="L17" s="242"/>
      <c r="M17" s="243"/>
      <c r="N17" s="227"/>
    </row>
    <row r="18" spans="1:15" ht="34.5">
      <c r="A18" s="268"/>
      <c r="B18" s="288"/>
      <c r="C18" s="5" t="s">
        <v>37</v>
      </c>
      <c r="D18" s="269"/>
      <c r="E18" s="241"/>
      <c r="F18" s="242"/>
      <c r="G18" s="243"/>
      <c r="H18" s="241"/>
      <c r="I18" s="242"/>
      <c r="J18" s="243"/>
      <c r="K18" s="241"/>
      <c r="L18" s="242"/>
      <c r="M18" s="243"/>
      <c r="N18" s="227"/>
    </row>
    <row r="19" spans="1:15" ht="11.5">
      <c r="A19" s="268"/>
      <c r="B19" s="288"/>
      <c r="C19" s="4" t="s">
        <v>32</v>
      </c>
      <c r="D19" s="269"/>
      <c r="E19" s="241"/>
      <c r="F19" s="242"/>
      <c r="G19" s="243"/>
      <c r="H19" s="241"/>
      <c r="I19" s="242"/>
      <c r="J19" s="243"/>
      <c r="K19" s="241"/>
      <c r="L19" s="242"/>
      <c r="M19" s="243"/>
      <c r="N19" s="227"/>
    </row>
    <row r="20" spans="1:15" ht="34.5">
      <c r="A20" s="268"/>
      <c r="B20" s="288"/>
      <c r="C20" s="4" t="s">
        <v>33</v>
      </c>
      <c r="D20" s="269"/>
      <c r="E20" s="241"/>
      <c r="F20" s="242"/>
      <c r="G20" s="243"/>
      <c r="H20" s="241"/>
      <c r="I20" s="242"/>
      <c r="J20" s="243"/>
      <c r="K20" s="241"/>
      <c r="L20" s="242"/>
      <c r="M20" s="243"/>
      <c r="N20" s="227"/>
    </row>
    <row r="21" spans="1:15" ht="11.5">
      <c r="A21" s="268"/>
      <c r="B21" s="289"/>
      <c r="C21" s="4" t="s">
        <v>17</v>
      </c>
      <c r="D21" s="269"/>
      <c r="E21" s="241"/>
      <c r="F21" s="242"/>
      <c r="G21" s="243"/>
      <c r="H21" s="241"/>
      <c r="I21" s="242"/>
      <c r="J21" s="243"/>
      <c r="K21" s="241"/>
      <c r="L21" s="242"/>
      <c r="M21" s="243"/>
      <c r="N21" s="227"/>
    </row>
    <row r="22" spans="1:15" ht="11.5">
      <c r="A22" s="268" t="s">
        <v>42</v>
      </c>
      <c r="B22" s="287">
        <v>901016</v>
      </c>
      <c r="C22" s="11" t="s">
        <v>38</v>
      </c>
      <c r="D22" s="269" t="s">
        <v>4</v>
      </c>
      <c r="E22" s="241">
        <v>897</v>
      </c>
      <c r="F22" s="242">
        <v>170</v>
      </c>
      <c r="G22" s="243">
        <f>+E22+F22</f>
        <v>1067</v>
      </c>
      <c r="H22" s="241">
        <v>1500</v>
      </c>
      <c r="I22" s="242">
        <v>285</v>
      </c>
      <c r="J22" s="243">
        <f>+H22+I22</f>
        <v>1785</v>
      </c>
      <c r="K22" s="241"/>
      <c r="L22" s="242"/>
      <c r="M22" s="243"/>
      <c r="N22" s="227">
        <f>(G22+J22)/2</f>
        <v>1426</v>
      </c>
    </row>
    <row r="23" spans="1:15" ht="11.5">
      <c r="A23" s="268"/>
      <c r="B23" s="289"/>
      <c r="C23" s="6" t="s">
        <v>39</v>
      </c>
      <c r="D23" s="269"/>
      <c r="E23" s="241"/>
      <c r="F23" s="242"/>
      <c r="G23" s="243"/>
      <c r="H23" s="241"/>
      <c r="I23" s="242"/>
      <c r="J23" s="243"/>
      <c r="K23" s="241"/>
      <c r="L23" s="242"/>
      <c r="M23" s="243"/>
      <c r="N23" s="227"/>
    </row>
    <row r="24" spans="1:15" ht="11.5">
      <c r="A24" s="268"/>
      <c r="B24" s="287">
        <v>901016</v>
      </c>
      <c r="C24" s="4" t="s">
        <v>40</v>
      </c>
      <c r="D24" s="269" t="s">
        <v>4</v>
      </c>
      <c r="E24" s="241">
        <v>1795</v>
      </c>
      <c r="F24" s="242">
        <v>341</v>
      </c>
      <c r="G24" s="243">
        <f>+E24+F24</f>
        <v>2136</v>
      </c>
      <c r="H24" s="241">
        <v>2500</v>
      </c>
      <c r="I24" s="242">
        <v>475</v>
      </c>
      <c r="J24" s="243">
        <f>+H24+I24</f>
        <v>2975</v>
      </c>
      <c r="K24" s="241"/>
      <c r="L24" s="242"/>
      <c r="M24" s="243"/>
      <c r="N24" s="227">
        <f>(G24+J24)/2</f>
        <v>2555.5</v>
      </c>
    </row>
    <row r="25" spans="1:15" ht="11.5">
      <c r="A25" s="268"/>
      <c r="B25" s="289"/>
      <c r="C25" s="11" t="s">
        <v>41</v>
      </c>
      <c r="D25" s="269"/>
      <c r="E25" s="241"/>
      <c r="F25" s="242"/>
      <c r="G25" s="243"/>
      <c r="H25" s="241"/>
      <c r="I25" s="242"/>
      <c r="J25" s="243"/>
      <c r="K25" s="241"/>
      <c r="L25" s="242"/>
      <c r="M25" s="243"/>
      <c r="N25" s="227"/>
    </row>
    <row r="26" spans="1:15" ht="46.5" thickBot="1">
      <c r="A26" s="16" t="s">
        <v>43</v>
      </c>
      <c r="B26" s="191">
        <v>901017</v>
      </c>
      <c r="C26" s="15" t="s">
        <v>44</v>
      </c>
      <c r="D26" s="190" t="s">
        <v>4</v>
      </c>
      <c r="E26" s="156">
        <v>5177</v>
      </c>
      <c r="F26" s="155">
        <v>984</v>
      </c>
      <c r="G26" s="154">
        <f>+E26+F26</f>
        <v>6161</v>
      </c>
      <c r="H26" s="156">
        <v>2782</v>
      </c>
      <c r="I26" s="203">
        <v>529</v>
      </c>
      <c r="J26" s="154">
        <f>H26+I26</f>
        <v>3311</v>
      </c>
      <c r="K26" s="202"/>
      <c r="L26" s="155"/>
      <c r="M26" s="154"/>
      <c r="N26" s="195">
        <f>(G26+J26)/2</f>
        <v>4736</v>
      </c>
    </row>
    <row r="27" spans="1:15" ht="42.75" customHeight="1">
      <c r="E27" s="152"/>
      <c r="F27" s="142"/>
      <c r="G27" s="142"/>
      <c r="H27" s="152"/>
      <c r="I27" s="142"/>
      <c r="J27" s="142"/>
      <c r="K27" s="152"/>
      <c r="L27" s="142"/>
      <c r="M27" s="142" t="s">
        <v>184</v>
      </c>
      <c r="N27" s="142">
        <f>SUM(N5:N26)</f>
        <v>35539</v>
      </c>
      <c r="O27" s="189"/>
    </row>
    <row r="28" spans="1:15" ht="21.75" customHeight="1" thickBot="1">
      <c r="E28" s="152"/>
      <c r="F28" s="142"/>
      <c r="G28" s="142"/>
      <c r="H28" s="152"/>
      <c r="I28" s="142"/>
      <c r="J28" s="142"/>
      <c r="K28" s="152"/>
      <c r="L28" s="142"/>
      <c r="M28" s="142"/>
      <c r="N28" s="142"/>
    </row>
    <row r="29" spans="1:15" ht="21.75" customHeight="1" thickBot="1">
      <c r="E29" s="298" t="s">
        <v>141</v>
      </c>
      <c r="F29" s="299"/>
      <c r="G29" s="300"/>
      <c r="H29" s="252" t="s">
        <v>171</v>
      </c>
      <c r="I29" s="253"/>
      <c r="J29" s="254"/>
      <c r="K29" s="301" t="s">
        <v>186</v>
      </c>
      <c r="L29" s="301"/>
      <c r="M29" s="302"/>
      <c r="N29" s="142"/>
    </row>
    <row r="30" spans="1:15" ht="21.75" customHeight="1">
      <c r="A30" s="275" t="s">
        <v>46</v>
      </c>
      <c r="B30" s="276"/>
      <c r="C30" s="276"/>
      <c r="D30" s="277"/>
      <c r="E30" s="246" t="s">
        <v>119</v>
      </c>
      <c r="F30" s="248" t="s">
        <v>120</v>
      </c>
      <c r="G30" s="250" t="s">
        <v>121</v>
      </c>
      <c r="H30" s="246" t="s">
        <v>119</v>
      </c>
      <c r="I30" s="248" t="s">
        <v>120</v>
      </c>
      <c r="J30" s="250" t="s">
        <v>121</v>
      </c>
      <c r="K30" s="246" t="s">
        <v>119</v>
      </c>
      <c r="L30" s="248" t="s">
        <v>120</v>
      </c>
      <c r="M30" s="250" t="s">
        <v>121</v>
      </c>
      <c r="N30" s="228" t="s">
        <v>144</v>
      </c>
    </row>
    <row r="31" spans="1:15" ht="21.75" customHeight="1">
      <c r="A31" s="188" t="s">
        <v>0</v>
      </c>
      <c r="B31" s="187" t="s">
        <v>1</v>
      </c>
      <c r="C31" s="186" t="s">
        <v>2</v>
      </c>
      <c r="D31" s="185" t="s">
        <v>3</v>
      </c>
      <c r="E31" s="247"/>
      <c r="F31" s="249"/>
      <c r="G31" s="251"/>
      <c r="H31" s="247"/>
      <c r="I31" s="249"/>
      <c r="J31" s="251"/>
      <c r="K31" s="247"/>
      <c r="L31" s="249"/>
      <c r="M31" s="251"/>
      <c r="N31" s="229"/>
    </row>
    <row r="32" spans="1:15" ht="21.75" customHeight="1">
      <c r="A32" s="268" t="s">
        <v>28</v>
      </c>
      <c r="B32" s="182">
        <v>781118</v>
      </c>
      <c r="C32" s="135" t="s">
        <v>47</v>
      </c>
      <c r="D32" s="181" t="s">
        <v>49</v>
      </c>
      <c r="E32" s="169">
        <v>649761</v>
      </c>
      <c r="F32" s="168">
        <v>123455</v>
      </c>
      <c r="G32" s="167">
        <f t="shared" ref="G32:G50" si="0">+E32+F32</f>
        <v>773216</v>
      </c>
      <c r="H32" s="169">
        <v>1162500</v>
      </c>
      <c r="I32" s="168">
        <v>220875</v>
      </c>
      <c r="J32" s="167">
        <f t="shared" ref="J32:J50" si="1">+H32+I32</f>
        <v>1383375</v>
      </c>
      <c r="K32" s="169">
        <v>65000</v>
      </c>
      <c r="L32" s="168">
        <v>12350</v>
      </c>
      <c r="M32" s="167">
        <f t="shared" ref="M32:M50" si="2">+K32+L32</f>
        <v>77350</v>
      </c>
      <c r="N32" s="180">
        <f t="shared" ref="N32:N50" si="3">(M32+J32+G32)/3</f>
        <v>744647</v>
      </c>
    </row>
    <row r="33" spans="1:14" ht="21.75" customHeight="1">
      <c r="A33" s="268"/>
      <c r="B33" s="182">
        <v>781118</v>
      </c>
      <c r="C33" s="135" t="s">
        <v>48</v>
      </c>
      <c r="D33" s="181" t="s">
        <v>45</v>
      </c>
      <c r="E33" s="169">
        <v>545761</v>
      </c>
      <c r="F33" s="168">
        <v>103695</v>
      </c>
      <c r="G33" s="167">
        <f t="shared" si="0"/>
        <v>649456</v>
      </c>
      <c r="H33" s="169">
        <v>950000</v>
      </c>
      <c r="I33" s="168">
        <v>180500</v>
      </c>
      <c r="J33" s="167">
        <f t="shared" si="1"/>
        <v>1130500</v>
      </c>
      <c r="K33" s="169">
        <v>55000</v>
      </c>
      <c r="L33" s="168">
        <v>10450</v>
      </c>
      <c r="M33" s="167">
        <f t="shared" si="2"/>
        <v>65450</v>
      </c>
      <c r="N33" s="180">
        <f t="shared" si="3"/>
        <v>615135.33333333337</v>
      </c>
    </row>
    <row r="34" spans="1:14" ht="21.75" customHeight="1">
      <c r="A34" s="183" t="s">
        <v>50</v>
      </c>
      <c r="B34" s="182">
        <v>801315</v>
      </c>
      <c r="C34" s="9" t="s">
        <v>51</v>
      </c>
      <c r="D34" s="181" t="s">
        <v>15</v>
      </c>
      <c r="E34" s="169">
        <v>124589</v>
      </c>
      <c r="F34" s="168">
        <v>23672</v>
      </c>
      <c r="G34" s="167">
        <f t="shared" si="0"/>
        <v>148261</v>
      </c>
      <c r="H34" s="169">
        <v>387000</v>
      </c>
      <c r="I34" s="168">
        <v>73530</v>
      </c>
      <c r="J34" s="167">
        <f t="shared" si="1"/>
        <v>460530</v>
      </c>
      <c r="K34" s="169">
        <v>350000</v>
      </c>
      <c r="L34" s="168">
        <v>66500</v>
      </c>
      <c r="M34" s="167">
        <f t="shared" si="2"/>
        <v>416500</v>
      </c>
      <c r="N34" s="180">
        <f t="shared" si="3"/>
        <v>341763.66666666669</v>
      </c>
    </row>
    <row r="35" spans="1:14" ht="21.75" customHeight="1">
      <c r="A35" s="183" t="s">
        <v>52</v>
      </c>
      <c r="B35" s="273">
        <v>451118</v>
      </c>
      <c r="C35" s="135" t="s">
        <v>53</v>
      </c>
      <c r="D35" s="181" t="s">
        <v>15</v>
      </c>
      <c r="E35" s="169">
        <v>6400000</v>
      </c>
      <c r="F35" s="168">
        <v>1216000</v>
      </c>
      <c r="G35" s="167">
        <f t="shared" si="0"/>
        <v>7616000</v>
      </c>
      <c r="H35" s="169">
        <v>10075000</v>
      </c>
      <c r="I35" s="168">
        <v>1914250</v>
      </c>
      <c r="J35" s="167">
        <f t="shared" si="1"/>
        <v>11989250</v>
      </c>
      <c r="K35" s="169">
        <v>5000000</v>
      </c>
      <c r="L35" s="168">
        <v>950000</v>
      </c>
      <c r="M35" s="167">
        <f t="shared" si="2"/>
        <v>5950000</v>
      </c>
      <c r="N35" s="180">
        <f t="shared" si="3"/>
        <v>8518416.666666666</v>
      </c>
    </row>
    <row r="36" spans="1:14" ht="21.75" customHeight="1">
      <c r="A36" s="183" t="s">
        <v>54</v>
      </c>
      <c r="B36" s="273"/>
      <c r="C36" s="135" t="s">
        <v>55</v>
      </c>
      <c r="D36" s="181" t="s">
        <v>15</v>
      </c>
      <c r="E36" s="169">
        <v>700000</v>
      </c>
      <c r="F36" s="168">
        <v>133000</v>
      </c>
      <c r="G36" s="167">
        <f t="shared" si="0"/>
        <v>833000</v>
      </c>
      <c r="H36" s="169">
        <v>620000</v>
      </c>
      <c r="I36" s="168">
        <v>117800</v>
      </c>
      <c r="J36" s="167">
        <f t="shared" si="1"/>
        <v>737800</v>
      </c>
      <c r="K36" s="169">
        <v>650000</v>
      </c>
      <c r="L36" s="168">
        <v>123500</v>
      </c>
      <c r="M36" s="167">
        <f t="shared" si="2"/>
        <v>773500</v>
      </c>
      <c r="N36" s="180">
        <f t="shared" si="3"/>
        <v>781433.33333333337</v>
      </c>
    </row>
    <row r="37" spans="1:14" ht="21.75" customHeight="1">
      <c r="A37" s="183" t="s">
        <v>56</v>
      </c>
      <c r="B37" s="273"/>
      <c r="C37" s="135" t="s">
        <v>57</v>
      </c>
      <c r="D37" s="181" t="s">
        <v>15</v>
      </c>
      <c r="E37" s="169">
        <v>600000</v>
      </c>
      <c r="F37" s="168">
        <v>114000</v>
      </c>
      <c r="G37" s="167">
        <f t="shared" si="0"/>
        <v>714000</v>
      </c>
      <c r="H37" s="169">
        <v>1390000</v>
      </c>
      <c r="I37" s="168">
        <v>264100</v>
      </c>
      <c r="J37" s="167">
        <f t="shared" si="1"/>
        <v>1654100</v>
      </c>
      <c r="K37" s="169">
        <v>900000</v>
      </c>
      <c r="L37" s="168">
        <v>171000</v>
      </c>
      <c r="M37" s="167">
        <f t="shared" si="2"/>
        <v>1071000</v>
      </c>
      <c r="N37" s="180">
        <f t="shared" si="3"/>
        <v>1146366.6666666667</v>
      </c>
    </row>
    <row r="38" spans="1:14" ht="21.75" customHeight="1">
      <c r="A38" s="183" t="s">
        <v>58</v>
      </c>
      <c r="B38" s="273"/>
      <c r="C38" s="135" t="s">
        <v>59</v>
      </c>
      <c r="D38" s="181" t="s">
        <v>15</v>
      </c>
      <c r="E38" s="169">
        <v>3250000</v>
      </c>
      <c r="F38" s="168">
        <v>617500</v>
      </c>
      <c r="G38" s="167">
        <f t="shared" si="0"/>
        <v>3867500</v>
      </c>
      <c r="H38" s="169">
        <v>2500000</v>
      </c>
      <c r="I38" s="168">
        <v>475000</v>
      </c>
      <c r="J38" s="167">
        <f t="shared" si="1"/>
        <v>2975000</v>
      </c>
      <c r="K38" s="169">
        <v>4500000</v>
      </c>
      <c r="L38" s="168">
        <v>855000</v>
      </c>
      <c r="M38" s="167">
        <f t="shared" si="2"/>
        <v>5355000</v>
      </c>
      <c r="N38" s="180">
        <f t="shared" si="3"/>
        <v>4065833.3333333335</v>
      </c>
    </row>
    <row r="39" spans="1:14" ht="21.75" customHeight="1">
      <c r="A39" s="183" t="s">
        <v>60</v>
      </c>
      <c r="B39" s="182">
        <v>901016</v>
      </c>
      <c r="C39" s="135" t="s">
        <v>61</v>
      </c>
      <c r="D39" s="181" t="s">
        <v>15</v>
      </c>
      <c r="E39" s="169">
        <v>390000</v>
      </c>
      <c r="F39" s="168">
        <v>74100</v>
      </c>
      <c r="G39" s="167">
        <f t="shared" si="0"/>
        <v>464100</v>
      </c>
      <c r="H39" s="169">
        <v>387500</v>
      </c>
      <c r="I39" s="168">
        <f>+H39*0.19</f>
        <v>73625</v>
      </c>
      <c r="J39" s="167">
        <f t="shared" si="1"/>
        <v>461125</v>
      </c>
      <c r="K39" s="169">
        <v>200000</v>
      </c>
      <c r="L39" s="168">
        <v>38000</v>
      </c>
      <c r="M39" s="167">
        <f t="shared" si="2"/>
        <v>238000</v>
      </c>
      <c r="N39" s="180">
        <f t="shared" si="3"/>
        <v>387741.66666666669</v>
      </c>
    </row>
    <row r="40" spans="1:14" ht="21.75" customHeight="1">
      <c r="A40" s="183" t="s">
        <v>62</v>
      </c>
      <c r="B40" s="182">
        <v>451118</v>
      </c>
      <c r="C40" s="135" t="s">
        <v>63</v>
      </c>
      <c r="D40" s="181" t="s">
        <v>15</v>
      </c>
      <c r="E40" s="169">
        <v>975000</v>
      </c>
      <c r="F40" s="168">
        <v>185250</v>
      </c>
      <c r="G40" s="167">
        <f t="shared" si="0"/>
        <v>1160250</v>
      </c>
      <c r="H40" s="169">
        <v>390000</v>
      </c>
      <c r="I40" s="168">
        <f>+H40*0.19</f>
        <v>74100</v>
      </c>
      <c r="J40" s="167">
        <f t="shared" si="1"/>
        <v>464100</v>
      </c>
      <c r="K40" s="169">
        <v>500000</v>
      </c>
      <c r="L40" s="168">
        <v>95000</v>
      </c>
      <c r="M40" s="167">
        <f t="shared" si="2"/>
        <v>595000</v>
      </c>
      <c r="N40" s="180">
        <f t="shared" si="3"/>
        <v>739783.33333333337</v>
      </c>
    </row>
    <row r="41" spans="1:14" ht="21.75" customHeight="1">
      <c r="A41" s="183" t="s">
        <v>64</v>
      </c>
      <c r="B41" s="184">
        <v>421922</v>
      </c>
      <c r="C41" s="135" t="s">
        <v>65</v>
      </c>
      <c r="D41" s="181" t="s">
        <v>15</v>
      </c>
      <c r="E41" s="169">
        <v>700000</v>
      </c>
      <c r="F41" s="168">
        <v>133000</v>
      </c>
      <c r="G41" s="167">
        <f t="shared" si="0"/>
        <v>833000</v>
      </c>
      <c r="H41" s="169">
        <v>1767000</v>
      </c>
      <c r="I41" s="168">
        <v>335730</v>
      </c>
      <c r="J41" s="167">
        <f t="shared" si="1"/>
        <v>2102730</v>
      </c>
      <c r="K41" s="169">
        <v>1800000</v>
      </c>
      <c r="L41" s="168">
        <v>342000</v>
      </c>
      <c r="M41" s="167">
        <f t="shared" si="2"/>
        <v>2142000</v>
      </c>
      <c r="N41" s="180">
        <f t="shared" si="3"/>
        <v>1692576.6666666667</v>
      </c>
    </row>
    <row r="42" spans="1:14" ht="21.75" customHeight="1">
      <c r="A42" s="183" t="s">
        <v>66</v>
      </c>
      <c r="B42" s="182">
        <v>721515</v>
      </c>
      <c r="C42" s="135" t="s">
        <v>67</v>
      </c>
      <c r="D42" s="181" t="s">
        <v>15</v>
      </c>
      <c r="E42" s="169">
        <v>1235000</v>
      </c>
      <c r="F42" s="168">
        <v>234650</v>
      </c>
      <c r="G42" s="167">
        <f t="shared" si="0"/>
        <v>1469650</v>
      </c>
      <c r="H42" s="169">
        <v>4960000</v>
      </c>
      <c r="I42" s="168">
        <v>942400</v>
      </c>
      <c r="J42" s="167">
        <f t="shared" si="1"/>
        <v>5902400</v>
      </c>
      <c r="K42" s="169">
        <v>1800000</v>
      </c>
      <c r="L42" s="168">
        <v>342000</v>
      </c>
      <c r="M42" s="167">
        <f t="shared" si="2"/>
        <v>2142000</v>
      </c>
      <c r="N42" s="180">
        <f t="shared" si="3"/>
        <v>3171350</v>
      </c>
    </row>
    <row r="43" spans="1:14" ht="21.75" customHeight="1">
      <c r="A43" s="183" t="s">
        <v>68</v>
      </c>
      <c r="B43" s="273">
        <v>302416</v>
      </c>
      <c r="C43" s="135" t="s">
        <v>69</v>
      </c>
      <c r="D43" s="181" t="s">
        <v>15</v>
      </c>
      <c r="E43" s="169">
        <v>750000</v>
      </c>
      <c r="F43" s="168">
        <v>142500</v>
      </c>
      <c r="G43" s="167">
        <f t="shared" si="0"/>
        <v>892500</v>
      </c>
      <c r="H43" s="169">
        <v>558000</v>
      </c>
      <c r="I43" s="168">
        <v>106020</v>
      </c>
      <c r="J43" s="167">
        <f t="shared" si="1"/>
        <v>664020</v>
      </c>
      <c r="K43" s="169">
        <v>1200000</v>
      </c>
      <c r="L43" s="168">
        <v>228000</v>
      </c>
      <c r="M43" s="167">
        <f t="shared" si="2"/>
        <v>1428000</v>
      </c>
      <c r="N43" s="180">
        <f t="shared" si="3"/>
        <v>994840</v>
      </c>
    </row>
    <row r="44" spans="1:14" ht="21.75" customHeight="1">
      <c r="A44" s="183" t="s">
        <v>70</v>
      </c>
      <c r="B44" s="273"/>
      <c r="C44" s="9" t="s">
        <v>71</v>
      </c>
      <c r="D44" s="181" t="s">
        <v>15</v>
      </c>
      <c r="E44" s="169">
        <v>1350000</v>
      </c>
      <c r="F44" s="168">
        <v>256500</v>
      </c>
      <c r="G44" s="167">
        <f t="shared" si="0"/>
        <v>1606500</v>
      </c>
      <c r="H44" s="169">
        <v>1883250</v>
      </c>
      <c r="I44" s="168">
        <v>357818</v>
      </c>
      <c r="J44" s="167">
        <f t="shared" si="1"/>
        <v>2241068</v>
      </c>
      <c r="K44" s="169">
        <v>2200000</v>
      </c>
      <c r="L44" s="168">
        <v>418000</v>
      </c>
      <c r="M44" s="167">
        <f t="shared" si="2"/>
        <v>2618000</v>
      </c>
      <c r="N44" s="180">
        <f t="shared" si="3"/>
        <v>2155189.3333333335</v>
      </c>
    </row>
    <row r="45" spans="1:14" ht="21.75" customHeight="1">
      <c r="A45" s="183" t="s">
        <v>72</v>
      </c>
      <c r="B45" s="182">
        <v>421716</v>
      </c>
      <c r="C45" s="9" t="s">
        <v>73</v>
      </c>
      <c r="D45" s="181" t="s">
        <v>15</v>
      </c>
      <c r="E45" s="169">
        <v>15000000</v>
      </c>
      <c r="F45" s="168">
        <v>2850000</v>
      </c>
      <c r="G45" s="167">
        <f t="shared" si="0"/>
        <v>17850000</v>
      </c>
      <c r="H45" s="169">
        <v>8621600</v>
      </c>
      <c r="I45" s="168">
        <v>1638104</v>
      </c>
      <c r="J45" s="167">
        <f t="shared" si="1"/>
        <v>10259704</v>
      </c>
      <c r="K45" s="169">
        <v>5000000</v>
      </c>
      <c r="L45" s="168">
        <v>950000</v>
      </c>
      <c r="M45" s="167">
        <f t="shared" si="2"/>
        <v>5950000</v>
      </c>
      <c r="N45" s="180">
        <f t="shared" si="3"/>
        <v>11353234.666666666</v>
      </c>
    </row>
    <row r="46" spans="1:14" ht="21.75" customHeight="1">
      <c r="A46" s="183" t="s">
        <v>76</v>
      </c>
      <c r="B46" s="182">
        <v>561015</v>
      </c>
      <c r="C46" s="9" t="s">
        <v>77</v>
      </c>
      <c r="D46" s="181" t="s">
        <v>15</v>
      </c>
      <c r="E46" s="169">
        <v>2363</v>
      </c>
      <c r="F46" s="168">
        <v>449</v>
      </c>
      <c r="G46" s="167">
        <f t="shared" si="0"/>
        <v>2812</v>
      </c>
      <c r="H46" s="169">
        <v>19000</v>
      </c>
      <c r="I46" s="168">
        <v>3610</v>
      </c>
      <c r="J46" s="167">
        <f t="shared" si="1"/>
        <v>22610</v>
      </c>
      <c r="K46" s="169">
        <v>10000</v>
      </c>
      <c r="L46" s="168">
        <v>1900</v>
      </c>
      <c r="M46" s="167">
        <f t="shared" si="2"/>
        <v>11900</v>
      </c>
      <c r="N46" s="180">
        <f t="shared" si="3"/>
        <v>12440.666666666666</v>
      </c>
    </row>
    <row r="47" spans="1:14" ht="21.75" customHeight="1">
      <c r="A47" s="183" t="s">
        <v>74</v>
      </c>
      <c r="B47" s="182">
        <v>561121</v>
      </c>
      <c r="C47" s="9" t="s">
        <v>75</v>
      </c>
      <c r="D47" s="181" t="s">
        <v>15</v>
      </c>
      <c r="E47" s="169">
        <v>1263</v>
      </c>
      <c r="F47" s="168">
        <v>240</v>
      </c>
      <c r="G47" s="167">
        <f t="shared" si="0"/>
        <v>1503</v>
      </c>
      <c r="H47" s="169">
        <v>1800</v>
      </c>
      <c r="I47" s="168">
        <v>342</v>
      </c>
      <c r="J47" s="167">
        <f t="shared" si="1"/>
        <v>2142</v>
      </c>
      <c r="K47" s="169">
        <v>3000</v>
      </c>
      <c r="L47" s="168">
        <v>570</v>
      </c>
      <c r="M47" s="167">
        <f t="shared" si="2"/>
        <v>3570</v>
      </c>
      <c r="N47" s="180">
        <f t="shared" si="3"/>
        <v>2405</v>
      </c>
    </row>
    <row r="48" spans="1:14" ht="21.75" customHeight="1">
      <c r="A48" s="183" t="s">
        <v>78</v>
      </c>
      <c r="B48" s="182">
        <v>921019</v>
      </c>
      <c r="C48" s="9" t="s">
        <v>79</v>
      </c>
      <c r="D48" s="181" t="s">
        <v>15</v>
      </c>
      <c r="E48" s="169">
        <v>3500000</v>
      </c>
      <c r="F48" s="168">
        <v>665000</v>
      </c>
      <c r="G48" s="167">
        <f t="shared" si="0"/>
        <v>4165000</v>
      </c>
      <c r="H48" s="169">
        <v>2320000</v>
      </c>
      <c r="I48" s="168">
        <v>440800</v>
      </c>
      <c r="J48" s="167">
        <f t="shared" si="1"/>
        <v>2760800</v>
      </c>
      <c r="K48" s="169">
        <v>2500000</v>
      </c>
      <c r="L48" s="168">
        <v>475000</v>
      </c>
      <c r="M48" s="167">
        <f t="shared" si="2"/>
        <v>2975000</v>
      </c>
      <c r="N48" s="180">
        <f t="shared" si="3"/>
        <v>3300266.6666666665</v>
      </c>
    </row>
    <row r="49" spans="1:14" ht="21.75" customHeight="1">
      <c r="A49" s="183" t="s">
        <v>80</v>
      </c>
      <c r="B49" s="182">
        <v>301217</v>
      </c>
      <c r="C49" s="9" t="s">
        <v>81</v>
      </c>
      <c r="D49" s="181" t="s">
        <v>15</v>
      </c>
      <c r="E49" s="169">
        <v>24000</v>
      </c>
      <c r="F49" s="168">
        <v>4560</v>
      </c>
      <c r="G49" s="167">
        <f t="shared" si="0"/>
        <v>28560</v>
      </c>
      <c r="H49" s="169">
        <v>22800</v>
      </c>
      <c r="I49" s="168">
        <v>4332</v>
      </c>
      <c r="J49" s="167">
        <f t="shared" si="1"/>
        <v>27132</v>
      </c>
      <c r="K49" s="169">
        <v>55000</v>
      </c>
      <c r="L49" s="168">
        <v>10450</v>
      </c>
      <c r="M49" s="167">
        <f t="shared" si="2"/>
        <v>65450</v>
      </c>
      <c r="N49" s="180">
        <f t="shared" si="3"/>
        <v>40380.666666666664</v>
      </c>
    </row>
    <row r="50" spans="1:14" ht="21.75" customHeight="1" thickBot="1">
      <c r="A50" s="16" t="s">
        <v>82</v>
      </c>
      <c r="B50" s="179">
        <v>411227</v>
      </c>
      <c r="C50" s="24" t="s">
        <v>83</v>
      </c>
      <c r="D50" s="178" t="s">
        <v>15</v>
      </c>
      <c r="E50" s="156">
        <v>36333</v>
      </c>
      <c r="F50" s="155">
        <v>6903</v>
      </c>
      <c r="G50" s="154">
        <f t="shared" si="0"/>
        <v>43236</v>
      </c>
      <c r="H50" s="156">
        <v>7000</v>
      </c>
      <c r="I50" s="155">
        <v>1330</v>
      </c>
      <c r="J50" s="154">
        <f t="shared" si="1"/>
        <v>8330</v>
      </c>
      <c r="K50" s="156">
        <v>200000</v>
      </c>
      <c r="L50" s="155">
        <v>38000</v>
      </c>
      <c r="M50" s="154">
        <f t="shared" si="2"/>
        <v>238000</v>
      </c>
      <c r="N50" s="177">
        <f t="shared" si="3"/>
        <v>96522</v>
      </c>
    </row>
    <row r="51" spans="1:14" ht="21.75" customHeight="1">
      <c r="B51" s="138"/>
      <c r="C51" s="175"/>
      <c r="D51" s="3"/>
      <c r="E51" s="176"/>
      <c r="F51" s="142"/>
      <c r="G51" s="142"/>
      <c r="H51" s="152"/>
      <c r="I51" s="142"/>
      <c r="J51" s="142"/>
      <c r="K51" s="152"/>
      <c r="L51" s="142"/>
      <c r="M51" s="142"/>
      <c r="N51" s="142">
        <f>SUM(N32:N50)</f>
        <v>40160326.666666657</v>
      </c>
    </row>
    <row r="52" spans="1:14" ht="21.75" customHeight="1" thickBot="1">
      <c r="B52" s="138"/>
      <c r="C52" s="175"/>
      <c r="D52" s="3"/>
      <c r="E52" s="152"/>
      <c r="F52" s="142"/>
      <c r="G52" s="142"/>
      <c r="H52" s="152"/>
      <c r="I52" s="142"/>
      <c r="J52" s="142"/>
      <c r="K52" s="152"/>
      <c r="L52" s="142"/>
      <c r="M52" s="142"/>
      <c r="N52" s="142"/>
    </row>
    <row r="53" spans="1:14" ht="21.75" customHeight="1" thickBot="1">
      <c r="B53" s="138"/>
      <c r="C53" s="175"/>
      <c r="D53" s="3"/>
      <c r="E53" s="304" t="s">
        <v>141</v>
      </c>
      <c r="F53" s="305"/>
      <c r="G53" s="306"/>
      <c r="H53" s="252" t="s">
        <v>185</v>
      </c>
      <c r="I53" s="253"/>
      <c r="J53" s="254"/>
      <c r="K53" s="303"/>
      <c r="L53" s="303"/>
      <c r="M53" s="303"/>
      <c r="N53" s="142"/>
    </row>
    <row r="54" spans="1:14" ht="21.75" customHeight="1">
      <c r="A54" s="290" t="s">
        <v>123</v>
      </c>
      <c r="B54" s="291"/>
      <c r="C54" s="291"/>
      <c r="D54" s="292"/>
      <c r="E54" s="255" t="s">
        <v>119</v>
      </c>
      <c r="F54" s="296" t="s">
        <v>120</v>
      </c>
      <c r="G54" s="293" t="s">
        <v>121</v>
      </c>
      <c r="H54" s="257" t="s">
        <v>119</v>
      </c>
      <c r="I54" s="259" t="s">
        <v>120</v>
      </c>
      <c r="J54" s="261" t="s">
        <v>121</v>
      </c>
      <c r="K54" s="255" t="s">
        <v>119</v>
      </c>
      <c r="L54" s="296" t="s">
        <v>120</v>
      </c>
      <c r="M54" s="293" t="s">
        <v>121</v>
      </c>
      <c r="N54" s="228" t="s">
        <v>144</v>
      </c>
    </row>
    <row r="55" spans="1:14" ht="21.75" customHeight="1" thickBot="1">
      <c r="A55" s="21" t="s">
        <v>0</v>
      </c>
      <c r="B55" s="148" t="s">
        <v>1</v>
      </c>
      <c r="C55" s="22" t="s">
        <v>2</v>
      </c>
      <c r="D55" s="174" t="s">
        <v>3</v>
      </c>
      <c r="E55" s="256"/>
      <c r="F55" s="297"/>
      <c r="G55" s="294"/>
      <c r="H55" s="258"/>
      <c r="I55" s="260"/>
      <c r="J55" s="262"/>
      <c r="K55" s="256"/>
      <c r="L55" s="297"/>
      <c r="M55" s="294"/>
      <c r="N55" s="229"/>
    </row>
    <row r="56" spans="1:14" ht="21.75" customHeight="1">
      <c r="A56" s="278" t="s">
        <v>5</v>
      </c>
      <c r="B56" s="272" t="s">
        <v>181</v>
      </c>
      <c r="C56" s="136" t="s">
        <v>6</v>
      </c>
      <c r="D56" s="280" t="s">
        <v>4</v>
      </c>
      <c r="E56" s="241">
        <v>3000</v>
      </c>
      <c r="F56" s="242">
        <f>+E56*0.19</f>
        <v>570</v>
      </c>
      <c r="G56" s="243">
        <f>+E56+F56</f>
        <v>3570</v>
      </c>
      <c r="H56" s="241">
        <v>2000</v>
      </c>
      <c r="I56" s="263">
        <f>+H56*0.19</f>
        <v>380</v>
      </c>
      <c r="J56" s="243">
        <f>+H56+I56</f>
        <v>2380</v>
      </c>
      <c r="K56" s="219"/>
      <c r="L56" s="220"/>
      <c r="M56" s="221"/>
      <c r="N56" s="222">
        <f>(J56+G56)/2</f>
        <v>2975</v>
      </c>
    </row>
    <row r="57" spans="1:14" ht="21.75" customHeight="1">
      <c r="A57" s="278"/>
      <c r="B57" s="272"/>
      <c r="C57" s="136" t="s">
        <v>137</v>
      </c>
      <c r="D57" s="280"/>
      <c r="E57" s="241"/>
      <c r="F57" s="242"/>
      <c r="G57" s="243"/>
      <c r="H57" s="241"/>
      <c r="I57" s="242"/>
      <c r="J57" s="243"/>
      <c r="K57" s="219"/>
      <c r="L57" s="220"/>
      <c r="M57" s="221"/>
      <c r="N57" s="222"/>
    </row>
    <row r="58" spans="1:14" ht="21.75" customHeight="1">
      <c r="A58" s="278"/>
      <c r="B58" s="272"/>
      <c r="C58" s="9" t="s">
        <v>7</v>
      </c>
      <c r="D58" s="280"/>
      <c r="E58" s="241"/>
      <c r="F58" s="242"/>
      <c r="G58" s="243"/>
      <c r="H58" s="241"/>
      <c r="I58" s="242"/>
      <c r="J58" s="243"/>
      <c r="K58" s="219"/>
      <c r="L58" s="220"/>
      <c r="M58" s="221"/>
      <c r="N58" s="222"/>
    </row>
    <row r="59" spans="1:14" ht="21.75" customHeight="1">
      <c r="A59" s="278" t="s">
        <v>84</v>
      </c>
      <c r="B59" s="272"/>
      <c r="C59" s="136" t="s">
        <v>8</v>
      </c>
      <c r="D59" s="280" t="s">
        <v>4</v>
      </c>
      <c r="E59" s="241">
        <v>120</v>
      </c>
      <c r="F59" s="242">
        <v>23</v>
      </c>
      <c r="G59" s="243">
        <f>+E59+F59</f>
        <v>143</v>
      </c>
      <c r="H59" s="241">
        <v>1200</v>
      </c>
      <c r="I59" s="242">
        <f>+H59*0.19</f>
        <v>228</v>
      </c>
      <c r="J59" s="243">
        <f>+H59+I59</f>
        <v>1428</v>
      </c>
      <c r="K59" s="219"/>
      <c r="L59" s="220"/>
      <c r="M59" s="221"/>
      <c r="N59" s="222">
        <f>(J59+G59)/2</f>
        <v>785.5</v>
      </c>
    </row>
    <row r="60" spans="1:14" ht="21.75" customHeight="1">
      <c r="A60" s="278"/>
      <c r="B60" s="272"/>
      <c r="C60" s="136" t="s">
        <v>138</v>
      </c>
      <c r="D60" s="280"/>
      <c r="E60" s="241"/>
      <c r="F60" s="242"/>
      <c r="G60" s="243"/>
      <c r="H60" s="241"/>
      <c r="I60" s="242"/>
      <c r="J60" s="243"/>
      <c r="K60" s="219"/>
      <c r="L60" s="220"/>
      <c r="M60" s="221"/>
      <c r="N60" s="222"/>
    </row>
    <row r="61" spans="1:14" ht="21.75" customHeight="1">
      <c r="A61" s="278"/>
      <c r="B61" s="272"/>
      <c r="C61" s="136" t="s">
        <v>139</v>
      </c>
      <c r="D61" s="280"/>
      <c r="E61" s="241"/>
      <c r="F61" s="242"/>
      <c r="G61" s="243"/>
      <c r="H61" s="241"/>
      <c r="I61" s="242"/>
      <c r="J61" s="243"/>
      <c r="K61" s="219"/>
      <c r="L61" s="220"/>
      <c r="M61" s="221"/>
      <c r="N61" s="222"/>
    </row>
    <row r="62" spans="1:14" ht="21.75" customHeight="1">
      <c r="A62" s="278"/>
      <c r="B62" s="272"/>
      <c r="C62" s="9" t="s">
        <v>140</v>
      </c>
      <c r="D62" s="280"/>
      <c r="E62" s="241"/>
      <c r="F62" s="242"/>
      <c r="G62" s="243"/>
      <c r="H62" s="241"/>
      <c r="I62" s="242"/>
      <c r="J62" s="243"/>
      <c r="K62" s="219"/>
      <c r="L62" s="220"/>
      <c r="M62" s="221"/>
      <c r="N62" s="222"/>
    </row>
    <row r="63" spans="1:14" ht="21.75" customHeight="1">
      <c r="A63" s="278"/>
      <c r="B63" s="272"/>
      <c r="C63" s="9" t="s">
        <v>9</v>
      </c>
      <c r="D63" s="280"/>
      <c r="E63" s="241"/>
      <c r="F63" s="242"/>
      <c r="G63" s="243"/>
      <c r="H63" s="241"/>
      <c r="I63" s="242"/>
      <c r="J63" s="243"/>
      <c r="K63" s="219"/>
      <c r="L63" s="220"/>
      <c r="M63" s="221"/>
      <c r="N63" s="222"/>
    </row>
    <row r="64" spans="1:14" ht="21.75" customHeight="1">
      <c r="A64" s="278" t="s">
        <v>10</v>
      </c>
      <c r="B64" s="272"/>
      <c r="C64" s="136" t="s">
        <v>85</v>
      </c>
      <c r="D64" s="280" t="s">
        <v>4</v>
      </c>
      <c r="E64" s="241">
        <v>1980</v>
      </c>
      <c r="F64" s="242">
        <v>376</v>
      </c>
      <c r="G64" s="243">
        <f>+E64+F64</f>
        <v>2356</v>
      </c>
      <c r="H64" s="241">
        <v>45000</v>
      </c>
      <c r="I64" s="242">
        <f>+H64*0.19</f>
        <v>8550</v>
      </c>
      <c r="J64" s="243">
        <f>+H64+I64</f>
        <v>53550</v>
      </c>
      <c r="K64" s="219"/>
      <c r="L64" s="220"/>
      <c r="M64" s="221"/>
      <c r="N64" s="222">
        <f>(J64+G64)/2</f>
        <v>27953</v>
      </c>
    </row>
    <row r="65" spans="1:14" ht="21.75" customHeight="1">
      <c r="A65" s="278"/>
      <c r="B65" s="272"/>
      <c r="C65" s="9" t="s">
        <v>11</v>
      </c>
      <c r="D65" s="280"/>
      <c r="E65" s="241"/>
      <c r="F65" s="242"/>
      <c r="G65" s="243"/>
      <c r="H65" s="241"/>
      <c r="I65" s="242"/>
      <c r="J65" s="243"/>
      <c r="K65" s="219"/>
      <c r="L65" s="220"/>
      <c r="M65" s="221"/>
      <c r="N65" s="222"/>
    </row>
    <row r="66" spans="1:14" ht="21.75" customHeight="1">
      <c r="A66" s="278" t="s">
        <v>103</v>
      </c>
      <c r="B66" s="272"/>
      <c r="C66" s="9" t="s">
        <v>86</v>
      </c>
      <c r="D66" s="280" t="s">
        <v>4</v>
      </c>
      <c r="E66" s="295">
        <v>980</v>
      </c>
      <c r="F66" s="244">
        <v>186</v>
      </c>
      <c r="G66" s="245">
        <f>+E66+F66</f>
        <v>1166</v>
      </c>
      <c r="H66" s="241">
        <v>55000</v>
      </c>
      <c r="I66" s="244">
        <f>+H66*0.19</f>
        <v>10450</v>
      </c>
      <c r="J66" s="245">
        <f>+H66+I66</f>
        <v>65450</v>
      </c>
      <c r="K66" s="219"/>
      <c r="L66" s="230"/>
      <c r="M66" s="231"/>
      <c r="N66" s="222">
        <f>(J66+G66)/2</f>
        <v>33308</v>
      </c>
    </row>
    <row r="67" spans="1:14" ht="21.75" customHeight="1">
      <c r="A67" s="278"/>
      <c r="B67" s="272"/>
      <c r="C67" s="9" t="s">
        <v>9</v>
      </c>
      <c r="D67" s="280"/>
      <c r="E67" s="295"/>
      <c r="F67" s="244"/>
      <c r="G67" s="245"/>
      <c r="H67" s="241"/>
      <c r="I67" s="244"/>
      <c r="J67" s="245"/>
      <c r="K67" s="219"/>
      <c r="L67" s="230"/>
      <c r="M67" s="231"/>
      <c r="N67" s="222"/>
    </row>
    <row r="68" spans="1:14" ht="21.75" customHeight="1">
      <c r="A68" s="173" t="s">
        <v>168</v>
      </c>
      <c r="B68" s="272"/>
      <c r="C68" s="9" t="s">
        <v>169</v>
      </c>
      <c r="D68" s="170" t="s">
        <v>4</v>
      </c>
      <c r="E68" s="169">
        <v>120</v>
      </c>
      <c r="F68" s="168">
        <v>23</v>
      </c>
      <c r="G68" s="167">
        <f>+E68+F68</f>
        <v>143</v>
      </c>
      <c r="H68" s="169">
        <v>15000</v>
      </c>
      <c r="I68" s="168">
        <f>+H68*0.19</f>
        <v>2850</v>
      </c>
      <c r="J68" s="167">
        <f>+H68+I68</f>
        <v>17850</v>
      </c>
      <c r="K68" s="172"/>
      <c r="L68" s="146"/>
      <c r="M68" s="134"/>
      <c r="N68" s="160">
        <f>(J68+G68)/2</f>
        <v>8996.5</v>
      </c>
    </row>
    <row r="69" spans="1:14" ht="21.75" customHeight="1">
      <c r="A69" s="173" t="s">
        <v>87</v>
      </c>
      <c r="B69" s="272"/>
      <c r="C69" s="9" t="s">
        <v>88</v>
      </c>
      <c r="D69" s="170" t="s">
        <v>4</v>
      </c>
      <c r="E69" s="169">
        <v>75000</v>
      </c>
      <c r="F69" s="168">
        <f>+E69*0.19</f>
        <v>14250</v>
      </c>
      <c r="G69" s="167">
        <f>+E69+F69</f>
        <v>89250</v>
      </c>
      <c r="H69" s="169">
        <v>70000</v>
      </c>
      <c r="I69" s="168">
        <f>+H69*0.19</f>
        <v>13300</v>
      </c>
      <c r="J69" s="167">
        <f>+H69+I69</f>
        <v>83300</v>
      </c>
      <c r="K69" s="172"/>
      <c r="L69" s="146"/>
      <c r="M69" s="134"/>
      <c r="N69" s="160">
        <f>(J69+G69)/2</f>
        <v>86275</v>
      </c>
    </row>
    <row r="70" spans="1:14" ht="21.75" customHeight="1">
      <c r="A70" s="278" t="s">
        <v>89</v>
      </c>
      <c r="B70" s="271">
        <v>441120</v>
      </c>
      <c r="C70" s="9" t="s">
        <v>12</v>
      </c>
      <c r="D70" s="280" t="s">
        <v>4</v>
      </c>
      <c r="E70" s="241">
        <v>36000</v>
      </c>
      <c r="F70" s="242">
        <f>+E70*0.19</f>
        <v>6840</v>
      </c>
      <c r="G70" s="243">
        <f>+E70+F70</f>
        <v>42840</v>
      </c>
      <c r="H70" s="241">
        <v>35000</v>
      </c>
      <c r="I70" s="242">
        <f>+H70*0.19</f>
        <v>6650</v>
      </c>
      <c r="J70" s="243">
        <f>+H70+I70</f>
        <v>41650</v>
      </c>
      <c r="K70" s="219"/>
      <c r="L70" s="220"/>
      <c r="M70" s="221"/>
      <c r="N70" s="222">
        <f>(J70+G70)/2</f>
        <v>42245</v>
      </c>
    </row>
    <row r="71" spans="1:14" ht="21.75" customHeight="1">
      <c r="A71" s="278"/>
      <c r="B71" s="271"/>
      <c r="C71" s="9" t="s">
        <v>13</v>
      </c>
      <c r="D71" s="280"/>
      <c r="E71" s="241"/>
      <c r="F71" s="242"/>
      <c r="G71" s="243"/>
      <c r="H71" s="241"/>
      <c r="I71" s="242"/>
      <c r="J71" s="243"/>
      <c r="K71" s="219"/>
      <c r="L71" s="220"/>
      <c r="M71" s="221"/>
      <c r="N71" s="222"/>
    </row>
    <row r="72" spans="1:14" ht="21.75" customHeight="1">
      <c r="A72" s="278"/>
      <c r="B72" s="271"/>
      <c r="C72" s="9" t="s">
        <v>92</v>
      </c>
      <c r="D72" s="280"/>
      <c r="E72" s="241"/>
      <c r="F72" s="242"/>
      <c r="G72" s="243"/>
      <c r="H72" s="241"/>
      <c r="I72" s="242"/>
      <c r="J72" s="243"/>
      <c r="K72" s="219"/>
      <c r="L72" s="220"/>
      <c r="M72" s="221"/>
      <c r="N72" s="222"/>
    </row>
    <row r="73" spans="1:14" ht="21.75" customHeight="1">
      <c r="A73" s="278"/>
      <c r="B73" s="271"/>
      <c r="C73" s="9" t="s">
        <v>90</v>
      </c>
      <c r="D73" s="280"/>
      <c r="E73" s="241"/>
      <c r="F73" s="242"/>
      <c r="G73" s="243"/>
      <c r="H73" s="241"/>
      <c r="I73" s="242"/>
      <c r="J73" s="243"/>
      <c r="K73" s="219"/>
      <c r="L73" s="220"/>
      <c r="M73" s="221"/>
      <c r="N73" s="222"/>
    </row>
    <row r="74" spans="1:14" ht="21.75" customHeight="1">
      <c r="A74" s="278"/>
      <c r="B74" s="271"/>
      <c r="C74" s="9" t="s">
        <v>14</v>
      </c>
      <c r="D74" s="280"/>
      <c r="E74" s="241"/>
      <c r="F74" s="242"/>
      <c r="G74" s="243"/>
      <c r="H74" s="241"/>
      <c r="I74" s="242"/>
      <c r="J74" s="243"/>
      <c r="K74" s="219"/>
      <c r="L74" s="220"/>
      <c r="M74" s="221"/>
      <c r="N74" s="222"/>
    </row>
    <row r="75" spans="1:14" ht="21.75" customHeight="1">
      <c r="A75" s="278"/>
      <c r="B75" s="271"/>
      <c r="C75" s="9" t="s">
        <v>91</v>
      </c>
      <c r="D75" s="280"/>
      <c r="E75" s="241"/>
      <c r="F75" s="242"/>
      <c r="G75" s="243"/>
      <c r="H75" s="241"/>
      <c r="I75" s="242"/>
      <c r="J75" s="243"/>
      <c r="K75" s="219"/>
      <c r="L75" s="220"/>
      <c r="M75" s="221"/>
      <c r="N75" s="222"/>
    </row>
    <row r="76" spans="1:14" ht="21.75" customHeight="1">
      <c r="A76" s="173" t="s">
        <v>93</v>
      </c>
      <c r="B76" s="137">
        <v>441217</v>
      </c>
      <c r="C76" s="9" t="s">
        <v>94</v>
      </c>
      <c r="D76" s="170" t="s">
        <v>4</v>
      </c>
      <c r="E76" s="169">
        <v>2470</v>
      </c>
      <c r="F76" s="168">
        <v>469</v>
      </c>
      <c r="G76" s="167">
        <f t="shared" ref="G76:G85" si="4">+E76+F76</f>
        <v>2939</v>
      </c>
      <c r="H76" s="169">
        <v>3000</v>
      </c>
      <c r="I76" s="168">
        <f t="shared" ref="I76:I85" si="5">+H76*0.19</f>
        <v>570</v>
      </c>
      <c r="J76" s="167">
        <f t="shared" ref="J76:J85" si="6">+H76+I76</f>
        <v>3570</v>
      </c>
      <c r="K76" s="172"/>
      <c r="L76" s="146"/>
      <c r="M76" s="134"/>
      <c r="N76" s="160">
        <f t="shared" ref="N76:N85" si="7">(J76+G76)/2</f>
        <v>3254.5</v>
      </c>
    </row>
    <row r="77" spans="1:14" ht="21.75" customHeight="1">
      <c r="A77" s="173" t="s">
        <v>95</v>
      </c>
      <c r="B77" s="137">
        <v>441220</v>
      </c>
      <c r="C77" s="9" t="s">
        <v>96</v>
      </c>
      <c r="D77" s="170" t="s">
        <v>4</v>
      </c>
      <c r="E77" s="169">
        <v>15600</v>
      </c>
      <c r="F77" s="168">
        <f t="shared" ref="F77:F85" si="8">+E77*0.19</f>
        <v>2964</v>
      </c>
      <c r="G77" s="167">
        <f t="shared" si="4"/>
        <v>18564</v>
      </c>
      <c r="H77" s="169">
        <v>3000</v>
      </c>
      <c r="I77" s="168">
        <f t="shared" si="5"/>
        <v>570</v>
      </c>
      <c r="J77" s="167">
        <f t="shared" si="6"/>
        <v>3570</v>
      </c>
      <c r="K77" s="172"/>
      <c r="L77" s="146"/>
      <c r="M77" s="134"/>
      <c r="N77" s="160">
        <f t="shared" si="7"/>
        <v>11067</v>
      </c>
    </row>
    <row r="78" spans="1:14" ht="21.75" customHeight="1">
      <c r="A78" s="173" t="s">
        <v>97</v>
      </c>
      <c r="B78" s="137">
        <v>531025</v>
      </c>
      <c r="C78" s="9" t="s">
        <v>98</v>
      </c>
      <c r="D78" s="170" t="s">
        <v>4</v>
      </c>
      <c r="E78" s="169">
        <v>29000</v>
      </c>
      <c r="F78" s="168">
        <f t="shared" si="8"/>
        <v>5510</v>
      </c>
      <c r="G78" s="167">
        <f t="shared" si="4"/>
        <v>34510</v>
      </c>
      <c r="H78" s="169">
        <v>15000</v>
      </c>
      <c r="I78" s="168">
        <f t="shared" si="5"/>
        <v>2850</v>
      </c>
      <c r="J78" s="167">
        <f t="shared" si="6"/>
        <v>17850</v>
      </c>
      <c r="K78" s="172"/>
      <c r="L78" s="146"/>
      <c r="M78" s="134"/>
      <c r="N78" s="160">
        <f t="shared" si="7"/>
        <v>26180</v>
      </c>
    </row>
    <row r="79" spans="1:14" ht="21.75" customHeight="1">
      <c r="A79" s="173" t="s">
        <v>99</v>
      </c>
      <c r="B79" s="137">
        <v>121618</v>
      </c>
      <c r="C79" s="9" t="s">
        <v>100</v>
      </c>
      <c r="D79" s="170" t="s">
        <v>4</v>
      </c>
      <c r="E79" s="169">
        <v>3900</v>
      </c>
      <c r="F79" s="168">
        <f t="shared" si="8"/>
        <v>741</v>
      </c>
      <c r="G79" s="167">
        <f t="shared" si="4"/>
        <v>4641</v>
      </c>
      <c r="H79" s="169">
        <v>15000</v>
      </c>
      <c r="I79" s="168">
        <f t="shared" si="5"/>
        <v>2850</v>
      </c>
      <c r="J79" s="167">
        <f t="shared" si="6"/>
        <v>17850</v>
      </c>
      <c r="K79" s="172"/>
      <c r="L79" s="146"/>
      <c r="M79" s="134"/>
      <c r="N79" s="160">
        <f t="shared" si="7"/>
        <v>11245.5</v>
      </c>
    </row>
    <row r="80" spans="1:14" ht="21.75" customHeight="1">
      <c r="A80" s="173" t="s">
        <v>101</v>
      </c>
      <c r="B80" s="137">
        <v>601049</v>
      </c>
      <c r="C80" s="9" t="s">
        <v>102</v>
      </c>
      <c r="D80" s="170" t="s">
        <v>4</v>
      </c>
      <c r="E80" s="169">
        <v>8500</v>
      </c>
      <c r="F80" s="168">
        <f t="shared" si="8"/>
        <v>1615</v>
      </c>
      <c r="G80" s="167">
        <f t="shared" si="4"/>
        <v>10115</v>
      </c>
      <c r="H80" s="169">
        <v>12000</v>
      </c>
      <c r="I80" s="168">
        <f t="shared" si="5"/>
        <v>2280</v>
      </c>
      <c r="J80" s="167">
        <f t="shared" si="6"/>
        <v>14280</v>
      </c>
      <c r="K80" s="172"/>
      <c r="L80" s="146"/>
      <c r="M80" s="134"/>
      <c r="N80" s="160">
        <f t="shared" si="7"/>
        <v>12197.5</v>
      </c>
    </row>
    <row r="81" spans="1:14" ht="21.75" customHeight="1">
      <c r="A81" s="173" t="s">
        <v>105</v>
      </c>
      <c r="B81" s="137">
        <v>531025</v>
      </c>
      <c r="C81" s="9" t="s">
        <v>104</v>
      </c>
      <c r="D81" s="170" t="s">
        <v>4</v>
      </c>
      <c r="E81" s="169">
        <v>13000</v>
      </c>
      <c r="F81" s="168">
        <f t="shared" si="8"/>
        <v>2470</v>
      </c>
      <c r="G81" s="167">
        <f t="shared" si="4"/>
        <v>15470</v>
      </c>
      <c r="H81" s="169">
        <v>25000</v>
      </c>
      <c r="I81" s="168">
        <f t="shared" si="5"/>
        <v>4750</v>
      </c>
      <c r="J81" s="167">
        <f t="shared" si="6"/>
        <v>29750</v>
      </c>
      <c r="K81" s="172"/>
      <c r="L81" s="146"/>
      <c r="M81" s="134"/>
      <c r="N81" s="160">
        <f t="shared" si="7"/>
        <v>22610</v>
      </c>
    </row>
    <row r="82" spans="1:14" ht="21.75" customHeight="1">
      <c r="A82" s="278" t="s">
        <v>106</v>
      </c>
      <c r="B82" s="271">
        <v>432115</v>
      </c>
      <c r="C82" s="9" t="s">
        <v>107</v>
      </c>
      <c r="D82" s="170" t="s">
        <v>15</v>
      </c>
      <c r="E82" s="169">
        <v>110000</v>
      </c>
      <c r="F82" s="168">
        <f t="shared" si="8"/>
        <v>20900</v>
      </c>
      <c r="G82" s="167">
        <f t="shared" si="4"/>
        <v>130900</v>
      </c>
      <c r="H82" s="169">
        <v>350000</v>
      </c>
      <c r="I82" s="168">
        <f t="shared" si="5"/>
        <v>66500</v>
      </c>
      <c r="J82" s="167">
        <f t="shared" si="6"/>
        <v>416500</v>
      </c>
      <c r="K82" s="172"/>
      <c r="L82" s="146"/>
      <c r="M82" s="134"/>
      <c r="N82" s="160">
        <f t="shared" si="7"/>
        <v>273700</v>
      </c>
    </row>
    <row r="83" spans="1:14" ht="21.75" customHeight="1">
      <c r="A83" s="278"/>
      <c r="B83" s="271"/>
      <c r="C83" s="9" t="s">
        <v>178</v>
      </c>
      <c r="D83" s="170" t="s">
        <v>15</v>
      </c>
      <c r="E83" s="169">
        <v>130000</v>
      </c>
      <c r="F83" s="168">
        <f t="shared" si="8"/>
        <v>24700</v>
      </c>
      <c r="G83" s="167">
        <f t="shared" si="4"/>
        <v>154700</v>
      </c>
      <c r="H83" s="169">
        <v>300000</v>
      </c>
      <c r="I83" s="168">
        <f t="shared" si="5"/>
        <v>57000</v>
      </c>
      <c r="J83" s="167">
        <f t="shared" si="6"/>
        <v>357000</v>
      </c>
      <c r="K83" s="172"/>
      <c r="L83" s="146"/>
      <c r="M83" s="134"/>
      <c r="N83" s="160">
        <f t="shared" si="7"/>
        <v>255850</v>
      </c>
    </row>
    <row r="84" spans="1:14" ht="21.75" customHeight="1">
      <c r="A84" s="171" t="s">
        <v>110</v>
      </c>
      <c r="B84" s="137">
        <v>432115</v>
      </c>
      <c r="C84" s="9" t="s">
        <v>118</v>
      </c>
      <c r="D84" s="170" t="s">
        <v>167</v>
      </c>
      <c r="E84" s="169">
        <v>80000</v>
      </c>
      <c r="F84" s="168">
        <f t="shared" si="8"/>
        <v>15200</v>
      </c>
      <c r="G84" s="167">
        <f t="shared" si="4"/>
        <v>95200</v>
      </c>
      <c r="H84" s="166">
        <v>150000</v>
      </c>
      <c r="I84" s="165">
        <f t="shared" si="5"/>
        <v>28500</v>
      </c>
      <c r="J84" s="164">
        <f t="shared" si="6"/>
        <v>178500</v>
      </c>
      <c r="K84" s="163"/>
      <c r="L84" s="162"/>
      <c r="M84" s="161"/>
      <c r="N84" s="160">
        <f t="shared" si="7"/>
        <v>136850</v>
      </c>
    </row>
    <row r="85" spans="1:14" ht="23">
      <c r="A85" s="279" t="s">
        <v>18</v>
      </c>
      <c r="B85" s="271">
        <v>811121</v>
      </c>
      <c r="C85" s="135" t="s">
        <v>19</v>
      </c>
      <c r="D85" s="280" t="s">
        <v>111</v>
      </c>
      <c r="E85" s="241">
        <v>2800000</v>
      </c>
      <c r="F85" s="242">
        <f t="shared" si="8"/>
        <v>532000</v>
      </c>
      <c r="G85" s="243">
        <f t="shared" si="4"/>
        <v>3332000</v>
      </c>
      <c r="H85" s="241">
        <v>5000000</v>
      </c>
      <c r="I85" s="242">
        <f t="shared" si="5"/>
        <v>950000</v>
      </c>
      <c r="J85" s="243">
        <f t="shared" si="6"/>
        <v>5950000</v>
      </c>
      <c r="K85" s="219"/>
      <c r="L85" s="220"/>
      <c r="M85" s="221"/>
      <c r="N85" s="222">
        <f t="shared" si="7"/>
        <v>4641000</v>
      </c>
    </row>
    <row r="86" spans="1:14" ht="11.5">
      <c r="A86" s="279"/>
      <c r="B86" s="271"/>
      <c r="C86" s="135" t="s">
        <v>20</v>
      </c>
      <c r="D86" s="280"/>
      <c r="E86" s="241"/>
      <c r="F86" s="242"/>
      <c r="G86" s="243"/>
      <c r="H86" s="241"/>
      <c r="I86" s="242"/>
      <c r="J86" s="243"/>
      <c r="K86" s="219"/>
      <c r="L86" s="220"/>
      <c r="M86" s="221"/>
      <c r="N86" s="222"/>
    </row>
    <row r="87" spans="1:14" ht="11.5">
      <c r="A87" s="279"/>
      <c r="B87" s="271"/>
      <c r="C87" s="135" t="s">
        <v>21</v>
      </c>
      <c r="D87" s="280"/>
      <c r="E87" s="241"/>
      <c r="F87" s="242"/>
      <c r="G87" s="243"/>
      <c r="H87" s="241"/>
      <c r="I87" s="242"/>
      <c r="J87" s="243"/>
      <c r="K87" s="219"/>
      <c r="L87" s="220"/>
      <c r="M87" s="221"/>
      <c r="N87" s="222"/>
    </row>
    <row r="88" spans="1:14" ht="34.5">
      <c r="A88" s="279"/>
      <c r="B88" s="271"/>
      <c r="C88" s="135" t="s">
        <v>22</v>
      </c>
      <c r="D88" s="280"/>
      <c r="E88" s="241"/>
      <c r="F88" s="242"/>
      <c r="G88" s="243"/>
      <c r="H88" s="241"/>
      <c r="I88" s="242"/>
      <c r="J88" s="243"/>
      <c r="K88" s="219"/>
      <c r="L88" s="220"/>
      <c r="M88" s="221"/>
      <c r="N88" s="222"/>
    </row>
    <row r="89" spans="1:14" ht="11.5">
      <c r="A89" s="279"/>
      <c r="B89" s="271"/>
      <c r="C89" s="135" t="s">
        <v>23</v>
      </c>
      <c r="D89" s="280"/>
      <c r="E89" s="241"/>
      <c r="F89" s="242"/>
      <c r="G89" s="243"/>
      <c r="H89" s="241"/>
      <c r="I89" s="242"/>
      <c r="J89" s="243"/>
      <c r="K89" s="219"/>
      <c r="L89" s="220"/>
      <c r="M89" s="221"/>
      <c r="N89" s="222"/>
    </row>
    <row r="90" spans="1:14" ht="34.5">
      <c r="A90" s="279"/>
      <c r="B90" s="271"/>
      <c r="C90" s="135" t="s">
        <v>25</v>
      </c>
      <c r="D90" s="280"/>
      <c r="E90" s="241"/>
      <c r="F90" s="242"/>
      <c r="G90" s="243"/>
      <c r="H90" s="241"/>
      <c r="I90" s="242"/>
      <c r="J90" s="243"/>
      <c r="K90" s="219"/>
      <c r="L90" s="220"/>
      <c r="M90" s="221"/>
      <c r="N90" s="222"/>
    </row>
    <row r="91" spans="1:14" ht="11.5">
      <c r="A91" s="279"/>
      <c r="B91" s="271"/>
      <c r="C91" s="135" t="s">
        <v>24</v>
      </c>
      <c r="D91" s="280"/>
      <c r="E91" s="241"/>
      <c r="F91" s="242"/>
      <c r="G91" s="243"/>
      <c r="H91" s="241"/>
      <c r="I91" s="242"/>
      <c r="J91" s="243"/>
      <c r="K91" s="219"/>
      <c r="L91" s="220"/>
      <c r="M91" s="221"/>
      <c r="N91" s="222"/>
    </row>
    <row r="92" spans="1:14" ht="58" thickBot="1">
      <c r="A92" s="158" t="s">
        <v>26</v>
      </c>
      <c r="B92" s="132">
        <v>901217</v>
      </c>
      <c r="C92" s="18" t="s">
        <v>27</v>
      </c>
      <c r="D92" s="157" t="s">
        <v>109</v>
      </c>
      <c r="E92" s="156">
        <v>420000</v>
      </c>
      <c r="F92" s="155">
        <f>+E92*0.19</f>
        <v>79800</v>
      </c>
      <c r="G92" s="154">
        <f>+F92*0.19</f>
        <v>15162</v>
      </c>
      <c r="H92" s="156">
        <v>151261</v>
      </c>
      <c r="I92" s="203">
        <v>28740</v>
      </c>
      <c r="J92" s="154">
        <f>+H92+I92</f>
        <v>180001</v>
      </c>
      <c r="K92" s="204"/>
      <c r="L92" s="143"/>
      <c r="M92" s="130"/>
      <c r="N92" s="153">
        <f>(J92+G92)/2</f>
        <v>97581.5</v>
      </c>
    </row>
    <row r="93" spans="1:14" ht="21.75" customHeight="1">
      <c r="B93" s="133"/>
      <c r="C93" s="3"/>
      <c r="D93" s="149"/>
      <c r="E93" s="152"/>
      <c r="F93" s="142"/>
      <c r="G93" s="142"/>
      <c r="H93" s="152"/>
      <c r="I93" s="142"/>
      <c r="J93" s="142"/>
      <c r="K93" s="152"/>
      <c r="L93" s="142"/>
      <c r="M93" s="142" t="s">
        <v>184</v>
      </c>
      <c r="N93" s="151">
        <f>SUM(N56:N92)</f>
        <v>5694074</v>
      </c>
    </row>
    <row r="94" spans="1:14" ht="21.75" customHeight="1">
      <c r="B94" s="133"/>
      <c r="C94" s="3"/>
      <c r="D94" s="149"/>
      <c r="E94" s="152"/>
      <c r="F94" s="142"/>
      <c r="G94" s="142"/>
      <c r="H94" s="152"/>
      <c r="I94" s="142"/>
      <c r="J94" s="142"/>
      <c r="K94" s="152"/>
      <c r="L94" s="142"/>
      <c r="M94" s="142"/>
      <c r="N94" s="151"/>
    </row>
    <row r="95" spans="1:14" ht="21.75" customHeight="1" thickBot="1">
      <c r="A95" s="150"/>
      <c r="B95" s="133"/>
      <c r="C95" s="3"/>
      <c r="D95" s="149"/>
      <c r="E95" s="307" t="s">
        <v>193</v>
      </c>
      <c r="F95" s="307"/>
      <c r="G95" s="307"/>
      <c r="H95" s="308" t="s">
        <v>194</v>
      </c>
      <c r="I95" s="308"/>
      <c r="J95" s="308"/>
      <c r="K95" s="308"/>
      <c r="L95" s="308"/>
      <c r="M95" s="308"/>
      <c r="N95" s="142"/>
    </row>
    <row r="96" spans="1:14" ht="21.75" customHeight="1">
      <c r="A96" s="290" t="s">
        <v>124</v>
      </c>
      <c r="B96" s="291"/>
      <c r="C96" s="291"/>
      <c r="D96" s="291"/>
      <c r="E96" s="215" t="s">
        <v>119</v>
      </c>
      <c r="F96" s="217" t="s">
        <v>120</v>
      </c>
      <c r="G96" s="217" t="s">
        <v>121</v>
      </c>
      <c r="H96" s="215" t="s">
        <v>119</v>
      </c>
      <c r="I96" s="217" t="s">
        <v>120</v>
      </c>
      <c r="J96" s="217" t="s">
        <v>121</v>
      </c>
      <c r="K96" s="215" t="s">
        <v>119</v>
      </c>
      <c r="L96" s="217" t="s">
        <v>120</v>
      </c>
      <c r="M96" s="217" t="s">
        <v>121</v>
      </c>
      <c r="N96" s="223"/>
    </row>
    <row r="97" spans="1:16" ht="21.75" customHeight="1">
      <c r="A97" s="21" t="s">
        <v>0</v>
      </c>
      <c r="B97" s="148" t="s">
        <v>1</v>
      </c>
      <c r="C97" s="22" t="s">
        <v>2</v>
      </c>
      <c r="D97" s="22" t="s">
        <v>3</v>
      </c>
      <c r="E97" s="216"/>
      <c r="F97" s="218"/>
      <c r="G97" s="218"/>
      <c r="H97" s="216"/>
      <c r="I97" s="218"/>
      <c r="J97" s="218"/>
      <c r="K97" s="216"/>
      <c r="L97" s="218"/>
      <c r="M97" s="218"/>
      <c r="N97" s="224"/>
    </row>
    <row r="98" spans="1:16" s="72" customFormat="1" ht="21.75" customHeight="1">
      <c r="A98" s="90" t="s">
        <v>125</v>
      </c>
      <c r="B98" s="198">
        <v>461817</v>
      </c>
      <c r="C98" s="123" t="s">
        <v>188</v>
      </c>
      <c r="D98" s="115" t="s">
        <v>113</v>
      </c>
      <c r="E98" s="147">
        <v>80500</v>
      </c>
      <c r="F98" s="159">
        <v>131</v>
      </c>
      <c r="G98" s="159">
        <f t="shared" ref="G98:G103" si="9">+E98+F98</f>
        <v>80631</v>
      </c>
      <c r="H98" s="147">
        <v>79000</v>
      </c>
      <c r="I98" s="159">
        <f>+H98*0.19</f>
        <v>15010</v>
      </c>
      <c r="J98" s="159">
        <f t="shared" ref="J98:J103" si="10">+H98+I98</f>
        <v>94010</v>
      </c>
      <c r="K98" s="147"/>
      <c r="L98" s="159"/>
      <c r="M98" s="159"/>
      <c r="N98" s="139">
        <f t="shared" ref="N98:N103" si="11">(J98+G98)/2</f>
        <v>87320.5</v>
      </c>
    </row>
    <row r="99" spans="1:16" s="72" customFormat="1" ht="51" customHeight="1">
      <c r="A99" s="90" t="s">
        <v>189</v>
      </c>
      <c r="B99" s="199">
        <v>123521</v>
      </c>
      <c r="C99" s="206" t="s">
        <v>196</v>
      </c>
      <c r="D99" s="205" t="s">
        <v>115</v>
      </c>
      <c r="E99" s="147">
        <v>8978</v>
      </c>
      <c r="F99" s="159">
        <v>2442</v>
      </c>
      <c r="G99" s="159">
        <f t="shared" si="9"/>
        <v>11420</v>
      </c>
      <c r="H99" s="147">
        <v>10000</v>
      </c>
      <c r="I99" s="147">
        <f>+H99*0.19</f>
        <v>1900</v>
      </c>
      <c r="J99" s="147">
        <f t="shared" si="10"/>
        <v>11900</v>
      </c>
      <c r="K99" s="147"/>
      <c r="L99" s="147"/>
      <c r="M99" s="147"/>
      <c r="N99" s="139">
        <f t="shared" si="11"/>
        <v>11660</v>
      </c>
    </row>
    <row r="100" spans="1:16" ht="58" customHeight="1">
      <c r="A100" s="196" t="s">
        <v>129</v>
      </c>
      <c r="B100" s="137">
        <v>461815</v>
      </c>
      <c r="C100" s="11" t="s">
        <v>192</v>
      </c>
      <c r="D100" s="9" t="s">
        <v>114</v>
      </c>
      <c r="E100" s="147">
        <v>35000</v>
      </c>
      <c r="F100" s="146">
        <f>+E100*0.19</f>
        <v>6650</v>
      </c>
      <c r="G100" s="146">
        <f t="shared" si="9"/>
        <v>41650</v>
      </c>
      <c r="H100" s="147">
        <v>38000</v>
      </c>
      <c r="I100" s="147">
        <f>+H100*0.19</f>
        <v>7220</v>
      </c>
      <c r="J100" s="147">
        <f t="shared" si="10"/>
        <v>45220</v>
      </c>
      <c r="K100" s="147"/>
      <c r="L100" s="147"/>
      <c r="M100" s="147"/>
      <c r="N100" s="134">
        <f t="shared" si="11"/>
        <v>43435</v>
      </c>
    </row>
    <row r="101" spans="1:16" ht="100" customHeight="1">
      <c r="A101" s="23" t="s">
        <v>195</v>
      </c>
      <c r="B101" s="137">
        <v>461818</v>
      </c>
      <c r="C101" s="11" t="s">
        <v>130</v>
      </c>
      <c r="D101" s="9" t="s">
        <v>4</v>
      </c>
      <c r="E101" s="147">
        <v>11450</v>
      </c>
      <c r="F101" s="200">
        <v>2176</v>
      </c>
      <c r="G101" s="200">
        <f t="shared" si="9"/>
        <v>13626</v>
      </c>
      <c r="H101" s="147">
        <v>6875</v>
      </c>
      <c r="I101" s="146">
        <v>1306</v>
      </c>
      <c r="J101" s="146">
        <f t="shared" si="10"/>
        <v>8181</v>
      </c>
      <c r="K101" s="147"/>
      <c r="L101" s="146"/>
      <c r="M101" s="146"/>
      <c r="N101" s="134">
        <f t="shared" si="11"/>
        <v>10903.5</v>
      </c>
    </row>
    <row r="102" spans="1:16" ht="100" customHeight="1">
      <c r="A102" s="196" t="s">
        <v>134</v>
      </c>
      <c r="B102" s="137">
        <v>461815</v>
      </c>
      <c r="C102" s="11" t="s">
        <v>190</v>
      </c>
      <c r="D102" s="9" t="s">
        <v>4</v>
      </c>
      <c r="E102" s="147">
        <v>55000</v>
      </c>
      <c r="F102" s="146">
        <v>12155</v>
      </c>
      <c r="G102" s="146">
        <f t="shared" si="9"/>
        <v>67155</v>
      </c>
      <c r="H102" s="147">
        <v>52917</v>
      </c>
      <c r="I102" s="146">
        <v>1054</v>
      </c>
      <c r="J102" s="146">
        <f t="shared" si="10"/>
        <v>53971</v>
      </c>
      <c r="K102" s="147"/>
      <c r="L102" s="146"/>
      <c r="M102" s="146"/>
      <c r="N102" s="134">
        <f t="shared" si="11"/>
        <v>60563</v>
      </c>
    </row>
    <row r="103" spans="1:16" ht="103" customHeight="1" thickBot="1">
      <c r="A103" s="197" t="s">
        <v>136</v>
      </c>
      <c r="B103" s="137">
        <v>461818</v>
      </c>
      <c r="C103" s="145" t="s">
        <v>191</v>
      </c>
      <c r="D103" s="24" t="s">
        <v>4</v>
      </c>
      <c r="E103" s="144">
        <v>19000</v>
      </c>
      <c r="F103" s="143">
        <v>3658</v>
      </c>
      <c r="G103" s="143">
        <f t="shared" si="9"/>
        <v>22658</v>
      </c>
      <c r="H103" s="144">
        <v>18000</v>
      </c>
      <c r="I103" s="143">
        <f>+H103*0.19</f>
        <v>3420</v>
      </c>
      <c r="J103" s="143">
        <f t="shared" si="10"/>
        <v>21420</v>
      </c>
      <c r="K103" s="144"/>
      <c r="L103" s="143"/>
      <c r="M103" s="143"/>
      <c r="N103" s="130">
        <f t="shared" si="11"/>
        <v>22039</v>
      </c>
    </row>
    <row r="104" spans="1:16" ht="21.75" customHeight="1">
      <c r="E104" s="131"/>
      <c r="F104" s="131"/>
      <c r="G104" s="131"/>
      <c r="H104" s="131"/>
      <c r="I104" s="131"/>
      <c r="J104" s="131"/>
      <c r="K104" s="131"/>
      <c r="L104" s="131"/>
      <c r="M104" s="131" t="s">
        <v>184</v>
      </c>
      <c r="N104" s="142">
        <f>SUM(N98:N103)</f>
        <v>235921</v>
      </c>
      <c r="P104" s="131"/>
    </row>
    <row r="106" spans="1:16" ht="21.75" customHeight="1">
      <c r="F106" s="140" t="s">
        <v>183</v>
      </c>
      <c r="G106" s="140"/>
      <c r="H106" s="141"/>
      <c r="I106" s="140"/>
      <c r="J106" s="140"/>
      <c r="K106" s="141"/>
      <c r="L106" s="140"/>
      <c r="M106" s="140" t="s">
        <v>182</v>
      </c>
      <c r="N106" s="194">
        <f>+N104+N93+N51+N27</f>
        <v>46125860.666666657</v>
      </c>
    </row>
  </sheetData>
  <mergeCells count="202">
    <mergeCell ref="E29:G29"/>
    <mergeCell ref="H29:J29"/>
    <mergeCell ref="K29:M29"/>
    <mergeCell ref="K53:M53"/>
    <mergeCell ref="E53:G53"/>
    <mergeCell ref="E95:G95"/>
    <mergeCell ref="H95:J95"/>
    <mergeCell ref="K95:M95"/>
    <mergeCell ref="E30:E31"/>
    <mergeCell ref="F30:F31"/>
    <mergeCell ref="L54:L55"/>
    <mergeCell ref="M54:M55"/>
    <mergeCell ref="I85:I91"/>
    <mergeCell ref="J85:J91"/>
    <mergeCell ref="D70:D75"/>
    <mergeCell ref="E96:E97"/>
    <mergeCell ref="F96:F97"/>
    <mergeCell ref="E64:E65"/>
    <mergeCell ref="E66:E67"/>
    <mergeCell ref="F64:F65"/>
    <mergeCell ref="G64:G65"/>
    <mergeCell ref="G70:G75"/>
    <mergeCell ref="E54:E55"/>
    <mergeCell ref="F54:F55"/>
    <mergeCell ref="A32:A33"/>
    <mergeCell ref="A54:D54"/>
    <mergeCell ref="F66:F67"/>
    <mergeCell ref="G66:G67"/>
    <mergeCell ref="A66:A67"/>
    <mergeCell ref="G30:G31"/>
    <mergeCell ref="B35:B38"/>
    <mergeCell ref="G96:G97"/>
    <mergeCell ref="B70:B75"/>
    <mergeCell ref="B85:B91"/>
    <mergeCell ref="E85:E91"/>
    <mergeCell ref="F85:F91"/>
    <mergeCell ref="G85:G91"/>
    <mergeCell ref="G54:G55"/>
    <mergeCell ref="D56:D58"/>
    <mergeCell ref="E56:E58"/>
    <mergeCell ref="F56:F58"/>
    <mergeCell ref="G56:G58"/>
    <mergeCell ref="D59:D63"/>
    <mergeCell ref="E59:E63"/>
    <mergeCell ref="F59:F63"/>
    <mergeCell ref="G59:G63"/>
    <mergeCell ref="A96:D96"/>
    <mergeCell ref="D64:D65"/>
    <mergeCell ref="B82:B83"/>
    <mergeCell ref="B56:B69"/>
    <mergeCell ref="B43:B44"/>
    <mergeCell ref="D10:D15"/>
    <mergeCell ref="A30:D30"/>
    <mergeCell ref="E2:E3"/>
    <mergeCell ref="F2:F3"/>
    <mergeCell ref="A82:A83"/>
    <mergeCell ref="A85:A91"/>
    <mergeCell ref="D85:D91"/>
    <mergeCell ref="A70:A75"/>
    <mergeCell ref="E70:E75"/>
    <mergeCell ref="F70:F75"/>
    <mergeCell ref="B4:B9"/>
    <mergeCell ref="B10:B15"/>
    <mergeCell ref="B16:B21"/>
    <mergeCell ref="B22:B23"/>
    <mergeCell ref="B24:B25"/>
    <mergeCell ref="F4:F9"/>
    <mergeCell ref="F10:F15"/>
    <mergeCell ref="A56:A58"/>
    <mergeCell ref="A59:A63"/>
    <mergeCell ref="A64:A65"/>
    <mergeCell ref="D66:D67"/>
    <mergeCell ref="H24:H25"/>
    <mergeCell ref="A2:D2"/>
    <mergeCell ref="E10:E15"/>
    <mergeCell ref="A22:A25"/>
    <mergeCell ref="D22:D23"/>
    <mergeCell ref="D24:D25"/>
    <mergeCell ref="E22:E23"/>
    <mergeCell ref="E24:E25"/>
    <mergeCell ref="A4:A21"/>
    <mergeCell ref="D16:D21"/>
    <mergeCell ref="D4:D9"/>
    <mergeCell ref="E4:E9"/>
    <mergeCell ref="E16:E21"/>
    <mergeCell ref="F16:F21"/>
    <mergeCell ref="G2:G3"/>
    <mergeCell ref="G22:G23"/>
    <mergeCell ref="G24:G25"/>
    <mergeCell ref="G10:G15"/>
    <mergeCell ref="G16:G21"/>
    <mergeCell ref="F22:F23"/>
    <mergeCell ref="F24:F25"/>
    <mergeCell ref="I4:I9"/>
    <mergeCell ref="J4:J9"/>
    <mergeCell ref="H10:H15"/>
    <mergeCell ref="I10:I15"/>
    <mergeCell ref="J10:J15"/>
    <mergeCell ref="E1:G1"/>
    <mergeCell ref="H1:J1"/>
    <mergeCell ref="H2:H3"/>
    <mergeCell ref="I2:I3"/>
    <mergeCell ref="J2:J3"/>
    <mergeCell ref="G4:G9"/>
    <mergeCell ref="H4:H9"/>
    <mergeCell ref="H96:H97"/>
    <mergeCell ref="I96:I97"/>
    <mergeCell ref="J96:J97"/>
    <mergeCell ref="J22:J23"/>
    <mergeCell ref="J64:J65"/>
    <mergeCell ref="H54:H55"/>
    <mergeCell ref="I54:I55"/>
    <mergeCell ref="J54:J55"/>
    <mergeCell ref="H56:H58"/>
    <mergeCell ref="I56:I58"/>
    <mergeCell ref="J56:J58"/>
    <mergeCell ref="I24:I25"/>
    <mergeCell ref="J24:J25"/>
    <mergeCell ref="H30:H31"/>
    <mergeCell ref="I30:I31"/>
    <mergeCell ref="J30:J31"/>
    <mergeCell ref="H22:H23"/>
    <mergeCell ref="I22:I23"/>
    <mergeCell ref="H59:H63"/>
    <mergeCell ref="I59:I63"/>
    <mergeCell ref="J59:J63"/>
    <mergeCell ref="H64:H65"/>
    <mergeCell ref="I64:I65"/>
    <mergeCell ref="H85:H91"/>
    <mergeCell ref="K16:K21"/>
    <mergeCell ref="L16:L21"/>
    <mergeCell ref="M16:M21"/>
    <mergeCell ref="H66:H67"/>
    <mergeCell ref="I66:I67"/>
    <mergeCell ref="J66:J67"/>
    <mergeCell ref="H70:H75"/>
    <mergeCell ref="I70:I75"/>
    <mergeCell ref="J70:J75"/>
    <mergeCell ref="H16:H21"/>
    <mergeCell ref="I16:I21"/>
    <mergeCell ref="J16:J21"/>
    <mergeCell ref="K22:K23"/>
    <mergeCell ref="L22:L23"/>
    <mergeCell ref="M22:M23"/>
    <mergeCell ref="K24:K25"/>
    <mergeCell ref="L24:L25"/>
    <mergeCell ref="M24:M25"/>
    <mergeCell ref="K30:K31"/>
    <mergeCell ref="L30:L31"/>
    <mergeCell ref="M30:M31"/>
    <mergeCell ref="L64:L65"/>
    <mergeCell ref="H53:J53"/>
    <mergeCell ref="K54:K55"/>
    <mergeCell ref="K1:M1"/>
    <mergeCell ref="K2:K3"/>
    <mergeCell ref="L2:L3"/>
    <mergeCell ref="M2:M3"/>
    <mergeCell ref="K4:K9"/>
    <mergeCell ref="L4:L9"/>
    <mergeCell ref="M4:M9"/>
    <mergeCell ref="K10:K15"/>
    <mergeCell ref="L10:L15"/>
    <mergeCell ref="M10:M15"/>
    <mergeCell ref="N64:N65"/>
    <mergeCell ref="N70:N75"/>
    <mergeCell ref="N56:N58"/>
    <mergeCell ref="N59:N63"/>
    <mergeCell ref="N66:N67"/>
    <mergeCell ref="M85:M91"/>
    <mergeCell ref="M64:M65"/>
    <mergeCell ref="K66:K67"/>
    <mergeCell ref="L66:L67"/>
    <mergeCell ref="M66:M67"/>
    <mergeCell ref="K56:K58"/>
    <mergeCell ref="L56:L58"/>
    <mergeCell ref="M56:M58"/>
    <mergeCell ref="K59:K63"/>
    <mergeCell ref="L59:L63"/>
    <mergeCell ref="O2:O3"/>
    <mergeCell ref="O4:O9"/>
    <mergeCell ref="P4:P9"/>
    <mergeCell ref="P2:P3"/>
    <mergeCell ref="K96:K97"/>
    <mergeCell ref="L96:L97"/>
    <mergeCell ref="M96:M97"/>
    <mergeCell ref="K70:K75"/>
    <mergeCell ref="L70:L75"/>
    <mergeCell ref="M70:M75"/>
    <mergeCell ref="K85:K91"/>
    <mergeCell ref="L85:L91"/>
    <mergeCell ref="N85:N91"/>
    <mergeCell ref="N96:N97"/>
    <mergeCell ref="N2:N3"/>
    <mergeCell ref="N4:N9"/>
    <mergeCell ref="N10:N15"/>
    <mergeCell ref="N16:N21"/>
    <mergeCell ref="N22:N23"/>
    <mergeCell ref="N24:N25"/>
    <mergeCell ref="N30:N31"/>
    <mergeCell ref="N54:N55"/>
    <mergeCell ref="M59:M63"/>
    <mergeCell ref="K64:K65"/>
  </mergeCells>
  <pageMargins left="0.25" right="0.25"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dimension ref="A1:F12"/>
  <sheetViews>
    <sheetView workbookViewId="0">
      <selection activeCell="F3" sqref="F3"/>
    </sheetView>
  </sheetViews>
  <sheetFormatPr baseColWidth="10" defaultRowHeight="14.5"/>
  <cols>
    <col min="1" max="1" width="16.453125" customWidth="1"/>
    <col min="2" max="2" width="21.81640625" bestFit="1" customWidth="1"/>
    <col min="3" max="3" width="50.453125" customWidth="1"/>
    <col min="4" max="4" width="14.6328125" style="37" customWidth="1"/>
    <col min="5" max="5" width="12.453125" style="45" bestFit="1" customWidth="1"/>
    <col min="6" max="6" width="24.453125" style="45" bestFit="1" customWidth="1"/>
  </cols>
  <sheetData>
    <row r="1" spans="1:6">
      <c r="A1" s="309" t="s">
        <v>145</v>
      </c>
      <c r="B1" s="310"/>
      <c r="C1" s="310"/>
      <c r="D1" s="310"/>
      <c r="E1" s="310"/>
      <c r="F1" s="311"/>
    </row>
    <row r="2" spans="1:6" ht="15.75" customHeight="1" thickBot="1">
      <c r="A2" s="312"/>
      <c r="B2" s="313"/>
      <c r="C2" s="313"/>
      <c r="D2" s="313"/>
      <c r="E2" s="313"/>
      <c r="F2" s="314"/>
    </row>
    <row r="3" spans="1:6" ht="23.5" thickBot="1">
      <c r="A3" s="51" t="s">
        <v>146</v>
      </c>
      <c r="B3" s="51" t="s">
        <v>147</v>
      </c>
      <c r="C3" s="51" t="s">
        <v>148</v>
      </c>
      <c r="D3" s="46" t="s">
        <v>149</v>
      </c>
      <c r="E3" s="46" t="s">
        <v>120</v>
      </c>
      <c r="F3" s="47" t="s">
        <v>121</v>
      </c>
    </row>
    <row r="4" spans="1:6" ht="30" customHeight="1">
      <c r="A4" s="319" t="s">
        <v>150</v>
      </c>
      <c r="B4" s="321" t="s">
        <v>151</v>
      </c>
      <c r="C4" s="30" t="s">
        <v>164</v>
      </c>
      <c r="D4" s="38">
        <v>3000000</v>
      </c>
      <c r="E4" s="48">
        <f>+D4*0.19</f>
        <v>570000</v>
      </c>
      <c r="F4" s="49">
        <f>+D4+E4</f>
        <v>3570000</v>
      </c>
    </row>
    <row r="5" spans="1:6">
      <c r="A5" s="324"/>
      <c r="B5" s="322"/>
      <c r="C5" s="31" t="s">
        <v>165</v>
      </c>
      <c r="D5" s="39">
        <v>2000000</v>
      </c>
      <c r="E5" s="43">
        <f t="shared" ref="E5:E11" si="0">+D5*0.19</f>
        <v>380000</v>
      </c>
      <c r="F5" s="44">
        <f t="shared" ref="F5:F11" si="1">+D5+E5</f>
        <v>2380000</v>
      </c>
    </row>
    <row r="6" spans="1:6" ht="15" thickBot="1">
      <c r="A6" s="320"/>
      <c r="B6" s="323"/>
      <c r="C6" s="32" t="s">
        <v>166</v>
      </c>
      <c r="D6" s="40">
        <v>1500000</v>
      </c>
      <c r="E6" s="41">
        <f t="shared" si="0"/>
        <v>285000</v>
      </c>
      <c r="F6" s="42">
        <f t="shared" si="1"/>
        <v>1785000</v>
      </c>
    </row>
    <row r="7" spans="1:6" ht="29.5" thickBot="1">
      <c r="A7" s="36" t="s">
        <v>152</v>
      </c>
      <c r="B7" s="34" t="s">
        <v>153</v>
      </c>
      <c r="C7" s="34" t="s">
        <v>154</v>
      </c>
      <c r="D7" s="39">
        <v>2200000</v>
      </c>
      <c r="E7" s="52">
        <f t="shared" si="0"/>
        <v>418000</v>
      </c>
      <c r="F7" s="53">
        <f t="shared" si="1"/>
        <v>2618000</v>
      </c>
    </row>
    <row r="8" spans="1:6" ht="43.5">
      <c r="A8" s="319" t="s">
        <v>155</v>
      </c>
      <c r="B8" s="54" t="s">
        <v>156</v>
      </c>
      <c r="C8" s="54" t="s">
        <v>157</v>
      </c>
      <c r="D8" s="38">
        <v>1500000</v>
      </c>
      <c r="E8" s="48">
        <f t="shared" si="0"/>
        <v>285000</v>
      </c>
      <c r="F8" s="49">
        <f t="shared" si="1"/>
        <v>1785000</v>
      </c>
    </row>
    <row r="9" spans="1:6" ht="87.5" thickBot="1">
      <c r="A9" s="320"/>
      <c r="B9" s="33" t="s">
        <v>158</v>
      </c>
      <c r="C9" s="33" t="s">
        <v>159</v>
      </c>
      <c r="D9" s="40">
        <v>2000000</v>
      </c>
      <c r="E9" s="41">
        <f t="shared" si="0"/>
        <v>380000</v>
      </c>
      <c r="F9" s="42">
        <f t="shared" si="1"/>
        <v>2380000</v>
      </c>
    </row>
    <row r="10" spans="1:6" ht="45" customHeight="1">
      <c r="A10" s="317" t="s">
        <v>160</v>
      </c>
      <c r="B10" s="315" t="s">
        <v>161</v>
      </c>
      <c r="C10" s="55" t="s">
        <v>162</v>
      </c>
      <c r="D10" s="56">
        <v>1300000</v>
      </c>
      <c r="E10" s="48">
        <f t="shared" si="0"/>
        <v>247000</v>
      </c>
      <c r="F10" s="49">
        <f t="shared" si="1"/>
        <v>1547000</v>
      </c>
    </row>
    <row r="11" spans="1:6" ht="29.5" thickBot="1">
      <c r="A11" s="318"/>
      <c r="B11" s="316"/>
      <c r="C11" s="35" t="s">
        <v>163</v>
      </c>
      <c r="D11" s="50">
        <v>1800000</v>
      </c>
      <c r="E11" s="41">
        <f t="shared" si="0"/>
        <v>342000</v>
      </c>
      <c r="F11" s="42">
        <f t="shared" si="1"/>
        <v>2142000</v>
      </c>
    </row>
    <row r="12" spans="1:6">
      <c r="F12" s="45">
        <f>SUM(F4:F11)</f>
        <v>18207000</v>
      </c>
    </row>
  </sheetData>
  <mergeCells count="6">
    <mergeCell ref="A1:F2"/>
    <mergeCell ref="B10:B11"/>
    <mergeCell ref="A10:A11"/>
    <mergeCell ref="A8:A9"/>
    <mergeCell ref="B4:B6"/>
    <mergeCell ref="A4:A6"/>
  </mergeCells>
  <conditionalFormatting sqref="E4:F11">
    <cfRule type="cellIs" dxfId="15" priority="1" operator="lessThan">
      <formula>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pageSetUpPr fitToPage="1"/>
  </sheetPr>
  <dimension ref="A1:E90"/>
  <sheetViews>
    <sheetView showGridLines="0" tabSelected="1" zoomScale="80" zoomScaleNormal="80" workbookViewId="0">
      <selection activeCell="F12" sqref="F12"/>
    </sheetView>
  </sheetViews>
  <sheetFormatPr baseColWidth="10" defaultColWidth="11.453125" defaultRowHeight="11.5"/>
  <cols>
    <col min="1" max="1" width="35.36328125" style="3" customWidth="1"/>
    <col min="2" max="2" width="99.36328125" style="12" customWidth="1"/>
    <col min="3" max="3" width="13.453125" style="1" customWidth="1"/>
    <col min="4" max="4" width="24.453125" style="27" bestFit="1" customWidth="1"/>
    <col min="5" max="16384" width="11.453125" style="2"/>
  </cols>
  <sheetData>
    <row r="1" spans="1:4" ht="12.75" customHeight="1" thickBot="1">
      <c r="D1" s="2"/>
    </row>
    <row r="2" spans="1:4" s="28" customFormat="1" ht="12" customHeight="1">
      <c r="A2" s="265" t="s">
        <v>122</v>
      </c>
      <c r="B2" s="266"/>
      <c r="C2" s="266"/>
      <c r="D2" s="239" t="s">
        <v>180</v>
      </c>
    </row>
    <row r="3" spans="1:4" s="29" customFormat="1" ht="23">
      <c r="A3" s="14" t="s">
        <v>0</v>
      </c>
      <c r="B3" s="8" t="s">
        <v>2</v>
      </c>
      <c r="C3" s="8" t="s">
        <v>3</v>
      </c>
      <c r="D3" s="240"/>
    </row>
    <row r="4" spans="1:4">
      <c r="A4" s="330" t="s">
        <v>16</v>
      </c>
      <c r="B4" s="4" t="s">
        <v>29</v>
      </c>
      <c r="C4" s="337" t="s">
        <v>4</v>
      </c>
      <c r="D4" s="325"/>
    </row>
    <row r="5" spans="1:4">
      <c r="A5" s="330"/>
      <c r="B5" s="4" t="s">
        <v>30</v>
      </c>
      <c r="C5" s="337"/>
      <c r="D5" s="325"/>
    </row>
    <row r="6" spans="1:4">
      <c r="A6" s="330"/>
      <c r="B6" s="4" t="s">
        <v>31</v>
      </c>
      <c r="C6" s="337"/>
      <c r="D6" s="325"/>
    </row>
    <row r="7" spans="1:4">
      <c r="A7" s="330"/>
      <c r="B7" s="4" t="s">
        <v>32</v>
      </c>
      <c r="C7" s="337"/>
      <c r="D7" s="325"/>
    </row>
    <row r="8" spans="1:4" ht="23">
      <c r="A8" s="330"/>
      <c r="B8" s="4" t="s">
        <v>33</v>
      </c>
      <c r="C8" s="337"/>
      <c r="D8" s="325"/>
    </row>
    <row r="9" spans="1:4">
      <c r="A9" s="330"/>
      <c r="B9" s="4" t="s">
        <v>17</v>
      </c>
      <c r="C9" s="337"/>
      <c r="D9" s="325"/>
    </row>
    <row r="10" spans="1:4">
      <c r="A10" s="330"/>
      <c r="B10" s="13" t="s">
        <v>34</v>
      </c>
      <c r="C10" s="336" t="s">
        <v>4</v>
      </c>
      <c r="D10" s="325"/>
    </row>
    <row r="11" spans="1:4">
      <c r="A11" s="330"/>
      <c r="B11" s="4" t="s">
        <v>30</v>
      </c>
      <c r="C11" s="336"/>
      <c r="D11" s="325"/>
    </row>
    <row r="12" spans="1:4">
      <c r="A12" s="330"/>
      <c r="B12" s="5" t="s">
        <v>35</v>
      </c>
      <c r="C12" s="336"/>
      <c r="D12" s="325"/>
    </row>
    <row r="13" spans="1:4">
      <c r="A13" s="330"/>
      <c r="B13" s="4" t="s">
        <v>32</v>
      </c>
      <c r="C13" s="336"/>
      <c r="D13" s="325"/>
    </row>
    <row r="14" spans="1:4" ht="23">
      <c r="A14" s="330"/>
      <c r="B14" s="4" t="s">
        <v>33</v>
      </c>
      <c r="C14" s="336"/>
      <c r="D14" s="325"/>
    </row>
    <row r="15" spans="1:4">
      <c r="A15" s="330"/>
      <c r="B15" s="4" t="s">
        <v>17</v>
      </c>
      <c r="C15" s="336"/>
      <c r="D15" s="325"/>
    </row>
    <row r="16" spans="1:4">
      <c r="A16" s="330"/>
      <c r="B16" s="4" t="s">
        <v>36</v>
      </c>
      <c r="C16" s="335" t="s">
        <v>4</v>
      </c>
      <c r="D16" s="325"/>
    </row>
    <row r="17" spans="1:5">
      <c r="A17" s="330"/>
      <c r="B17" s="4" t="s">
        <v>30</v>
      </c>
      <c r="C17" s="335"/>
      <c r="D17" s="325"/>
    </row>
    <row r="18" spans="1:5" ht="23">
      <c r="A18" s="330"/>
      <c r="B18" s="5" t="s">
        <v>37</v>
      </c>
      <c r="C18" s="335"/>
      <c r="D18" s="325"/>
    </row>
    <row r="19" spans="1:5">
      <c r="A19" s="330"/>
      <c r="B19" s="4" t="s">
        <v>32</v>
      </c>
      <c r="C19" s="335"/>
      <c r="D19" s="325"/>
    </row>
    <row r="20" spans="1:5" ht="23">
      <c r="A20" s="330"/>
      <c r="B20" s="4" t="s">
        <v>33</v>
      </c>
      <c r="C20" s="335"/>
      <c r="D20" s="325"/>
    </row>
    <row r="21" spans="1:5">
      <c r="A21" s="330"/>
      <c r="B21" s="4" t="s">
        <v>17</v>
      </c>
      <c r="C21" s="335"/>
      <c r="D21" s="325"/>
    </row>
    <row r="22" spans="1:5">
      <c r="A22" s="330" t="s">
        <v>42</v>
      </c>
      <c r="B22" s="10" t="s">
        <v>38</v>
      </c>
      <c r="C22" s="335" t="s">
        <v>4</v>
      </c>
      <c r="D22" s="325"/>
    </row>
    <row r="23" spans="1:5">
      <c r="A23" s="330"/>
      <c r="B23" s="6" t="s">
        <v>39</v>
      </c>
      <c r="C23" s="335"/>
      <c r="D23" s="325"/>
    </row>
    <row r="24" spans="1:5">
      <c r="A24" s="330"/>
      <c r="B24" s="4" t="s">
        <v>40</v>
      </c>
      <c r="C24" s="335" t="s">
        <v>4</v>
      </c>
      <c r="D24" s="325"/>
    </row>
    <row r="25" spans="1:5">
      <c r="A25" s="330"/>
      <c r="B25" s="10" t="s">
        <v>41</v>
      </c>
      <c r="C25" s="335"/>
      <c r="D25" s="325"/>
    </row>
    <row r="26" spans="1:5" ht="23.5" thickBot="1">
      <c r="A26" s="59" t="s">
        <v>43</v>
      </c>
      <c r="B26" s="15" t="s">
        <v>44</v>
      </c>
      <c r="C26" s="17" t="s">
        <v>4</v>
      </c>
      <c r="D26" s="83"/>
    </row>
    <row r="27" spans="1:5" ht="57.5">
      <c r="A27" s="330" t="s">
        <v>28</v>
      </c>
      <c r="B27" s="99" t="s">
        <v>47</v>
      </c>
      <c r="C27" s="99" t="s">
        <v>49</v>
      </c>
      <c r="D27" s="94"/>
    </row>
    <row r="28" spans="1:5" ht="57.5">
      <c r="A28" s="330"/>
      <c r="B28" s="99" t="s">
        <v>48</v>
      </c>
      <c r="C28" s="99" t="s">
        <v>45</v>
      </c>
      <c r="D28" s="94"/>
    </row>
    <row r="29" spans="1:5" ht="23">
      <c r="A29" s="95" t="s">
        <v>50</v>
      </c>
      <c r="B29" s="65" t="s">
        <v>51</v>
      </c>
      <c r="C29" s="99" t="s">
        <v>15</v>
      </c>
      <c r="D29" s="94"/>
      <c r="E29" s="26"/>
    </row>
    <row r="30" spans="1:5">
      <c r="A30" s="95" t="s">
        <v>52</v>
      </c>
      <c r="B30" s="99" t="s">
        <v>53</v>
      </c>
      <c r="C30" s="99" t="s">
        <v>15</v>
      </c>
      <c r="D30" s="94"/>
    </row>
    <row r="31" spans="1:5" ht="34.5">
      <c r="A31" s="95" t="s">
        <v>54</v>
      </c>
      <c r="B31" s="99" t="s">
        <v>55</v>
      </c>
      <c r="C31" s="99" t="s">
        <v>15</v>
      </c>
      <c r="D31" s="94"/>
    </row>
    <row r="32" spans="1:5">
      <c r="A32" s="95" t="s">
        <v>56</v>
      </c>
      <c r="B32" s="99" t="s">
        <v>57</v>
      </c>
      <c r="C32" s="99" t="s">
        <v>15</v>
      </c>
      <c r="D32" s="94"/>
    </row>
    <row r="33" spans="1:4">
      <c r="A33" s="95" t="s">
        <v>58</v>
      </c>
      <c r="B33" s="99" t="s">
        <v>59</v>
      </c>
      <c r="C33" s="99" t="s">
        <v>15</v>
      </c>
      <c r="D33" s="94"/>
    </row>
    <row r="34" spans="1:4">
      <c r="A34" s="95" t="s">
        <v>60</v>
      </c>
      <c r="B34" s="99" t="s">
        <v>61</v>
      </c>
      <c r="C34" s="99" t="s">
        <v>15</v>
      </c>
      <c r="D34" s="94"/>
    </row>
    <row r="35" spans="1:4" ht="23">
      <c r="A35" s="95" t="s">
        <v>62</v>
      </c>
      <c r="B35" s="99" t="s">
        <v>63</v>
      </c>
      <c r="C35" s="99" t="s">
        <v>15</v>
      </c>
      <c r="D35" s="94"/>
    </row>
    <row r="36" spans="1:4" ht="34.5">
      <c r="A36" s="95" t="s">
        <v>64</v>
      </c>
      <c r="B36" s="99" t="s">
        <v>65</v>
      </c>
      <c r="C36" s="99" t="s">
        <v>15</v>
      </c>
      <c r="D36" s="94"/>
    </row>
    <row r="37" spans="1:4">
      <c r="A37" s="95" t="s">
        <v>66</v>
      </c>
      <c r="B37" s="99" t="s">
        <v>67</v>
      </c>
      <c r="C37" s="99" t="s">
        <v>15</v>
      </c>
      <c r="D37" s="94"/>
    </row>
    <row r="38" spans="1:4">
      <c r="A38" s="95" t="s">
        <v>68</v>
      </c>
      <c r="B38" s="99" t="s">
        <v>69</v>
      </c>
      <c r="C38" s="99" t="s">
        <v>15</v>
      </c>
      <c r="D38" s="94"/>
    </row>
    <row r="39" spans="1:4">
      <c r="A39" s="95" t="s">
        <v>70</v>
      </c>
      <c r="B39" s="65" t="s">
        <v>71</v>
      </c>
      <c r="C39" s="99" t="s">
        <v>15</v>
      </c>
      <c r="D39" s="94"/>
    </row>
    <row r="40" spans="1:4" ht="34.5">
      <c r="A40" s="95" t="s">
        <v>72</v>
      </c>
      <c r="B40" s="65" t="s">
        <v>73</v>
      </c>
      <c r="C40" s="99" t="s">
        <v>15</v>
      </c>
      <c r="D40" s="94"/>
    </row>
    <row r="41" spans="1:4">
      <c r="A41" s="95" t="s">
        <v>76</v>
      </c>
      <c r="B41" s="65" t="s">
        <v>77</v>
      </c>
      <c r="C41" s="99" t="s">
        <v>15</v>
      </c>
      <c r="D41" s="94"/>
    </row>
    <row r="42" spans="1:4">
      <c r="A42" s="95" t="s">
        <v>74</v>
      </c>
      <c r="B42" s="65" t="s">
        <v>75</v>
      </c>
      <c r="C42" s="99" t="s">
        <v>15</v>
      </c>
      <c r="D42" s="94"/>
    </row>
    <row r="43" spans="1:4" ht="57.5">
      <c r="A43" s="95" t="s">
        <v>78</v>
      </c>
      <c r="B43" s="65" t="s">
        <v>79</v>
      </c>
      <c r="C43" s="99" t="s">
        <v>15</v>
      </c>
      <c r="D43" s="94"/>
    </row>
    <row r="44" spans="1:4" ht="34.5">
      <c r="A44" s="95" t="s">
        <v>80</v>
      </c>
      <c r="B44" s="65" t="s">
        <v>81</v>
      </c>
      <c r="C44" s="99" t="s">
        <v>15</v>
      </c>
      <c r="D44" s="94"/>
    </row>
    <row r="45" spans="1:4" ht="12" thickBot="1">
      <c r="A45" s="16" t="s">
        <v>82</v>
      </c>
      <c r="B45" s="19" t="s">
        <v>83</v>
      </c>
      <c r="C45" s="18" t="s">
        <v>15</v>
      </c>
      <c r="D45" s="94"/>
    </row>
    <row r="46" spans="1:4">
      <c r="A46" s="329" t="s">
        <v>5</v>
      </c>
      <c r="B46" s="98" t="s">
        <v>6</v>
      </c>
      <c r="C46" s="331" t="s">
        <v>4</v>
      </c>
      <c r="D46" s="325"/>
    </row>
    <row r="47" spans="1:4">
      <c r="A47" s="329"/>
      <c r="B47" s="98" t="s">
        <v>137</v>
      </c>
      <c r="C47" s="331"/>
      <c r="D47" s="325"/>
    </row>
    <row r="48" spans="1:4">
      <c r="A48" s="329"/>
      <c r="B48" s="9" t="s">
        <v>7</v>
      </c>
      <c r="C48" s="331"/>
      <c r="D48" s="325"/>
    </row>
    <row r="49" spans="1:4">
      <c r="A49" s="329" t="s">
        <v>84</v>
      </c>
      <c r="B49" s="98" t="s">
        <v>8</v>
      </c>
      <c r="C49" s="331" t="s">
        <v>4</v>
      </c>
      <c r="D49" s="325"/>
    </row>
    <row r="50" spans="1:4">
      <c r="A50" s="329"/>
      <c r="B50" s="98" t="s">
        <v>138</v>
      </c>
      <c r="C50" s="331"/>
      <c r="D50" s="325"/>
    </row>
    <row r="51" spans="1:4">
      <c r="A51" s="329"/>
      <c r="B51" s="98" t="s">
        <v>139</v>
      </c>
      <c r="C51" s="331"/>
      <c r="D51" s="325"/>
    </row>
    <row r="52" spans="1:4">
      <c r="A52" s="329"/>
      <c r="B52" s="9" t="s">
        <v>140</v>
      </c>
      <c r="C52" s="331"/>
      <c r="D52" s="325"/>
    </row>
    <row r="53" spans="1:4">
      <c r="A53" s="329"/>
      <c r="B53" s="9" t="s">
        <v>9</v>
      </c>
      <c r="C53" s="331"/>
      <c r="D53" s="325"/>
    </row>
    <row r="54" spans="1:4">
      <c r="A54" s="329" t="s">
        <v>10</v>
      </c>
      <c r="B54" s="98" t="s">
        <v>85</v>
      </c>
      <c r="C54" s="331" t="s">
        <v>4</v>
      </c>
      <c r="D54" s="325"/>
    </row>
    <row r="55" spans="1:4" ht="23">
      <c r="A55" s="329"/>
      <c r="B55" s="9" t="s">
        <v>11</v>
      </c>
      <c r="C55" s="331"/>
      <c r="D55" s="325"/>
    </row>
    <row r="56" spans="1:4">
      <c r="A56" s="329" t="s">
        <v>103</v>
      </c>
      <c r="B56" s="7" t="s">
        <v>86</v>
      </c>
      <c r="C56" s="333" t="s">
        <v>4</v>
      </c>
      <c r="D56" s="325"/>
    </row>
    <row r="57" spans="1:4">
      <c r="A57" s="329"/>
      <c r="B57" s="9" t="s">
        <v>9</v>
      </c>
      <c r="C57" s="334"/>
      <c r="D57" s="325"/>
    </row>
    <row r="58" spans="1:4">
      <c r="A58" s="97" t="s">
        <v>168</v>
      </c>
      <c r="B58" s="9" t="s">
        <v>169</v>
      </c>
      <c r="C58" s="98" t="s">
        <v>4</v>
      </c>
      <c r="D58" s="94"/>
    </row>
    <row r="59" spans="1:4">
      <c r="A59" s="97" t="s">
        <v>87</v>
      </c>
      <c r="B59" s="9" t="s">
        <v>88</v>
      </c>
      <c r="C59" s="98" t="s">
        <v>4</v>
      </c>
      <c r="D59" s="94"/>
    </row>
    <row r="60" spans="1:4">
      <c r="A60" s="329" t="s">
        <v>89</v>
      </c>
      <c r="B60" s="9" t="s">
        <v>12</v>
      </c>
      <c r="C60" s="331" t="s">
        <v>4</v>
      </c>
      <c r="D60" s="326"/>
    </row>
    <row r="61" spans="1:4">
      <c r="A61" s="329"/>
      <c r="B61" s="9" t="s">
        <v>13</v>
      </c>
      <c r="C61" s="331"/>
      <c r="D61" s="327"/>
    </row>
    <row r="62" spans="1:4">
      <c r="A62" s="329"/>
      <c r="B62" s="9" t="s">
        <v>92</v>
      </c>
      <c r="C62" s="331"/>
      <c r="D62" s="327"/>
    </row>
    <row r="63" spans="1:4">
      <c r="A63" s="329"/>
      <c r="B63" s="9" t="s">
        <v>90</v>
      </c>
      <c r="C63" s="331"/>
      <c r="D63" s="327"/>
    </row>
    <row r="64" spans="1:4">
      <c r="A64" s="329"/>
      <c r="B64" s="9" t="s">
        <v>14</v>
      </c>
      <c r="C64" s="331"/>
      <c r="D64" s="327"/>
    </row>
    <row r="65" spans="1:4">
      <c r="A65" s="329"/>
      <c r="B65" s="9" t="s">
        <v>91</v>
      </c>
      <c r="C65" s="331"/>
      <c r="D65" s="328"/>
    </row>
    <row r="66" spans="1:4">
      <c r="A66" s="97" t="s">
        <v>93</v>
      </c>
      <c r="B66" s="9" t="s">
        <v>94</v>
      </c>
      <c r="C66" s="98" t="s">
        <v>4</v>
      </c>
      <c r="D66" s="94"/>
    </row>
    <row r="67" spans="1:4">
      <c r="A67" s="97" t="s">
        <v>95</v>
      </c>
      <c r="B67" s="9" t="s">
        <v>96</v>
      </c>
      <c r="C67" s="98" t="s">
        <v>4</v>
      </c>
      <c r="D67" s="94"/>
    </row>
    <row r="68" spans="1:4">
      <c r="A68" s="97" t="s">
        <v>97</v>
      </c>
      <c r="B68" s="9" t="s">
        <v>98</v>
      </c>
      <c r="C68" s="98" t="s">
        <v>4</v>
      </c>
      <c r="D68" s="94"/>
    </row>
    <row r="69" spans="1:4">
      <c r="A69" s="97" t="s">
        <v>99</v>
      </c>
      <c r="B69" s="9" t="s">
        <v>100</v>
      </c>
      <c r="C69" s="98" t="s">
        <v>4</v>
      </c>
      <c r="D69" s="94"/>
    </row>
    <row r="70" spans="1:4">
      <c r="A70" s="97" t="s">
        <v>101</v>
      </c>
      <c r="B70" s="9" t="s">
        <v>102</v>
      </c>
      <c r="C70" s="98" t="s">
        <v>4</v>
      </c>
      <c r="D70" s="94"/>
    </row>
    <row r="71" spans="1:4">
      <c r="A71" s="97" t="s">
        <v>105</v>
      </c>
      <c r="B71" s="9" t="s">
        <v>104</v>
      </c>
      <c r="C71" s="98" t="s">
        <v>4</v>
      </c>
      <c r="D71" s="94"/>
    </row>
    <row r="72" spans="1:4" ht="57.5">
      <c r="A72" s="329" t="s">
        <v>106</v>
      </c>
      <c r="B72" s="9" t="s">
        <v>107</v>
      </c>
      <c r="C72" s="98" t="s">
        <v>15</v>
      </c>
      <c r="D72" s="94"/>
    </row>
    <row r="73" spans="1:4" ht="46">
      <c r="A73" s="329"/>
      <c r="B73" s="9" t="s">
        <v>178</v>
      </c>
      <c r="C73" s="98" t="s">
        <v>15</v>
      </c>
      <c r="D73" s="94"/>
    </row>
    <row r="74" spans="1:4" ht="34.5">
      <c r="A74" s="92" t="s">
        <v>110</v>
      </c>
      <c r="B74" s="9" t="s">
        <v>118</v>
      </c>
      <c r="C74" s="98" t="s">
        <v>167</v>
      </c>
      <c r="D74" s="94"/>
    </row>
    <row r="75" spans="1:4">
      <c r="A75" s="330" t="s">
        <v>18</v>
      </c>
      <c r="B75" s="96" t="s">
        <v>19</v>
      </c>
      <c r="C75" s="331" t="s">
        <v>111</v>
      </c>
      <c r="D75" s="325"/>
    </row>
    <row r="76" spans="1:4">
      <c r="A76" s="330"/>
      <c r="B76" s="96" t="s">
        <v>20</v>
      </c>
      <c r="C76" s="331"/>
      <c r="D76" s="325"/>
    </row>
    <row r="77" spans="1:4">
      <c r="A77" s="330"/>
      <c r="B77" s="96" t="s">
        <v>21</v>
      </c>
      <c r="C77" s="331"/>
      <c r="D77" s="325"/>
    </row>
    <row r="78" spans="1:4" ht="23">
      <c r="A78" s="330"/>
      <c r="B78" s="96" t="s">
        <v>22</v>
      </c>
      <c r="C78" s="331"/>
      <c r="D78" s="325"/>
    </row>
    <row r="79" spans="1:4">
      <c r="A79" s="330"/>
      <c r="B79" s="96" t="s">
        <v>23</v>
      </c>
      <c r="C79" s="331"/>
      <c r="D79" s="325"/>
    </row>
    <row r="80" spans="1:4" ht="23">
      <c r="A80" s="330"/>
      <c r="B80" s="96" t="s">
        <v>25</v>
      </c>
      <c r="C80" s="331"/>
      <c r="D80" s="325"/>
    </row>
    <row r="81" spans="1:4">
      <c r="A81" s="330"/>
      <c r="B81" s="96" t="s">
        <v>24</v>
      </c>
      <c r="C81" s="331"/>
      <c r="D81" s="325"/>
    </row>
    <row r="82" spans="1:4" ht="35" thickBot="1">
      <c r="A82" s="59" t="s">
        <v>26</v>
      </c>
      <c r="B82" s="18" t="s">
        <v>27</v>
      </c>
      <c r="C82" s="20" t="s">
        <v>109</v>
      </c>
      <c r="D82" s="83"/>
    </row>
    <row r="83" spans="1:4" ht="23">
      <c r="A83" s="23" t="s">
        <v>125</v>
      </c>
      <c r="B83" s="10" t="s">
        <v>112</v>
      </c>
      <c r="C83" s="9" t="s">
        <v>113</v>
      </c>
      <c r="D83" s="94"/>
    </row>
    <row r="84" spans="1:4" ht="23">
      <c r="A84" s="23" t="s">
        <v>126</v>
      </c>
      <c r="B84" s="11" t="s">
        <v>117</v>
      </c>
      <c r="C84" s="9" t="s">
        <v>116</v>
      </c>
      <c r="D84" s="94"/>
    </row>
    <row r="85" spans="1:4">
      <c r="A85" s="23" t="s">
        <v>128</v>
      </c>
      <c r="B85" s="11" t="s">
        <v>127</v>
      </c>
      <c r="C85" s="9" t="s">
        <v>115</v>
      </c>
      <c r="D85" s="94"/>
    </row>
    <row r="86" spans="1:4" ht="23">
      <c r="A86" s="23" t="s">
        <v>129</v>
      </c>
      <c r="B86" s="10" t="s">
        <v>132</v>
      </c>
      <c r="C86" s="9" t="s">
        <v>114</v>
      </c>
      <c r="D86" s="94"/>
    </row>
    <row r="87" spans="1:4" ht="34.5">
      <c r="A87" s="23" t="s">
        <v>131</v>
      </c>
      <c r="B87" s="11" t="s">
        <v>130</v>
      </c>
      <c r="C87" s="9" t="s">
        <v>4</v>
      </c>
      <c r="D87" s="94"/>
    </row>
    <row r="88" spans="1:4" ht="46">
      <c r="A88" s="23" t="s">
        <v>134</v>
      </c>
      <c r="B88" s="11" t="s">
        <v>133</v>
      </c>
      <c r="C88" s="9" t="s">
        <v>4</v>
      </c>
      <c r="D88" s="94"/>
    </row>
    <row r="89" spans="1:4" ht="34.5">
      <c r="A89" s="207" t="s">
        <v>136</v>
      </c>
      <c r="B89" s="208" t="s">
        <v>135</v>
      </c>
      <c r="C89" s="209" t="s">
        <v>4</v>
      </c>
      <c r="D89" s="129"/>
    </row>
    <row r="90" spans="1:4" ht="15" customHeight="1">
      <c r="A90" s="332" t="s">
        <v>179</v>
      </c>
      <c r="B90" s="332"/>
      <c r="C90" s="332"/>
      <c r="D90" s="210"/>
    </row>
  </sheetData>
  <mergeCells count="35">
    <mergeCell ref="D2:D3"/>
    <mergeCell ref="A2:C2"/>
    <mergeCell ref="D10:D15"/>
    <mergeCell ref="C16:C21"/>
    <mergeCell ref="D4:D9"/>
    <mergeCell ref="C10:C15"/>
    <mergeCell ref="A4:A21"/>
    <mergeCell ref="C4:C9"/>
    <mergeCell ref="A27:A28"/>
    <mergeCell ref="D24:D25"/>
    <mergeCell ref="D22:D23"/>
    <mergeCell ref="C24:C25"/>
    <mergeCell ref="D16:D21"/>
    <mergeCell ref="A22:A25"/>
    <mergeCell ref="C22:C23"/>
    <mergeCell ref="D49:D53"/>
    <mergeCell ref="A54:A55"/>
    <mergeCell ref="C54:C55"/>
    <mergeCell ref="D46:D48"/>
    <mergeCell ref="A49:A53"/>
    <mergeCell ref="C49:C53"/>
    <mergeCell ref="A46:A48"/>
    <mergeCell ref="C46:C48"/>
    <mergeCell ref="A90:C90"/>
    <mergeCell ref="D56:D57"/>
    <mergeCell ref="A60:A65"/>
    <mergeCell ref="C60:C65"/>
    <mergeCell ref="D54:D55"/>
    <mergeCell ref="A56:A57"/>
    <mergeCell ref="C56:C57"/>
    <mergeCell ref="D75:D81"/>
    <mergeCell ref="D60:D65"/>
    <mergeCell ref="A72:A73"/>
    <mergeCell ref="A75:A81"/>
    <mergeCell ref="C75:C81"/>
  </mergeCells>
  <pageMargins left="0.7" right="0.7" top="0.75" bottom="0.75" header="0.3" footer="0.3"/>
  <pageSetup scale="52" fitToHeight="0" orientation="portrait" r:id="rId1"/>
</worksheet>
</file>

<file path=xl/worksheets/sheet4.xml><?xml version="1.0" encoding="utf-8"?>
<worksheet xmlns="http://schemas.openxmlformats.org/spreadsheetml/2006/main" xmlns:r="http://schemas.openxmlformats.org/officeDocument/2006/relationships">
  <dimension ref="A1:U99"/>
  <sheetViews>
    <sheetView showGridLines="0" view="pageBreakPreview" zoomScale="60" zoomScaleNormal="80" workbookViewId="0">
      <pane xSplit="1" ySplit="3" topLeftCell="K40" activePane="bottomRight" state="frozen"/>
      <selection pane="topRight" activeCell="B1" sqref="B1"/>
      <selection pane="bottomLeft" activeCell="A4" sqref="A4"/>
      <selection pane="bottomRight" activeCell="C38" sqref="C38"/>
    </sheetView>
  </sheetViews>
  <sheetFormatPr baseColWidth="10" defaultColWidth="11.453125" defaultRowHeight="11.5"/>
  <cols>
    <col min="1" max="1" width="35.36328125" style="69" customWidth="1"/>
    <col min="2" max="2" width="7.81640625" style="66" customWidth="1"/>
    <col min="3" max="3" width="99.36328125" style="70" customWidth="1"/>
    <col min="4" max="4" width="13.453125" style="71" customWidth="1"/>
    <col min="5" max="5" width="19" style="110" customWidth="1"/>
    <col min="6" max="6" width="10.36328125" style="128" customWidth="1"/>
    <col min="7" max="7" width="24.453125" style="128" customWidth="1"/>
    <col min="8" max="8" width="24.36328125" style="110" bestFit="1" customWidth="1"/>
    <col min="9" max="9" width="12.81640625" style="128" bestFit="1" customWidth="1"/>
    <col min="10" max="10" width="31.36328125" style="128" bestFit="1" customWidth="1"/>
    <col min="11" max="11" width="24.36328125" style="110" bestFit="1" customWidth="1"/>
    <col min="12" max="12" width="12.6328125" style="128" bestFit="1" customWidth="1"/>
    <col min="13" max="13" width="31.36328125" style="128" bestFit="1" customWidth="1"/>
    <col min="14" max="14" width="24.36328125" style="110" bestFit="1" customWidth="1"/>
    <col min="15" max="15" width="12.6328125" style="128" bestFit="1" customWidth="1"/>
    <col min="16" max="16" width="31.36328125" style="128" bestFit="1" customWidth="1"/>
    <col min="17" max="17" width="24.36328125" style="110" bestFit="1" customWidth="1"/>
    <col min="18" max="18" width="12.6328125" style="128" bestFit="1" customWidth="1"/>
    <col min="19" max="19" width="31.36328125" style="128" bestFit="1" customWidth="1"/>
    <col min="20" max="20" width="24.453125" style="128" bestFit="1" customWidth="1"/>
    <col min="21" max="16384" width="11.453125" style="72"/>
  </cols>
  <sheetData>
    <row r="1" spans="1:20" ht="12" thickBot="1">
      <c r="E1" s="338" t="s">
        <v>141</v>
      </c>
      <c r="F1" s="339"/>
      <c r="G1" s="340"/>
      <c r="H1" s="341" t="s">
        <v>173</v>
      </c>
      <c r="I1" s="341"/>
      <c r="J1" s="341"/>
      <c r="K1" s="341" t="s">
        <v>174</v>
      </c>
      <c r="L1" s="341"/>
      <c r="M1" s="341"/>
      <c r="N1" s="342" t="s">
        <v>142</v>
      </c>
      <c r="O1" s="342"/>
      <c r="P1" s="342"/>
      <c r="Q1" s="341" t="s">
        <v>143</v>
      </c>
      <c r="R1" s="341"/>
      <c r="S1" s="341"/>
      <c r="T1" s="72"/>
    </row>
    <row r="2" spans="1:20" s="73" customFormat="1" ht="12" customHeight="1">
      <c r="A2" s="343" t="s">
        <v>122</v>
      </c>
      <c r="B2" s="344"/>
      <c r="C2" s="344"/>
      <c r="D2" s="344"/>
      <c r="E2" s="345" t="s">
        <v>119</v>
      </c>
      <c r="F2" s="347" t="s">
        <v>120</v>
      </c>
      <c r="G2" s="349" t="s">
        <v>121</v>
      </c>
      <c r="H2" s="345" t="s">
        <v>119</v>
      </c>
      <c r="I2" s="347" t="s">
        <v>120</v>
      </c>
      <c r="J2" s="349" t="s">
        <v>121</v>
      </c>
      <c r="K2" s="345" t="s">
        <v>119</v>
      </c>
      <c r="L2" s="347" t="s">
        <v>120</v>
      </c>
      <c r="M2" s="349" t="s">
        <v>121</v>
      </c>
      <c r="N2" s="345" t="s">
        <v>119</v>
      </c>
      <c r="O2" s="347" t="s">
        <v>120</v>
      </c>
      <c r="P2" s="349" t="s">
        <v>121</v>
      </c>
      <c r="Q2" s="345" t="s">
        <v>119</v>
      </c>
      <c r="R2" s="347" t="s">
        <v>120</v>
      </c>
      <c r="S2" s="349" t="s">
        <v>121</v>
      </c>
      <c r="T2" s="349" t="s">
        <v>144</v>
      </c>
    </row>
    <row r="3" spans="1:20" s="75" customFormat="1" ht="23">
      <c r="A3" s="92" t="s">
        <v>0</v>
      </c>
      <c r="B3" s="74" t="s">
        <v>1</v>
      </c>
      <c r="C3" s="93" t="s">
        <v>2</v>
      </c>
      <c r="D3" s="93" t="s">
        <v>3</v>
      </c>
      <c r="E3" s="346"/>
      <c r="F3" s="348"/>
      <c r="G3" s="350"/>
      <c r="H3" s="346"/>
      <c r="I3" s="348"/>
      <c r="J3" s="350"/>
      <c r="K3" s="346"/>
      <c r="L3" s="348"/>
      <c r="M3" s="350"/>
      <c r="N3" s="346"/>
      <c r="O3" s="348"/>
      <c r="P3" s="350"/>
      <c r="Q3" s="346"/>
      <c r="R3" s="348"/>
      <c r="S3" s="350"/>
      <c r="T3" s="350"/>
    </row>
    <row r="4" spans="1:20">
      <c r="A4" s="330" t="s">
        <v>16</v>
      </c>
      <c r="B4" s="357">
        <v>901016</v>
      </c>
      <c r="C4" s="77" t="s">
        <v>29</v>
      </c>
      <c r="D4" s="358" t="s">
        <v>4</v>
      </c>
      <c r="E4" s="353">
        <v>7328</v>
      </c>
      <c r="F4" s="354">
        <f>+E4*0.19</f>
        <v>1392.32</v>
      </c>
      <c r="G4" s="325">
        <f>+E4+F4</f>
        <v>8720.32</v>
      </c>
      <c r="H4" s="353">
        <v>5000</v>
      </c>
      <c r="I4" s="354">
        <f>+H4*0.19</f>
        <v>950</v>
      </c>
      <c r="J4" s="325">
        <f>+H4+I4</f>
        <v>5950</v>
      </c>
      <c r="K4" s="353">
        <v>5100</v>
      </c>
      <c r="L4" s="354">
        <f>+K4*0.19</f>
        <v>969</v>
      </c>
      <c r="M4" s="325">
        <f>+K4+L4</f>
        <v>6069</v>
      </c>
      <c r="N4" s="353"/>
      <c r="O4" s="354">
        <f>+N4*0.19</f>
        <v>0</v>
      </c>
      <c r="P4" s="325">
        <f>+N4+O4</f>
        <v>0</v>
      </c>
      <c r="Q4" s="353"/>
      <c r="R4" s="354">
        <f>+Q4*0.19</f>
        <v>0</v>
      </c>
      <c r="S4" s="325">
        <f>+Q4+R4</f>
        <v>0</v>
      </c>
      <c r="T4" s="325">
        <f>SUM(G4+J4+M4)/3</f>
        <v>6913.1066666666666</v>
      </c>
    </row>
    <row r="5" spans="1:20">
      <c r="A5" s="330"/>
      <c r="B5" s="357"/>
      <c r="C5" s="77" t="s">
        <v>30</v>
      </c>
      <c r="D5" s="358"/>
      <c r="E5" s="353"/>
      <c r="F5" s="354"/>
      <c r="G5" s="325"/>
      <c r="H5" s="353"/>
      <c r="I5" s="354"/>
      <c r="J5" s="325"/>
      <c r="K5" s="353"/>
      <c r="L5" s="354"/>
      <c r="M5" s="325"/>
      <c r="N5" s="353"/>
      <c r="O5" s="354"/>
      <c r="P5" s="325"/>
      <c r="Q5" s="353"/>
      <c r="R5" s="354"/>
      <c r="S5" s="325"/>
      <c r="T5" s="325"/>
    </row>
    <row r="6" spans="1:20">
      <c r="A6" s="330"/>
      <c r="B6" s="357"/>
      <c r="C6" s="77" t="s">
        <v>31</v>
      </c>
      <c r="D6" s="358"/>
      <c r="E6" s="353"/>
      <c r="F6" s="354"/>
      <c r="G6" s="325"/>
      <c r="H6" s="353"/>
      <c r="I6" s="354"/>
      <c r="J6" s="325"/>
      <c r="K6" s="353"/>
      <c r="L6" s="354"/>
      <c r="M6" s="325"/>
      <c r="N6" s="353"/>
      <c r="O6" s="354"/>
      <c r="P6" s="325"/>
      <c r="Q6" s="353"/>
      <c r="R6" s="354"/>
      <c r="S6" s="325"/>
      <c r="T6" s="325"/>
    </row>
    <row r="7" spans="1:20">
      <c r="A7" s="330"/>
      <c r="B7" s="357"/>
      <c r="C7" s="77" t="s">
        <v>32</v>
      </c>
      <c r="D7" s="358"/>
      <c r="E7" s="353"/>
      <c r="F7" s="354"/>
      <c r="G7" s="325"/>
      <c r="H7" s="353"/>
      <c r="I7" s="354"/>
      <c r="J7" s="325"/>
      <c r="K7" s="353"/>
      <c r="L7" s="354"/>
      <c r="M7" s="325"/>
      <c r="N7" s="353"/>
      <c r="O7" s="354"/>
      <c r="P7" s="325"/>
      <c r="Q7" s="353"/>
      <c r="R7" s="354"/>
      <c r="S7" s="325"/>
      <c r="T7" s="325"/>
    </row>
    <row r="8" spans="1:20" ht="23">
      <c r="A8" s="330"/>
      <c r="B8" s="357"/>
      <c r="C8" s="77" t="s">
        <v>33</v>
      </c>
      <c r="D8" s="358"/>
      <c r="E8" s="353"/>
      <c r="F8" s="354"/>
      <c r="G8" s="325"/>
      <c r="H8" s="353"/>
      <c r="I8" s="354"/>
      <c r="J8" s="325"/>
      <c r="K8" s="353"/>
      <c r="L8" s="354"/>
      <c r="M8" s="325"/>
      <c r="N8" s="353"/>
      <c r="O8" s="354"/>
      <c r="P8" s="325"/>
      <c r="Q8" s="353"/>
      <c r="R8" s="354"/>
      <c r="S8" s="325"/>
      <c r="T8" s="325"/>
    </row>
    <row r="9" spans="1:20">
      <c r="A9" s="330"/>
      <c r="B9" s="357"/>
      <c r="C9" s="77" t="s">
        <v>17</v>
      </c>
      <c r="D9" s="358"/>
      <c r="E9" s="353"/>
      <c r="F9" s="354"/>
      <c r="G9" s="325"/>
      <c r="H9" s="353"/>
      <c r="I9" s="354"/>
      <c r="J9" s="325"/>
      <c r="K9" s="353"/>
      <c r="L9" s="354"/>
      <c r="M9" s="325"/>
      <c r="N9" s="353"/>
      <c r="O9" s="354"/>
      <c r="P9" s="325"/>
      <c r="Q9" s="353"/>
      <c r="R9" s="354"/>
      <c r="S9" s="325"/>
      <c r="T9" s="325"/>
    </row>
    <row r="10" spans="1:20">
      <c r="A10" s="330"/>
      <c r="B10" s="351">
        <v>901016</v>
      </c>
      <c r="C10" s="79" t="s">
        <v>34</v>
      </c>
      <c r="D10" s="352" t="s">
        <v>4</v>
      </c>
      <c r="E10" s="353">
        <v>10000</v>
      </c>
      <c r="F10" s="354">
        <f>+E10*0.19</f>
        <v>1900</v>
      </c>
      <c r="G10" s="325">
        <f>+E10+F10</f>
        <v>11900</v>
      </c>
      <c r="H10" s="353">
        <f>7500/1</f>
        <v>7500</v>
      </c>
      <c r="I10" s="354">
        <f>+H10*0.19</f>
        <v>1425</v>
      </c>
      <c r="J10" s="325">
        <f>+H10+I10</f>
        <v>8925</v>
      </c>
      <c r="K10" s="353">
        <f>8330/1.19</f>
        <v>7000</v>
      </c>
      <c r="L10" s="354">
        <f>+K10*0.19</f>
        <v>1330</v>
      </c>
      <c r="M10" s="325">
        <f>+K10+L10</f>
        <v>8330</v>
      </c>
      <c r="N10" s="353">
        <f>7500/1.19</f>
        <v>6302.5210084033615</v>
      </c>
      <c r="O10" s="354">
        <f>+N10*0.19</f>
        <v>1197.4789915966387</v>
      </c>
      <c r="P10" s="325">
        <f>+N10+O10</f>
        <v>7500</v>
      </c>
      <c r="Q10" s="353">
        <f>6750/1.19</f>
        <v>5672.2689075630251</v>
      </c>
      <c r="R10" s="354">
        <f>+Q10*0.19</f>
        <v>1077.7310924369747</v>
      </c>
      <c r="S10" s="325">
        <f>+Q10+R10</f>
        <v>6750</v>
      </c>
      <c r="T10" s="325">
        <f>(G10+J10+M10+P10+S10)/5</f>
        <v>8681</v>
      </c>
    </row>
    <row r="11" spans="1:20">
      <c r="A11" s="330"/>
      <c r="B11" s="351"/>
      <c r="C11" s="77" t="s">
        <v>30</v>
      </c>
      <c r="D11" s="352"/>
      <c r="E11" s="353"/>
      <c r="F11" s="354"/>
      <c r="G11" s="325"/>
      <c r="H11" s="353"/>
      <c r="I11" s="354"/>
      <c r="J11" s="325"/>
      <c r="K11" s="353"/>
      <c r="L11" s="354"/>
      <c r="M11" s="325"/>
      <c r="N11" s="353"/>
      <c r="O11" s="354"/>
      <c r="P11" s="325"/>
      <c r="Q11" s="353"/>
      <c r="R11" s="354"/>
      <c r="S11" s="325"/>
      <c r="T11" s="325"/>
    </row>
    <row r="12" spans="1:20">
      <c r="A12" s="330"/>
      <c r="B12" s="351"/>
      <c r="C12" s="100" t="s">
        <v>35</v>
      </c>
      <c r="D12" s="352"/>
      <c r="E12" s="353"/>
      <c r="F12" s="354"/>
      <c r="G12" s="325"/>
      <c r="H12" s="353"/>
      <c r="I12" s="354"/>
      <c r="J12" s="325"/>
      <c r="K12" s="353"/>
      <c r="L12" s="354"/>
      <c r="M12" s="325"/>
      <c r="N12" s="353"/>
      <c r="O12" s="354"/>
      <c r="P12" s="325"/>
      <c r="Q12" s="353"/>
      <c r="R12" s="354"/>
      <c r="S12" s="325"/>
      <c r="T12" s="325"/>
    </row>
    <row r="13" spans="1:20">
      <c r="A13" s="330"/>
      <c r="B13" s="351"/>
      <c r="C13" s="77" t="s">
        <v>32</v>
      </c>
      <c r="D13" s="352"/>
      <c r="E13" s="353"/>
      <c r="F13" s="354"/>
      <c r="G13" s="325"/>
      <c r="H13" s="353"/>
      <c r="I13" s="354"/>
      <c r="J13" s="325"/>
      <c r="K13" s="353"/>
      <c r="L13" s="354"/>
      <c r="M13" s="325"/>
      <c r="N13" s="353"/>
      <c r="O13" s="354"/>
      <c r="P13" s="325"/>
      <c r="Q13" s="353"/>
      <c r="R13" s="354"/>
      <c r="S13" s="325"/>
      <c r="T13" s="325"/>
    </row>
    <row r="14" spans="1:20" ht="23">
      <c r="A14" s="330"/>
      <c r="B14" s="351"/>
      <c r="C14" s="77" t="s">
        <v>33</v>
      </c>
      <c r="D14" s="352"/>
      <c r="E14" s="353"/>
      <c r="F14" s="354"/>
      <c r="G14" s="325"/>
      <c r="H14" s="353"/>
      <c r="I14" s="354"/>
      <c r="J14" s="325"/>
      <c r="K14" s="353"/>
      <c r="L14" s="354"/>
      <c r="M14" s="325"/>
      <c r="N14" s="353"/>
      <c r="O14" s="354"/>
      <c r="P14" s="325"/>
      <c r="Q14" s="353"/>
      <c r="R14" s="354"/>
      <c r="S14" s="325"/>
      <c r="T14" s="325"/>
    </row>
    <row r="15" spans="1:20">
      <c r="A15" s="330"/>
      <c r="B15" s="351"/>
      <c r="C15" s="77" t="s">
        <v>17</v>
      </c>
      <c r="D15" s="352"/>
      <c r="E15" s="353"/>
      <c r="F15" s="354"/>
      <c r="G15" s="325"/>
      <c r="H15" s="353"/>
      <c r="I15" s="354"/>
      <c r="J15" s="325"/>
      <c r="K15" s="353"/>
      <c r="L15" s="354"/>
      <c r="M15" s="325"/>
      <c r="N15" s="353"/>
      <c r="O15" s="354"/>
      <c r="P15" s="325"/>
      <c r="Q15" s="353"/>
      <c r="R15" s="354"/>
      <c r="S15" s="325"/>
      <c r="T15" s="325"/>
    </row>
    <row r="16" spans="1:20">
      <c r="A16" s="330"/>
      <c r="B16" s="355">
        <v>901016</v>
      </c>
      <c r="C16" s="77" t="s">
        <v>36</v>
      </c>
      <c r="D16" s="356" t="s">
        <v>4</v>
      </c>
      <c r="E16" s="353">
        <v>12582</v>
      </c>
      <c r="F16" s="354">
        <f>+E16*0.19</f>
        <v>2390.58</v>
      </c>
      <c r="G16" s="325">
        <f>+E16+F16</f>
        <v>14972.58</v>
      </c>
      <c r="H16" s="353">
        <v>6000</v>
      </c>
      <c r="I16" s="354">
        <f>+H16*0.19</f>
        <v>1140</v>
      </c>
      <c r="J16" s="325">
        <f>+H16+I16</f>
        <v>7140</v>
      </c>
      <c r="K16" s="353">
        <v>7650</v>
      </c>
      <c r="L16" s="354">
        <f>+K16*0.19</f>
        <v>1453.5</v>
      </c>
      <c r="M16" s="325">
        <f>+K16+L16</f>
        <v>9103.5</v>
      </c>
      <c r="N16" s="353"/>
      <c r="O16" s="354">
        <f>+N16*0.19</f>
        <v>0</v>
      </c>
      <c r="P16" s="325">
        <f>+N16+O16</f>
        <v>0</v>
      </c>
      <c r="Q16" s="353"/>
      <c r="R16" s="354">
        <f>+Q16*0.19</f>
        <v>0</v>
      </c>
      <c r="S16" s="325">
        <f>+Q16+R16</f>
        <v>0</v>
      </c>
      <c r="T16" s="325">
        <f>(M16+J16+G16)/3</f>
        <v>10405.36</v>
      </c>
    </row>
    <row r="17" spans="1:21">
      <c r="A17" s="330"/>
      <c r="B17" s="355"/>
      <c r="C17" s="77" t="s">
        <v>30</v>
      </c>
      <c r="D17" s="356"/>
      <c r="E17" s="353"/>
      <c r="F17" s="354"/>
      <c r="G17" s="325"/>
      <c r="H17" s="353"/>
      <c r="I17" s="354"/>
      <c r="J17" s="325"/>
      <c r="K17" s="353"/>
      <c r="L17" s="354"/>
      <c r="M17" s="325"/>
      <c r="N17" s="353"/>
      <c r="O17" s="354"/>
      <c r="P17" s="325"/>
      <c r="Q17" s="353"/>
      <c r="R17" s="354"/>
      <c r="S17" s="325"/>
      <c r="T17" s="325"/>
    </row>
    <row r="18" spans="1:21" ht="23">
      <c r="A18" s="330"/>
      <c r="B18" s="355"/>
      <c r="C18" s="100" t="s">
        <v>37</v>
      </c>
      <c r="D18" s="356"/>
      <c r="E18" s="353"/>
      <c r="F18" s="354"/>
      <c r="G18" s="325"/>
      <c r="H18" s="353"/>
      <c r="I18" s="354"/>
      <c r="J18" s="325"/>
      <c r="K18" s="353"/>
      <c r="L18" s="354"/>
      <c r="M18" s="325"/>
      <c r="N18" s="353"/>
      <c r="O18" s="354"/>
      <c r="P18" s="325"/>
      <c r="Q18" s="353"/>
      <c r="R18" s="354"/>
      <c r="S18" s="325"/>
      <c r="T18" s="325"/>
    </row>
    <row r="19" spans="1:21">
      <c r="A19" s="330"/>
      <c r="B19" s="355"/>
      <c r="C19" s="77" t="s">
        <v>32</v>
      </c>
      <c r="D19" s="356"/>
      <c r="E19" s="353"/>
      <c r="F19" s="354"/>
      <c r="G19" s="325"/>
      <c r="H19" s="353"/>
      <c r="I19" s="354"/>
      <c r="J19" s="325"/>
      <c r="K19" s="353"/>
      <c r="L19" s="354"/>
      <c r="M19" s="325"/>
      <c r="N19" s="353"/>
      <c r="O19" s="354"/>
      <c r="P19" s="325"/>
      <c r="Q19" s="353"/>
      <c r="R19" s="354"/>
      <c r="S19" s="325"/>
      <c r="T19" s="325"/>
    </row>
    <row r="20" spans="1:21" ht="23">
      <c r="A20" s="330"/>
      <c r="B20" s="355"/>
      <c r="C20" s="77" t="s">
        <v>33</v>
      </c>
      <c r="D20" s="356"/>
      <c r="E20" s="353"/>
      <c r="F20" s="354"/>
      <c r="G20" s="325"/>
      <c r="H20" s="353"/>
      <c r="I20" s="354"/>
      <c r="J20" s="325"/>
      <c r="K20" s="353"/>
      <c r="L20" s="354"/>
      <c r="M20" s="325"/>
      <c r="N20" s="353"/>
      <c r="O20" s="354"/>
      <c r="P20" s="325"/>
      <c r="Q20" s="353"/>
      <c r="R20" s="354"/>
      <c r="S20" s="325"/>
      <c r="T20" s="325"/>
    </row>
    <row r="21" spans="1:21">
      <c r="A21" s="330"/>
      <c r="B21" s="355"/>
      <c r="C21" s="77" t="s">
        <v>17</v>
      </c>
      <c r="D21" s="356"/>
      <c r="E21" s="353"/>
      <c r="F21" s="354"/>
      <c r="G21" s="325"/>
      <c r="H21" s="353"/>
      <c r="I21" s="354"/>
      <c r="J21" s="325"/>
      <c r="K21" s="353"/>
      <c r="L21" s="354"/>
      <c r="M21" s="325"/>
      <c r="N21" s="353"/>
      <c r="O21" s="354"/>
      <c r="P21" s="325"/>
      <c r="Q21" s="353"/>
      <c r="R21" s="354"/>
      <c r="S21" s="325"/>
      <c r="T21" s="325"/>
    </row>
    <row r="22" spans="1:21">
      <c r="A22" s="330" t="s">
        <v>42</v>
      </c>
      <c r="B22" s="355">
        <v>901016</v>
      </c>
      <c r="C22" s="101" t="s">
        <v>38</v>
      </c>
      <c r="D22" s="356" t="s">
        <v>4</v>
      </c>
      <c r="E22" s="353">
        <v>897</v>
      </c>
      <c r="F22" s="354">
        <f>+E22*0.19</f>
        <v>170.43</v>
      </c>
      <c r="G22" s="325">
        <f>+E22+F22</f>
        <v>1067.43</v>
      </c>
      <c r="H22" s="353">
        <v>1500</v>
      </c>
      <c r="I22" s="354">
        <f>+H22*0.19</f>
        <v>285</v>
      </c>
      <c r="J22" s="325">
        <f>+H22+I22</f>
        <v>1785</v>
      </c>
      <c r="K22" s="353">
        <v>884</v>
      </c>
      <c r="L22" s="354">
        <f>+K22*0.19</f>
        <v>167.96</v>
      </c>
      <c r="M22" s="325">
        <f>+K22+L22</f>
        <v>1051.96</v>
      </c>
      <c r="N22" s="353"/>
      <c r="O22" s="354">
        <f>+N22*0.19</f>
        <v>0</v>
      </c>
      <c r="P22" s="325">
        <f>+N22+O22</f>
        <v>0</v>
      </c>
      <c r="Q22" s="353"/>
      <c r="R22" s="354">
        <f>+Q22*0.19</f>
        <v>0</v>
      </c>
      <c r="S22" s="325">
        <f>+Q22+R22</f>
        <v>0</v>
      </c>
      <c r="T22" s="325">
        <f>(M22+J22+G22)/3</f>
        <v>1301.4633333333334</v>
      </c>
    </row>
    <row r="23" spans="1:21">
      <c r="A23" s="330"/>
      <c r="B23" s="355"/>
      <c r="C23" s="102" t="s">
        <v>39</v>
      </c>
      <c r="D23" s="356"/>
      <c r="E23" s="353"/>
      <c r="F23" s="354"/>
      <c r="G23" s="325"/>
      <c r="H23" s="353"/>
      <c r="I23" s="354"/>
      <c r="J23" s="325"/>
      <c r="K23" s="353"/>
      <c r="L23" s="354"/>
      <c r="M23" s="325"/>
      <c r="N23" s="353"/>
      <c r="O23" s="354"/>
      <c r="P23" s="325"/>
      <c r="Q23" s="353"/>
      <c r="R23" s="354"/>
      <c r="S23" s="325"/>
      <c r="T23" s="325"/>
    </row>
    <row r="24" spans="1:21">
      <c r="A24" s="330"/>
      <c r="B24" s="355">
        <v>901016</v>
      </c>
      <c r="C24" s="77" t="s">
        <v>40</v>
      </c>
      <c r="D24" s="356" t="s">
        <v>4</v>
      </c>
      <c r="E24" s="353">
        <v>1795</v>
      </c>
      <c r="F24" s="354">
        <f>+E24*0.19</f>
        <v>341.05</v>
      </c>
      <c r="G24" s="325">
        <f>+E24+F24</f>
        <v>2136.0500000000002</v>
      </c>
      <c r="H24" s="353">
        <v>2500</v>
      </c>
      <c r="I24" s="354">
        <f>+H24*0.19</f>
        <v>475</v>
      </c>
      <c r="J24" s="325">
        <f>+H24+I24</f>
        <v>2975</v>
      </c>
      <c r="K24" s="353">
        <v>2000</v>
      </c>
      <c r="L24" s="354">
        <f>+K24*0.19</f>
        <v>380</v>
      </c>
      <c r="M24" s="325">
        <f>+K24+L24</f>
        <v>2380</v>
      </c>
      <c r="N24" s="353"/>
      <c r="O24" s="354">
        <f>+N24*0.19</f>
        <v>0</v>
      </c>
      <c r="P24" s="325">
        <f>+N24+O24</f>
        <v>0</v>
      </c>
      <c r="Q24" s="353"/>
      <c r="R24" s="354">
        <f>+Q24*0.19</f>
        <v>0</v>
      </c>
      <c r="S24" s="325">
        <f>+Q24+R24</f>
        <v>0</v>
      </c>
      <c r="T24" s="325">
        <f>(M24+J24+G24)/3</f>
        <v>2497.0166666666669</v>
      </c>
    </row>
    <row r="25" spans="1:21">
      <c r="A25" s="330"/>
      <c r="B25" s="355"/>
      <c r="C25" s="101" t="s">
        <v>41</v>
      </c>
      <c r="D25" s="356"/>
      <c r="E25" s="353"/>
      <c r="F25" s="354"/>
      <c r="G25" s="325"/>
      <c r="H25" s="353"/>
      <c r="I25" s="354"/>
      <c r="J25" s="325"/>
      <c r="K25" s="353"/>
      <c r="L25" s="354"/>
      <c r="M25" s="325"/>
      <c r="N25" s="353"/>
      <c r="O25" s="354"/>
      <c r="P25" s="325"/>
      <c r="Q25" s="353"/>
      <c r="R25" s="354"/>
      <c r="S25" s="325"/>
      <c r="T25" s="325"/>
    </row>
    <row r="26" spans="1:21" ht="23.5" thickBot="1">
      <c r="A26" s="59" t="s">
        <v>43</v>
      </c>
      <c r="B26" s="80">
        <v>901016</v>
      </c>
      <c r="C26" s="81" t="s">
        <v>44</v>
      </c>
      <c r="D26" s="82" t="s">
        <v>4</v>
      </c>
      <c r="E26" s="103">
        <v>5177</v>
      </c>
      <c r="F26" s="104">
        <f>+E26*0.19</f>
        <v>983.63</v>
      </c>
      <c r="G26" s="83">
        <f>+E26+F26</f>
        <v>6160.63</v>
      </c>
      <c r="H26" s="103">
        <f>(450000/100)/1.19</f>
        <v>3781.5126050420172</v>
      </c>
      <c r="I26" s="104">
        <f>+H26*0.19</f>
        <v>718.48739495798327</v>
      </c>
      <c r="J26" s="83">
        <f>+H26+I26</f>
        <v>4500</v>
      </c>
      <c r="K26" s="103">
        <f>(595000/100)/1.19</f>
        <v>5000</v>
      </c>
      <c r="L26" s="104">
        <f>+K26*0.19</f>
        <v>950</v>
      </c>
      <c r="M26" s="83">
        <f>+K26+L26</f>
        <v>5950</v>
      </c>
      <c r="N26" s="103">
        <f>(750000/100)/1.19</f>
        <v>6302.5210084033615</v>
      </c>
      <c r="O26" s="104">
        <f>+N26*0.19</f>
        <v>1197.4789915966387</v>
      </c>
      <c r="P26" s="83">
        <f>+N26+O26</f>
        <v>7500</v>
      </c>
      <c r="Q26" s="103">
        <f>(220000/100)/1.19</f>
        <v>1848.7394957983195</v>
      </c>
      <c r="R26" s="104">
        <f>+Q26*0.19</f>
        <v>351.2605042016807</v>
      </c>
      <c r="S26" s="83">
        <f>+Q26+R26</f>
        <v>2200</v>
      </c>
      <c r="T26" s="83">
        <f>(G26+J26+M26+P26+S26)/5</f>
        <v>5262.1260000000002</v>
      </c>
    </row>
    <row r="27" spans="1:21" ht="14" customHeight="1" thickBot="1">
      <c r="A27" s="60"/>
      <c r="B27" s="61"/>
      <c r="C27" s="62"/>
      <c r="D27" s="63"/>
      <c r="E27" s="338" t="s">
        <v>141</v>
      </c>
      <c r="F27" s="339"/>
      <c r="G27" s="340"/>
      <c r="H27" s="359" t="s">
        <v>171</v>
      </c>
      <c r="I27" s="360"/>
      <c r="J27" s="361"/>
      <c r="K27" s="359" t="s">
        <v>172</v>
      </c>
      <c r="L27" s="360"/>
      <c r="M27" s="361"/>
      <c r="N27" s="105"/>
      <c r="O27" s="106"/>
      <c r="P27" s="107"/>
      <c r="Q27" s="105"/>
      <c r="R27" s="106"/>
      <c r="S27" s="107"/>
      <c r="T27" s="84"/>
    </row>
    <row r="28" spans="1:21" ht="12" customHeight="1">
      <c r="A28" s="343" t="s">
        <v>46</v>
      </c>
      <c r="B28" s="344"/>
      <c r="C28" s="344"/>
      <c r="D28" s="344"/>
      <c r="E28" s="345" t="s">
        <v>119</v>
      </c>
      <c r="F28" s="347" t="s">
        <v>120</v>
      </c>
      <c r="G28" s="349" t="s">
        <v>121</v>
      </c>
      <c r="H28" s="345" t="s">
        <v>119</v>
      </c>
      <c r="I28" s="347" t="s">
        <v>120</v>
      </c>
      <c r="J28" s="349" t="s">
        <v>121</v>
      </c>
      <c r="K28" s="345" t="s">
        <v>119</v>
      </c>
      <c r="L28" s="347" t="s">
        <v>120</v>
      </c>
      <c r="M28" s="349" t="s">
        <v>121</v>
      </c>
      <c r="N28" s="345" t="s">
        <v>119</v>
      </c>
      <c r="O28" s="347" t="s">
        <v>120</v>
      </c>
      <c r="P28" s="349" t="s">
        <v>121</v>
      </c>
      <c r="Q28" s="345" t="s">
        <v>119</v>
      </c>
      <c r="R28" s="347" t="s">
        <v>120</v>
      </c>
      <c r="S28" s="349" t="s">
        <v>121</v>
      </c>
      <c r="T28" s="362" t="s">
        <v>121</v>
      </c>
    </row>
    <row r="29" spans="1:21" ht="23">
      <c r="A29" s="92" t="s">
        <v>0</v>
      </c>
      <c r="B29" s="74" t="s">
        <v>1</v>
      </c>
      <c r="C29" s="93" t="s">
        <v>2</v>
      </c>
      <c r="D29" s="93" t="s">
        <v>3</v>
      </c>
      <c r="E29" s="346"/>
      <c r="F29" s="348"/>
      <c r="G29" s="350"/>
      <c r="H29" s="346"/>
      <c r="I29" s="348"/>
      <c r="J29" s="350"/>
      <c r="K29" s="346"/>
      <c r="L29" s="348"/>
      <c r="M29" s="350"/>
      <c r="N29" s="346"/>
      <c r="O29" s="348"/>
      <c r="P29" s="350"/>
      <c r="Q29" s="346"/>
      <c r="R29" s="348"/>
      <c r="S29" s="350"/>
      <c r="T29" s="328"/>
    </row>
    <row r="30" spans="1:21" ht="57.5">
      <c r="A30" s="330" t="s">
        <v>28</v>
      </c>
      <c r="B30" s="76">
        <v>781118</v>
      </c>
      <c r="C30" s="78" t="s">
        <v>47</v>
      </c>
      <c r="D30" s="78" t="s">
        <v>49</v>
      </c>
      <c r="E30" s="108">
        <v>649761</v>
      </c>
      <c r="F30" s="109">
        <f t="shared" ref="F30:F48" si="0">+E30*0.19</f>
        <v>123454.59</v>
      </c>
      <c r="G30" s="85">
        <f t="shared" ref="G30:G48" si="1">+E30+F30</f>
        <v>773215.59</v>
      </c>
      <c r="H30" s="108">
        <v>1162500</v>
      </c>
      <c r="I30" s="109">
        <f t="shared" ref="I30:I48" si="2">+H30*0.19</f>
        <v>220875</v>
      </c>
      <c r="J30" s="85">
        <f t="shared" ref="J30:J48" si="3">+H30+I30</f>
        <v>1383375</v>
      </c>
      <c r="K30" s="108">
        <v>65000</v>
      </c>
      <c r="L30" s="109">
        <f t="shared" ref="L30:L48" si="4">+K30*0.19</f>
        <v>12350</v>
      </c>
      <c r="M30" s="85">
        <f t="shared" ref="M30:M48" si="5">+K30+L30</f>
        <v>77350</v>
      </c>
      <c r="N30" s="108">
        <f>500000/1.19</f>
        <v>420168.06722689077</v>
      </c>
      <c r="O30" s="109">
        <f t="shared" ref="O30:O48" si="6">+N30*0.19</f>
        <v>79831.932773109249</v>
      </c>
      <c r="P30" s="85">
        <f t="shared" ref="P30:P48" si="7">+N30+O30</f>
        <v>500000</v>
      </c>
      <c r="Q30" s="108">
        <f>500000/1.19</f>
        <v>420168.06722689077</v>
      </c>
      <c r="R30" s="109">
        <f t="shared" ref="R30:R48" si="8">+Q30*0.19</f>
        <v>79831.932773109249</v>
      </c>
      <c r="S30" s="85">
        <f t="shared" ref="S30:S48" si="9">+Q30+R30</f>
        <v>500000</v>
      </c>
      <c r="T30" s="85">
        <f>AVERAGE(G30+J30+M30+P30+S30)</f>
        <v>3233940.59</v>
      </c>
    </row>
    <row r="31" spans="1:21" ht="57.5">
      <c r="A31" s="330"/>
      <c r="B31" s="76">
        <v>781118</v>
      </c>
      <c r="C31" s="78" t="s">
        <v>48</v>
      </c>
      <c r="D31" s="78" t="s">
        <v>45</v>
      </c>
      <c r="E31" s="108">
        <v>545761</v>
      </c>
      <c r="F31" s="109">
        <f t="shared" si="0"/>
        <v>103694.59</v>
      </c>
      <c r="G31" s="85">
        <f t="shared" si="1"/>
        <v>649455.59</v>
      </c>
      <c r="H31" s="108">
        <v>950000</v>
      </c>
      <c r="I31" s="109">
        <f t="shared" si="2"/>
        <v>180500</v>
      </c>
      <c r="J31" s="85">
        <f t="shared" si="3"/>
        <v>1130500</v>
      </c>
      <c r="K31" s="108">
        <v>55000</v>
      </c>
      <c r="L31" s="109">
        <f t="shared" si="4"/>
        <v>10450</v>
      </c>
      <c r="M31" s="85">
        <f t="shared" si="5"/>
        <v>65450</v>
      </c>
      <c r="N31" s="108">
        <f>400000/1.19</f>
        <v>336134.45378151262</v>
      </c>
      <c r="O31" s="109">
        <f t="shared" si="6"/>
        <v>63865.546218487398</v>
      </c>
      <c r="P31" s="85">
        <f t="shared" si="7"/>
        <v>400000</v>
      </c>
      <c r="Q31" s="108">
        <f>450000/1.19</f>
        <v>378151.26050420169</v>
      </c>
      <c r="R31" s="109">
        <f t="shared" si="8"/>
        <v>71848.73949579832</v>
      </c>
      <c r="S31" s="85">
        <f t="shared" si="9"/>
        <v>450000</v>
      </c>
      <c r="T31" s="85">
        <f>+(G31+J31+M31+P31+S31)/5</f>
        <v>539081.11800000002</v>
      </c>
    </row>
    <row r="32" spans="1:21" ht="23">
      <c r="A32" s="64" t="s">
        <v>50</v>
      </c>
      <c r="B32" s="76">
        <v>451115</v>
      </c>
      <c r="C32" s="65" t="s">
        <v>51</v>
      </c>
      <c r="D32" s="78" t="s">
        <v>15</v>
      </c>
      <c r="E32" s="108">
        <v>124589</v>
      </c>
      <c r="F32" s="109">
        <f t="shared" si="0"/>
        <v>23671.91</v>
      </c>
      <c r="G32" s="85">
        <f t="shared" si="1"/>
        <v>148260.91</v>
      </c>
      <c r="H32" s="108">
        <v>387000</v>
      </c>
      <c r="I32" s="109">
        <f t="shared" si="2"/>
        <v>73530</v>
      </c>
      <c r="J32" s="85">
        <f t="shared" si="3"/>
        <v>460530</v>
      </c>
      <c r="K32" s="108">
        <v>350000</v>
      </c>
      <c r="L32" s="109">
        <f t="shared" si="4"/>
        <v>66500</v>
      </c>
      <c r="M32" s="85">
        <f>+K32+L32</f>
        <v>416500</v>
      </c>
      <c r="N32" s="108">
        <f>1450000/1.19</f>
        <v>1218487.3949579832</v>
      </c>
      <c r="O32" s="109">
        <f t="shared" si="6"/>
        <v>231512.6050420168</v>
      </c>
      <c r="P32" s="85">
        <f t="shared" si="7"/>
        <v>1450000</v>
      </c>
      <c r="Q32" s="108">
        <f>200000/1.19</f>
        <v>168067.22689075631</v>
      </c>
      <c r="R32" s="109">
        <f t="shared" si="8"/>
        <v>31932.773109243699</v>
      </c>
      <c r="S32" s="85">
        <f t="shared" si="9"/>
        <v>200000</v>
      </c>
      <c r="T32" s="85">
        <f>(S32+P32+M32+J32+G32)/5</f>
        <v>535058.18200000003</v>
      </c>
      <c r="U32" s="110"/>
    </row>
    <row r="33" spans="1:20">
      <c r="A33" s="64" t="s">
        <v>52</v>
      </c>
      <c r="B33" s="363">
        <v>451118</v>
      </c>
      <c r="C33" s="78" t="s">
        <v>53</v>
      </c>
      <c r="D33" s="78" t="s">
        <v>15</v>
      </c>
      <c r="E33" s="108">
        <v>6400000</v>
      </c>
      <c r="F33" s="109">
        <f t="shared" si="0"/>
        <v>1216000</v>
      </c>
      <c r="G33" s="85">
        <f t="shared" si="1"/>
        <v>7616000</v>
      </c>
      <c r="H33" s="108">
        <v>10075000</v>
      </c>
      <c r="I33" s="109">
        <f t="shared" si="2"/>
        <v>1914250</v>
      </c>
      <c r="J33" s="85">
        <f t="shared" si="3"/>
        <v>11989250</v>
      </c>
      <c r="K33" s="108">
        <v>5000000</v>
      </c>
      <c r="L33" s="109">
        <f t="shared" si="4"/>
        <v>950000</v>
      </c>
      <c r="M33" s="85">
        <f t="shared" si="5"/>
        <v>5950000</v>
      </c>
      <c r="N33" s="108">
        <v>0</v>
      </c>
      <c r="O33" s="109">
        <f t="shared" si="6"/>
        <v>0</v>
      </c>
      <c r="P33" s="85">
        <f t="shared" si="7"/>
        <v>0</v>
      </c>
      <c r="Q33" s="108">
        <v>0</v>
      </c>
      <c r="R33" s="109">
        <f t="shared" si="8"/>
        <v>0</v>
      </c>
      <c r="S33" s="85">
        <f t="shared" si="9"/>
        <v>0</v>
      </c>
      <c r="T33" s="85">
        <f>(S33+P33+M33+J33+G33)/3</f>
        <v>8518416.666666666</v>
      </c>
    </row>
    <row r="34" spans="1:20" ht="34.5">
      <c r="A34" s="64" t="s">
        <v>54</v>
      </c>
      <c r="B34" s="364"/>
      <c r="C34" s="78" t="s">
        <v>55</v>
      </c>
      <c r="D34" s="78" t="s">
        <v>15</v>
      </c>
      <c r="E34" s="108">
        <v>700000</v>
      </c>
      <c r="F34" s="109">
        <f t="shared" si="0"/>
        <v>133000</v>
      </c>
      <c r="G34" s="85">
        <f t="shared" si="1"/>
        <v>833000</v>
      </c>
      <c r="H34" s="108">
        <v>620000</v>
      </c>
      <c r="I34" s="109">
        <f t="shared" si="2"/>
        <v>117800</v>
      </c>
      <c r="J34" s="85">
        <f t="shared" si="3"/>
        <v>737800</v>
      </c>
      <c r="K34" s="108">
        <v>650000</v>
      </c>
      <c r="L34" s="109">
        <f t="shared" si="4"/>
        <v>123500</v>
      </c>
      <c r="M34" s="85">
        <f t="shared" si="5"/>
        <v>773500</v>
      </c>
      <c r="N34" s="108">
        <v>0</v>
      </c>
      <c r="O34" s="109">
        <f t="shared" si="6"/>
        <v>0</v>
      </c>
      <c r="P34" s="85">
        <f t="shared" si="7"/>
        <v>0</v>
      </c>
      <c r="Q34" s="108">
        <v>0</v>
      </c>
      <c r="R34" s="109">
        <f t="shared" si="8"/>
        <v>0</v>
      </c>
      <c r="S34" s="85">
        <f t="shared" si="9"/>
        <v>0</v>
      </c>
      <c r="T34" s="85">
        <f>+S34+P34+M34+J34+G34/3</f>
        <v>1788966.6666666667</v>
      </c>
    </row>
    <row r="35" spans="1:20">
      <c r="A35" s="64" t="s">
        <v>56</v>
      </c>
      <c r="B35" s="364"/>
      <c r="C35" s="78" t="s">
        <v>57</v>
      </c>
      <c r="D35" s="78" t="s">
        <v>15</v>
      </c>
      <c r="E35" s="108">
        <v>600000</v>
      </c>
      <c r="F35" s="109">
        <f t="shared" si="0"/>
        <v>114000</v>
      </c>
      <c r="G35" s="85">
        <f t="shared" si="1"/>
        <v>714000</v>
      </c>
      <c r="H35" s="108">
        <v>1390000</v>
      </c>
      <c r="I35" s="109">
        <f t="shared" si="2"/>
        <v>264100</v>
      </c>
      <c r="J35" s="85">
        <f t="shared" si="3"/>
        <v>1654100</v>
      </c>
      <c r="K35" s="108">
        <v>900000</v>
      </c>
      <c r="L35" s="109">
        <f t="shared" si="4"/>
        <v>171000</v>
      </c>
      <c r="M35" s="85">
        <f t="shared" si="5"/>
        <v>1071000</v>
      </c>
      <c r="N35" s="108">
        <v>0</v>
      </c>
      <c r="O35" s="109">
        <f t="shared" si="6"/>
        <v>0</v>
      </c>
      <c r="P35" s="85">
        <f t="shared" si="7"/>
        <v>0</v>
      </c>
      <c r="Q35" s="108">
        <v>0</v>
      </c>
      <c r="R35" s="109">
        <f t="shared" si="8"/>
        <v>0</v>
      </c>
      <c r="S35" s="85">
        <f t="shared" si="9"/>
        <v>0</v>
      </c>
      <c r="T35" s="85">
        <f>+S35+P35+M35+J35+G35/3</f>
        <v>2963100</v>
      </c>
    </row>
    <row r="36" spans="1:20">
      <c r="A36" s="64" t="s">
        <v>58</v>
      </c>
      <c r="B36" s="365"/>
      <c r="C36" s="78" t="s">
        <v>59</v>
      </c>
      <c r="D36" s="78" t="s">
        <v>15</v>
      </c>
      <c r="E36" s="108">
        <v>3250000</v>
      </c>
      <c r="F36" s="109">
        <f t="shared" si="0"/>
        <v>617500</v>
      </c>
      <c r="G36" s="85">
        <f t="shared" si="1"/>
        <v>3867500</v>
      </c>
      <c r="H36" s="108">
        <v>2500000</v>
      </c>
      <c r="I36" s="109">
        <f t="shared" si="2"/>
        <v>475000</v>
      </c>
      <c r="J36" s="85">
        <f t="shared" si="3"/>
        <v>2975000</v>
      </c>
      <c r="K36" s="108">
        <v>4500000</v>
      </c>
      <c r="L36" s="109">
        <f t="shared" si="4"/>
        <v>855000</v>
      </c>
      <c r="M36" s="85">
        <f t="shared" si="5"/>
        <v>5355000</v>
      </c>
      <c r="N36" s="108">
        <v>0</v>
      </c>
      <c r="O36" s="109">
        <f t="shared" si="6"/>
        <v>0</v>
      </c>
      <c r="P36" s="85">
        <f t="shared" si="7"/>
        <v>0</v>
      </c>
      <c r="Q36" s="108">
        <v>0</v>
      </c>
      <c r="R36" s="109">
        <f t="shared" si="8"/>
        <v>0</v>
      </c>
      <c r="S36" s="85">
        <f t="shared" si="9"/>
        <v>0</v>
      </c>
      <c r="T36" s="85">
        <f>+S36+P36+M36+J36+G36/3</f>
        <v>9619166.666666666</v>
      </c>
    </row>
    <row r="37" spans="1:20">
      <c r="A37" s="64" t="s">
        <v>60</v>
      </c>
      <c r="B37" s="76">
        <v>441220</v>
      </c>
      <c r="C37" s="78" t="s">
        <v>61</v>
      </c>
      <c r="D37" s="78" t="s">
        <v>15</v>
      </c>
      <c r="E37" s="108">
        <v>390000</v>
      </c>
      <c r="F37" s="109">
        <f t="shared" si="0"/>
        <v>74100</v>
      </c>
      <c r="G37" s="85">
        <f t="shared" si="1"/>
        <v>464100</v>
      </c>
      <c r="H37" s="108">
        <v>387888</v>
      </c>
      <c r="I37" s="109">
        <f t="shared" si="2"/>
        <v>73698.720000000001</v>
      </c>
      <c r="J37" s="85">
        <f t="shared" si="3"/>
        <v>461586.72</v>
      </c>
      <c r="K37" s="108">
        <v>200000</v>
      </c>
      <c r="L37" s="109">
        <f t="shared" si="4"/>
        <v>38000</v>
      </c>
      <c r="M37" s="85">
        <f t="shared" si="5"/>
        <v>238000</v>
      </c>
      <c r="N37" s="108">
        <v>0</v>
      </c>
      <c r="O37" s="109">
        <f t="shared" si="6"/>
        <v>0</v>
      </c>
      <c r="P37" s="85">
        <f t="shared" si="7"/>
        <v>0</v>
      </c>
      <c r="Q37" s="108">
        <v>0</v>
      </c>
      <c r="R37" s="109">
        <f t="shared" si="8"/>
        <v>0</v>
      </c>
      <c r="S37" s="85">
        <f t="shared" si="9"/>
        <v>0</v>
      </c>
      <c r="T37" s="85">
        <f>+S37+P37+M37+J37+G37/3</f>
        <v>854286.72</v>
      </c>
    </row>
    <row r="38" spans="1:20" ht="23">
      <c r="A38" s="64" t="s">
        <v>62</v>
      </c>
      <c r="B38" s="76">
        <v>451118</v>
      </c>
      <c r="C38" s="78" t="s">
        <v>63</v>
      </c>
      <c r="D38" s="78" t="s">
        <v>15</v>
      </c>
      <c r="E38" s="108">
        <v>975000</v>
      </c>
      <c r="F38" s="109">
        <f t="shared" si="0"/>
        <v>185250</v>
      </c>
      <c r="G38" s="85">
        <f t="shared" si="1"/>
        <v>1160250</v>
      </c>
      <c r="H38" s="108">
        <f>1500000/1.19</f>
        <v>1260504.2016806724</v>
      </c>
      <c r="I38" s="109">
        <f t="shared" si="2"/>
        <v>239495.79831932776</v>
      </c>
      <c r="J38" s="85">
        <f t="shared" si="3"/>
        <v>1500000</v>
      </c>
      <c r="K38" s="108">
        <v>500000</v>
      </c>
      <c r="L38" s="109">
        <f t="shared" si="4"/>
        <v>95000</v>
      </c>
      <c r="M38" s="85">
        <f t="shared" si="5"/>
        <v>595000</v>
      </c>
      <c r="N38" s="108">
        <f>600000/1.19</f>
        <v>504201.68067226891</v>
      </c>
      <c r="O38" s="109">
        <f t="shared" si="6"/>
        <v>95798.319327731093</v>
      </c>
      <c r="P38" s="85">
        <f t="shared" si="7"/>
        <v>600000</v>
      </c>
      <c r="Q38" s="108">
        <f>950000/1.19</f>
        <v>798319.32773109246</v>
      </c>
      <c r="R38" s="109">
        <f t="shared" si="8"/>
        <v>151680.67226890757</v>
      </c>
      <c r="S38" s="85">
        <f t="shared" si="9"/>
        <v>950000</v>
      </c>
      <c r="T38" s="85">
        <f>+S38+P38+M38+J38+G38/5</f>
        <v>3877050</v>
      </c>
    </row>
    <row r="39" spans="1:20" ht="34.5">
      <c r="A39" s="64" t="s">
        <v>64</v>
      </c>
      <c r="B39" s="66">
        <v>421922</v>
      </c>
      <c r="C39" s="78" t="s">
        <v>65</v>
      </c>
      <c r="D39" s="78" t="s">
        <v>15</v>
      </c>
      <c r="E39" s="108">
        <v>700000</v>
      </c>
      <c r="F39" s="109">
        <f t="shared" si="0"/>
        <v>133000</v>
      </c>
      <c r="G39" s="85">
        <f t="shared" si="1"/>
        <v>833000</v>
      </c>
      <c r="H39" s="108">
        <v>1767000</v>
      </c>
      <c r="I39" s="109">
        <f t="shared" si="2"/>
        <v>335730</v>
      </c>
      <c r="J39" s="85">
        <f t="shared" si="3"/>
        <v>2102730</v>
      </c>
      <c r="K39" s="108">
        <v>1800000</v>
      </c>
      <c r="L39" s="109">
        <f t="shared" si="4"/>
        <v>342000</v>
      </c>
      <c r="M39" s="85">
        <f t="shared" si="5"/>
        <v>2142000</v>
      </c>
      <c r="N39" s="108">
        <v>0</v>
      </c>
      <c r="O39" s="109">
        <f t="shared" si="6"/>
        <v>0</v>
      </c>
      <c r="P39" s="85">
        <f t="shared" si="7"/>
        <v>0</v>
      </c>
      <c r="Q39" s="108">
        <v>0</v>
      </c>
      <c r="R39" s="109">
        <f t="shared" si="8"/>
        <v>0</v>
      </c>
      <c r="S39" s="85">
        <f t="shared" si="9"/>
        <v>0</v>
      </c>
      <c r="T39" s="85">
        <f>+S39+P39+M39+J39+G39/3</f>
        <v>4522396.666666667</v>
      </c>
    </row>
    <row r="40" spans="1:20">
      <c r="A40" s="64" t="s">
        <v>66</v>
      </c>
      <c r="B40" s="76">
        <v>721515</v>
      </c>
      <c r="C40" s="78" t="s">
        <v>67</v>
      </c>
      <c r="D40" s="78" t="s">
        <v>15</v>
      </c>
      <c r="E40" s="108">
        <v>1235000</v>
      </c>
      <c r="F40" s="109">
        <f t="shared" si="0"/>
        <v>234650</v>
      </c>
      <c r="G40" s="85">
        <f t="shared" si="1"/>
        <v>1469650</v>
      </c>
      <c r="H40" s="108">
        <v>4960000</v>
      </c>
      <c r="I40" s="109">
        <f t="shared" si="2"/>
        <v>942400</v>
      </c>
      <c r="J40" s="85">
        <f t="shared" si="3"/>
        <v>5902400</v>
      </c>
      <c r="K40" s="108">
        <v>1800000</v>
      </c>
      <c r="L40" s="109">
        <f t="shared" si="4"/>
        <v>342000</v>
      </c>
      <c r="M40" s="85">
        <f t="shared" si="5"/>
        <v>2142000</v>
      </c>
      <c r="N40" s="108">
        <v>0</v>
      </c>
      <c r="O40" s="109">
        <f t="shared" si="6"/>
        <v>0</v>
      </c>
      <c r="P40" s="85">
        <f t="shared" si="7"/>
        <v>0</v>
      </c>
      <c r="Q40" s="108">
        <v>0</v>
      </c>
      <c r="R40" s="109">
        <f t="shared" si="8"/>
        <v>0</v>
      </c>
      <c r="S40" s="85">
        <f t="shared" si="9"/>
        <v>0</v>
      </c>
      <c r="T40" s="85">
        <f t="shared" ref="T40:T43" si="10">+S40+P40+M40+J40+G40/3</f>
        <v>8534283.333333334</v>
      </c>
    </row>
    <row r="41" spans="1:20">
      <c r="A41" s="64" t="s">
        <v>68</v>
      </c>
      <c r="B41" s="363">
        <v>302416</v>
      </c>
      <c r="C41" s="78" t="s">
        <v>69</v>
      </c>
      <c r="D41" s="78" t="s">
        <v>15</v>
      </c>
      <c r="E41" s="108">
        <v>750000</v>
      </c>
      <c r="F41" s="109">
        <f t="shared" si="0"/>
        <v>142500</v>
      </c>
      <c r="G41" s="85">
        <f t="shared" si="1"/>
        <v>892500</v>
      </c>
      <c r="H41" s="108">
        <v>558000</v>
      </c>
      <c r="I41" s="109">
        <f t="shared" si="2"/>
        <v>106020</v>
      </c>
      <c r="J41" s="85">
        <f t="shared" si="3"/>
        <v>664020</v>
      </c>
      <c r="K41" s="108">
        <v>1200000</v>
      </c>
      <c r="L41" s="109">
        <f t="shared" si="4"/>
        <v>228000</v>
      </c>
      <c r="M41" s="85">
        <f t="shared" si="5"/>
        <v>1428000</v>
      </c>
      <c r="N41" s="108">
        <v>0</v>
      </c>
      <c r="O41" s="109">
        <f t="shared" si="6"/>
        <v>0</v>
      </c>
      <c r="P41" s="85">
        <f t="shared" si="7"/>
        <v>0</v>
      </c>
      <c r="Q41" s="108">
        <v>0</v>
      </c>
      <c r="R41" s="109">
        <f t="shared" si="8"/>
        <v>0</v>
      </c>
      <c r="S41" s="85">
        <f t="shared" si="9"/>
        <v>0</v>
      </c>
      <c r="T41" s="85">
        <f t="shared" si="10"/>
        <v>2389520</v>
      </c>
    </row>
    <row r="42" spans="1:20">
      <c r="A42" s="64" t="s">
        <v>70</v>
      </c>
      <c r="B42" s="365"/>
      <c r="C42" s="65" t="s">
        <v>71</v>
      </c>
      <c r="D42" s="78" t="s">
        <v>15</v>
      </c>
      <c r="E42" s="108">
        <v>1350000</v>
      </c>
      <c r="F42" s="109">
        <f t="shared" si="0"/>
        <v>256500</v>
      </c>
      <c r="G42" s="85">
        <f t="shared" si="1"/>
        <v>1606500</v>
      </c>
      <c r="H42" s="108">
        <v>1883250</v>
      </c>
      <c r="I42" s="109">
        <f t="shared" si="2"/>
        <v>357817.5</v>
      </c>
      <c r="J42" s="85">
        <f t="shared" si="3"/>
        <v>2241067.5</v>
      </c>
      <c r="K42" s="108">
        <v>2200000</v>
      </c>
      <c r="L42" s="109">
        <f t="shared" si="4"/>
        <v>418000</v>
      </c>
      <c r="M42" s="85">
        <f t="shared" si="5"/>
        <v>2618000</v>
      </c>
      <c r="N42" s="108">
        <v>0</v>
      </c>
      <c r="O42" s="109">
        <f t="shared" si="6"/>
        <v>0</v>
      </c>
      <c r="P42" s="85">
        <f t="shared" si="7"/>
        <v>0</v>
      </c>
      <c r="Q42" s="108">
        <v>0</v>
      </c>
      <c r="R42" s="109">
        <f t="shared" si="8"/>
        <v>0</v>
      </c>
      <c r="S42" s="85">
        <f t="shared" si="9"/>
        <v>0</v>
      </c>
      <c r="T42" s="85">
        <f t="shared" si="10"/>
        <v>5394567.5</v>
      </c>
    </row>
    <row r="43" spans="1:20" ht="34.5">
      <c r="A43" s="64" t="s">
        <v>72</v>
      </c>
      <c r="B43" s="76">
        <v>421716</v>
      </c>
      <c r="C43" s="65" t="s">
        <v>73</v>
      </c>
      <c r="D43" s="78" t="s">
        <v>15</v>
      </c>
      <c r="E43" s="108">
        <v>15000000</v>
      </c>
      <c r="F43" s="109">
        <f t="shared" si="0"/>
        <v>2850000</v>
      </c>
      <c r="G43" s="85">
        <f t="shared" si="1"/>
        <v>17850000</v>
      </c>
      <c r="H43" s="108">
        <v>8621600</v>
      </c>
      <c r="I43" s="109">
        <f t="shared" si="2"/>
        <v>1638104</v>
      </c>
      <c r="J43" s="85">
        <f t="shared" si="3"/>
        <v>10259704</v>
      </c>
      <c r="K43" s="108">
        <v>5000000</v>
      </c>
      <c r="L43" s="109">
        <f t="shared" si="4"/>
        <v>950000</v>
      </c>
      <c r="M43" s="85">
        <f t="shared" si="5"/>
        <v>5950000</v>
      </c>
      <c r="N43" s="108">
        <v>0</v>
      </c>
      <c r="O43" s="109">
        <f t="shared" si="6"/>
        <v>0</v>
      </c>
      <c r="P43" s="85">
        <f t="shared" si="7"/>
        <v>0</v>
      </c>
      <c r="Q43" s="108">
        <v>0</v>
      </c>
      <c r="R43" s="109">
        <f t="shared" si="8"/>
        <v>0</v>
      </c>
      <c r="S43" s="85">
        <f t="shared" si="9"/>
        <v>0</v>
      </c>
      <c r="T43" s="85">
        <f t="shared" si="10"/>
        <v>22159704</v>
      </c>
    </row>
    <row r="44" spans="1:20">
      <c r="A44" s="64" t="s">
        <v>76</v>
      </c>
      <c r="B44" s="363">
        <v>561015</v>
      </c>
      <c r="C44" s="65" t="s">
        <v>77</v>
      </c>
      <c r="D44" s="78" t="s">
        <v>15</v>
      </c>
      <c r="E44" s="108">
        <v>2363</v>
      </c>
      <c r="F44" s="109">
        <f t="shared" si="0"/>
        <v>448.97</v>
      </c>
      <c r="G44" s="85">
        <f t="shared" si="1"/>
        <v>2811.9700000000003</v>
      </c>
      <c r="H44" s="108">
        <v>19000</v>
      </c>
      <c r="I44" s="109">
        <f t="shared" si="2"/>
        <v>3610</v>
      </c>
      <c r="J44" s="85">
        <f t="shared" si="3"/>
        <v>22610</v>
      </c>
      <c r="K44" s="108">
        <v>10000</v>
      </c>
      <c r="L44" s="109">
        <f t="shared" si="4"/>
        <v>1900</v>
      </c>
      <c r="M44" s="85">
        <f t="shared" si="5"/>
        <v>11900</v>
      </c>
      <c r="N44" s="108">
        <f>7000/1.19</f>
        <v>5882.3529411764712</v>
      </c>
      <c r="O44" s="109">
        <f t="shared" si="6"/>
        <v>1117.6470588235295</v>
      </c>
      <c r="P44" s="85">
        <f t="shared" si="7"/>
        <v>7000.0000000000009</v>
      </c>
      <c r="Q44" s="108"/>
      <c r="R44" s="109">
        <f t="shared" si="8"/>
        <v>0</v>
      </c>
      <c r="S44" s="85">
        <f t="shared" si="9"/>
        <v>0</v>
      </c>
      <c r="T44" s="85">
        <f>+S44+P44+M44+J44+G44/4</f>
        <v>42212.9925</v>
      </c>
    </row>
    <row r="45" spans="1:20">
      <c r="A45" s="64" t="s">
        <v>74</v>
      </c>
      <c r="B45" s="365"/>
      <c r="C45" s="65" t="s">
        <v>75</v>
      </c>
      <c r="D45" s="78" t="s">
        <v>15</v>
      </c>
      <c r="E45" s="108">
        <v>1263</v>
      </c>
      <c r="F45" s="109">
        <f t="shared" si="0"/>
        <v>239.97</v>
      </c>
      <c r="G45" s="85">
        <f t="shared" si="1"/>
        <v>1502.97</v>
      </c>
      <c r="H45" s="108">
        <v>1800</v>
      </c>
      <c r="I45" s="109">
        <f t="shared" si="2"/>
        <v>342</v>
      </c>
      <c r="J45" s="85">
        <f t="shared" si="3"/>
        <v>2142</v>
      </c>
      <c r="K45" s="108">
        <v>3000</v>
      </c>
      <c r="L45" s="109">
        <f t="shared" si="4"/>
        <v>570</v>
      </c>
      <c r="M45" s="85">
        <f t="shared" si="5"/>
        <v>3570</v>
      </c>
      <c r="N45" s="108">
        <f>1400/1.19</f>
        <v>1176.4705882352941</v>
      </c>
      <c r="O45" s="109">
        <f t="shared" si="6"/>
        <v>223.52941176470588</v>
      </c>
      <c r="P45" s="85">
        <f t="shared" si="7"/>
        <v>1400</v>
      </c>
      <c r="Q45" s="108"/>
      <c r="R45" s="109">
        <f t="shared" si="8"/>
        <v>0</v>
      </c>
      <c r="S45" s="85">
        <f t="shared" si="9"/>
        <v>0</v>
      </c>
      <c r="T45" s="85">
        <f>+S45+P45+M45+J45+G45/4</f>
        <v>7487.7425000000003</v>
      </c>
    </row>
    <row r="46" spans="1:20" ht="57.5">
      <c r="A46" s="64" t="s">
        <v>78</v>
      </c>
      <c r="B46" s="76">
        <v>421716</v>
      </c>
      <c r="C46" s="65" t="s">
        <v>79</v>
      </c>
      <c r="D46" s="78" t="s">
        <v>15</v>
      </c>
      <c r="E46" s="108">
        <v>3500000</v>
      </c>
      <c r="F46" s="109">
        <f t="shared" si="0"/>
        <v>665000</v>
      </c>
      <c r="G46" s="85">
        <f t="shared" si="1"/>
        <v>4165000</v>
      </c>
      <c r="H46" s="108">
        <v>2320000</v>
      </c>
      <c r="I46" s="109">
        <f t="shared" si="2"/>
        <v>440800</v>
      </c>
      <c r="J46" s="85">
        <f t="shared" si="3"/>
        <v>2760800</v>
      </c>
      <c r="K46" s="108">
        <v>2500000</v>
      </c>
      <c r="L46" s="109">
        <f t="shared" si="4"/>
        <v>475000</v>
      </c>
      <c r="M46" s="85">
        <f t="shared" si="5"/>
        <v>2975000</v>
      </c>
      <c r="N46" s="108">
        <v>0</v>
      </c>
      <c r="O46" s="109">
        <f t="shared" si="6"/>
        <v>0</v>
      </c>
      <c r="P46" s="85">
        <f t="shared" si="7"/>
        <v>0</v>
      </c>
      <c r="Q46" s="108">
        <v>0</v>
      </c>
      <c r="R46" s="109">
        <f t="shared" si="8"/>
        <v>0</v>
      </c>
      <c r="S46" s="85">
        <f t="shared" si="9"/>
        <v>0</v>
      </c>
      <c r="T46" s="85">
        <f>+S46+P46+M46+J46+G46/3</f>
        <v>7124133.333333333</v>
      </c>
    </row>
    <row r="47" spans="1:20" ht="34.5">
      <c r="A47" s="64" t="s">
        <v>80</v>
      </c>
      <c r="B47" s="76">
        <v>301217</v>
      </c>
      <c r="C47" s="65" t="s">
        <v>81</v>
      </c>
      <c r="D47" s="78" t="s">
        <v>15</v>
      </c>
      <c r="E47" s="108">
        <v>24000</v>
      </c>
      <c r="F47" s="109">
        <f t="shared" si="0"/>
        <v>4560</v>
      </c>
      <c r="G47" s="85">
        <f t="shared" si="1"/>
        <v>28560</v>
      </c>
      <c r="H47" s="108">
        <v>22800</v>
      </c>
      <c r="I47" s="109">
        <f t="shared" si="2"/>
        <v>4332</v>
      </c>
      <c r="J47" s="85">
        <f t="shared" si="3"/>
        <v>27132</v>
      </c>
      <c r="K47" s="108">
        <v>55000</v>
      </c>
      <c r="L47" s="109">
        <f t="shared" si="4"/>
        <v>10450</v>
      </c>
      <c r="M47" s="85">
        <f t="shared" si="5"/>
        <v>65450</v>
      </c>
      <c r="N47" s="108">
        <v>0</v>
      </c>
      <c r="O47" s="109">
        <f t="shared" si="6"/>
        <v>0</v>
      </c>
      <c r="P47" s="85">
        <f t="shared" si="7"/>
        <v>0</v>
      </c>
      <c r="Q47" s="108">
        <v>0</v>
      </c>
      <c r="R47" s="109">
        <f t="shared" si="8"/>
        <v>0</v>
      </c>
      <c r="S47" s="85">
        <f t="shared" si="9"/>
        <v>0</v>
      </c>
      <c r="T47" s="85">
        <f t="shared" ref="T47:T48" si="11">+S47+P47+M47+J47+G47/3</f>
        <v>102102</v>
      </c>
    </row>
    <row r="48" spans="1:20" ht="12" thickBot="1">
      <c r="A48" s="59" t="s">
        <v>82</v>
      </c>
      <c r="B48" s="76">
        <v>301217</v>
      </c>
      <c r="C48" s="111" t="s">
        <v>83</v>
      </c>
      <c r="D48" s="86" t="s">
        <v>15</v>
      </c>
      <c r="E48" s="103">
        <v>36333</v>
      </c>
      <c r="F48" s="104">
        <f t="shared" si="0"/>
        <v>6903.27</v>
      </c>
      <c r="G48" s="83">
        <f t="shared" si="1"/>
        <v>43236.270000000004</v>
      </c>
      <c r="H48" s="103">
        <v>7000</v>
      </c>
      <c r="I48" s="104">
        <f t="shared" si="2"/>
        <v>1330</v>
      </c>
      <c r="J48" s="83">
        <f t="shared" si="3"/>
        <v>8330</v>
      </c>
      <c r="K48" s="103">
        <v>200000</v>
      </c>
      <c r="L48" s="104">
        <f t="shared" si="4"/>
        <v>38000</v>
      </c>
      <c r="M48" s="83">
        <f t="shared" si="5"/>
        <v>238000</v>
      </c>
      <c r="N48" s="103">
        <v>0</v>
      </c>
      <c r="O48" s="104">
        <f t="shared" si="6"/>
        <v>0</v>
      </c>
      <c r="P48" s="83">
        <f t="shared" si="7"/>
        <v>0</v>
      </c>
      <c r="Q48" s="103">
        <v>0</v>
      </c>
      <c r="R48" s="104">
        <f t="shared" si="8"/>
        <v>0</v>
      </c>
      <c r="S48" s="83">
        <f t="shared" si="9"/>
        <v>0</v>
      </c>
      <c r="T48" s="85">
        <f t="shared" si="11"/>
        <v>260742.09</v>
      </c>
    </row>
    <row r="49" spans="1:20" ht="27" customHeight="1" thickBot="1">
      <c r="A49" s="60"/>
      <c r="B49" s="87"/>
      <c r="C49" s="112"/>
      <c r="D49" s="88"/>
      <c r="E49" s="338" t="s">
        <v>141</v>
      </c>
      <c r="F49" s="339"/>
      <c r="G49" s="340"/>
      <c r="H49" s="366" t="s">
        <v>175</v>
      </c>
      <c r="I49" s="367"/>
      <c r="J49" s="368"/>
      <c r="K49" s="359" t="s">
        <v>172</v>
      </c>
      <c r="L49" s="360"/>
      <c r="M49" s="361"/>
      <c r="N49" s="369" t="s">
        <v>170</v>
      </c>
      <c r="O49" s="360"/>
      <c r="P49" s="361"/>
      <c r="Q49" s="105"/>
      <c r="R49" s="106"/>
      <c r="S49" s="107"/>
      <c r="T49" s="113"/>
    </row>
    <row r="50" spans="1:20" ht="12" customHeight="1">
      <c r="A50" s="343" t="s">
        <v>123</v>
      </c>
      <c r="B50" s="344"/>
      <c r="C50" s="344"/>
      <c r="D50" s="344"/>
      <c r="E50" s="370" t="s">
        <v>119</v>
      </c>
      <c r="F50" s="371" t="s">
        <v>120</v>
      </c>
      <c r="G50" s="372" t="s">
        <v>121</v>
      </c>
      <c r="H50" s="370" t="s">
        <v>119</v>
      </c>
      <c r="I50" s="371" t="s">
        <v>120</v>
      </c>
      <c r="J50" s="372" t="s">
        <v>121</v>
      </c>
      <c r="K50" s="370" t="s">
        <v>119</v>
      </c>
      <c r="L50" s="371" t="s">
        <v>120</v>
      </c>
      <c r="M50" s="372" t="s">
        <v>121</v>
      </c>
      <c r="N50" s="370" t="s">
        <v>119</v>
      </c>
      <c r="O50" s="371" t="s">
        <v>120</v>
      </c>
      <c r="P50" s="372" t="s">
        <v>121</v>
      </c>
      <c r="Q50" s="370" t="s">
        <v>119</v>
      </c>
      <c r="R50" s="371" t="s">
        <v>120</v>
      </c>
      <c r="S50" s="372" t="s">
        <v>121</v>
      </c>
      <c r="T50" s="372"/>
    </row>
    <row r="51" spans="1:20" ht="23">
      <c r="A51" s="67" t="s">
        <v>0</v>
      </c>
      <c r="B51" s="74" t="s">
        <v>1</v>
      </c>
      <c r="C51" s="114" t="s">
        <v>2</v>
      </c>
      <c r="D51" s="114" t="s">
        <v>3</v>
      </c>
      <c r="E51" s="353"/>
      <c r="F51" s="354"/>
      <c r="G51" s="325"/>
      <c r="H51" s="353"/>
      <c r="I51" s="354"/>
      <c r="J51" s="325"/>
      <c r="K51" s="353"/>
      <c r="L51" s="354"/>
      <c r="M51" s="325"/>
      <c r="N51" s="353"/>
      <c r="O51" s="354"/>
      <c r="P51" s="325"/>
      <c r="Q51" s="353"/>
      <c r="R51" s="354"/>
      <c r="S51" s="325"/>
      <c r="T51" s="325"/>
    </row>
    <row r="52" spans="1:20">
      <c r="A52" s="329" t="s">
        <v>5</v>
      </c>
      <c r="B52" s="373">
        <v>821015</v>
      </c>
      <c r="C52" s="114" t="s">
        <v>6</v>
      </c>
      <c r="D52" s="376" t="s">
        <v>4</v>
      </c>
      <c r="E52" s="353">
        <v>3000</v>
      </c>
      <c r="F52" s="354">
        <f>+E52*0.19</f>
        <v>570</v>
      </c>
      <c r="G52" s="325">
        <f>+E52+F52</f>
        <v>3570</v>
      </c>
      <c r="H52" s="353">
        <f>(2400000/1.19)/2000</f>
        <v>1008.4033613445379</v>
      </c>
      <c r="I52" s="354">
        <f>+H52*0.19</f>
        <v>191.59663865546219</v>
      </c>
      <c r="J52" s="325">
        <f>+H52+I52</f>
        <v>1200</v>
      </c>
      <c r="K52" s="353">
        <v>2000</v>
      </c>
      <c r="L52" s="354">
        <f>+K52*0.19</f>
        <v>380</v>
      </c>
      <c r="M52" s="325">
        <f>+K52+L52</f>
        <v>2380</v>
      </c>
      <c r="N52" s="353">
        <f>(5000000/1.19)/2000</f>
        <v>2100.840336134454</v>
      </c>
      <c r="O52" s="354">
        <f>+N52*0.19</f>
        <v>399.15966386554624</v>
      </c>
      <c r="P52" s="325">
        <f>+N52+O52</f>
        <v>2500</v>
      </c>
      <c r="Q52" s="353">
        <f>(420000/1.19)/2000</f>
        <v>176.47058823529412</v>
      </c>
      <c r="R52" s="354">
        <f>+Q52*0.19</f>
        <v>33.529411764705884</v>
      </c>
      <c r="S52" s="325">
        <f>+Q52+R52</f>
        <v>210</v>
      </c>
      <c r="T52" s="325">
        <f>+S52+P52+M52+J52+G52/5</f>
        <v>7004</v>
      </c>
    </row>
    <row r="53" spans="1:20">
      <c r="A53" s="329"/>
      <c r="B53" s="374"/>
      <c r="C53" s="114" t="s">
        <v>137</v>
      </c>
      <c r="D53" s="376"/>
      <c r="E53" s="353"/>
      <c r="F53" s="354"/>
      <c r="G53" s="325"/>
      <c r="H53" s="353"/>
      <c r="I53" s="354"/>
      <c r="J53" s="325"/>
      <c r="K53" s="353"/>
      <c r="L53" s="354"/>
      <c r="M53" s="325"/>
      <c r="N53" s="353"/>
      <c r="O53" s="354"/>
      <c r="P53" s="325"/>
      <c r="Q53" s="353"/>
      <c r="R53" s="354"/>
      <c r="S53" s="325"/>
      <c r="T53" s="325">
        <f t="shared" ref="T53:T54" si="12">+S53+P53+M53+J53+G53/3</f>
        <v>0</v>
      </c>
    </row>
    <row r="54" spans="1:20">
      <c r="A54" s="329"/>
      <c r="B54" s="374"/>
      <c r="C54" s="115" t="s">
        <v>7</v>
      </c>
      <c r="D54" s="376"/>
      <c r="E54" s="353"/>
      <c r="F54" s="354"/>
      <c r="G54" s="325"/>
      <c r="H54" s="353"/>
      <c r="I54" s="354"/>
      <c r="J54" s="325"/>
      <c r="K54" s="353"/>
      <c r="L54" s="354"/>
      <c r="M54" s="325"/>
      <c r="N54" s="353"/>
      <c r="O54" s="354"/>
      <c r="P54" s="325"/>
      <c r="Q54" s="353"/>
      <c r="R54" s="354"/>
      <c r="S54" s="325"/>
      <c r="T54" s="325">
        <f t="shared" si="12"/>
        <v>0</v>
      </c>
    </row>
    <row r="55" spans="1:20">
      <c r="A55" s="329" t="s">
        <v>84</v>
      </c>
      <c r="B55" s="374"/>
      <c r="C55" s="114" t="s">
        <v>8</v>
      </c>
      <c r="D55" s="376" t="s">
        <v>4</v>
      </c>
      <c r="E55" s="353">
        <v>120</v>
      </c>
      <c r="F55" s="354">
        <f>+E55*0.19</f>
        <v>22.8</v>
      </c>
      <c r="G55" s="325">
        <f>+E55+F55</f>
        <v>142.80000000000001</v>
      </c>
      <c r="H55" s="353">
        <f>(460000/1.19)/2000</f>
        <v>193.27731092436974</v>
      </c>
      <c r="I55" s="354">
        <f>+H55*0.19</f>
        <v>36.72268907563025</v>
      </c>
      <c r="J55" s="325">
        <f>+H55+I55</f>
        <v>230</v>
      </c>
      <c r="K55" s="353">
        <v>1200</v>
      </c>
      <c r="L55" s="354">
        <f>+K55*0.19</f>
        <v>228</v>
      </c>
      <c r="M55" s="325">
        <f>+K55+L55</f>
        <v>1428</v>
      </c>
      <c r="N55" s="353">
        <f>(450000/1.19)/2000</f>
        <v>189.07563025210084</v>
      </c>
      <c r="O55" s="354">
        <f>+N55*0.19</f>
        <v>35.924369747899156</v>
      </c>
      <c r="P55" s="325">
        <f>+N55+O55</f>
        <v>225</v>
      </c>
      <c r="Q55" s="353">
        <f>(380000/1.19)/2000</f>
        <v>159.66386554621849</v>
      </c>
      <c r="R55" s="354">
        <f>+Q55*0.19</f>
        <v>30.336134453781511</v>
      </c>
      <c r="S55" s="325">
        <f>+Q55+R55</f>
        <v>190</v>
      </c>
      <c r="T55" s="325">
        <f>(G55+J55+M55+P55+S55)/5</f>
        <v>443.16</v>
      </c>
    </row>
    <row r="56" spans="1:20">
      <c r="A56" s="329"/>
      <c r="B56" s="374"/>
      <c r="C56" s="114" t="s">
        <v>138</v>
      </c>
      <c r="D56" s="376"/>
      <c r="E56" s="353"/>
      <c r="F56" s="354"/>
      <c r="G56" s="325"/>
      <c r="H56" s="353"/>
      <c r="I56" s="354"/>
      <c r="J56" s="325"/>
      <c r="K56" s="353"/>
      <c r="L56" s="354"/>
      <c r="M56" s="325"/>
      <c r="N56" s="353"/>
      <c r="O56" s="354"/>
      <c r="P56" s="325"/>
      <c r="Q56" s="353"/>
      <c r="R56" s="354"/>
      <c r="S56" s="325"/>
      <c r="T56" s="325"/>
    </row>
    <row r="57" spans="1:20">
      <c r="A57" s="329"/>
      <c r="B57" s="374"/>
      <c r="C57" s="114" t="s">
        <v>139</v>
      </c>
      <c r="D57" s="376"/>
      <c r="E57" s="353"/>
      <c r="F57" s="354"/>
      <c r="G57" s="325"/>
      <c r="H57" s="353"/>
      <c r="I57" s="354"/>
      <c r="J57" s="325"/>
      <c r="K57" s="353"/>
      <c r="L57" s="354"/>
      <c r="M57" s="325"/>
      <c r="N57" s="353"/>
      <c r="O57" s="354"/>
      <c r="P57" s="325"/>
      <c r="Q57" s="353"/>
      <c r="R57" s="354"/>
      <c r="S57" s="325"/>
      <c r="T57" s="325"/>
    </row>
    <row r="58" spans="1:20">
      <c r="A58" s="329"/>
      <c r="B58" s="374"/>
      <c r="C58" s="115" t="s">
        <v>140</v>
      </c>
      <c r="D58" s="376"/>
      <c r="E58" s="353"/>
      <c r="F58" s="354"/>
      <c r="G58" s="325"/>
      <c r="H58" s="353"/>
      <c r="I58" s="354"/>
      <c r="J58" s="325"/>
      <c r="K58" s="353"/>
      <c r="L58" s="354"/>
      <c r="M58" s="325"/>
      <c r="N58" s="353"/>
      <c r="O58" s="354"/>
      <c r="P58" s="325"/>
      <c r="Q58" s="353"/>
      <c r="R58" s="354"/>
      <c r="S58" s="325"/>
      <c r="T58" s="325"/>
    </row>
    <row r="59" spans="1:20">
      <c r="A59" s="329"/>
      <c r="B59" s="374"/>
      <c r="C59" s="115" t="s">
        <v>9</v>
      </c>
      <c r="D59" s="376"/>
      <c r="E59" s="353"/>
      <c r="F59" s="354"/>
      <c r="G59" s="325"/>
      <c r="H59" s="353"/>
      <c r="I59" s="354"/>
      <c r="J59" s="325"/>
      <c r="K59" s="353"/>
      <c r="L59" s="354"/>
      <c r="M59" s="325"/>
      <c r="N59" s="353"/>
      <c r="O59" s="354"/>
      <c r="P59" s="325"/>
      <c r="Q59" s="353"/>
      <c r="R59" s="354"/>
      <c r="S59" s="325"/>
      <c r="T59" s="325"/>
    </row>
    <row r="60" spans="1:20">
      <c r="A60" s="329" t="s">
        <v>10</v>
      </c>
      <c r="B60" s="374"/>
      <c r="C60" s="114" t="s">
        <v>85</v>
      </c>
      <c r="D60" s="376" t="s">
        <v>4</v>
      </c>
      <c r="E60" s="353">
        <v>1980</v>
      </c>
      <c r="F60" s="354">
        <f>+E60*0.19</f>
        <v>376.2</v>
      </c>
      <c r="G60" s="325">
        <f>+E60+F60</f>
        <v>2356.1999999999998</v>
      </c>
      <c r="H60" s="353">
        <f>(650000/1.19)/500</f>
        <v>1092.4369747899161</v>
      </c>
      <c r="I60" s="354">
        <f>+H60*0.19</f>
        <v>207.56302521008408</v>
      </c>
      <c r="J60" s="325">
        <f>+H60+I60</f>
        <v>1300.0000000000002</v>
      </c>
      <c r="K60" s="353">
        <v>45000</v>
      </c>
      <c r="L60" s="354">
        <f>+K60*0.19</f>
        <v>8550</v>
      </c>
      <c r="M60" s="325">
        <f>+K60+L60</f>
        <v>53550</v>
      </c>
      <c r="N60" s="353">
        <f>(2500000/1.19)/500</f>
        <v>4201.680672268908</v>
      </c>
      <c r="O60" s="354">
        <f>+N60*0.19</f>
        <v>798.31932773109247</v>
      </c>
      <c r="P60" s="325">
        <f>+N60+O60</f>
        <v>5000</v>
      </c>
      <c r="Q60" s="353">
        <f>(500000/1.19)/500</f>
        <v>840.33613445378148</v>
      </c>
      <c r="R60" s="354">
        <f>+Q60*0.19</f>
        <v>159.66386554621849</v>
      </c>
      <c r="S60" s="325">
        <f>+Q60+R60</f>
        <v>1000</v>
      </c>
      <c r="T60" s="325">
        <f>(G60+J60+M60+P60+S60)/5</f>
        <v>12641.24</v>
      </c>
    </row>
    <row r="61" spans="1:20" ht="23">
      <c r="A61" s="329"/>
      <c r="B61" s="374"/>
      <c r="C61" s="115" t="s">
        <v>11</v>
      </c>
      <c r="D61" s="376"/>
      <c r="E61" s="353"/>
      <c r="F61" s="354"/>
      <c r="G61" s="325"/>
      <c r="H61" s="353"/>
      <c r="I61" s="354"/>
      <c r="J61" s="325"/>
      <c r="K61" s="353"/>
      <c r="L61" s="354"/>
      <c r="M61" s="325"/>
      <c r="N61" s="353"/>
      <c r="O61" s="354"/>
      <c r="P61" s="325"/>
      <c r="Q61" s="353"/>
      <c r="R61" s="354"/>
      <c r="S61" s="325"/>
      <c r="T61" s="325"/>
    </row>
    <row r="62" spans="1:20">
      <c r="A62" s="329" t="s">
        <v>103</v>
      </c>
      <c r="B62" s="374"/>
      <c r="C62" s="65" t="s">
        <v>86</v>
      </c>
      <c r="D62" s="377" t="s">
        <v>4</v>
      </c>
      <c r="E62" s="379">
        <v>980</v>
      </c>
      <c r="F62" s="381">
        <f>+E62*0.19</f>
        <v>186.2</v>
      </c>
      <c r="G62" s="383">
        <f>+E62+F62</f>
        <v>1166.2</v>
      </c>
      <c r="H62" s="353">
        <f>(380000/1.19)/500</f>
        <v>638.65546218487395</v>
      </c>
      <c r="I62" s="381">
        <f>+H62*0.19</f>
        <v>121.34453781512605</v>
      </c>
      <c r="J62" s="383">
        <f>+H62+I62</f>
        <v>760</v>
      </c>
      <c r="K62" s="353">
        <v>55000</v>
      </c>
      <c r="L62" s="381">
        <f>+K62*0.19</f>
        <v>10450</v>
      </c>
      <c r="M62" s="383">
        <f>+K62+L62</f>
        <v>65450</v>
      </c>
      <c r="N62" s="353">
        <f>(600000/1.19)/500</f>
        <v>1008.4033613445379</v>
      </c>
      <c r="O62" s="381">
        <f>+N62*0.19</f>
        <v>191.59663865546219</v>
      </c>
      <c r="P62" s="383">
        <f>+N62+O62</f>
        <v>1200</v>
      </c>
      <c r="Q62" s="353">
        <f>(140000/1.19)/500</f>
        <v>235.29411764705881</v>
      </c>
      <c r="R62" s="381">
        <f>+Q62*0.19</f>
        <v>44.705882352941174</v>
      </c>
      <c r="S62" s="383">
        <f>+Q62+R62</f>
        <v>280</v>
      </c>
      <c r="T62" s="325">
        <f>(G62+J62+M62+P62+S62)/5</f>
        <v>13771.24</v>
      </c>
    </row>
    <row r="63" spans="1:20">
      <c r="A63" s="329"/>
      <c r="B63" s="374"/>
      <c r="C63" s="115" t="s">
        <v>9</v>
      </c>
      <c r="D63" s="378"/>
      <c r="E63" s="380"/>
      <c r="F63" s="382"/>
      <c r="G63" s="384"/>
      <c r="H63" s="353"/>
      <c r="I63" s="382"/>
      <c r="J63" s="384"/>
      <c r="K63" s="353"/>
      <c r="L63" s="382"/>
      <c r="M63" s="384"/>
      <c r="N63" s="353"/>
      <c r="O63" s="382"/>
      <c r="P63" s="384"/>
      <c r="Q63" s="353"/>
      <c r="R63" s="382"/>
      <c r="S63" s="384"/>
      <c r="T63" s="325"/>
    </row>
    <row r="64" spans="1:20">
      <c r="A64" s="67" t="s">
        <v>168</v>
      </c>
      <c r="B64" s="374"/>
      <c r="C64" s="115" t="s">
        <v>169</v>
      </c>
      <c r="D64" s="114" t="s">
        <v>4</v>
      </c>
      <c r="E64" s="108">
        <v>120</v>
      </c>
      <c r="F64" s="109">
        <f>+E64*0.19</f>
        <v>22.8</v>
      </c>
      <c r="G64" s="85">
        <f>+E64+F64</f>
        <v>142.80000000000001</v>
      </c>
      <c r="H64" s="108">
        <v>565</v>
      </c>
      <c r="I64" s="109">
        <f>+H64*0.19</f>
        <v>107.35</v>
      </c>
      <c r="J64" s="85">
        <f>+H64+I64</f>
        <v>672.35</v>
      </c>
      <c r="K64" s="108">
        <v>15000</v>
      </c>
      <c r="L64" s="109">
        <f>+K64*0.19</f>
        <v>2850</v>
      </c>
      <c r="M64" s="85">
        <f>+K64+L64</f>
        <v>17850</v>
      </c>
      <c r="N64" s="108">
        <v>300</v>
      </c>
      <c r="O64" s="109">
        <f>+N64*0.19</f>
        <v>57</v>
      </c>
      <c r="P64" s="85">
        <f>+N64+O64</f>
        <v>357</v>
      </c>
      <c r="Q64" s="108">
        <v>0</v>
      </c>
      <c r="R64" s="109">
        <f>+Q64*0.19</f>
        <v>0</v>
      </c>
      <c r="S64" s="85">
        <f>+Q64+R64</f>
        <v>0</v>
      </c>
      <c r="T64" s="85">
        <f>(G64+J64+M64+P64+S64)/4</f>
        <v>4755.5375000000004</v>
      </c>
    </row>
    <row r="65" spans="1:20">
      <c r="A65" s="67" t="s">
        <v>87</v>
      </c>
      <c r="B65" s="375"/>
      <c r="C65" s="115" t="s">
        <v>88</v>
      </c>
      <c r="D65" s="114" t="s">
        <v>4</v>
      </c>
      <c r="E65" s="108">
        <v>75000</v>
      </c>
      <c r="F65" s="109">
        <f>+E65*0.19</f>
        <v>14250</v>
      </c>
      <c r="G65" s="85">
        <f>+E65+F65</f>
        <v>89250</v>
      </c>
      <c r="H65" s="108">
        <f>170000/1.19</f>
        <v>142857.14285714287</v>
      </c>
      <c r="I65" s="109">
        <f>+H65*0.19</f>
        <v>27142.857142857145</v>
      </c>
      <c r="J65" s="85">
        <f>+H65+I65</f>
        <v>170000</v>
      </c>
      <c r="K65" s="108">
        <v>70000</v>
      </c>
      <c r="L65" s="109">
        <f>+K65*0.19</f>
        <v>13300</v>
      </c>
      <c r="M65" s="85">
        <f>+K65+L65</f>
        <v>83300</v>
      </c>
      <c r="N65" s="108">
        <f>250000/1.19</f>
        <v>210084.03361344538</v>
      </c>
      <c r="O65" s="109">
        <f>+N65*0.19</f>
        <v>39915.966386554624</v>
      </c>
      <c r="P65" s="85">
        <f>+N65+O65</f>
        <v>250000</v>
      </c>
      <c r="Q65" s="108">
        <f>250000/1.19</f>
        <v>210084.03361344538</v>
      </c>
      <c r="R65" s="109">
        <f>+Q65*0.19</f>
        <v>39915.966386554624</v>
      </c>
      <c r="S65" s="85">
        <f>+Q65+R65</f>
        <v>250000</v>
      </c>
      <c r="T65" s="85">
        <f>(G65+J65+M65+P65+S65)/5</f>
        <v>168510</v>
      </c>
    </row>
    <row r="66" spans="1:20">
      <c r="A66" s="329" t="s">
        <v>89</v>
      </c>
      <c r="B66" s="385">
        <v>441220</v>
      </c>
      <c r="C66" s="115" t="s">
        <v>12</v>
      </c>
      <c r="D66" s="376" t="s">
        <v>4</v>
      </c>
      <c r="E66" s="353">
        <v>36000</v>
      </c>
      <c r="F66" s="354">
        <f>+E66*0.19</f>
        <v>6840</v>
      </c>
      <c r="G66" s="325">
        <f>+E66+F66</f>
        <v>42840</v>
      </c>
      <c r="H66" s="353">
        <f>21000/1.19</f>
        <v>17647.058823529413</v>
      </c>
      <c r="I66" s="354">
        <f>+H66*0.19</f>
        <v>3352.9411764705883</v>
      </c>
      <c r="J66" s="325">
        <f>+H66+I66</f>
        <v>21000</v>
      </c>
      <c r="K66" s="353">
        <v>35000</v>
      </c>
      <c r="L66" s="354">
        <f>+K66*0.19</f>
        <v>6650</v>
      </c>
      <c r="M66" s="325">
        <f>+K66+L66</f>
        <v>41650</v>
      </c>
      <c r="N66" s="353">
        <f>21000/1.19</f>
        <v>17647.058823529413</v>
      </c>
      <c r="O66" s="354">
        <f>+N66*0.19</f>
        <v>3352.9411764705883</v>
      </c>
      <c r="P66" s="325">
        <f>+N66+O66</f>
        <v>21000</v>
      </c>
      <c r="Q66" s="353">
        <f>24000/1.19</f>
        <v>20168.067226890758</v>
      </c>
      <c r="R66" s="354">
        <f>+Q66*0.19</f>
        <v>3831.932773109244</v>
      </c>
      <c r="S66" s="325">
        <f>+Q66+R66</f>
        <v>24000.000000000004</v>
      </c>
      <c r="T66" s="326">
        <f>(G66+J66+M66+P66+S66)/5</f>
        <v>30098</v>
      </c>
    </row>
    <row r="67" spans="1:20">
      <c r="A67" s="329"/>
      <c r="B67" s="385"/>
      <c r="C67" s="115" t="s">
        <v>13</v>
      </c>
      <c r="D67" s="376"/>
      <c r="E67" s="353"/>
      <c r="F67" s="354"/>
      <c r="G67" s="325"/>
      <c r="H67" s="353"/>
      <c r="I67" s="354"/>
      <c r="J67" s="325"/>
      <c r="K67" s="353"/>
      <c r="L67" s="354"/>
      <c r="M67" s="325"/>
      <c r="N67" s="353"/>
      <c r="O67" s="354"/>
      <c r="P67" s="325"/>
      <c r="Q67" s="353"/>
      <c r="R67" s="354"/>
      <c r="S67" s="325"/>
      <c r="T67" s="327">
        <f t="shared" ref="T67:T71" si="13">(G67+J67+M67+P67+S67)/5</f>
        <v>0</v>
      </c>
    </row>
    <row r="68" spans="1:20">
      <c r="A68" s="329"/>
      <c r="B68" s="385"/>
      <c r="C68" s="115" t="s">
        <v>92</v>
      </c>
      <c r="D68" s="376"/>
      <c r="E68" s="353"/>
      <c r="F68" s="354"/>
      <c r="G68" s="325"/>
      <c r="H68" s="353"/>
      <c r="I68" s="354"/>
      <c r="J68" s="325"/>
      <c r="K68" s="353"/>
      <c r="L68" s="354"/>
      <c r="M68" s="325"/>
      <c r="N68" s="353"/>
      <c r="O68" s="354"/>
      <c r="P68" s="325"/>
      <c r="Q68" s="353"/>
      <c r="R68" s="354"/>
      <c r="S68" s="325"/>
      <c r="T68" s="327">
        <f t="shared" si="13"/>
        <v>0</v>
      </c>
    </row>
    <row r="69" spans="1:20">
      <c r="A69" s="329"/>
      <c r="B69" s="385"/>
      <c r="C69" s="115" t="s">
        <v>90</v>
      </c>
      <c r="D69" s="376"/>
      <c r="E69" s="353"/>
      <c r="F69" s="354"/>
      <c r="G69" s="325"/>
      <c r="H69" s="353"/>
      <c r="I69" s="354"/>
      <c r="J69" s="325"/>
      <c r="K69" s="353"/>
      <c r="L69" s="354"/>
      <c r="M69" s="325"/>
      <c r="N69" s="353"/>
      <c r="O69" s="354"/>
      <c r="P69" s="325"/>
      <c r="Q69" s="353"/>
      <c r="R69" s="354"/>
      <c r="S69" s="325"/>
      <c r="T69" s="327">
        <f t="shared" si="13"/>
        <v>0</v>
      </c>
    </row>
    <row r="70" spans="1:20">
      <c r="A70" s="329"/>
      <c r="B70" s="385"/>
      <c r="C70" s="115" t="s">
        <v>14</v>
      </c>
      <c r="D70" s="376"/>
      <c r="E70" s="353"/>
      <c r="F70" s="354"/>
      <c r="G70" s="325"/>
      <c r="H70" s="353"/>
      <c r="I70" s="354"/>
      <c r="J70" s="325"/>
      <c r="K70" s="353"/>
      <c r="L70" s="354"/>
      <c r="M70" s="325"/>
      <c r="N70" s="353"/>
      <c r="O70" s="354"/>
      <c r="P70" s="325"/>
      <c r="Q70" s="353"/>
      <c r="R70" s="354"/>
      <c r="S70" s="325"/>
      <c r="T70" s="327">
        <f t="shared" si="13"/>
        <v>0</v>
      </c>
    </row>
    <row r="71" spans="1:20">
      <c r="A71" s="329"/>
      <c r="B71" s="385"/>
      <c r="C71" s="115" t="s">
        <v>91</v>
      </c>
      <c r="D71" s="376"/>
      <c r="E71" s="353"/>
      <c r="F71" s="354"/>
      <c r="G71" s="325"/>
      <c r="H71" s="353"/>
      <c r="I71" s="354"/>
      <c r="J71" s="325"/>
      <c r="K71" s="353"/>
      <c r="L71" s="354"/>
      <c r="M71" s="325"/>
      <c r="N71" s="353"/>
      <c r="O71" s="354"/>
      <c r="P71" s="325"/>
      <c r="Q71" s="353"/>
      <c r="R71" s="354"/>
      <c r="S71" s="325"/>
      <c r="T71" s="328">
        <f t="shared" si="13"/>
        <v>0</v>
      </c>
    </row>
    <row r="72" spans="1:20">
      <c r="A72" s="67" t="s">
        <v>93</v>
      </c>
      <c r="B72" s="58">
        <v>441219</v>
      </c>
      <c r="C72" s="115" t="s">
        <v>94</v>
      </c>
      <c r="D72" s="114" t="s">
        <v>4</v>
      </c>
      <c r="E72" s="108">
        <v>2470</v>
      </c>
      <c r="F72" s="109">
        <f t="shared" ref="F72:F81" si="14">+E72*0.19</f>
        <v>469.3</v>
      </c>
      <c r="G72" s="85">
        <f t="shared" ref="G72:G81" si="15">+E72+F72</f>
        <v>2939.3</v>
      </c>
      <c r="H72" s="108">
        <f>3500/1.19</f>
        <v>2941.1764705882356</v>
      </c>
      <c r="I72" s="109">
        <f t="shared" ref="I72:I81" si="16">+H72*0.19</f>
        <v>558.82352941176475</v>
      </c>
      <c r="J72" s="85">
        <f t="shared" ref="J72:J81" si="17">+H72+I72</f>
        <v>3500.0000000000005</v>
      </c>
      <c r="K72" s="108">
        <v>3000</v>
      </c>
      <c r="L72" s="109">
        <f t="shared" ref="L72:L81" si="18">+K72*0.19</f>
        <v>570</v>
      </c>
      <c r="M72" s="85">
        <f t="shared" ref="M72:M81" si="19">+K72+L72</f>
        <v>3570</v>
      </c>
      <c r="N72" s="108">
        <f>7000/1.19</f>
        <v>5882.3529411764712</v>
      </c>
      <c r="O72" s="109">
        <f t="shared" ref="O72:O81" si="20">+N72*0.19</f>
        <v>1117.6470588235295</v>
      </c>
      <c r="P72" s="85">
        <f t="shared" ref="P72:P81" si="21">+N72+O72</f>
        <v>7000.0000000000009</v>
      </c>
      <c r="Q72" s="108">
        <f>4500/1.19</f>
        <v>3781.5126050420172</v>
      </c>
      <c r="R72" s="109">
        <f t="shared" ref="R72:R81" si="22">+Q72*0.19</f>
        <v>718.48739495798327</v>
      </c>
      <c r="S72" s="85">
        <f t="shared" ref="S72:S81" si="23">+Q72+R72</f>
        <v>4500</v>
      </c>
      <c r="T72" s="85">
        <f>(G72+J72+M72+P72+S72)/5</f>
        <v>4301.8600000000006</v>
      </c>
    </row>
    <row r="73" spans="1:20">
      <c r="A73" s="67" t="s">
        <v>95</v>
      </c>
      <c r="B73" s="58">
        <v>441220</v>
      </c>
      <c r="C73" s="115" t="s">
        <v>96</v>
      </c>
      <c r="D73" s="114" t="s">
        <v>4</v>
      </c>
      <c r="E73" s="108">
        <v>15600</v>
      </c>
      <c r="F73" s="109">
        <f t="shared" si="14"/>
        <v>2964</v>
      </c>
      <c r="G73" s="85">
        <f t="shared" si="15"/>
        <v>18564</v>
      </c>
      <c r="H73" s="108">
        <v>1692</v>
      </c>
      <c r="I73" s="109">
        <f t="shared" si="16"/>
        <v>321.48</v>
      </c>
      <c r="J73" s="85">
        <f t="shared" si="17"/>
        <v>2013.48</v>
      </c>
      <c r="K73" s="108">
        <v>3000</v>
      </c>
      <c r="L73" s="109">
        <f t="shared" si="18"/>
        <v>570</v>
      </c>
      <c r="M73" s="85">
        <f t="shared" si="19"/>
        <v>3570</v>
      </c>
      <c r="N73" s="108">
        <v>2000</v>
      </c>
      <c r="O73" s="109">
        <f t="shared" si="20"/>
        <v>380</v>
      </c>
      <c r="P73" s="85">
        <f t="shared" si="21"/>
        <v>2380</v>
      </c>
      <c r="Q73" s="108">
        <v>0</v>
      </c>
      <c r="R73" s="109">
        <f t="shared" si="22"/>
        <v>0</v>
      </c>
      <c r="S73" s="85">
        <f t="shared" si="23"/>
        <v>0</v>
      </c>
      <c r="T73" s="85">
        <f>(G73+J73+M73+P73+S73)/4</f>
        <v>6631.87</v>
      </c>
    </row>
    <row r="74" spans="1:20">
      <c r="A74" s="67" t="s">
        <v>97</v>
      </c>
      <c r="B74" s="58">
        <v>441220</v>
      </c>
      <c r="C74" s="115" t="s">
        <v>98</v>
      </c>
      <c r="D74" s="114" t="s">
        <v>4</v>
      </c>
      <c r="E74" s="108">
        <v>29000</v>
      </c>
      <c r="F74" s="109">
        <f t="shared" si="14"/>
        <v>5510</v>
      </c>
      <c r="G74" s="85">
        <f t="shared" si="15"/>
        <v>34510</v>
      </c>
      <c r="H74" s="108">
        <v>26338</v>
      </c>
      <c r="I74" s="109">
        <f t="shared" si="16"/>
        <v>5004.22</v>
      </c>
      <c r="J74" s="85">
        <f t="shared" si="17"/>
        <v>31342.22</v>
      </c>
      <c r="K74" s="108">
        <v>15000</v>
      </c>
      <c r="L74" s="109">
        <f t="shared" si="18"/>
        <v>2850</v>
      </c>
      <c r="M74" s="85">
        <f t="shared" si="19"/>
        <v>17850</v>
      </c>
      <c r="N74" s="108">
        <v>18500</v>
      </c>
      <c r="O74" s="109">
        <f t="shared" si="20"/>
        <v>3515</v>
      </c>
      <c r="P74" s="85">
        <f t="shared" si="21"/>
        <v>22015</v>
      </c>
      <c r="Q74" s="108">
        <v>0</v>
      </c>
      <c r="R74" s="109">
        <f t="shared" si="22"/>
        <v>0</v>
      </c>
      <c r="S74" s="85">
        <f t="shared" si="23"/>
        <v>0</v>
      </c>
      <c r="T74" s="85">
        <f>(G74+J74+M74+P74+S74)/4</f>
        <v>26429.305</v>
      </c>
    </row>
    <row r="75" spans="1:20">
      <c r="A75" s="67" t="s">
        <v>99</v>
      </c>
      <c r="B75" s="58"/>
      <c r="C75" s="115" t="s">
        <v>100</v>
      </c>
      <c r="D75" s="114" t="s">
        <v>4</v>
      </c>
      <c r="E75" s="108">
        <v>3900</v>
      </c>
      <c r="F75" s="109">
        <f t="shared" si="14"/>
        <v>741</v>
      </c>
      <c r="G75" s="85">
        <f t="shared" si="15"/>
        <v>4641</v>
      </c>
      <c r="H75" s="108">
        <v>21388</v>
      </c>
      <c r="I75" s="109">
        <f t="shared" si="16"/>
        <v>4063.7200000000003</v>
      </c>
      <c r="J75" s="85">
        <f t="shared" si="17"/>
        <v>25451.72</v>
      </c>
      <c r="K75" s="108">
        <v>15000</v>
      </c>
      <c r="L75" s="109">
        <f t="shared" si="18"/>
        <v>2850</v>
      </c>
      <c r="M75" s="85">
        <f t="shared" si="19"/>
        <v>17850</v>
      </c>
      <c r="N75" s="108">
        <v>7700</v>
      </c>
      <c r="O75" s="109">
        <f t="shared" si="20"/>
        <v>1463</v>
      </c>
      <c r="P75" s="85">
        <f t="shared" si="21"/>
        <v>9163</v>
      </c>
      <c r="Q75" s="108">
        <v>0</v>
      </c>
      <c r="R75" s="109">
        <f t="shared" si="22"/>
        <v>0</v>
      </c>
      <c r="S75" s="85">
        <f t="shared" si="23"/>
        <v>0</v>
      </c>
      <c r="T75" s="85">
        <f>(G75+J75+M75+P75+S75)/4</f>
        <v>14276.43</v>
      </c>
    </row>
    <row r="76" spans="1:20">
      <c r="A76" s="67" t="s">
        <v>101</v>
      </c>
      <c r="B76" s="58">
        <v>601049</v>
      </c>
      <c r="C76" s="115" t="s">
        <v>102</v>
      </c>
      <c r="D76" s="114" t="s">
        <v>4</v>
      </c>
      <c r="E76" s="108">
        <v>8500</v>
      </c>
      <c r="F76" s="109">
        <f t="shared" si="14"/>
        <v>1615</v>
      </c>
      <c r="G76" s="85">
        <f t="shared" si="15"/>
        <v>10115</v>
      </c>
      <c r="H76" s="108">
        <v>244</v>
      </c>
      <c r="I76" s="109">
        <f t="shared" si="16"/>
        <v>46.36</v>
      </c>
      <c r="J76" s="85">
        <f>+H76+I76</f>
        <v>290.36</v>
      </c>
      <c r="K76" s="108">
        <v>12000</v>
      </c>
      <c r="L76" s="109">
        <f t="shared" si="18"/>
        <v>2280</v>
      </c>
      <c r="M76" s="85">
        <f t="shared" si="19"/>
        <v>14280</v>
      </c>
      <c r="N76" s="108">
        <v>400</v>
      </c>
      <c r="O76" s="109">
        <f t="shared" si="20"/>
        <v>76</v>
      </c>
      <c r="P76" s="85">
        <f t="shared" si="21"/>
        <v>476</v>
      </c>
      <c r="Q76" s="108">
        <v>0</v>
      </c>
      <c r="R76" s="109">
        <f t="shared" si="22"/>
        <v>0</v>
      </c>
      <c r="S76" s="85">
        <f t="shared" si="23"/>
        <v>0</v>
      </c>
      <c r="T76" s="85">
        <f>(G76+J76+M76+P76+S76)/4</f>
        <v>6290.34</v>
      </c>
    </row>
    <row r="77" spans="1:20">
      <c r="A77" s="67" t="s">
        <v>105</v>
      </c>
      <c r="B77" s="58">
        <v>531025</v>
      </c>
      <c r="C77" s="115" t="s">
        <v>104</v>
      </c>
      <c r="D77" s="114" t="s">
        <v>4</v>
      </c>
      <c r="E77" s="108">
        <v>13000</v>
      </c>
      <c r="F77" s="109">
        <f t="shared" si="14"/>
        <v>2470</v>
      </c>
      <c r="G77" s="85">
        <f t="shared" si="15"/>
        <v>15470</v>
      </c>
      <c r="H77" s="108">
        <v>11000</v>
      </c>
      <c r="I77" s="109">
        <f t="shared" si="16"/>
        <v>2090</v>
      </c>
      <c r="J77" s="85">
        <f t="shared" si="17"/>
        <v>13090</v>
      </c>
      <c r="K77" s="108">
        <v>25000</v>
      </c>
      <c r="L77" s="109">
        <f t="shared" si="18"/>
        <v>4750</v>
      </c>
      <c r="M77" s="85">
        <f t="shared" si="19"/>
        <v>29750</v>
      </c>
      <c r="N77" s="108">
        <v>7500</v>
      </c>
      <c r="O77" s="109">
        <f t="shared" si="20"/>
        <v>1425</v>
      </c>
      <c r="P77" s="85">
        <f t="shared" si="21"/>
        <v>8925</v>
      </c>
      <c r="Q77" s="108">
        <v>0</v>
      </c>
      <c r="R77" s="109">
        <f t="shared" si="22"/>
        <v>0</v>
      </c>
      <c r="S77" s="85">
        <f t="shared" si="23"/>
        <v>0</v>
      </c>
      <c r="T77" s="85">
        <f>(G77+J77+M77+P77+S77)/4</f>
        <v>16808.75</v>
      </c>
    </row>
    <row r="78" spans="1:20" ht="57.5">
      <c r="A78" s="329" t="s">
        <v>106</v>
      </c>
      <c r="B78" s="373">
        <v>432115</v>
      </c>
      <c r="C78" s="115" t="s">
        <v>107</v>
      </c>
      <c r="D78" s="114" t="s">
        <v>15</v>
      </c>
      <c r="E78" s="108">
        <v>110000</v>
      </c>
      <c r="F78" s="109">
        <f t="shared" si="14"/>
        <v>20900</v>
      </c>
      <c r="G78" s="85">
        <f t="shared" si="15"/>
        <v>130900</v>
      </c>
      <c r="H78" s="108">
        <v>175000</v>
      </c>
      <c r="I78" s="109">
        <f t="shared" si="16"/>
        <v>33250</v>
      </c>
      <c r="J78" s="85">
        <f t="shared" si="17"/>
        <v>208250</v>
      </c>
      <c r="K78" s="108">
        <v>350000</v>
      </c>
      <c r="L78" s="109">
        <f t="shared" si="18"/>
        <v>66500</v>
      </c>
      <c r="M78" s="85">
        <f t="shared" si="19"/>
        <v>416500</v>
      </c>
      <c r="N78" s="108"/>
      <c r="O78" s="109">
        <f t="shared" si="20"/>
        <v>0</v>
      </c>
      <c r="P78" s="85">
        <f t="shared" si="21"/>
        <v>0</v>
      </c>
      <c r="Q78" s="108">
        <v>0</v>
      </c>
      <c r="R78" s="109">
        <f t="shared" si="22"/>
        <v>0</v>
      </c>
      <c r="S78" s="85">
        <f t="shared" si="23"/>
        <v>0</v>
      </c>
      <c r="T78" s="85">
        <f>(G78+J78+M78+P78+S78)/3</f>
        <v>251883.33333333334</v>
      </c>
    </row>
    <row r="79" spans="1:20" ht="46">
      <c r="A79" s="329"/>
      <c r="B79" s="375"/>
      <c r="C79" s="115" t="s">
        <v>108</v>
      </c>
      <c r="D79" s="114" t="s">
        <v>15</v>
      </c>
      <c r="E79" s="108">
        <v>130000</v>
      </c>
      <c r="F79" s="109">
        <f t="shared" si="14"/>
        <v>24700</v>
      </c>
      <c r="G79" s="85">
        <f t="shared" si="15"/>
        <v>154700</v>
      </c>
      <c r="H79" s="108">
        <v>150000</v>
      </c>
      <c r="I79" s="109">
        <f t="shared" si="16"/>
        <v>28500</v>
      </c>
      <c r="J79" s="85">
        <f t="shared" si="17"/>
        <v>178500</v>
      </c>
      <c r="K79" s="108">
        <v>300000</v>
      </c>
      <c r="L79" s="109">
        <f t="shared" si="18"/>
        <v>57000</v>
      </c>
      <c r="M79" s="85">
        <f t="shared" si="19"/>
        <v>357000</v>
      </c>
      <c r="N79" s="108"/>
      <c r="O79" s="109">
        <f t="shared" si="20"/>
        <v>0</v>
      </c>
      <c r="P79" s="85">
        <f t="shared" si="21"/>
        <v>0</v>
      </c>
      <c r="Q79" s="108">
        <v>0</v>
      </c>
      <c r="R79" s="109">
        <f t="shared" si="22"/>
        <v>0</v>
      </c>
      <c r="S79" s="85">
        <f t="shared" si="23"/>
        <v>0</v>
      </c>
      <c r="T79" s="85">
        <f>(G79+J79+M79+P79+S79)/3</f>
        <v>230066.66666666666</v>
      </c>
    </row>
    <row r="80" spans="1:20" ht="34.5">
      <c r="A80" s="92" t="s">
        <v>110</v>
      </c>
      <c r="B80" s="58">
        <v>432117</v>
      </c>
      <c r="C80" s="115" t="s">
        <v>118</v>
      </c>
      <c r="D80" s="114" t="s">
        <v>167</v>
      </c>
      <c r="E80" s="108">
        <v>80000</v>
      </c>
      <c r="F80" s="109">
        <f t="shared" si="14"/>
        <v>15200</v>
      </c>
      <c r="G80" s="85">
        <f t="shared" si="15"/>
        <v>95200</v>
      </c>
      <c r="H80" s="108">
        <v>260000</v>
      </c>
      <c r="I80" s="109">
        <f t="shared" si="16"/>
        <v>49400</v>
      </c>
      <c r="J80" s="85">
        <f t="shared" si="17"/>
        <v>309400</v>
      </c>
      <c r="K80" s="116">
        <v>150000</v>
      </c>
      <c r="L80" s="117">
        <f t="shared" si="18"/>
        <v>28500</v>
      </c>
      <c r="M80" s="118">
        <f t="shared" si="19"/>
        <v>178500</v>
      </c>
      <c r="N80" s="108"/>
      <c r="O80" s="109">
        <f t="shared" si="20"/>
        <v>0</v>
      </c>
      <c r="P80" s="85">
        <f t="shared" si="21"/>
        <v>0</v>
      </c>
      <c r="Q80" s="108">
        <v>0</v>
      </c>
      <c r="R80" s="109">
        <f t="shared" si="22"/>
        <v>0</v>
      </c>
      <c r="S80" s="85">
        <f t="shared" si="23"/>
        <v>0</v>
      </c>
      <c r="T80" s="85">
        <f>(G80+J80+M80+P80+S80)/3</f>
        <v>194366.66666666666</v>
      </c>
    </row>
    <row r="81" spans="1:20">
      <c r="A81" s="330" t="s">
        <v>18</v>
      </c>
      <c r="B81" s="385">
        <v>811100</v>
      </c>
      <c r="C81" s="78" t="s">
        <v>19</v>
      </c>
      <c r="D81" s="376" t="s">
        <v>111</v>
      </c>
      <c r="E81" s="353">
        <v>2800000</v>
      </c>
      <c r="F81" s="354">
        <f t="shared" si="14"/>
        <v>532000</v>
      </c>
      <c r="G81" s="325">
        <f t="shared" si="15"/>
        <v>3332000</v>
      </c>
      <c r="H81" s="353"/>
      <c r="I81" s="354">
        <f t="shared" si="16"/>
        <v>0</v>
      </c>
      <c r="J81" s="325">
        <f t="shared" si="17"/>
        <v>0</v>
      </c>
      <c r="K81" s="353">
        <v>5000000</v>
      </c>
      <c r="L81" s="354">
        <f t="shared" si="18"/>
        <v>950000</v>
      </c>
      <c r="M81" s="325">
        <f t="shared" si="19"/>
        <v>5950000</v>
      </c>
      <c r="N81" s="353">
        <f>380000/1.19</f>
        <v>319327.731092437</v>
      </c>
      <c r="O81" s="354">
        <f t="shared" si="20"/>
        <v>60672.268907563033</v>
      </c>
      <c r="P81" s="325">
        <f t="shared" si="21"/>
        <v>380000</v>
      </c>
      <c r="Q81" s="353">
        <v>0</v>
      </c>
      <c r="R81" s="354">
        <f t="shared" si="22"/>
        <v>0</v>
      </c>
      <c r="S81" s="325">
        <f t="shared" si="23"/>
        <v>0</v>
      </c>
      <c r="T81" s="325">
        <f t="shared" ref="T81:T87" si="24">(G81+J81+M81+P81+S81)/4</f>
        <v>2415500</v>
      </c>
    </row>
    <row r="82" spans="1:20">
      <c r="A82" s="330"/>
      <c r="B82" s="385"/>
      <c r="C82" s="78" t="s">
        <v>20</v>
      </c>
      <c r="D82" s="376"/>
      <c r="E82" s="353"/>
      <c r="F82" s="354"/>
      <c r="G82" s="325"/>
      <c r="H82" s="353"/>
      <c r="I82" s="354"/>
      <c r="J82" s="325"/>
      <c r="K82" s="353"/>
      <c r="L82" s="354"/>
      <c r="M82" s="325"/>
      <c r="N82" s="353"/>
      <c r="O82" s="354"/>
      <c r="P82" s="325"/>
      <c r="Q82" s="353"/>
      <c r="R82" s="354"/>
      <c r="S82" s="325"/>
      <c r="T82" s="325">
        <f t="shared" si="24"/>
        <v>0</v>
      </c>
    </row>
    <row r="83" spans="1:20">
      <c r="A83" s="330"/>
      <c r="B83" s="385"/>
      <c r="C83" s="78" t="s">
        <v>21</v>
      </c>
      <c r="D83" s="376"/>
      <c r="E83" s="353"/>
      <c r="F83" s="354"/>
      <c r="G83" s="325"/>
      <c r="H83" s="353"/>
      <c r="I83" s="354"/>
      <c r="J83" s="325"/>
      <c r="K83" s="353"/>
      <c r="L83" s="354"/>
      <c r="M83" s="325"/>
      <c r="N83" s="353"/>
      <c r="O83" s="354"/>
      <c r="P83" s="325"/>
      <c r="Q83" s="353"/>
      <c r="R83" s="354"/>
      <c r="S83" s="325"/>
      <c r="T83" s="325">
        <f t="shared" si="24"/>
        <v>0</v>
      </c>
    </row>
    <row r="84" spans="1:20" ht="23">
      <c r="A84" s="330"/>
      <c r="B84" s="385"/>
      <c r="C84" s="78" t="s">
        <v>22</v>
      </c>
      <c r="D84" s="376"/>
      <c r="E84" s="353"/>
      <c r="F84" s="354"/>
      <c r="G84" s="325"/>
      <c r="H84" s="353"/>
      <c r="I84" s="354"/>
      <c r="J84" s="325"/>
      <c r="K84" s="353"/>
      <c r="L84" s="354"/>
      <c r="M84" s="325"/>
      <c r="N84" s="353"/>
      <c r="O84" s="354"/>
      <c r="P84" s="325"/>
      <c r="Q84" s="353"/>
      <c r="R84" s="354"/>
      <c r="S84" s="325"/>
      <c r="T84" s="325">
        <f t="shared" si="24"/>
        <v>0</v>
      </c>
    </row>
    <row r="85" spans="1:20">
      <c r="A85" s="330"/>
      <c r="B85" s="385"/>
      <c r="C85" s="78" t="s">
        <v>23</v>
      </c>
      <c r="D85" s="376"/>
      <c r="E85" s="353"/>
      <c r="F85" s="354"/>
      <c r="G85" s="325"/>
      <c r="H85" s="353"/>
      <c r="I85" s="354"/>
      <c r="J85" s="325"/>
      <c r="K85" s="353"/>
      <c r="L85" s="354"/>
      <c r="M85" s="325"/>
      <c r="N85" s="353"/>
      <c r="O85" s="354"/>
      <c r="P85" s="325"/>
      <c r="Q85" s="353"/>
      <c r="R85" s="354"/>
      <c r="S85" s="325"/>
      <c r="T85" s="325">
        <f t="shared" si="24"/>
        <v>0</v>
      </c>
    </row>
    <row r="86" spans="1:20" ht="23">
      <c r="A86" s="330"/>
      <c r="B86" s="385"/>
      <c r="C86" s="78" t="s">
        <v>25</v>
      </c>
      <c r="D86" s="376"/>
      <c r="E86" s="353"/>
      <c r="F86" s="354"/>
      <c r="G86" s="325"/>
      <c r="H86" s="353"/>
      <c r="I86" s="354"/>
      <c r="J86" s="325"/>
      <c r="K86" s="353"/>
      <c r="L86" s="354"/>
      <c r="M86" s="325"/>
      <c r="N86" s="353"/>
      <c r="O86" s="354"/>
      <c r="P86" s="325"/>
      <c r="Q86" s="353"/>
      <c r="R86" s="354"/>
      <c r="S86" s="325"/>
      <c r="T86" s="325">
        <f t="shared" si="24"/>
        <v>0</v>
      </c>
    </row>
    <row r="87" spans="1:20">
      <c r="A87" s="330"/>
      <c r="B87" s="385"/>
      <c r="C87" s="78" t="s">
        <v>24</v>
      </c>
      <c r="D87" s="376"/>
      <c r="E87" s="353"/>
      <c r="F87" s="354"/>
      <c r="G87" s="325"/>
      <c r="H87" s="353"/>
      <c r="I87" s="354"/>
      <c r="J87" s="325"/>
      <c r="K87" s="353"/>
      <c r="L87" s="354"/>
      <c r="M87" s="325"/>
      <c r="N87" s="353"/>
      <c r="O87" s="354"/>
      <c r="P87" s="325"/>
      <c r="Q87" s="353"/>
      <c r="R87" s="354"/>
      <c r="S87" s="325"/>
      <c r="T87" s="325">
        <f t="shared" si="24"/>
        <v>0</v>
      </c>
    </row>
    <row r="88" spans="1:20" ht="35" thickBot="1">
      <c r="A88" s="59" t="s">
        <v>26</v>
      </c>
      <c r="B88" s="25">
        <v>901217</v>
      </c>
      <c r="C88" s="86" t="s">
        <v>27</v>
      </c>
      <c r="D88" s="119" t="s">
        <v>109</v>
      </c>
      <c r="E88" s="103">
        <v>420000</v>
      </c>
      <c r="F88" s="104">
        <f>+E88*0.19</f>
        <v>79800</v>
      </c>
      <c r="G88" s="83">
        <f>+E88+F88</f>
        <v>499800</v>
      </c>
      <c r="H88" s="103">
        <f>180000/1.19</f>
        <v>151260.50420168068</v>
      </c>
      <c r="I88" s="104">
        <f>+H88*0.19</f>
        <v>28739.495798319331</v>
      </c>
      <c r="J88" s="83">
        <f>+H88+I88</f>
        <v>180000</v>
      </c>
      <c r="K88" s="103">
        <f>297500/1.19</f>
        <v>250000</v>
      </c>
      <c r="L88" s="104">
        <f>+K88*0.19</f>
        <v>47500</v>
      </c>
      <c r="M88" s="83">
        <f>+K88+L88</f>
        <v>297500</v>
      </c>
      <c r="N88" s="103">
        <f>110000/1.19</f>
        <v>92436.97478991597</v>
      </c>
      <c r="O88" s="104">
        <f>+N88*0.19</f>
        <v>17563.025210084033</v>
      </c>
      <c r="P88" s="83">
        <f>+N88+O88</f>
        <v>110000</v>
      </c>
      <c r="Q88" s="103">
        <f>85000/1.19</f>
        <v>71428.571428571435</v>
      </c>
      <c r="R88" s="104">
        <f>+Q88*0.19</f>
        <v>13571.428571428572</v>
      </c>
      <c r="S88" s="83">
        <f>+Q88+R88</f>
        <v>85000</v>
      </c>
      <c r="T88" s="83">
        <f>(G88+J88+M88+P88+S88)/5</f>
        <v>234460</v>
      </c>
    </row>
    <row r="89" spans="1:20" ht="16" customHeight="1" thickBot="1">
      <c r="A89" s="68"/>
      <c r="B89" s="57"/>
      <c r="C89" s="89"/>
      <c r="D89" s="120"/>
      <c r="E89" s="338" t="s">
        <v>141</v>
      </c>
      <c r="F89" s="339"/>
      <c r="G89" s="340"/>
      <c r="H89" s="359" t="s">
        <v>176</v>
      </c>
      <c r="I89" s="360"/>
      <c r="J89" s="361"/>
      <c r="K89" s="359" t="s">
        <v>177</v>
      </c>
      <c r="L89" s="360"/>
      <c r="M89" s="361"/>
      <c r="N89" s="121"/>
      <c r="O89" s="106"/>
      <c r="P89" s="107"/>
      <c r="Q89" s="121"/>
      <c r="R89" s="106"/>
      <c r="S89" s="107"/>
      <c r="T89" s="84"/>
    </row>
    <row r="90" spans="1:20" ht="12" customHeight="1">
      <c r="A90" s="386" t="s">
        <v>124</v>
      </c>
      <c r="B90" s="387"/>
      <c r="C90" s="387"/>
      <c r="D90" s="388"/>
      <c r="E90" s="389" t="s">
        <v>119</v>
      </c>
      <c r="F90" s="391" t="s">
        <v>120</v>
      </c>
      <c r="G90" s="393" t="s">
        <v>121</v>
      </c>
      <c r="H90" s="395" t="s">
        <v>119</v>
      </c>
      <c r="I90" s="391" t="s">
        <v>120</v>
      </c>
      <c r="J90" s="393" t="s">
        <v>121</v>
      </c>
      <c r="K90" s="395" t="s">
        <v>119</v>
      </c>
      <c r="L90" s="391" t="s">
        <v>120</v>
      </c>
      <c r="M90" s="393" t="s">
        <v>121</v>
      </c>
      <c r="N90" s="395" t="s">
        <v>119</v>
      </c>
      <c r="O90" s="391" t="s">
        <v>120</v>
      </c>
      <c r="P90" s="393" t="s">
        <v>121</v>
      </c>
      <c r="Q90" s="395" t="s">
        <v>119</v>
      </c>
      <c r="R90" s="391" t="s">
        <v>120</v>
      </c>
      <c r="S90" s="393" t="s">
        <v>121</v>
      </c>
      <c r="T90" s="397"/>
    </row>
    <row r="91" spans="1:20" ht="23">
      <c r="A91" s="67" t="s">
        <v>0</v>
      </c>
      <c r="B91" s="74" t="s">
        <v>1</v>
      </c>
      <c r="C91" s="114" t="s">
        <v>2</v>
      </c>
      <c r="D91" s="114" t="s">
        <v>3</v>
      </c>
      <c r="E91" s="390"/>
      <c r="F91" s="392"/>
      <c r="G91" s="394"/>
      <c r="H91" s="396"/>
      <c r="I91" s="392"/>
      <c r="J91" s="394"/>
      <c r="K91" s="396"/>
      <c r="L91" s="392"/>
      <c r="M91" s="394"/>
      <c r="N91" s="396"/>
      <c r="O91" s="392"/>
      <c r="P91" s="394"/>
      <c r="Q91" s="396"/>
      <c r="R91" s="392"/>
      <c r="S91" s="394"/>
      <c r="T91" s="398"/>
    </row>
    <row r="92" spans="1:20" ht="23">
      <c r="A92" s="90" t="s">
        <v>125</v>
      </c>
      <c r="B92" s="122">
        <v>461817</v>
      </c>
      <c r="C92" s="101" t="s">
        <v>112</v>
      </c>
      <c r="D92" s="115" t="s">
        <v>113</v>
      </c>
      <c r="E92" s="108">
        <v>68927</v>
      </c>
      <c r="F92" s="109">
        <f t="shared" ref="F92:F98" si="25">+E92*0.19</f>
        <v>13096.130000000001</v>
      </c>
      <c r="G92" s="85">
        <f t="shared" ref="G92:G98" si="26">+E92+F92</f>
        <v>82023.13</v>
      </c>
      <c r="H92" s="108">
        <v>80500</v>
      </c>
      <c r="I92" s="109">
        <f t="shared" ref="I92:I98" si="27">+H92*0.19</f>
        <v>15295</v>
      </c>
      <c r="J92" s="85">
        <f t="shared" ref="J92:J98" si="28">+H92+I92</f>
        <v>95795</v>
      </c>
      <c r="K92" s="108">
        <v>79000</v>
      </c>
      <c r="L92" s="109">
        <f t="shared" ref="L92:L98" si="29">+K92*0.19</f>
        <v>15010</v>
      </c>
      <c r="M92" s="85">
        <f t="shared" ref="M92:M98" si="30">+K92+L92</f>
        <v>94010</v>
      </c>
      <c r="N92" s="108"/>
      <c r="O92" s="109">
        <f t="shared" ref="O92:O98" si="31">+N92*0.19</f>
        <v>0</v>
      </c>
      <c r="P92" s="85">
        <f t="shared" ref="P92:P98" si="32">+N92+O92</f>
        <v>0</v>
      </c>
      <c r="Q92" s="108"/>
      <c r="R92" s="109">
        <f t="shared" ref="R92:R98" si="33">+Q92*0.19</f>
        <v>0</v>
      </c>
      <c r="S92" s="85">
        <f t="shared" ref="S92:S98" si="34">+Q92+R92</f>
        <v>0</v>
      </c>
      <c r="T92" s="85">
        <f>(G92+J92+M92+P92+S92)/3</f>
        <v>90609.376666666663</v>
      </c>
    </row>
    <row r="93" spans="1:20" ht="23">
      <c r="A93" s="90" t="s">
        <v>126</v>
      </c>
      <c r="B93" s="373">
        <v>123521</v>
      </c>
      <c r="C93" s="123" t="s">
        <v>117</v>
      </c>
      <c r="D93" s="115" t="s">
        <v>116</v>
      </c>
      <c r="E93" s="108">
        <v>12350</v>
      </c>
      <c r="F93" s="109">
        <f t="shared" si="25"/>
        <v>2346.5</v>
      </c>
      <c r="G93" s="85">
        <f t="shared" si="26"/>
        <v>14696.5</v>
      </c>
      <c r="H93" s="108">
        <v>54900</v>
      </c>
      <c r="I93" s="109">
        <f t="shared" si="27"/>
        <v>10431</v>
      </c>
      <c r="J93" s="85">
        <f t="shared" si="28"/>
        <v>65331</v>
      </c>
      <c r="K93" s="108">
        <v>49000</v>
      </c>
      <c r="L93" s="108">
        <f t="shared" si="29"/>
        <v>9310</v>
      </c>
      <c r="M93" s="108">
        <f t="shared" si="30"/>
        <v>58310</v>
      </c>
      <c r="N93" s="108"/>
      <c r="O93" s="109">
        <f t="shared" si="31"/>
        <v>0</v>
      </c>
      <c r="P93" s="85">
        <f t="shared" si="32"/>
        <v>0</v>
      </c>
      <c r="Q93" s="108">
        <v>0</v>
      </c>
      <c r="R93" s="109">
        <f t="shared" si="33"/>
        <v>0</v>
      </c>
      <c r="S93" s="85">
        <f t="shared" si="34"/>
        <v>0</v>
      </c>
      <c r="T93" s="85">
        <f t="shared" ref="T93:T97" si="35">(G93+J93+M93+P93+S93)/3</f>
        <v>46112.5</v>
      </c>
    </row>
    <row r="94" spans="1:20">
      <c r="A94" s="90" t="s">
        <v>128</v>
      </c>
      <c r="B94" s="375"/>
      <c r="C94" s="123" t="s">
        <v>127</v>
      </c>
      <c r="D94" s="115" t="s">
        <v>115</v>
      </c>
      <c r="E94" s="108">
        <v>12850</v>
      </c>
      <c r="F94" s="109">
        <f t="shared" si="25"/>
        <v>2441.5</v>
      </c>
      <c r="G94" s="85">
        <f t="shared" si="26"/>
        <v>15291.5</v>
      </c>
      <c r="H94" s="108">
        <v>8978</v>
      </c>
      <c r="I94" s="109">
        <f t="shared" si="27"/>
        <v>1705.82</v>
      </c>
      <c r="J94" s="85">
        <f t="shared" si="28"/>
        <v>10683.82</v>
      </c>
      <c r="K94" s="108">
        <v>10000</v>
      </c>
      <c r="L94" s="108">
        <f t="shared" si="29"/>
        <v>1900</v>
      </c>
      <c r="M94" s="108">
        <f t="shared" si="30"/>
        <v>11900</v>
      </c>
      <c r="N94" s="108"/>
      <c r="O94" s="109">
        <f t="shared" si="31"/>
        <v>0</v>
      </c>
      <c r="P94" s="85">
        <f t="shared" si="32"/>
        <v>0</v>
      </c>
      <c r="Q94" s="108"/>
      <c r="R94" s="109">
        <f t="shared" si="33"/>
        <v>0</v>
      </c>
      <c r="S94" s="85">
        <f t="shared" si="34"/>
        <v>0</v>
      </c>
      <c r="T94" s="85">
        <f t="shared" si="35"/>
        <v>12625.106666666667</v>
      </c>
    </row>
    <row r="95" spans="1:20" ht="23">
      <c r="A95" s="90" t="s">
        <v>129</v>
      </c>
      <c r="B95" s="58">
        <v>422954</v>
      </c>
      <c r="C95" s="101" t="s">
        <v>132</v>
      </c>
      <c r="D95" s="115" t="s">
        <v>114</v>
      </c>
      <c r="E95" s="108">
        <v>46000</v>
      </c>
      <c r="F95" s="109">
        <f t="shared" si="25"/>
        <v>8740</v>
      </c>
      <c r="G95" s="85">
        <f t="shared" si="26"/>
        <v>54740</v>
      </c>
      <c r="H95" s="108">
        <v>35000</v>
      </c>
      <c r="I95" s="109">
        <f t="shared" si="27"/>
        <v>6650</v>
      </c>
      <c r="J95" s="85">
        <f t="shared" si="28"/>
        <v>41650</v>
      </c>
      <c r="K95" s="108">
        <v>38000</v>
      </c>
      <c r="L95" s="108">
        <f t="shared" si="29"/>
        <v>7220</v>
      </c>
      <c r="M95" s="108">
        <f t="shared" si="30"/>
        <v>45220</v>
      </c>
      <c r="N95" s="108"/>
      <c r="O95" s="109">
        <f t="shared" si="31"/>
        <v>0</v>
      </c>
      <c r="P95" s="85">
        <f t="shared" si="32"/>
        <v>0</v>
      </c>
      <c r="Q95" s="108">
        <v>0</v>
      </c>
      <c r="R95" s="109">
        <f t="shared" si="33"/>
        <v>0</v>
      </c>
      <c r="S95" s="85">
        <f t="shared" si="34"/>
        <v>0</v>
      </c>
      <c r="T95" s="85">
        <f t="shared" si="35"/>
        <v>47203.333333333336</v>
      </c>
    </row>
    <row r="96" spans="1:20" ht="34.5">
      <c r="A96" s="90" t="s">
        <v>131</v>
      </c>
      <c r="B96" s="58">
        <v>461815</v>
      </c>
      <c r="C96" s="123" t="s">
        <v>130</v>
      </c>
      <c r="D96" s="115" t="s">
        <v>4</v>
      </c>
      <c r="E96" s="108">
        <v>11450</v>
      </c>
      <c r="F96" s="109">
        <f t="shared" si="25"/>
        <v>2175.5</v>
      </c>
      <c r="G96" s="85">
        <f t="shared" si="26"/>
        <v>13625.5</v>
      </c>
      <c r="H96" s="108">
        <v>6875</v>
      </c>
      <c r="I96" s="109">
        <f t="shared" si="27"/>
        <v>1306.25</v>
      </c>
      <c r="J96" s="85">
        <f t="shared" si="28"/>
        <v>8181.25</v>
      </c>
      <c r="K96" s="108">
        <v>44000</v>
      </c>
      <c r="L96" s="109">
        <f t="shared" si="29"/>
        <v>8360</v>
      </c>
      <c r="M96" s="85">
        <f t="shared" si="30"/>
        <v>52360</v>
      </c>
      <c r="N96" s="108"/>
      <c r="O96" s="109">
        <f t="shared" si="31"/>
        <v>0</v>
      </c>
      <c r="P96" s="85">
        <f t="shared" si="32"/>
        <v>0</v>
      </c>
      <c r="Q96" s="108">
        <v>0</v>
      </c>
      <c r="R96" s="109">
        <f t="shared" si="33"/>
        <v>0</v>
      </c>
      <c r="S96" s="85">
        <f t="shared" si="34"/>
        <v>0</v>
      </c>
      <c r="T96" s="85">
        <f t="shared" si="35"/>
        <v>24722.25</v>
      </c>
    </row>
    <row r="97" spans="1:20" ht="46">
      <c r="A97" s="90" t="s">
        <v>134</v>
      </c>
      <c r="B97" s="124">
        <v>461815</v>
      </c>
      <c r="C97" s="123" t="s">
        <v>133</v>
      </c>
      <c r="D97" s="115" t="s">
        <v>4</v>
      </c>
      <c r="E97" s="108">
        <v>63975</v>
      </c>
      <c r="F97" s="109">
        <f t="shared" si="25"/>
        <v>12155.25</v>
      </c>
      <c r="G97" s="85">
        <f t="shared" si="26"/>
        <v>76130.25</v>
      </c>
      <c r="H97" s="108">
        <v>55000</v>
      </c>
      <c r="I97" s="109">
        <f t="shared" si="27"/>
        <v>10450</v>
      </c>
      <c r="J97" s="85">
        <f t="shared" si="28"/>
        <v>65450</v>
      </c>
      <c r="K97" s="108">
        <v>73000</v>
      </c>
      <c r="L97" s="109">
        <f t="shared" si="29"/>
        <v>13870</v>
      </c>
      <c r="M97" s="85">
        <f t="shared" si="30"/>
        <v>86870</v>
      </c>
      <c r="N97" s="108"/>
      <c r="O97" s="109">
        <f t="shared" si="31"/>
        <v>0</v>
      </c>
      <c r="P97" s="85">
        <f t="shared" si="32"/>
        <v>0</v>
      </c>
      <c r="Q97" s="108">
        <v>0</v>
      </c>
      <c r="R97" s="109">
        <f t="shared" si="33"/>
        <v>0</v>
      </c>
      <c r="S97" s="85">
        <f t="shared" si="34"/>
        <v>0</v>
      </c>
      <c r="T97" s="85">
        <f t="shared" si="35"/>
        <v>76150.083333333328</v>
      </c>
    </row>
    <row r="98" spans="1:20" ht="35" thickBot="1">
      <c r="A98" s="91" t="s">
        <v>136</v>
      </c>
      <c r="B98" s="125">
        <v>461815</v>
      </c>
      <c r="C98" s="126" t="s">
        <v>135</v>
      </c>
      <c r="D98" s="127" t="s">
        <v>4</v>
      </c>
      <c r="E98" s="103">
        <v>19250</v>
      </c>
      <c r="F98" s="104">
        <f t="shared" si="25"/>
        <v>3657.5</v>
      </c>
      <c r="G98" s="83">
        <f t="shared" si="26"/>
        <v>22907.5</v>
      </c>
      <c r="H98" s="108">
        <v>19000</v>
      </c>
      <c r="I98" s="104">
        <f t="shared" si="27"/>
        <v>3610</v>
      </c>
      <c r="J98" s="83">
        <f t="shared" si="28"/>
        <v>22610</v>
      </c>
      <c r="K98" s="108">
        <v>8000</v>
      </c>
      <c r="L98" s="104">
        <f t="shared" si="29"/>
        <v>1520</v>
      </c>
      <c r="M98" s="83">
        <f t="shared" si="30"/>
        <v>9520</v>
      </c>
      <c r="N98" s="103"/>
      <c r="O98" s="104">
        <f t="shared" si="31"/>
        <v>0</v>
      </c>
      <c r="P98" s="83">
        <f t="shared" si="32"/>
        <v>0</v>
      </c>
      <c r="Q98" s="103">
        <v>0</v>
      </c>
      <c r="R98" s="104">
        <f t="shared" si="33"/>
        <v>0</v>
      </c>
      <c r="S98" s="83">
        <f t="shared" si="34"/>
        <v>0</v>
      </c>
      <c r="T98" s="85">
        <f>(G98+J98+M98+P98+S98)/3</f>
        <v>18345.833333333332</v>
      </c>
    </row>
    <row r="99" spans="1:20">
      <c r="E99" s="110">
        <f t="shared" ref="E99:Q99" si="36">SUM(E4:E98)</f>
        <v>40236321</v>
      </c>
      <c r="F99" s="110">
        <f t="shared" si="36"/>
        <v>7644900.9899999984</v>
      </c>
      <c r="G99" s="110">
        <f t="shared" si="36"/>
        <v>47881221.990000002</v>
      </c>
      <c r="H99" s="110">
        <f t="shared" si="36"/>
        <v>40143742.369747885</v>
      </c>
      <c r="I99" s="110">
        <f t="shared" si="36"/>
        <v>7627311.0502521014</v>
      </c>
      <c r="J99" s="110">
        <f t="shared" si="36"/>
        <v>47771053.419999994</v>
      </c>
      <c r="K99" s="110">
        <f t="shared" si="36"/>
        <v>33662834</v>
      </c>
      <c r="L99" s="110">
        <f t="shared" si="36"/>
        <v>6395938.46</v>
      </c>
      <c r="M99" s="110">
        <f t="shared" si="36"/>
        <v>40058772.460000001</v>
      </c>
      <c r="N99" s="110">
        <f t="shared" si="36"/>
        <v>3187933.6134453788</v>
      </c>
      <c r="O99" s="110">
        <f t="shared" si="36"/>
        <v>605707.38655462197</v>
      </c>
      <c r="P99" s="110">
        <f t="shared" si="36"/>
        <v>3793641</v>
      </c>
      <c r="Q99" s="110">
        <f t="shared" si="36"/>
        <v>2079100.8403361342</v>
      </c>
      <c r="R99" s="110">
        <f t="shared" ref="R99" si="37">SUM(R4:R98)</f>
        <v>395029.15966386558</v>
      </c>
      <c r="S99" s="110">
        <f>SUM(S4:S98)</f>
        <v>2474130</v>
      </c>
      <c r="T99" s="110">
        <f>SUM(T4:T98)</f>
        <v>86455283.223499998</v>
      </c>
    </row>
  </sheetData>
  <mergeCells count="293">
    <mergeCell ref="P90:P91"/>
    <mergeCell ref="Q90:Q91"/>
    <mergeCell ref="R90:R91"/>
    <mergeCell ref="S90:S91"/>
    <mergeCell ref="T90:T91"/>
    <mergeCell ref="B93:B94"/>
    <mergeCell ref="J90:J91"/>
    <mergeCell ref="K90:K91"/>
    <mergeCell ref="L90:L91"/>
    <mergeCell ref="M90:M91"/>
    <mergeCell ref="N90:N91"/>
    <mergeCell ref="O90:O91"/>
    <mergeCell ref="O81:O87"/>
    <mergeCell ref="P81:P87"/>
    <mergeCell ref="Q81:Q87"/>
    <mergeCell ref="R81:R87"/>
    <mergeCell ref="S81:S87"/>
    <mergeCell ref="H81:H87"/>
    <mergeCell ref="I81:I87"/>
    <mergeCell ref="J81:J87"/>
    <mergeCell ref="K81:K87"/>
    <mergeCell ref="L81:L87"/>
    <mergeCell ref="M81:M87"/>
    <mergeCell ref="E89:G89"/>
    <mergeCell ref="H89:J89"/>
    <mergeCell ref="K89:M89"/>
    <mergeCell ref="A90:D90"/>
    <mergeCell ref="E90:E91"/>
    <mergeCell ref="F90:F91"/>
    <mergeCell ref="G90:G91"/>
    <mergeCell ref="H90:H91"/>
    <mergeCell ref="I90:I91"/>
    <mergeCell ref="S66:S71"/>
    <mergeCell ref="T66:T71"/>
    <mergeCell ref="A78:A79"/>
    <mergeCell ref="B78:B79"/>
    <mergeCell ref="A81:A87"/>
    <mergeCell ref="B81:B87"/>
    <mergeCell ref="D81:D87"/>
    <mergeCell ref="E81:E87"/>
    <mergeCell ref="F81:F87"/>
    <mergeCell ref="G81:G87"/>
    <mergeCell ref="M66:M71"/>
    <mergeCell ref="N66:N71"/>
    <mergeCell ref="O66:O71"/>
    <mergeCell ref="P66:P71"/>
    <mergeCell ref="Q66:Q71"/>
    <mergeCell ref="R66:R71"/>
    <mergeCell ref="G66:G71"/>
    <mergeCell ref="H66:H71"/>
    <mergeCell ref="I66:I71"/>
    <mergeCell ref="J66:J71"/>
    <mergeCell ref="K66:K71"/>
    <mergeCell ref="L66:L71"/>
    <mergeCell ref="T81:T87"/>
    <mergeCell ref="N81:N87"/>
    <mergeCell ref="A66:A71"/>
    <mergeCell ref="B66:B71"/>
    <mergeCell ref="D66:D71"/>
    <mergeCell ref="E66:E71"/>
    <mergeCell ref="F66:F71"/>
    <mergeCell ref="J62:J63"/>
    <mergeCell ref="K62:K63"/>
    <mergeCell ref="L62:L63"/>
    <mergeCell ref="M62:M63"/>
    <mergeCell ref="R60:R61"/>
    <mergeCell ref="S60:S61"/>
    <mergeCell ref="T60:T61"/>
    <mergeCell ref="A62:A63"/>
    <mergeCell ref="D62:D63"/>
    <mergeCell ref="E62:E63"/>
    <mergeCell ref="F62:F63"/>
    <mergeCell ref="G62:G63"/>
    <mergeCell ref="H62:H63"/>
    <mergeCell ref="I62:I63"/>
    <mergeCell ref="L60:L61"/>
    <mergeCell ref="M60:M61"/>
    <mergeCell ref="N60:N61"/>
    <mergeCell ref="O60:O61"/>
    <mergeCell ref="P60:P61"/>
    <mergeCell ref="Q60:Q61"/>
    <mergeCell ref="P62:P63"/>
    <mergeCell ref="Q62:Q63"/>
    <mergeCell ref="R62:R63"/>
    <mergeCell ref="S62:S63"/>
    <mergeCell ref="T62:T63"/>
    <mergeCell ref="N62:N63"/>
    <mergeCell ref="O62:O63"/>
    <mergeCell ref="A60:A61"/>
    <mergeCell ref="D60:D61"/>
    <mergeCell ref="E60:E61"/>
    <mergeCell ref="F60:F61"/>
    <mergeCell ref="G60:G61"/>
    <mergeCell ref="H60:H61"/>
    <mergeCell ref="I60:I61"/>
    <mergeCell ref="J60:J61"/>
    <mergeCell ref="K60:K61"/>
    <mergeCell ref="F55:F59"/>
    <mergeCell ref="G55:G59"/>
    <mergeCell ref="H55:H59"/>
    <mergeCell ref="I55:I59"/>
    <mergeCell ref="J52:J54"/>
    <mergeCell ref="K52:K54"/>
    <mergeCell ref="L52:L54"/>
    <mergeCell ref="M52:M54"/>
    <mergeCell ref="N52:N54"/>
    <mergeCell ref="O52:O54"/>
    <mergeCell ref="T55:T59"/>
    <mergeCell ref="N55:N59"/>
    <mergeCell ref="O55:O59"/>
    <mergeCell ref="P55:P59"/>
    <mergeCell ref="Q55:Q59"/>
    <mergeCell ref="R55:R59"/>
    <mergeCell ref="S55:S59"/>
    <mergeCell ref="J55:J59"/>
    <mergeCell ref="K55:K59"/>
    <mergeCell ref="L55:L59"/>
    <mergeCell ref="M55:M59"/>
    <mergeCell ref="S50:S51"/>
    <mergeCell ref="T50:T51"/>
    <mergeCell ref="A52:A54"/>
    <mergeCell ref="B52:B65"/>
    <mergeCell ref="D52:D54"/>
    <mergeCell ref="E52:E54"/>
    <mergeCell ref="F52:F54"/>
    <mergeCell ref="G52:G54"/>
    <mergeCell ref="H52:H54"/>
    <mergeCell ref="I52:I54"/>
    <mergeCell ref="M50:M51"/>
    <mergeCell ref="N50:N51"/>
    <mergeCell ref="O50:O51"/>
    <mergeCell ref="P50:P51"/>
    <mergeCell ref="Q50:Q51"/>
    <mergeCell ref="R50:R51"/>
    <mergeCell ref="P52:P54"/>
    <mergeCell ref="Q52:Q54"/>
    <mergeCell ref="R52:R54"/>
    <mergeCell ref="S52:S54"/>
    <mergeCell ref="T52:T54"/>
    <mergeCell ref="A55:A59"/>
    <mergeCell ref="D55:D59"/>
    <mergeCell ref="E55:E59"/>
    <mergeCell ref="A50:D50"/>
    <mergeCell ref="E50:E51"/>
    <mergeCell ref="F50:F51"/>
    <mergeCell ref="G50:G51"/>
    <mergeCell ref="H50:H51"/>
    <mergeCell ref="I50:I51"/>
    <mergeCell ref="J50:J51"/>
    <mergeCell ref="K50:K51"/>
    <mergeCell ref="L50:L51"/>
    <mergeCell ref="B33:B36"/>
    <mergeCell ref="B41:B42"/>
    <mergeCell ref="B44:B45"/>
    <mergeCell ref="E49:G49"/>
    <mergeCell ref="H49:J49"/>
    <mergeCell ref="K49:M49"/>
    <mergeCell ref="P28:P29"/>
    <mergeCell ref="Q28:Q29"/>
    <mergeCell ref="R28:R29"/>
    <mergeCell ref="N49:P49"/>
    <mergeCell ref="S28:S29"/>
    <mergeCell ref="T28:T29"/>
    <mergeCell ref="A30:A31"/>
    <mergeCell ref="J28:J29"/>
    <mergeCell ref="K28:K29"/>
    <mergeCell ref="L28:L29"/>
    <mergeCell ref="M28:M29"/>
    <mergeCell ref="N28:N29"/>
    <mergeCell ref="O28:O29"/>
    <mergeCell ref="A28:D28"/>
    <mergeCell ref="E28:E29"/>
    <mergeCell ref="F28:F29"/>
    <mergeCell ref="G28:G29"/>
    <mergeCell ref="H28:H29"/>
    <mergeCell ref="I28:I29"/>
    <mergeCell ref="S24:S25"/>
    <mergeCell ref="T24:T25"/>
    <mergeCell ref="E27:G27"/>
    <mergeCell ref="H27:J27"/>
    <mergeCell ref="K27:M27"/>
    <mergeCell ref="K24:K25"/>
    <mergeCell ref="L24:L25"/>
    <mergeCell ref="M24:M25"/>
    <mergeCell ref="N24:N25"/>
    <mergeCell ref="O24:O25"/>
    <mergeCell ref="P24:P25"/>
    <mergeCell ref="S22:S23"/>
    <mergeCell ref="T22:T23"/>
    <mergeCell ref="B24:B25"/>
    <mergeCell ref="D24:D25"/>
    <mergeCell ref="E24:E25"/>
    <mergeCell ref="F24:F25"/>
    <mergeCell ref="G24:G25"/>
    <mergeCell ref="H24:H25"/>
    <mergeCell ref="I24:I25"/>
    <mergeCell ref="J24:J25"/>
    <mergeCell ref="M22:M23"/>
    <mergeCell ref="N22:N23"/>
    <mergeCell ref="O22:O23"/>
    <mergeCell ref="P22:P23"/>
    <mergeCell ref="Q22:Q23"/>
    <mergeCell ref="R22:R23"/>
    <mergeCell ref="G22:G23"/>
    <mergeCell ref="H22:H23"/>
    <mergeCell ref="I22:I23"/>
    <mergeCell ref="J22:J23"/>
    <mergeCell ref="K22:K23"/>
    <mergeCell ref="L22:L23"/>
    <mergeCell ref="Q24:Q25"/>
    <mergeCell ref="R24:R25"/>
    <mergeCell ref="A22:A25"/>
    <mergeCell ref="B22:B23"/>
    <mergeCell ref="D22:D23"/>
    <mergeCell ref="E22:E23"/>
    <mergeCell ref="F22:F23"/>
    <mergeCell ref="J16:J21"/>
    <mergeCell ref="K16:K21"/>
    <mergeCell ref="L16:L21"/>
    <mergeCell ref="M16:M21"/>
    <mergeCell ref="A4:A21"/>
    <mergeCell ref="E4:E9"/>
    <mergeCell ref="F4:F9"/>
    <mergeCell ref="G4:G9"/>
    <mergeCell ref="I4:I9"/>
    <mergeCell ref="J4:J9"/>
    <mergeCell ref="K4:K9"/>
    <mergeCell ref="L4:L9"/>
    <mergeCell ref="M4:M9"/>
    <mergeCell ref="B4:B9"/>
    <mergeCell ref="D4:D9"/>
    <mergeCell ref="T10:T15"/>
    <mergeCell ref="B16:B21"/>
    <mergeCell ref="D16:D21"/>
    <mergeCell ref="E16:E21"/>
    <mergeCell ref="F16:F21"/>
    <mergeCell ref="G16:G21"/>
    <mergeCell ref="H16:H21"/>
    <mergeCell ref="I16:I21"/>
    <mergeCell ref="L10:L15"/>
    <mergeCell ref="M10:M15"/>
    <mergeCell ref="N10:N15"/>
    <mergeCell ref="O10:O15"/>
    <mergeCell ref="P10:P15"/>
    <mergeCell ref="Q10:Q15"/>
    <mergeCell ref="P16:P21"/>
    <mergeCell ref="Q16:Q21"/>
    <mergeCell ref="R16:R21"/>
    <mergeCell ref="S16:S21"/>
    <mergeCell ref="T16:T21"/>
    <mergeCell ref="N16:N21"/>
    <mergeCell ref="O16:O21"/>
    <mergeCell ref="R10:R15"/>
    <mergeCell ref="S10:S15"/>
    <mergeCell ref="T2:T3"/>
    <mergeCell ref="I2:I3"/>
    <mergeCell ref="J2:J3"/>
    <mergeCell ref="K2:K3"/>
    <mergeCell ref="L2:L3"/>
    <mergeCell ref="M2:M3"/>
    <mergeCell ref="N2:N3"/>
    <mergeCell ref="T4:T9"/>
    <mergeCell ref="B10:B15"/>
    <mergeCell ref="D10:D15"/>
    <mergeCell ref="E10:E15"/>
    <mergeCell ref="F10:F15"/>
    <mergeCell ref="G10:G15"/>
    <mergeCell ref="H10:H15"/>
    <mergeCell ref="I10:I15"/>
    <mergeCell ref="J10:J15"/>
    <mergeCell ref="K10:K15"/>
    <mergeCell ref="N4:N9"/>
    <mergeCell ref="O4:O9"/>
    <mergeCell ref="P4:P9"/>
    <mergeCell ref="Q4:Q9"/>
    <mergeCell ref="R4:R9"/>
    <mergeCell ref="S4:S9"/>
    <mergeCell ref="H4:H9"/>
    <mergeCell ref="E1:G1"/>
    <mergeCell ref="H1:J1"/>
    <mergeCell ref="K1:M1"/>
    <mergeCell ref="N1:P1"/>
    <mergeCell ref="Q1:S1"/>
    <mergeCell ref="A2:D2"/>
    <mergeCell ref="E2:E3"/>
    <mergeCell ref="F2:F3"/>
    <mergeCell ref="G2:G3"/>
    <mergeCell ref="H2:H3"/>
    <mergeCell ref="O2:O3"/>
    <mergeCell ref="P2:P3"/>
    <mergeCell ref="Q2:Q3"/>
    <mergeCell ref="R2:R3"/>
    <mergeCell ref="S2:S3"/>
  </mergeCells>
  <conditionalFormatting sqref="E4:J26 I76:K76 E76:G77 I77:J77 E28:J48 H27 E50:J75 H49 H89 E90:J98 E78:M88 N50:P98 Q39:S98">
    <cfRule type="cellIs" dxfId="14" priority="15" operator="lessThan">
      <formula>1</formula>
    </cfRule>
  </conditionalFormatting>
  <conditionalFormatting sqref="K4:M26 K39:M48 L38:M38 K65:M72 L64:M64 L73:M77 K28:M37 K27 K50:M63 K89 K90:M98">
    <cfRule type="cellIs" dxfId="13" priority="14" operator="lessThan">
      <formula>1</formula>
    </cfRule>
  </conditionalFormatting>
  <conditionalFormatting sqref="N4:P37 O38:P38 N39:P48 N49">
    <cfRule type="cellIs" dxfId="12" priority="13" operator="lessThan">
      <formula>1</formula>
    </cfRule>
  </conditionalFormatting>
  <conditionalFormatting sqref="Q4:S37 R38:S38">
    <cfRule type="cellIs" dxfId="11" priority="12" operator="lessThan">
      <formula>1</formula>
    </cfRule>
  </conditionalFormatting>
  <conditionalFormatting sqref="Q38">
    <cfRule type="cellIs" dxfId="10" priority="9" operator="lessThan">
      <formula>1</formula>
    </cfRule>
  </conditionalFormatting>
  <conditionalFormatting sqref="K38">
    <cfRule type="cellIs" dxfId="9" priority="11" operator="lessThan">
      <formula>1</formula>
    </cfRule>
  </conditionalFormatting>
  <conditionalFormatting sqref="N38">
    <cfRule type="cellIs" dxfId="8" priority="10" operator="lessThan">
      <formula>1</formula>
    </cfRule>
  </conditionalFormatting>
  <conditionalFormatting sqref="K64">
    <cfRule type="cellIs" dxfId="7" priority="8" operator="lessThan">
      <formula>1</formula>
    </cfRule>
  </conditionalFormatting>
  <conditionalFormatting sqref="K74">
    <cfRule type="cellIs" dxfId="6" priority="7" operator="lessThan">
      <formula>1</formula>
    </cfRule>
  </conditionalFormatting>
  <conditionalFormatting sqref="K75">
    <cfRule type="cellIs" dxfId="5" priority="6" operator="lessThan">
      <formula>1</formula>
    </cfRule>
  </conditionalFormatting>
  <conditionalFormatting sqref="H76">
    <cfRule type="cellIs" dxfId="4" priority="5" operator="lessThan">
      <formula>1</formula>
    </cfRule>
  </conditionalFormatting>
  <conditionalFormatting sqref="H77">
    <cfRule type="cellIs" dxfId="3" priority="4" operator="lessThan">
      <formula>1</formula>
    </cfRule>
  </conditionalFormatting>
  <conditionalFormatting sqref="K77">
    <cfRule type="cellIs" dxfId="2" priority="3" operator="lessThan">
      <formula>1</formula>
    </cfRule>
  </conditionalFormatting>
  <conditionalFormatting sqref="K73">
    <cfRule type="cellIs" dxfId="1" priority="2" operator="lessThan">
      <formula>1</formula>
    </cfRule>
  </conditionalFormatting>
  <conditionalFormatting sqref="K49">
    <cfRule type="cellIs" dxfId="0" priority="1" operator="lessThan">
      <formula>1</formula>
    </cfRule>
  </conditionalFormatting>
  <pageMargins left="0.25" right="0.25" top="0.75" bottom="0.75" header="0.3" footer="0.3"/>
  <pageSetup scale="48" fitToWidth="2" fitToHeight="2" orientation="landscape" r:id="rId1"/>
  <rowBreaks count="1" manualBreakCount="1">
    <brk id="48" max="16383"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COTIZACIONES LOGISTICA revisad</vt:lpstr>
      <vt:lpstr>MEDIOS ALTERNATIVOS</vt:lpstr>
      <vt:lpstr>COTIZACIONES LOGISTICA (3)</vt:lpstr>
      <vt:lpstr>COTIZACIONES LOGISTICA (2)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Alexander Esquivel Garcia</dc:creator>
  <cp:lastModifiedBy>fernando.betancourt</cp:lastModifiedBy>
  <cp:lastPrinted>2020-09-09T17:52:24Z</cp:lastPrinted>
  <dcterms:created xsi:type="dcterms:W3CDTF">2020-02-25T12:05:51Z</dcterms:created>
  <dcterms:modified xsi:type="dcterms:W3CDTF">2020-11-10T17:14:54Z</dcterms:modified>
</cp:coreProperties>
</file>