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sistemadealertas_educacionbogota_gov_co/Documents/CONTRATOS/0_2026/CONVENIOS 2026/ENTORNOS ESCOLARES - FTDJ/VERSIONES FINALES COMITÉ DE CONTRATACIÓN/"/>
    </mc:Choice>
  </mc:AlternateContent>
  <xr:revisionPtr revIDLastSave="121" documentId="13_ncr:1_{E6C81C14-CFED-411B-8843-C9A4ED9AADB4}" xr6:coauthVersionLast="47" xr6:coauthVersionMax="47" xr10:uidLastSave="{123E4CD3-C40C-44CA-88CE-43D52B68DAD6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b88nRyYmPrpAlBtjMA203tcE1BaCYv3gq+wgrRgWY6g="/>
    </ext>
  </extLst>
</workbook>
</file>

<file path=xl/calcChain.xml><?xml version="1.0" encoding="utf-8"?>
<calcChain xmlns="http://schemas.openxmlformats.org/spreadsheetml/2006/main">
  <c r="I46" i="1" l="1"/>
  <c r="M42" i="1"/>
  <c r="M41" i="1"/>
  <c r="M40" i="1"/>
  <c r="M39" i="1"/>
  <c r="J42" i="1"/>
  <c r="J41" i="1"/>
  <c r="H14" i="1"/>
  <c r="J40" i="1" s="1"/>
  <c r="H4" i="1"/>
  <c r="J35" i="1" s="1"/>
  <c r="N35" i="1" s="1"/>
  <c r="H3" i="1"/>
  <c r="I3" i="1" s="1"/>
  <c r="I6" i="1" s="1"/>
  <c r="I20" i="1"/>
  <c r="H19" i="1"/>
  <c r="J19" i="1" s="1"/>
  <c r="J15" i="1"/>
  <c r="H13" i="1"/>
  <c r="J13" i="1" s="1"/>
  <c r="H12" i="1"/>
  <c r="J12" i="1" s="1"/>
  <c r="H11" i="1"/>
  <c r="J11" i="1" s="1"/>
  <c r="H8" i="1"/>
  <c r="E5" i="1"/>
  <c r="H5" i="1" s="1"/>
  <c r="J36" i="1" s="1"/>
  <c r="N36" i="1" s="1"/>
  <c r="N40" i="1" l="1"/>
  <c r="N41" i="1"/>
  <c r="N42" i="1"/>
  <c r="J37" i="1"/>
  <c r="N37" i="1" s="1"/>
  <c r="J34" i="1"/>
  <c r="M34" i="1"/>
  <c r="M43" i="1" s="1"/>
  <c r="J38" i="1"/>
  <c r="N38" i="1" s="1"/>
  <c r="J39" i="1"/>
  <c r="N39" i="1" s="1"/>
  <c r="J43" i="1"/>
  <c r="J4" i="1"/>
  <c r="J14" i="1"/>
  <c r="J20" i="1" s="1"/>
  <c r="I23" i="1"/>
  <c r="I25" i="1" s="1"/>
  <c r="H6" i="1"/>
  <c r="J5" i="1"/>
  <c r="H20" i="1"/>
  <c r="J3" i="1"/>
  <c r="I47" i="1" l="1"/>
  <c r="N34" i="1"/>
  <c r="N43" i="1" s="1"/>
  <c r="H23" i="1"/>
  <c r="H25" i="1"/>
  <c r="K24" i="1" s="1"/>
  <c r="I26" i="1"/>
  <c r="J6" i="1"/>
  <c r="J23" i="1" s="1"/>
  <c r="J25" i="1" s="1"/>
  <c r="J46" i="1" l="1"/>
  <c r="J47" i="1"/>
  <c r="H47" i="1"/>
  <c r="J31" i="1"/>
  <c r="J30" i="1"/>
  <c r="J29" i="1"/>
  <c r="J26" i="1"/>
</calcChain>
</file>

<file path=xl/sharedStrings.xml><?xml version="1.0" encoding="utf-8"?>
<sst xmlns="http://schemas.openxmlformats.org/spreadsheetml/2006/main" count="62" uniqueCount="55">
  <si>
    <r>
      <rPr>
        <b/>
        <sz val="7"/>
        <color theme="0"/>
        <rFont val="Arial"/>
        <family val="2"/>
      </rPr>
      <t>COSTOS DIRECTOS INSUMOS Y MATERIALES </t>
    </r>
    <r>
      <rPr>
        <sz val="7"/>
        <color theme="0"/>
        <rFont val="Arial"/>
        <family val="2"/>
      </rPr>
      <t> </t>
    </r>
  </si>
  <si>
    <r>
      <rPr>
        <b/>
        <sz val="7"/>
        <color theme="1"/>
        <rFont val="Arial"/>
        <family val="2"/>
      </rPr>
      <t>CONCEPTO</t>
    </r>
    <r>
      <rPr>
        <sz val="7"/>
        <color theme="1"/>
        <rFont val="Arial"/>
        <family val="2"/>
      </rPr>
      <t> </t>
    </r>
  </si>
  <si>
    <t>DESCRIPCIÓN</t>
  </si>
  <si>
    <t>CANTIDAD</t>
  </si>
  <si>
    <t>VALOR UNITARIO</t>
  </si>
  <si>
    <t>TOTAL</t>
  </si>
  <si>
    <t>APORTES ASOCIADO</t>
  </si>
  <si>
    <t>APORTES SED</t>
  </si>
  <si>
    <t xml:space="preserve">Indumentaria equipo </t>
  </si>
  <si>
    <t>Gorra y Chaqueta</t>
  </si>
  <si>
    <t>Refrigerios participantes de los 47 entornos (500 C/U)</t>
  </si>
  <si>
    <t>Refrigerios</t>
  </si>
  <si>
    <t>Transporte para 47 iniciativas * 10 meses</t>
  </si>
  <si>
    <t>Servicios</t>
  </si>
  <si>
    <r>
      <rPr>
        <b/>
        <sz val="7"/>
        <color theme="1"/>
        <rFont val="Arial"/>
        <family val="2"/>
      </rPr>
      <t>SUBTOTAL COSTOS DIRECTOS (INSUMOS Y MATERIALES  )</t>
    </r>
    <r>
      <rPr>
        <sz val="7"/>
        <color theme="1"/>
        <rFont val="Arial"/>
        <family val="2"/>
      </rPr>
      <t> </t>
    </r>
  </si>
  <si>
    <t>COSTOS DIRECTOS ACTIVIDADES DE IMPACTO COMUNITARIO - IMPLEMENTACIÓN Y SOSTENIBILIDAD</t>
  </si>
  <si>
    <t>Caracterización de entornos 2026</t>
  </si>
  <si>
    <t>Formulación de PICME (25 entornos 2026) 
Actualización de PICME (22 entornos 2025)</t>
  </si>
  <si>
    <t>Implementación estrategia 
(25 entornos 2026) 
Sostenibilidad 
(22 entornos 2025)</t>
  </si>
  <si>
    <t>Bolsas Iniciativas PICME 2026</t>
  </si>
  <si>
    <t>Entornos / Iniciativas</t>
  </si>
  <si>
    <t xml:space="preserve">Bolsa Sostenbilidad Entornos 2025
</t>
  </si>
  <si>
    <t xml:space="preserve">Bolsa de armonización y mejores prácticas
</t>
  </si>
  <si>
    <t>Eventos</t>
  </si>
  <si>
    <t xml:space="preserve">Formación en Liderazgo con grupos motores - 12 sesiones (Componentes: - Incluye asesores expertos y logística)
</t>
  </si>
  <si>
    <t>Sesiones</t>
  </si>
  <si>
    <t>Evaluación de la estrategia</t>
  </si>
  <si>
    <t>Estrategia de comunicación</t>
  </si>
  <si>
    <t>Divulgación comunitaria</t>
  </si>
  <si>
    <t>Sistematización Digital de la Estrategia</t>
  </si>
  <si>
    <t>Videos</t>
  </si>
  <si>
    <t>entornos</t>
  </si>
  <si>
    <r>
      <rPr>
        <b/>
        <sz val="7"/>
        <color theme="1"/>
        <rFont val="Arial"/>
        <family val="2"/>
      </rPr>
      <t> </t>
    </r>
    <r>
      <rPr>
        <sz val="7"/>
        <color theme="1"/>
        <rFont val="Arial"/>
        <family val="2"/>
      </rPr>
      <t> </t>
    </r>
  </si>
  <si>
    <r>
      <rPr>
        <b/>
        <sz val="7"/>
        <color theme="1"/>
        <rFont val="Arial"/>
        <family val="2"/>
      </rPr>
      <t>SUBTOTAL COSTOS DIRECTOS (INSUMOS Y MATERIALES)</t>
    </r>
    <r>
      <rPr>
        <sz val="7"/>
        <color theme="1"/>
        <rFont val="Arial"/>
        <family val="2"/>
      </rPr>
      <t> </t>
    </r>
  </si>
  <si>
    <r>
      <rPr>
        <b/>
        <sz val="7"/>
        <color theme="0"/>
        <rFont val="Arial"/>
        <family val="2"/>
      </rPr>
      <t>RESUMEN GENERAL</t>
    </r>
    <r>
      <rPr>
        <sz val="7"/>
        <color theme="0"/>
        <rFont val="Arial"/>
        <family val="2"/>
      </rPr>
      <t> </t>
    </r>
  </si>
  <si>
    <r>
      <rPr>
        <b/>
        <sz val="7"/>
        <color rgb="FF000000"/>
        <rFont val="Arial"/>
        <family val="2"/>
      </rPr>
      <t> </t>
    </r>
    <r>
      <rPr>
        <sz val="7"/>
        <color rgb="FF000000"/>
        <rFont val="Arial"/>
        <family val="2"/>
      </rPr>
      <t> </t>
    </r>
  </si>
  <si>
    <r>
      <rPr>
        <b/>
        <sz val="7"/>
        <color theme="1"/>
        <rFont val="Arial"/>
        <family val="2"/>
      </rPr>
      <t>TOTAL</t>
    </r>
    <r>
      <rPr>
        <sz val="7"/>
        <color theme="1"/>
        <rFont val="Arial"/>
        <family val="2"/>
      </rPr>
      <t> </t>
    </r>
  </si>
  <si>
    <t>TOTAL COSTOS DIRECTOS</t>
  </si>
  <si>
    <t>Gastos administrativos</t>
  </si>
  <si>
    <t xml:space="preserve">VALOR TOTAL </t>
  </si>
  <si>
    <t>1er desembolso</t>
  </si>
  <si>
    <t>2do desembolso</t>
  </si>
  <si>
    <t>3er desembolso</t>
  </si>
  <si>
    <t>Indumentaria</t>
  </si>
  <si>
    <t>Transporte</t>
  </si>
  <si>
    <t>Bolsas iniciativas PICME 2026</t>
  </si>
  <si>
    <t>Bolsa Sostenbilidad Entornos 2025</t>
  </si>
  <si>
    <t>Bolsa de armonización y mejores prácticas</t>
  </si>
  <si>
    <t>Formación</t>
  </si>
  <si>
    <t>Divulgación</t>
  </si>
  <si>
    <t>Sistematización digital</t>
  </si>
  <si>
    <t>ESTIMACIÓN AUMENTO SMMLV (4,9%)</t>
  </si>
  <si>
    <t>TDJ</t>
  </si>
  <si>
    <t>SED</t>
  </si>
  <si>
    <t>ESTIMACIÓN AUMENTO EN TODOS LOS CONCEPTOS (4,9%)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</si>
</sst>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&quot;$&quot;\ * #,##0.00_-;\-&quot;$&quot;\ * #,##0.00_-;_-&quot;$&quot;\ * &quot;-&quot;??_-;_-@"/>
    <numFmt numFmtId="166" formatCode="_-* #,##0_-;\-* #,##0_-;_-* &quot;-&quot;??_-;_-@"/>
    <numFmt numFmtId="167" formatCode="_-&quot;$&quot;\ * #,##0_-;\-&quot;$&quot;\ * #,##0_-;_-&quot;$&quot;\ * &quot;-&quot;??_-;_-@"/>
    <numFmt numFmtId="169" formatCode="0.000000%"/>
  </numFmts>
  <fonts count="16" x14ac:knownFonts="1">
    <font>
      <sz val="11"/>
      <color theme="1"/>
      <name val="Aptos Narrow"/>
      <scheme val="minor"/>
    </font>
    <font>
      <b/>
      <sz val="7"/>
      <color theme="0"/>
      <name val="Arial"/>
      <family val="2"/>
    </font>
    <font>
      <sz val="11"/>
      <name val="Aptos Narrow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11"/>
      <color theme="1"/>
      <name val="Aptos Narrow"/>
      <family val="2"/>
    </font>
    <font>
      <b/>
      <sz val="7"/>
      <color rgb="FF000000"/>
      <name val="Arial"/>
      <family val="2"/>
    </font>
    <font>
      <sz val="7"/>
      <color theme="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sz val="9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B769F"/>
        <bgColor rgb="FF0B769F"/>
      </patternFill>
    </fill>
    <fill>
      <patternFill patternType="solid">
        <fgColor theme="0"/>
        <bgColor theme="0"/>
      </patternFill>
    </fill>
    <fill>
      <patternFill patternType="solid">
        <fgColor rgb="FF83CCEB"/>
        <bgColor rgb="FF83CCEB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8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right" vertical="center" wrapText="1"/>
    </xf>
    <xf numFmtId="166" fontId="3" fillId="4" borderId="2" xfId="0" applyNumberFormat="1" applyFont="1" applyFill="1" applyBorder="1" applyAlignment="1">
      <alignment horizontal="right" vertical="center" wrapText="1"/>
    </xf>
    <xf numFmtId="0" fontId="7" fillId="3" borderId="2" xfId="0" applyFont="1" applyFill="1" applyBorder="1"/>
    <xf numFmtId="165" fontId="7" fillId="3" borderId="2" xfId="0" applyNumberFormat="1" applyFont="1" applyFill="1" applyBorder="1"/>
    <xf numFmtId="0" fontId="5" fillId="3" borderId="6" xfId="0" applyFont="1" applyFill="1" applyBorder="1" applyAlignment="1">
      <alignment horizontal="center" vertical="center" wrapText="1"/>
    </xf>
    <xf numFmtId="165" fontId="5" fillId="3" borderId="6" xfId="0" applyNumberFormat="1" applyFont="1" applyFill="1" applyBorder="1" applyAlignment="1">
      <alignment horizontal="center" vertical="center" wrapText="1"/>
    </xf>
    <xf numFmtId="165" fontId="5" fillId="3" borderId="6" xfId="0" applyNumberFormat="1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center" vertical="center" wrapText="1"/>
    </xf>
    <xf numFmtId="165" fontId="5" fillId="3" borderId="7" xfId="0" applyNumberFormat="1" applyFont="1" applyFill="1" applyBorder="1" applyAlignment="1">
      <alignment horizontal="center" vertical="center" wrapText="1"/>
    </xf>
    <xf numFmtId="165" fontId="5" fillId="3" borderId="7" xfId="0" applyNumberFormat="1" applyFont="1" applyFill="1" applyBorder="1" applyAlignment="1">
      <alignment horizontal="right" vertical="center" wrapText="1"/>
    </xf>
    <xf numFmtId="165" fontId="5" fillId="3" borderId="9" xfId="0" applyNumberFormat="1" applyFont="1" applyFill="1" applyBorder="1" applyAlignment="1">
      <alignment horizontal="right" vertical="center" wrapText="1"/>
    </xf>
    <xf numFmtId="167" fontId="3" fillId="4" borderId="2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65" fontId="5" fillId="3" borderId="18" xfId="0" applyNumberFormat="1" applyFont="1" applyFill="1" applyBorder="1" applyAlignment="1">
      <alignment horizontal="right" vertical="center" wrapText="1"/>
    </xf>
    <xf numFmtId="166" fontId="3" fillId="4" borderId="18" xfId="0" applyNumberFormat="1" applyFont="1" applyFill="1" applyBorder="1" applyAlignment="1">
      <alignment horizontal="right" vertical="center" wrapText="1"/>
    </xf>
    <xf numFmtId="165" fontId="5" fillId="3" borderId="22" xfId="0" applyNumberFormat="1" applyFont="1" applyFill="1" applyBorder="1" applyAlignment="1">
      <alignment horizontal="right" vertical="center" wrapText="1"/>
    </xf>
    <xf numFmtId="167" fontId="3" fillId="4" borderId="18" xfId="0" applyNumberFormat="1" applyFont="1" applyFill="1" applyBorder="1" applyAlignment="1">
      <alignment horizontal="right" vertical="center" wrapText="1"/>
    </xf>
    <xf numFmtId="165" fontId="6" fillId="0" borderId="25" xfId="0" applyNumberFormat="1" applyFont="1" applyBorder="1" applyAlignment="1">
      <alignment horizontal="center" vertical="center" wrapText="1"/>
    </xf>
    <xf numFmtId="165" fontId="6" fillId="0" borderId="29" xfId="0" applyNumberFormat="1" applyFont="1" applyBorder="1" applyAlignment="1">
      <alignment horizontal="center" vertical="center" wrapText="1"/>
    </xf>
    <xf numFmtId="165" fontId="6" fillId="0" borderId="30" xfId="0" applyNumberFormat="1" applyFont="1" applyBorder="1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/>
    <xf numFmtId="165" fontId="5" fillId="5" borderId="2" xfId="0" applyNumberFormat="1" applyFont="1" applyFill="1" applyBorder="1" applyAlignment="1">
      <alignment horizontal="right" vertical="center" wrapText="1"/>
    </xf>
    <xf numFmtId="165" fontId="6" fillId="5" borderId="13" xfId="0" applyNumberFormat="1" applyFont="1" applyFill="1" applyBorder="1" applyAlignment="1">
      <alignment horizontal="center" vertical="center" wrapText="1"/>
    </xf>
    <xf numFmtId="165" fontId="6" fillId="5" borderId="2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right" vertical="center" wrapText="1"/>
    </xf>
    <xf numFmtId="165" fontId="5" fillId="0" borderId="18" xfId="0" applyNumberFormat="1" applyFont="1" applyBorder="1" applyAlignment="1">
      <alignment horizontal="right" vertical="center" wrapText="1"/>
    </xf>
    <xf numFmtId="0" fontId="11" fillId="0" borderId="0" xfId="0" applyFont="1"/>
    <xf numFmtId="169" fontId="12" fillId="0" borderId="0" xfId="1" applyNumberFormat="1" applyFont="1"/>
    <xf numFmtId="0" fontId="12" fillId="0" borderId="0" xfId="0" applyFont="1"/>
    <xf numFmtId="164" fontId="12" fillId="0" borderId="0" xfId="0" applyNumberFormat="1" applyFont="1"/>
    <xf numFmtId="9" fontId="12" fillId="0" borderId="0" xfId="0" applyNumberFormat="1" applyFont="1"/>
    <xf numFmtId="0" fontId="0" fillId="0" borderId="0" xfId="0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3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7" xfId="0" applyFont="1" applyBorder="1" applyAlignment="1">
      <alignment horizontal="center" wrapText="1"/>
    </xf>
    <xf numFmtId="0" fontId="2" fillId="0" borderId="8" xfId="0" applyFont="1" applyBorder="1"/>
    <xf numFmtId="0" fontId="2" fillId="0" borderId="9" xfId="0" applyFont="1" applyBorder="1"/>
    <xf numFmtId="0" fontId="4" fillId="3" borderId="21" xfId="0" applyFont="1" applyFill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0" fontId="4" fillId="3" borderId="17" xfId="0" applyFont="1" applyFill="1" applyBorder="1" applyAlignment="1">
      <alignment horizontal="center" wrapText="1"/>
    </xf>
    <xf numFmtId="0" fontId="3" fillId="0" borderId="17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20" xfId="0" applyFont="1" applyBorder="1"/>
    <xf numFmtId="0" fontId="6" fillId="0" borderId="17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31" xfId="0" applyBorder="1" applyAlignment="1">
      <alignment horizontal="center" wrapText="1"/>
    </xf>
    <xf numFmtId="0" fontId="8" fillId="0" borderId="26" xfId="0" applyFont="1" applyBorder="1" applyAlignment="1">
      <alignment horizontal="left" vertical="center" wrapText="1"/>
    </xf>
    <xf numFmtId="0" fontId="2" fillId="0" borderId="27" xfId="0" applyFont="1" applyBorder="1"/>
    <xf numFmtId="0" fontId="2" fillId="0" borderId="28" xfId="0" applyFont="1" applyBorder="1"/>
    <xf numFmtId="0" fontId="1" fillId="2" borderId="23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24" xfId="0" applyFont="1" applyBorder="1"/>
    <xf numFmtId="0" fontId="8" fillId="0" borderId="23" xfId="0" applyFont="1" applyBorder="1" applyAlignment="1">
      <alignment horizontal="center" vertical="center" wrapText="1"/>
    </xf>
    <xf numFmtId="0" fontId="2" fillId="0" borderId="11" xfId="0" applyFont="1" applyBorder="1"/>
    <xf numFmtId="0" fontId="8" fillId="0" borderId="23" xfId="0" applyFont="1" applyBorder="1" applyAlignment="1">
      <alignment horizontal="left" vertical="center" wrapText="1"/>
    </xf>
    <xf numFmtId="44" fontId="0" fillId="0" borderId="32" xfId="0" applyNumberFormat="1" applyBorder="1"/>
    <xf numFmtId="0" fontId="0" fillId="0" borderId="32" xfId="0" applyBorder="1"/>
    <xf numFmtId="43" fontId="0" fillId="0" borderId="32" xfId="0" applyNumberFormat="1" applyBorder="1"/>
    <xf numFmtId="44" fontId="14" fillId="0" borderId="32" xfId="0" applyNumberFormat="1" applyFont="1" applyBorder="1"/>
    <xf numFmtId="0" fontId="14" fillId="0" borderId="32" xfId="0" applyFont="1" applyBorder="1"/>
    <xf numFmtId="0" fontId="0" fillId="0" borderId="32" xfId="0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/>
    <xf numFmtId="0" fontId="15" fillId="0" borderId="32" xfId="0" applyFont="1" applyBorder="1"/>
    <xf numFmtId="44" fontId="15" fillId="0" borderId="32" xfId="2" applyFont="1" applyBorder="1"/>
    <xf numFmtId="44" fontId="15" fillId="0" borderId="33" xfId="0" applyNumberFormat="1" applyFont="1" applyBorder="1" applyAlignment="1">
      <alignment horizontal="center" wrapText="1"/>
    </xf>
    <xf numFmtId="0" fontId="15" fillId="0" borderId="32" xfId="0" applyFont="1" applyBorder="1" applyAlignment="1">
      <alignment horizont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9"/>
  <sheetViews>
    <sheetView tabSelected="1" topLeftCell="D28" zoomScale="124" zoomScaleNormal="124" workbookViewId="0">
      <selection activeCell="L49" sqref="L49"/>
    </sheetView>
  </sheetViews>
  <sheetFormatPr baseColWidth="10" defaultColWidth="12.6640625" defaultRowHeight="15" customHeight="1" x14ac:dyDescent="0.3"/>
  <cols>
    <col min="1" max="5" width="10.6640625" customWidth="1"/>
    <col min="6" max="6" width="11.5546875" bestFit="1" customWidth="1"/>
    <col min="7" max="7" width="10.6640625" customWidth="1"/>
    <col min="8" max="8" width="18" customWidth="1"/>
    <col min="9" max="9" width="19.6640625" customWidth="1"/>
    <col min="10" max="10" width="20.33203125" customWidth="1"/>
    <col min="11" max="11" width="24" customWidth="1"/>
    <col min="12" max="12" width="10.6640625" customWidth="1"/>
    <col min="13" max="13" width="19.109375" customWidth="1"/>
    <col min="14" max="14" width="34.88671875" customWidth="1"/>
    <col min="15" max="26" width="10.6640625" customWidth="1"/>
  </cols>
  <sheetData>
    <row r="1" spans="1:14" ht="13.5" customHeight="1" x14ac:dyDescent="0.3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4"/>
    </row>
    <row r="2" spans="1:14" s="41" customFormat="1" ht="21" customHeight="1" x14ac:dyDescent="0.3">
      <c r="A2" s="45" t="s">
        <v>1</v>
      </c>
      <c r="B2" s="46"/>
      <c r="C2" s="47"/>
      <c r="D2" s="1" t="s">
        <v>2</v>
      </c>
      <c r="E2" s="1" t="s">
        <v>3</v>
      </c>
      <c r="F2" s="1" t="s">
        <v>4</v>
      </c>
      <c r="G2" s="1"/>
      <c r="H2" s="1" t="s">
        <v>5</v>
      </c>
      <c r="I2" s="1" t="s">
        <v>6</v>
      </c>
      <c r="J2" s="18" t="s">
        <v>7</v>
      </c>
      <c r="K2" s="64"/>
      <c r="L2" s="62"/>
      <c r="M2" s="62"/>
      <c r="N2" s="62"/>
    </row>
    <row r="3" spans="1:14" ht="22.2" customHeight="1" x14ac:dyDescent="0.3">
      <c r="A3" s="48" t="s">
        <v>8</v>
      </c>
      <c r="B3" s="49"/>
      <c r="C3" s="50"/>
      <c r="D3" s="32" t="s">
        <v>9</v>
      </c>
      <c r="E3" s="32">
        <v>50</v>
      </c>
      <c r="F3" s="33">
        <v>75000</v>
      </c>
      <c r="G3" s="34"/>
      <c r="H3" s="34">
        <f>+E3*F3</f>
        <v>3750000</v>
      </c>
      <c r="I3" s="34">
        <f>H3</f>
        <v>3750000</v>
      </c>
      <c r="J3" s="35">
        <f t="shared" ref="J3:J5" si="0">+H3-I3</f>
        <v>0</v>
      </c>
      <c r="K3" s="64"/>
      <c r="L3" s="62"/>
      <c r="M3" s="62"/>
      <c r="N3" s="63"/>
    </row>
    <row r="4" spans="1:14" ht="55.5" customHeight="1" x14ac:dyDescent="0.3">
      <c r="A4" s="48" t="s">
        <v>10</v>
      </c>
      <c r="B4" s="49"/>
      <c r="C4" s="50"/>
      <c r="D4" s="32" t="s">
        <v>11</v>
      </c>
      <c r="E4" s="32">
        <v>23500</v>
      </c>
      <c r="F4" s="33">
        <v>7700</v>
      </c>
      <c r="G4" s="34"/>
      <c r="H4" s="34">
        <f>+E4*F4</f>
        <v>180950000</v>
      </c>
      <c r="I4" s="34"/>
      <c r="J4" s="35">
        <f t="shared" si="0"/>
        <v>180950000</v>
      </c>
      <c r="K4" s="64"/>
      <c r="L4" s="62"/>
      <c r="M4" s="62"/>
      <c r="N4" s="63"/>
    </row>
    <row r="5" spans="1:14" ht="13.5" customHeight="1" x14ac:dyDescent="0.3">
      <c r="A5" s="48" t="s">
        <v>12</v>
      </c>
      <c r="B5" s="49"/>
      <c r="C5" s="50"/>
      <c r="D5" s="32" t="s">
        <v>13</v>
      </c>
      <c r="E5" s="32">
        <f>47*10</f>
        <v>470</v>
      </c>
      <c r="F5" s="33">
        <v>30000</v>
      </c>
      <c r="G5" s="34"/>
      <c r="H5" s="34">
        <f t="shared" ref="H5" si="1">+E5*F5</f>
        <v>14100000</v>
      </c>
      <c r="I5" s="34"/>
      <c r="J5" s="35">
        <f t="shared" si="0"/>
        <v>14100000</v>
      </c>
    </row>
    <row r="6" spans="1:14" ht="13.5" customHeight="1" x14ac:dyDescent="0.3">
      <c r="A6" s="60"/>
      <c r="B6" s="49"/>
      <c r="C6" s="50"/>
      <c r="D6" s="56" t="s">
        <v>14</v>
      </c>
      <c r="E6" s="49"/>
      <c r="F6" s="49"/>
      <c r="G6" s="50"/>
      <c r="H6" s="5">
        <f t="shared" ref="H6:J6" si="2">SUM(H3:H5)</f>
        <v>198800000</v>
      </c>
      <c r="I6" s="5">
        <f t="shared" si="2"/>
        <v>3750000</v>
      </c>
      <c r="J6" s="20">
        <f t="shared" si="2"/>
        <v>195050000</v>
      </c>
    </row>
    <row r="7" spans="1:14" ht="13.5" customHeight="1" x14ac:dyDescent="0.3">
      <c r="A7" s="57" t="s">
        <v>15</v>
      </c>
      <c r="B7" s="58"/>
      <c r="C7" s="58"/>
      <c r="D7" s="58"/>
      <c r="E7" s="58"/>
      <c r="F7" s="58"/>
      <c r="G7" s="58"/>
      <c r="H7" s="58"/>
      <c r="I7" s="58"/>
      <c r="J7" s="59"/>
    </row>
    <row r="8" spans="1:14" ht="27" customHeight="1" x14ac:dyDescent="0.3">
      <c r="A8" s="54" t="s">
        <v>16</v>
      </c>
      <c r="B8" s="49"/>
      <c r="C8" s="50"/>
      <c r="D8" s="6"/>
      <c r="E8" s="2">
        <v>25</v>
      </c>
      <c r="F8" s="3">
        <v>11893540</v>
      </c>
      <c r="G8" s="4"/>
      <c r="H8" s="4">
        <f>+E8*F8</f>
        <v>297338500</v>
      </c>
      <c r="I8" s="4">
        <v>50933494</v>
      </c>
      <c r="J8" s="19">
        <v>246405006</v>
      </c>
    </row>
    <row r="9" spans="1:14" ht="36.75" customHeight="1" x14ac:dyDescent="0.3">
      <c r="A9" s="61" t="s">
        <v>17</v>
      </c>
      <c r="B9" s="49"/>
      <c r="C9" s="50"/>
      <c r="D9" s="6"/>
      <c r="E9" s="6"/>
      <c r="F9" s="7"/>
      <c r="G9" s="7"/>
      <c r="H9" s="28">
        <v>594676987</v>
      </c>
      <c r="I9" s="4">
        <v>101866987</v>
      </c>
      <c r="J9" s="19">
        <v>492810000</v>
      </c>
    </row>
    <row r="10" spans="1:14" ht="45" customHeight="1" x14ac:dyDescent="0.3">
      <c r="A10" s="54" t="s">
        <v>18</v>
      </c>
      <c r="B10" s="49"/>
      <c r="C10" s="50"/>
      <c r="D10" s="6"/>
      <c r="E10" s="6"/>
      <c r="F10" s="7"/>
      <c r="G10" s="7"/>
      <c r="H10" s="4">
        <v>2230038702</v>
      </c>
      <c r="I10" s="4">
        <v>382001202</v>
      </c>
      <c r="J10" s="19">
        <v>1848037500</v>
      </c>
    </row>
    <row r="11" spans="1:14" ht="26.25" customHeight="1" x14ac:dyDescent="0.3">
      <c r="A11" s="51" t="s">
        <v>19</v>
      </c>
      <c r="B11" s="52"/>
      <c r="C11" s="53"/>
      <c r="D11" s="8" t="s">
        <v>20</v>
      </c>
      <c r="E11" s="8">
        <v>25</v>
      </c>
      <c r="F11" s="9">
        <v>24000000</v>
      </c>
      <c r="G11" s="10"/>
      <c r="H11" s="10">
        <f t="shared" ref="H11:H13" si="3">+E11*F11</f>
        <v>600000000</v>
      </c>
      <c r="I11" s="10"/>
      <c r="J11" s="21">
        <f t="shared" ref="J11:J14" si="4">+H11-I11</f>
        <v>600000000</v>
      </c>
    </row>
    <row r="12" spans="1:14" ht="30" customHeight="1" x14ac:dyDescent="0.3">
      <c r="A12" s="54" t="s">
        <v>21</v>
      </c>
      <c r="B12" s="49"/>
      <c r="C12" s="50"/>
      <c r="D12" s="2" t="s">
        <v>20</v>
      </c>
      <c r="E12" s="2">
        <v>22</v>
      </c>
      <c r="F12" s="3">
        <v>15000000</v>
      </c>
      <c r="G12" s="4"/>
      <c r="H12" s="4">
        <f t="shared" si="3"/>
        <v>330000000</v>
      </c>
      <c r="I12" s="4"/>
      <c r="J12" s="19">
        <f t="shared" si="4"/>
        <v>330000000</v>
      </c>
    </row>
    <row r="13" spans="1:14" ht="35.25" customHeight="1" x14ac:dyDescent="0.3">
      <c r="A13" s="48" t="s">
        <v>22</v>
      </c>
      <c r="B13" s="49"/>
      <c r="C13" s="50"/>
      <c r="D13" s="32" t="s">
        <v>23</v>
      </c>
      <c r="E13" s="32">
        <v>2</v>
      </c>
      <c r="F13" s="33">
        <v>15000000</v>
      </c>
      <c r="G13" s="34"/>
      <c r="H13" s="34">
        <f t="shared" si="3"/>
        <v>30000000</v>
      </c>
      <c r="I13" s="34">
        <v>30000000</v>
      </c>
      <c r="J13" s="35">
        <f t="shared" si="4"/>
        <v>0</v>
      </c>
      <c r="N13" s="31"/>
    </row>
    <row r="14" spans="1:14" ht="60.75" customHeight="1" x14ac:dyDescent="0.3">
      <c r="A14" s="54" t="s">
        <v>24</v>
      </c>
      <c r="B14" s="49"/>
      <c r="C14" s="50"/>
      <c r="D14" s="11" t="s">
        <v>25</v>
      </c>
      <c r="E14" s="11">
        <v>12</v>
      </c>
      <c r="F14" s="12">
        <v>7500000</v>
      </c>
      <c r="G14" s="13"/>
      <c r="H14" s="4">
        <f>+E14*F14</f>
        <v>90000000</v>
      </c>
      <c r="I14" s="4">
        <v>60000000</v>
      </c>
      <c r="J14" s="19">
        <f t="shared" si="4"/>
        <v>30000000</v>
      </c>
      <c r="M14" s="27"/>
    </row>
    <row r="15" spans="1:14" ht="13.5" customHeight="1" x14ac:dyDescent="0.3">
      <c r="A15" s="54" t="s">
        <v>26</v>
      </c>
      <c r="B15" s="49"/>
      <c r="C15" s="49"/>
      <c r="D15" s="6"/>
      <c r="E15" s="2"/>
      <c r="F15" s="3"/>
      <c r="G15" s="4"/>
      <c r="H15" s="14">
        <v>327967500</v>
      </c>
      <c r="I15" s="4">
        <v>257967500</v>
      </c>
      <c r="J15" s="19">
        <f>H15-I15</f>
        <v>70000000</v>
      </c>
    </row>
    <row r="16" spans="1:14" ht="13.5" customHeight="1" x14ac:dyDescent="0.3">
      <c r="A16" s="54" t="s">
        <v>27</v>
      </c>
      <c r="B16" s="49"/>
      <c r="C16" s="49"/>
      <c r="D16" s="6"/>
      <c r="E16" s="6"/>
      <c r="F16" s="7"/>
      <c r="G16" s="7"/>
      <c r="H16" s="14">
        <v>276000000</v>
      </c>
      <c r="I16" s="4">
        <v>229400000</v>
      </c>
      <c r="J16" s="19">
        <v>46600000</v>
      </c>
    </row>
    <row r="17" spans="1:11" ht="13.5" customHeight="1" x14ac:dyDescent="0.3">
      <c r="A17" s="54" t="s">
        <v>28</v>
      </c>
      <c r="B17" s="49"/>
      <c r="C17" s="49"/>
      <c r="D17" s="6"/>
      <c r="E17" s="6"/>
      <c r="F17" s="7"/>
      <c r="G17" s="7"/>
      <c r="H17" s="14">
        <v>94000000</v>
      </c>
      <c r="I17" s="4">
        <v>72600000</v>
      </c>
      <c r="J17" s="19">
        <v>21400000</v>
      </c>
    </row>
    <row r="18" spans="1:11" ht="13.5" customHeight="1" x14ac:dyDescent="0.3">
      <c r="A18" s="54" t="s">
        <v>29</v>
      </c>
      <c r="B18" s="49"/>
      <c r="C18" s="49"/>
      <c r="D18" s="6"/>
      <c r="E18" s="6"/>
      <c r="F18" s="7"/>
      <c r="G18" s="7"/>
      <c r="H18" s="14">
        <v>108561000</v>
      </c>
      <c r="I18" s="4">
        <v>98561000</v>
      </c>
      <c r="J18" s="19">
        <v>10000000</v>
      </c>
    </row>
    <row r="19" spans="1:11" ht="13.5" customHeight="1" x14ac:dyDescent="0.3">
      <c r="A19" s="54" t="s">
        <v>30</v>
      </c>
      <c r="B19" s="49"/>
      <c r="C19" s="50"/>
      <c r="D19" s="2" t="s">
        <v>31</v>
      </c>
      <c r="E19" s="2">
        <v>25</v>
      </c>
      <c r="F19" s="3">
        <v>4500000</v>
      </c>
      <c r="G19" s="4"/>
      <c r="H19" s="4">
        <f>+E19*F19</f>
        <v>112500000</v>
      </c>
      <c r="I19" s="4">
        <v>62500000</v>
      </c>
      <c r="J19" s="19">
        <f>+H19-I19</f>
        <v>50000000</v>
      </c>
    </row>
    <row r="20" spans="1:11" ht="22.5" customHeight="1" thickBot="1" x14ac:dyDescent="0.35">
      <c r="A20" s="55" t="s">
        <v>32</v>
      </c>
      <c r="B20" s="49"/>
      <c r="C20" s="50"/>
      <c r="D20" s="56" t="s">
        <v>33</v>
      </c>
      <c r="E20" s="49"/>
      <c r="F20" s="49"/>
      <c r="G20" s="50"/>
      <c r="H20" s="15">
        <f t="shared" ref="H20:J20" si="5">SUM(H8:H19)</f>
        <v>5091082689</v>
      </c>
      <c r="I20" s="15">
        <f t="shared" si="5"/>
        <v>1345830183</v>
      </c>
      <c r="J20" s="22">
        <f t="shared" si="5"/>
        <v>3745252506</v>
      </c>
    </row>
    <row r="21" spans="1:11" ht="13.5" customHeight="1" thickBot="1" x14ac:dyDescent="0.35">
      <c r="A21" s="68" t="s">
        <v>34</v>
      </c>
      <c r="B21" s="69"/>
      <c r="C21" s="69"/>
      <c r="D21" s="69"/>
      <c r="E21" s="69"/>
      <c r="F21" s="69"/>
      <c r="G21" s="69"/>
      <c r="H21" s="69"/>
      <c r="I21" s="69"/>
      <c r="J21" s="70"/>
    </row>
    <row r="22" spans="1:11" ht="20.25" customHeight="1" thickBot="1" x14ac:dyDescent="0.35">
      <c r="A22" s="71" t="s">
        <v>35</v>
      </c>
      <c r="B22" s="69"/>
      <c r="C22" s="69"/>
      <c r="D22" s="69"/>
      <c r="E22" s="69"/>
      <c r="F22" s="69"/>
      <c r="G22" s="72"/>
      <c r="H22" s="16" t="s">
        <v>36</v>
      </c>
      <c r="I22" s="1" t="s">
        <v>6</v>
      </c>
      <c r="J22" s="18" t="s">
        <v>7</v>
      </c>
    </row>
    <row r="23" spans="1:11" ht="13.5" customHeight="1" thickBot="1" x14ac:dyDescent="0.35">
      <c r="A23" s="73" t="s">
        <v>37</v>
      </c>
      <c r="B23" s="69"/>
      <c r="C23" s="69"/>
      <c r="D23" s="69"/>
      <c r="E23" s="69"/>
      <c r="F23" s="69"/>
      <c r="G23" s="72"/>
      <c r="H23" s="29">
        <f>+H6+H20</f>
        <v>5289882689</v>
      </c>
      <c r="I23" s="17">
        <f>+I6+I20</f>
        <v>1349580183</v>
      </c>
      <c r="J23" s="23">
        <f>+J6+J20</f>
        <v>3940302506</v>
      </c>
      <c r="K23" s="36"/>
    </row>
    <row r="24" spans="1:11" ht="13.5" customHeight="1" thickBot="1" x14ac:dyDescent="0.35">
      <c r="A24" s="73" t="s">
        <v>38</v>
      </c>
      <c r="B24" s="69"/>
      <c r="C24" s="69"/>
      <c r="D24" s="69"/>
      <c r="E24" s="69"/>
      <c r="F24" s="69"/>
      <c r="G24" s="72"/>
      <c r="H24" s="29">
        <v>721251857</v>
      </c>
      <c r="I24" s="17">
        <v>454000000</v>
      </c>
      <c r="J24" s="23">
        <v>267251857</v>
      </c>
      <c r="K24" s="40">
        <f>+H24/H25</f>
        <v>0.11998597793488816</v>
      </c>
    </row>
    <row r="25" spans="1:11" ht="13.5" customHeight="1" thickBot="1" x14ac:dyDescent="0.35">
      <c r="A25" s="65" t="s">
        <v>39</v>
      </c>
      <c r="B25" s="66"/>
      <c r="C25" s="66"/>
      <c r="D25" s="66"/>
      <c r="E25" s="66"/>
      <c r="F25" s="66"/>
      <c r="G25" s="67"/>
      <c r="H25" s="30">
        <f t="shared" ref="H25:J25" si="6">+H23+H24</f>
        <v>6011134546</v>
      </c>
      <c r="I25" s="24">
        <f>+I23+I24</f>
        <v>1803580183</v>
      </c>
      <c r="J25" s="25">
        <f t="shared" si="6"/>
        <v>4207554363</v>
      </c>
      <c r="K25" s="36"/>
    </row>
    <row r="26" spans="1:11" ht="13.5" customHeight="1" x14ac:dyDescent="0.3">
      <c r="I26" s="37">
        <f>+I25/H25</f>
        <v>0.30003989582967489</v>
      </c>
      <c r="J26" s="37">
        <f>+J25/H25</f>
        <v>0.69996010417032517</v>
      </c>
      <c r="K26" s="36"/>
    </row>
    <row r="27" spans="1:11" ht="13.5" customHeight="1" x14ac:dyDescent="0.3">
      <c r="I27" s="37"/>
      <c r="J27" s="37"/>
      <c r="K27" s="36"/>
    </row>
    <row r="28" spans="1:11" ht="13.5" customHeight="1" x14ac:dyDescent="0.3">
      <c r="H28" s="26"/>
      <c r="I28" s="38"/>
      <c r="J28" s="38"/>
      <c r="K28" s="36"/>
    </row>
    <row r="29" spans="1:11" ht="13.5" customHeight="1" x14ac:dyDescent="0.3">
      <c r="I29" s="38" t="s">
        <v>40</v>
      </c>
      <c r="J29" s="39">
        <f>+J25*0.3</f>
        <v>1262266308.8999999</v>
      </c>
      <c r="K29" s="36"/>
    </row>
    <row r="30" spans="1:11" ht="13.5" customHeight="1" x14ac:dyDescent="0.3">
      <c r="I30" s="38" t="s">
        <v>41</v>
      </c>
      <c r="J30" s="39">
        <f>+J25*0.5</f>
        <v>2103777181.5</v>
      </c>
      <c r="K30" s="36"/>
    </row>
    <row r="31" spans="1:11" ht="13.5" customHeight="1" x14ac:dyDescent="0.3">
      <c r="I31" s="38" t="s">
        <v>42</v>
      </c>
      <c r="J31" s="39">
        <f>+J25*0.2</f>
        <v>841510872.60000002</v>
      </c>
      <c r="K31" s="36"/>
    </row>
    <row r="32" spans="1:11" ht="13.5" customHeight="1" x14ac:dyDescent="0.3"/>
    <row r="33" spans="7:14" ht="13.5" customHeight="1" x14ac:dyDescent="0.3">
      <c r="J33" s="80" t="s">
        <v>5</v>
      </c>
      <c r="K33" s="80"/>
      <c r="L33" s="80"/>
      <c r="M33" s="80" t="s">
        <v>52</v>
      </c>
      <c r="N33" s="80" t="s">
        <v>53</v>
      </c>
    </row>
    <row r="34" spans="7:14" ht="13.5" customHeight="1" x14ac:dyDescent="0.3">
      <c r="I34" s="79" t="s">
        <v>51</v>
      </c>
      <c r="J34" s="74">
        <f>H3*4.9%</f>
        <v>183750</v>
      </c>
      <c r="K34" s="75" t="s">
        <v>43</v>
      </c>
      <c r="M34">
        <f>+I3*4.9%</f>
        <v>183750</v>
      </c>
      <c r="N34" s="26">
        <f>+J34-M34</f>
        <v>0</v>
      </c>
    </row>
    <row r="35" spans="7:14" ht="13.5" customHeight="1" x14ac:dyDescent="0.3">
      <c r="I35" s="79"/>
      <c r="J35" s="76">
        <f>H4*4.9%</f>
        <v>8866550</v>
      </c>
      <c r="K35" s="76" t="s">
        <v>11</v>
      </c>
      <c r="N35" s="26">
        <f>+J35-M35</f>
        <v>8866550</v>
      </c>
    </row>
    <row r="36" spans="7:14" ht="13.5" customHeight="1" x14ac:dyDescent="0.3">
      <c r="I36" s="79"/>
      <c r="J36" s="74">
        <f>H5*4.9%</f>
        <v>690900</v>
      </c>
      <c r="K36" s="75" t="s">
        <v>44</v>
      </c>
      <c r="N36" s="26">
        <f>+J36-M36</f>
        <v>690900</v>
      </c>
    </row>
    <row r="37" spans="7:14" ht="13.5" customHeight="1" x14ac:dyDescent="0.3">
      <c r="I37" s="79"/>
      <c r="J37" s="74">
        <f>H11*4.9%</f>
        <v>29400000</v>
      </c>
      <c r="K37" s="75" t="s">
        <v>45</v>
      </c>
      <c r="N37" s="26">
        <f>+J37-M37</f>
        <v>29400000</v>
      </c>
    </row>
    <row r="38" spans="7:14" ht="13.5" customHeight="1" x14ac:dyDescent="0.3">
      <c r="I38" s="79"/>
      <c r="J38" s="74">
        <f>H12*4.9%</f>
        <v>16170000</v>
      </c>
      <c r="K38" s="75" t="s">
        <v>46</v>
      </c>
      <c r="N38" s="26">
        <f>+J38-M38</f>
        <v>16170000</v>
      </c>
    </row>
    <row r="39" spans="7:14" ht="13.5" customHeight="1" x14ac:dyDescent="0.3">
      <c r="I39" s="79"/>
      <c r="J39" s="74">
        <f>H13*4.9%</f>
        <v>1470000</v>
      </c>
      <c r="K39" s="75" t="s">
        <v>47</v>
      </c>
      <c r="M39">
        <f>+I13*4.9%</f>
        <v>1470000</v>
      </c>
      <c r="N39" s="26">
        <f>+J39-M39</f>
        <v>0</v>
      </c>
    </row>
    <row r="40" spans="7:14" ht="13.5" customHeight="1" x14ac:dyDescent="0.3">
      <c r="I40" s="79"/>
      <c r="J40" s="74">
        <f>H14*4.9%</f>
        <v>4410000</v>
      </c>
      <c r="K40" s="75" t="s">
        <v>48</v>
      </c>
      <c r="M40">
        <f>+I14*4.9%</f>
        <v>2940000</v>
      </c>
      <c r="N40" s="26">
        <f>+J40-M40</f>
        <v>1470000</v>
      </c>
    </row>
    <row r="41" spans="7:14" ht="13.5" customHeight="1" x14ac:dyDescent="0.3">
      <c r="I41" s="79"/>
      <c r="J41" s="74">
        <f>H17*4.9%</f>
        <v>4606000</v>
      </c>
      <c r="K41" s="75" t="s">
        <v>49</v>
      </c>
      <c r="M41">
        <f>+I17*4.9%</f>
        <v>3557400</v>
      </c>
      <c r="N41" s="26">
        <f>+J41-M41</f>
        <v>1048600</v>
      </c>
    </row>
    <row r="42" spans="7:14" ht="13.5" customHeight="1" x14ac:dyDescent="0.3">
      <c r="I42" s="79"/>
      <c r="J42" s="74">
        <f>H18*4.9%</f>
        <v>5319489</v>
      </c>
      <c r="K42" s="75" t="s">
        <v>50</v>
      </c>
      <c r="M42">
        <f>+I18*4.9%</f>
        <v>4829489</v>
      </c>
      <c r="N42" s="26">
        <f>+J42-M42</f>
        <v>490000</v>
      </c>
    </row>
    <row r="43" spans="7:14" ht="13.5" customHeight="1" x14ac:dyDescent="0.3">
      <c r="I43" s="79"/>
      <c r="J43" s="77">
        <f>SUM(J34:J42)</f>
        <v>71116689</v>
      </c>
      <c r="K43" s="78" t="s">
        <v>5</v>
      </c>
      <c r="M43" s="77">
        <f>SUM(M34:M42)</f>
        <v>12980639</v>
      </c>
      <c r="N43" s="77">
        <f>SUM(N34:N42)</f>
        <v>58136050</v>
      </c>
    </row>
    <row r="44" spans="7:14" ht="13.5" customHeight="1" x14ac:dyDescent="0.3"/>
    <row r="45" spans="7:14" ht="13.5" customHeight="1" x14ac:dyDescent="0.3"/>
    <row r="46" spans="7:14" ht="13.5" customHeight="1" x14ac:dyDescent="0.3">
      <c r="H46" s="81"/>
      <c r="I46" s="83">
        <f>I25*4.9%</f>
        <v>88375428.967000008</v>
      </c>
      <c r="J46" s="83">
        <f>J25*4.9%</f>
        <v>206170163.787</v>
      </c>
      <c r="K46" s="85" t="s">
        <v>54</v>
      </c>
    </row>
    <row r="47" spans="7:14" ht="13.5" customHeight="1" x14ac:dyDescent="0.3">
      <c r="G47" s="82" t="s">
        <v>5</v>
      </c>
      <c r="H47" s="84">
        <f>+I47+J47</f>
        <v>6305680138.7539997</v>
      </c>
      <c r="I47" s="83">
        <f>I25+I46</f>
        <v>1891955611.967</v>
      </c>
      <c r="J47" s="83">
        <f>J25+J46</f>
        <v>4413724526.7869997</v>
      </c>
      <c r="K47" s="85"/>
    </row>
    <row r="48" spans="7:14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</sheetData>
  <mergeCells count="31">
    <mergeCell ref="I34:I43"/>
    <mergeCell ref="K46:K47"/>
    <mergeCell ref="N2:N4"/>
    <mergeCell ref="K2:M4"/>
    <mergeCell ref="A25:G25"/>
    <mergeCell ref="A13:C13"/>
    <mergeCell ref="A14:C14"/>
    <mergeCell ref="A15:C15"/>
    <mergeCell ref="A16:C16"/>
    <mergeCell ref="A17:C17"/>
    <mergeCell ref="A18:C18"/>
    <mergeCell ref="A19:C19"/>
    <mergeCell ref="D20:G20"/>
    <mergeCell ref="A21:J21"/>
    <mergeCell ref="A22:G22"/>
    <mergeCell ref="A23:G23"/>
    <mergeCell ref="A24:G24"/>
    <mergeCell ref="A10:C10"/>
    <mergeCell ref="A11:C11"/>
    <mergeCell ref="A12:C12"/>
    <mergeCell ref="A20:C20"/>
    <mergeCell ref="D6:G6"/>
    <mergeCell ref="A7:J7"/>
    <mergeCell ref="A6:C6"/>
    <mergeCell ref="A8:C8"/>
    <mergeCell ref="A9:C9"/>
    <mergeCell ref="A1:J1"/>
    <mergeCell ref="A2:C2"/>
    <mergeCell ref="A3:C3"/>
    <mergeCell ref="A4:C4"/>
    <mergeCell ref="A5:C5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4F41049442794294DED04359B3FB67" ma:contentTypeVersion="32" ma:contentTypeDescription="Crear nuevo documento." ma:contentTypeScope="" ma:versionID="066d1d0b5d03f1bf09b20ba01c3b2bb3">
  <xsd:schema xmlns:xsd="http://www.w3.org/2001/XMLSchema" xmlns:xs="http://www.w3.org/2001/XMLSchema" xmlns:p="http://schemas.microsoft.com/office/2006/metadata/properties" xmlns:ns2="cae8ef2e-2c5a-4d42-977a-83055a012e92" xmlns:ns3="20062bd3-4354-4c48-ae21-bc9b43dfda85" targetNamespace="http://schemas.microsoft.com/office/2006/metadata/properties" ma:root="true" ma:fieldsID="d53e17391a4cbb8f3ed569fe45538299" ns2:_="" ns3:_="">
    <xsd:import namespace="cae8ef2e-2c5a-4d42-977a-83055a012e92"/>
    <xsd:import namespace="20062bd3-4354-4c48-ae21-bc9b43dfda85"/>
    <xsd:element name="properties">
      <xsd:complexType>
        <xsd:sequence>
          <xsd:element name="documentManagement">
            <xsd:complexType>
              <xsd:all>
                <xsd:element ref="ns2:Orden_Documento" minOccurs="0"/>
                <xsd:element ref="ns2:Pagina_Inicio" minOccurs="0"/>
                <xsd:element ref="ns2:Pagina_Final" minOccurs="0"/>
                <xsd:element ref="ns2:Contrato_Año" minOccurs="0"/>
                <xsd:element ref="ns2:Tipologia" minOccurs="0"/>
                <xsd:element ref="ns2:Descripcion_Documento" minOccurs="0"/>
                <xsd:element ref="ns2:Origen_1" minOccurs="0"/>
                <xsd:element ref="ns2:Fecha_Elaboracion_Documento" minOccurs="0"/>
                <xsd:element ref="ns2:Estado_1" minOccurs="0"/>
                <xsd:element ref="ns2:Enlace_Secop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Location" minOccurs="0"/>
                <xsd:element ref="ns2:Fecha_Cerrado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e8ef2e-2c5a-4d42-977a-83055a012e92" elementFormDefault="qualified">
    <xsd:import namespace="http://schemas.microsoft.com/office/2006/documentManagement/types"/>
    <xsd:import namespace="http://schemas.microsoft.com/office/infopath/2007/PartnerControls"/>
    <xsd:element name="Orden_Documento" ma:index="1" nillable="true" ma:displayName="Orden_Documento" ma:description="Orden según el tramite que lleva el documento" ma:internalName="Orden_Documento" ma:readOnly="false">
      <xsd:simpleType>
        <xsd:restriction base="dms:Number"/>
      </xsd:simpleType>
    </xsd:element>
    <xsd:element name="Pagina_Inicio" ma:index="2" nillable="true" ma:displayName="Pagina_Inicio" ma:internalName="Pagina_Inicio" ma:readOnly="false">
      <xsd:simpleType>
        <xsd:restriction base="dms:Number"/>
      </xsd:simpleType>
    </xsd:element>
    <xsd:element name="Pagina_Final" ma:index="3" nillable="true" ma:displayName="Pagina_Final" ma:internalName="Pagina_Final" ma:readOnly="false">
      <xsd:simpleType>
        <xsd:restriction base="dms:Number"/>
      </xsd:simpleType>
    </xsd:element>
    <xsd:element name="Contrato_Año" ma:index="4" nillable="true" ma:displayName="Contrato_Año" ma:description="Esta columna solo es para identificar documentos y se debe incluir numero de contrato seguido de &quot;-&quot; año sin espacios, en caso de CCE los 5 o 6 dígitos de la orden seguido de &quot;-&quot; y año sin espacios" ma:internalName="Contrato_A_x00f1_o" ma:readOnly="false">
      <xsd:simpleType>
        <xsd:restriction base="dms:Text">
          <xsd:maxLength value="25"/>
        </xsd:restriction>
      </xsd:simpleType>
    </xsd:element>
    <xsd:element name="Tipologia" ma:index="5" nillable="true" ma:displayName="Tipologia" ma:description="Describe el tipo documental de acuerdo a las TRD y manual de Contratación" ma:format="Dropdown" ma:internalName="Tipologia">
      <xsd:simpleType>
        <xsd:restriction base="dms:Choice">
          <xsd:enumeration value="Acta"/>
          <xsd:enumeration value="Acta Parcial"/>
          <xsd:enumeration value="Acto Administrativo"/>
          <xsd:enumeration value="Antecedentes Entes de Control"/>
          <xsd:enumeration value="Antecedentes Entes de Control OFC"/>
          <xsd:enumeration value="Aprobación Póliza"/>
          <xsd:enumeration value="Clausulas"/>
          <xsd:enumeration value="Certificado"/>
          <xsd:enumeration value="Certificados"/>
          <xsd:enumeration value="Circulares"/>
          <xsd:enumeration value="Constancia"/>
          <xsd:enumeration value="Contrato"/>
          <xsd:enumeration value="Convenio"/>
          <xsd:enumeration value="Correo"/>
          <xsd:enumeration value="Cuenta de cobro"/>
          <xsd:enumeration value="Declaración"/>
          <xsd:enumeration value="Decreto"/>
          <xsd:enumeration value="Documentos Inmueble para Arrendamiento"/>
          <xsd:enumeration value="Documento de identificación"/>
          <xsd:enumeration value="Documentos Personales con Soportes"/>
          <xsd:enumeration value="Documentos Entidad con Soportes"/>
          <xsd:enumeration value="Documentos Propietario para Arrendamiento"/>
          <xsd:enumeration value="Enlace"/>
          <xsd:enumeration value="Escritura"/>
          <xsd:enumeration value="Estado Financiero"/>
          <xsd:enumeration value="Factura"/>
          <xsd:enumeration value="Formato"/>
          <xsd:enumeration value="Formulario"/>
          <xsd:enumeration value="Hoja de vida"/>
          <xsd:enumeration value="Idoneidad y Experiencia con Soportes"/>
          <xsd:enumeration value="Informe"/>
          <xsd:enumeration value="Informe de Actividades con Soportes"/>
          <xsd:enumeration value="Memorando"/>
          <xsd:enumeration value="Minuta"/>
          <xsd:enumeration value="Oficio"/>
          <xsd:enumeration value="Orden de compra"/>
          <xsd:enumeration value="Planilla"/>
          <xsd:enumeration value="Póliza"/>
          <xsd:enumeration value="Remisión"/>
          <xsd:enumeration value="Reporte"/>
          <xsd:enumeration value="Propuestas"/>
          <xsd:enumeration value="Resolución"/>
          <xsd:enumeration value="Solicitud"/>
          <xsd:enumeration value="Solicitud Modificación con Soportes"/>
          <xsd:enumeration value="Soportes de Estudio"/>
          <xsd:enumeration value="Soportes Informe"/>
          <xsd:enumeration value="Soportes Modificación"/>
          <xsd:enumeration value="Vinculo"/>
        </xsd:restriction>
      </xsd:simpleType>
    </xsd:element>
    <xsd:element name="Descripcion_Documento" ma:index="6" nillable="true" ma:displayName="Descripcion_Documento" ma:description="Ingresar contenido o anexos que contenga el documento" ma:internalName="Descripcion_Documento" ma:readOnly="false">
      <xsd:simpleType>
        <xsd:restriction base="dms:Note">
          <xsd:maxLength value="255"/>
        </xsd:restriction>
      </xsd:simpleType>
    </xsd:element>
    <xsd:element name="Origen_1" ma:index="7" nillable="true" ma:displayName="Origen_Documento" ma:description="Describe el formato nativo del documento" ma:format="Dropdown" ma:internalName="Origen_1" ma:readOnly="false">
      <xsd:simpleType>
        <xsd:restriction base="dms:Choice">
          <xsd:enumeration value="Digitalizado"/>
          <xsd:enumeration value="Electrónico"/>
          <xsd:enumeration value="Físico"/>
          <xsd:enumeration value="Hibrido"/>
        </xsd:restriction>
      </xsd:simpleType>
    </xsd:element>
    <xsd:element name="Fecha_Elaboracion_Documento" ma:index="8" nillable="true" ma:displayName="Fecha_Elaboracion_Documento" ma:description="Fecha en la cual se elaboro el documento" ma:format="DateOnly" ma:internalName="Fecha_Elaboracion_Documento" ma:readOnly="false">
      <xsd:simpleType>
        <xsd:restriction base="dms:DateTime"/>
      </xsd:simpleType>
    </xsd:element>
    <xsd:element name="Estado_1" ma:index="9" nillable="true" ma:displayName="Estado_Expediente" ma:format="Dropdown" ma:hidden="true" ma:internalName="Estado_1" ma:readOnly="false">
      <xsd:simpleType>
        <xsd:restriction base="dms:Choice">
          <xsd:enumeration value="Activo"/>
          <xsd:enumeration value="Cerrado"/>
        </xsd:restriction>
      </xsd:simpleType>
    </xsd:element>
    <xsd:element name="Enlace_Secop" ma:index="10" nillable="true" ma:displayName="Enlace_Secop" ma:format="Hyperlink" ma:hidden="true" ma:internalName="Enlace_Secop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SharedWithUsers" ma:index="13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a35ca7ba-d17b-4376-a9d9-ec8cf82e9d15}" ma:internalName="TaxCatchAll" ma:readOnly="false" ma:showField="CatchAllData" ma:web="cae8ef2e-2c5a-4d42-977a-83055a012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echa_Cerrado" ma:index="33" nillable="true" ma:displayName="Fecha_Cerrado" ma:description="Fecha de cerrado del expediente incluido bloqueo del mismo" ma:format="DateOnly" ma:hidden="true" ma:internalName="Fecha_Cerrado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062bd3-4354-4c48-ae21-bc9b43dfda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3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32" nillable="true" ma:displayName="Location" ma:description="" ma:hidden="true" ma:indexed="true" ma:internalName="MediaServiceLocation" ma:readOnly="true">
      <xsd:simpleType>
        <xsd:restriction base="dms:Text"/>
      </xsd:simpleType>
    </xsd:element>
    <xsd:element name="MediaServiceBillingMetadata" ma:index="3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trato_Año xmlns="cae8ef2e-2c5a-4d42-977a-83055a012e92" xsi:nil="true"/>
    <Orden_Documento xmlns="cae8ef2e-2c5a-4d42-977a-83055a012e92" xsi:nil="true"/>
    <Fecha_Elaboracion_Documento xmlns="cae8ef2e-2c5a-4d42-977a-83055a012e92" xsi:nil="true"/>
    <Origen_1 xmlns="cae8ef2e-2c5a-4d42-977a-83055a012e92" xsi:nil="true"/>
    <Tipologia xmlns="cae8ef2e-2c5a-4d42-977a-83055a012e92" xsi:nil="true"/>
    <Estado_1 xmlns="cae8ef2e-2c5a-4d42-977a-83055a012e92" xsi:nil="true"/>
    <Descripcion_Documento xmlns="cae8ef2e-2c5a-4d42-977a-83055a012e92" xsi:nil="true"/>
    <lcf76f155ced4ddcb4097134ff3c332f xmlns="20062bd3-4354-4c48-ae21-bc9b43dfda85">
      <Terms xmlns="http://schemas.microsoft.com/office/infopath/2007/PartnerControls"/>
    </lcf76f155ced4ddcb4097134ff3c332f>
    <Pagina_Final xmlns="cae8ef2e-2c5a-4d42-977a-83055a012e92" xsi:nil="true"/>
    <Enlace_Secop xmlns="cae8ef2e-2c5a-4d42-977a-83055a012e92">
      <Url xsi:nil="true"/>
      <Description xsi:nil="true"/>
    </Enlace_Secop>
    <Fecha_Cerrado xmlns="cae8ef2e-2c5a-4d42-977a-83055a012e92" xsi:nil="true"/>
    <Pagina_Inicio xmlns="cae8ef2e-2c5a-4d42-977a-83055a012e92" xsi:nil="true"/>
    <TaxCatchAll xmlns="cae8ef2e-2c5a-4d42-977a-83055a012e92" xsi:nil="true"/>
  </documentManagement>
</p:properties>
</file>

<file path=customXml/itemProps1.xml><?xml version="1.0" encoding="utf-8"?>
<ds:datastoreItem xmlns:ds="http://schemas.openxmlformats.org/officeDocument/2006/customXml" ds:itemID="{C119FCC7-806C-48A8-BAA7-9341CC690E17}"/>
</file>

<file path=customXml/itemProps2.xml><?xml version="1.0" encoding="utf-8"?>
<ds:datastoreItem xmlns:ds="http://schemas.openxmlformats.org/officeDocument/2006/customXml" ds:itemID="{855181E8-BA1C-4014-A28C-8BD765247D2C}"/>
</file>

<file path=customXml/itemProps3.xml><?xml version="1.0" encoding="utf-8"?>
<ds:datastoreItem xmlns:ds="http://schemas.openxmlformats.org/officeDocument/2006/customXml" ds:itemID="{EEB3F09A-AC9B-4E22-A7DB-B83FAD4DAD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Milena Pinzon Farfan</dc:creator>
  <cp:keywords/>
  <dc:description/>
  <cp:lastModifiedBy>LAURA VALENTINA GUALTEROS JIMENEZ</cp:lastModifiedBy>
  <cp:revision/>
  <dcterms:created xsi:type="dcterms:W3CDTF">2025-11-19T16:14:29Z</dcterms:created>
  <dcterms:modified xsi:type="dcterms:W3CDTF">2025-12-30T20:10:40Z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0x0101007F4F41049442794294DED04359B3FB67</vt:lpwstr>
  </property>
</Properties>
</file>